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agov-my.sharepoint.com/personal/f_mancini_agea_gov_it/Documents/Documenti/Desktop/"/>
    </mc:Choice>
  </mc:AlternateContent>
  <xr:revisionPtr revIDLastSave="0" documentId="8_{24D20209-FB08-4497-A55D-908772F7EDC1}" xr6:coauthVersionLast="47" xr6:coauthVersionMax="47" xr10:uidLastSave="{00000000-0000-0000-0000-000000000000}"/>
  <bookViews>
    <workbookView xWindow="-110" yWindow="-110" windowWidth="19420" windowHeight="10420"/>
  </bookViews>
  <sheets>
    <sheet name="Dettaglio_Domande_Pagabili_AGEA" sheetId="1" r:id="rId1"/>
  </sheets>
  <definedNames>
    <definedName name="_xlnm._FilterDatabase" localSheetId="0" hidden="1">Dettaglio_Domande_Pagabili_AGEA!$A$3:$Y$1447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447" i="1" l="1"/>
  <c r="M1447" i="1"/>
  <c r="L1447" i="1"/>
  <c r="J1447" i="1"/>
  <c r="N1446" i="1"/>
  <c r="M1446" i="1"/>
  <c r="L1446" i="1"/>
  <c r="J1446" i="1"/>
  <c r="N1445" i="1"/>
  <c r="M1445" i="1"/>
  <c r="L1445" i="1"/>
  <c r="J1445" i="1"/>
  <c r="N1444" i="1"/>
  <c r="M1444" i="1"/>
  <c r="L1444" i="1"/>
  <c r="J1444" i="1"/>
  <c r="N1443" i="1"/>
  <c r="M1443" i="1"/>
  <c r="L1443" i="1"/>
  <c r="J1443" i="1"/>
  <c r="N1442" i="1"/>
  <c r="M1442" i="1"/>
  <c r="L1442" i="1"/>
  <c r="J1442" i="1"/>
  <c r="N1441" i="1"/>
  <c r="M1441" i="1"/>
  <c r="L1441" i="1"/>
  <c r="J1441" i="1"/>
  <c r="N1440" i="1"/>
  <c r="M1440" i="1"/>
  <c r="L1440" i="1"/>
  <c r="J1440" i="1"/>
  <c r="N1439" i="1"/>
  <c r="M1439" i="1"/>
  <c r="L1439" i="1"/>
  <c r="J1439" i="1"/>
  <c r="N1438" i="1"/>
  <c r="M1438" i="1"/>
  <c r="L1438" i="1"/>
  <c r="J1438" i="1"/>
  <c r="N1437" i="1"/>
  <c r="M1437" i="1"/>
  <c r="L1437" i="1"/>
  <c r="J1437" i="1"/>
  <c r="N1436" i="1"/>
  <c r="M1436" i="1"/>
  <c r="L1436" i="1"/>
  <c r="J1436" i="1"/>
  <c r="N1435" i="1"/>
  <c r="M1435" i="1"/>
  <c r="L1435" i="1"/>
  <c r="J1435" i="1"/>
  <c r="N1434" i="1"/>
  <c r="M1434" i="1"/>
  <c r="L1434" i="1"/>
  <c r="J1434" i="1"/>
  <c r="N1433" i="1"/>
  <c r="M1433" i="1"/>
  <c r="L1433" i="1"/>
  <c r="J1433" i="1"/>
  <c r="N1432" i="1"/>
  <c r="M1432" i="1"/>
  <c r="L1432" i="1"/>
  <c r="J1432" i="1"/>
  <c r="N1431" i="1"/>
  <c r="M1431" i="1"/>
  <c r="L1431" i="1"/>
  <c r="J1431" i="1"/>
  <c r="N1430" i="1"/>
  <c r="M1430" i="1"/>
  <c r="L1430" i="1"/>
  <c r="J1430" i="1"/>
  <c r="N1429" i="1"/>
  <c r="M1429" i="1"/>
  <c r="L1429" i="1"/>
  <c r="J1429" i="1"/>
  <c r="N1428" i="1"/>
  <c r="M1428" i="1"/>
  <c r="L1428" i="1"/>
  <c r="J1428" i="1"/>
  <c r="N1427" i="1"/>
  <c r="M1427" i="1"/>
  <c r="L1427" i="1"/>
  <c r="J1427" i="1"/>
  <c r="N1426" i="1"/>
  <c r="M1426" i="1"/>
  <c r="L1426" i="1"/>
  <c r="J1426" i="1"/>
  <c r="N1425" i="1"/>
  <c r="M1425" i="1"/>
  <c r="L1425" i="1"/>
  <c r="J1425" i="1"/>
  <c r="N1424" i="1"/>
  <c r="M1424" i="1"/>
  <c r="L1424" i="1"/>
  <c r="J1424" i="1"/>
  <c r="N1423" i="1"/>
  <c r="M1423" i="1"/>
  <c r="L1423" i="1"/>
  <c r="J1423" i="1"/>
  <c r="N1422" i="1"/>
  <c r="M1422" i="1"/>
  <c r="L1422" i="1"/>
  <c r="J1422" i="1"/>
  <c r="N1421" i="1"/>
  <c r="M1421" i="1"/>
  <c r="L1421" i="1"/>
  <c r="J1421" i="1"/>
  <c r="N1420" i="1"/>
  <c r="M1420" i="1"/>
  <c r="L1420" i="1"/>
  <c r="J1420" i="1"/>
  <c r="N1419" i="1"/>
  <c r="M1419" i="1"/>
  <c r="L1419" i="1"/>
  <c r="J1419" i="1"/>
  <c r="N1418" i="1"/>
  <c r="M1418" i="1"/>
  <c r="L1418" i="1"/>
  <c r="J1418" i="1"/>
  <c r="N1417" i="1"/>
  <c r="M1417" i="1"/>
  <c r="L1417" i="1"/>
  <c r="J1417" i="1"/>
  <c r="N1416" i="1"/>
  <c r="M1416" i="1"/>
  <c r="L1416" i="1"/>
  <c r="J1416" i="1"/>
  <c r="N1415" i="1"/>
  <c r="M1415" i="1"/>
  <c r="L1415" i="1"/>
  <c r="J1415" i="1"/>
  <c r="N1414" i="1"/>
  <c r="M1414" i="1"/>
  <c r="L1414" i="1"/>
  <c r="J1414" i="1"/>
  <c r="N1413" i="1"/>
  <c r="M1413" i="1"/>
  <c r="L1413" i="1"/>
  <c r="J1413" i="1"/>
  <c r="N1412" i="1"/>
  <c r="M1412" i="1"/>
  <c r="L1412" i="1"/>
  <c r="J1412" i="1"/>
  <c r="N1411" i="1"/>
  <c r="M1411" i="1"/>
  <c r="L1411" i="1"/>
  <c r="J1411" i="1"/>
  <c r="N1410" i="1"/>
  <c r="M1410" i="1"/>
  <c r="L1410" i="1"/>
  <c r="J1410" i="1"/>
  <c r="N1409" i="1"/>
  <c r="M1409" i="1"/>
  <c r="L1409" i="1"/>
  <c r="J1409" i="1"/>
  <c r="N1408" i="1"/>
  <c r="M1408" i="1"/>
  <c r="L1408" i="1"/>
  <c r="J1408" i="1"/>
  <c r="N1407" i="1"/>
  <c r="M1407" i="1"/>
  <c r="L1407" i="1"/>
  <c r="J1407" i="1"/>
  <c r="N1406" i="1"/>
  <c r="M1406" i="1"/>
  <c r="L1406" i="1"/>
  <c r="J1406" i="1"/>
  <c r="N1405" i="1"/>
  <c r="M1405" i="1"/>
  <c r="L1405" i="1"/>
  <c r="J1405" i="1"/>
  <c r="N1404" i="1"/>
  <c r="M1404" i="1"/>
  <c r="L1404" i="1"/>
  <c r="J1404" i="1"/>
  <c r="N1403" i="1"/>
  <c r="M1403" i="1"/>
  <c r="L1403" i="1"/>
  <c r="J1403" i="1"/>
  <c r="N1402" i="1"/>
  <c r="M1402" i="1"/>
  <c r="L1402" i="1"/>
  <c r="J1402" i="1"/>
  <c r="N1401" i="1"/>
  <c r="M1401" i="1"/>
  <c r="L1401" i="1"/>
  <c r="J1401" i="1"/>
  <c r="N1400" i="1"/>
  <c r="M1400" i="1"/>
  <c r="L1400" i="1"/>
  <c r="J1400" i="1"/>
  <c r="N1399" i="1"/>
  <c r="M1399" i="1"/>
  <c r="L1399" i="1"/>
  <c r="J1399" i="1"/>
  <c r="N1398" i="1"/>
  <c r="M1398" i="1"/>
  <c r="L1398" i="1"/>
  <c r="J1398" i="1"/>
  <c r="N1397" i="1"/>
  <c r="M1397" i="1"/>
  <c r="L1397" i="1"/>
  <c r="J1397" i="1"/>
  <c r="N1396" i="1"/>
  <c r="M1396" i="1"/>
  <c r="L1396" i="1"/>
  <c r="J1396" i="1"/>
  <c r="N1395" i="1"/>
  <c r="M1395" i="1"/>
  <c r="L1395" i="1"/>
  <c r="J1395" i="1"/>
  <c r="N1394" i="1"/>
  <c r="M1394" i="1"/>
  <c r="L1394" i="1"/>
  <c r="J1394" i="1"/>
  <c r="N1393" i="1"/>
  <c r="M1393" i="1"/>
  <c r="L1393" i="1"/>
  <c r="J1393" i="1"/>
  <c r="N1392" i="1"/>
  <c r="M1392" i="1"/>
  <c r="L1392" i="1"/>
  <c r="J1392" i="1"/>
  <c r="N1391" i="1"/>
  <c r="M1391" i="1"/>
  <c r="L1391" i="1"/>
  <c r="J1391" i="1"/>
  <c r="N1390" i="1"/>
  <c r="M1390" i="1"/>
  <c r="L1390" i="1"/>
  <c r="J1390" i="1"/>
  <c r="N1389" i="1"/>
  <c r="M1389" i="1"/>
  <c r="L1389" i="1"/>
  <c r="J1389" i="1"/>
  <c r="N1388" i="1"/>
  <c r="M1388" i="1"/>
  <c r="L1388" i="1"/>
  <c r="J1388" i="1"/>
  <c r="N1387" i="1"/>
  <c r="M1387" i="1"/>
  <c r="L1387" i="1"/>
  <c r="J1387" i="1"/>
  <c r="N1386" i="1"/>
  <c r="M1386" i="1"/>
  <c r="L1386" i="1"/>
  <c r="J1386" i="1"/>
  <c r="N1385" i="1"/>
  <c r="M1385" i="1"/>
  <c r="L1385" i="1"/>
  <c r="J1385" i="1"/>
  <c r="N1384" i="1"/>
  <c r="M1384" i="1"/>
  <c r="L1384" i="1"/>
  <c r="J1384" i="1"/>
  <c r="N1383" i="1"/>
  <c r="M1383" i="1"/>
  <c r="L1383" i="1"/>
  <c r="J1383" i="1"/>
  <c r="N1382" i="1"/>
  <c r="M1382" i="1"/>
  <c r="L1382" i="1"/>
  <c r="J1382" i="1"/>
  <c r="N1381" i="1"/>
  <c r="M1381" i="1"/>
  <c r="L1381" i="1"/>
  <c r="J1381" i="1"/>
  <c r="N1380" i="1"/>
  <c r="M1380" i="1"/>
  <c r="L1380" i="1"/>
  <c r="J1380" i="1"/>
  <c r="N1379" i="1"/>
  <c r="M1379" i="1"/>
  <c r="L1379" i="1"/>
  <c r="J1379" i="1"/>
  <c r="N1378" i="1"/>
  <c r="M1378" i="1"/>
  <c r="L1378" i="1"/>
  <c r="J1378" i="1"/>
  <c r="N1377" i="1"/>
  <c r="M1377" i="1"/>
  <c r="L1377" i="1"/>
  <c r="J1377" i="1"/>
  <c r="N1376" i="1"/>
  <c r="M1376" i="1"/>
  <c r="L1376" i="1"/>
  <c r="J1376" i="1"/>
  <c r="N1375" i="1"/>
  <c r="M1375" i="1"/>
  <c r="L1375" i="1"/>
  <c r="J1375" i="1"/>
  <c r="N1374" i="1"/>
  <c r="M1374" i="1"/>
  <c r="L1374" i="1"/>
  <c r="J1374" i="1"/>
  <c r="N1373" i="1"/>
  <c r="M1373" i="1"/>
  <c r="L1373" i="1"/>
  <c r="J1373" i="1"/>
  <c r="N1372" i="1"/>
  <c r="M1372" i="1"/>
  <c r="L1372" i="1"/>
  <c r="J1372" i="1"/>
  <c r="N1371" i="1"/>
  <c r="M1371" i="1"/>
  <c r="L1371" i="1"/>
  <c r="J1371" i="1"/>
  <c r="N1370" i="1"/>
  <c r="M1370" i="1"/>
  <c r="L1370" i="1"/>
  <c r="J1370" i="1"/>
  <c r="N1369" i="1"/>
  <c r="M1369" i="1"/>
  <c r="L1369" i="1"/>
  <c r="J1369" i="1"/>
  <c r="N1368" i="1"/>
  <c r="M1368" i="1"/>
  <c r="L1368" i="1"/>
  <c r="J1368" i="1"/>
  <c r="N1367" i="1"/>
  <c r="M1367" i="1"/>
  <c r="L1367" i="1"/>
  <c r="J1367" i="1"/>
  <c r="N1366" i="1"/>
  <c r="M1366" i="1"/>
  <c r="L1366" i="1"/>
  <c r="J1366" i="1"/>
  <c r="N1365" i="1"/>
  <c r="M1365" i="1"/>
  <c r="L1365" i="1"/>
  <c r="J1365" i="1"/>
  <c r="N1364" i="1"/>
  <c r="M1364" i="1"/>
  <c r="L1364" i="1"/>
  <c r="J1364" i="1"/>
  <c r="N1363" i="1"/>
  <c r="M1363" i="1"/>
  <c r="L1363" i="1"/>
  <c r="J1363" i="1"/>
  <c r="N1362" i="1"/>
  <c r="M1362" i="1"/>
  <c r="L1362" i="1"/>
  <c r="J1362" i="1"/>
  <c r="N1361" i="1"/>
  <c r="M1361" i="1"/>
  <c r="L1361" i="1"/>
  <c r="J1361" i="1"/>
  <c r="N1360" i="1"/>
  <c r="M1360" i="1"/>
  <c r="L1360" i="1"/>
  <c r="J1360" i="1"/>
  <c r="N1359" i="1"/>
  <c r="M1359" i="1"/>
  <c r="L1359" i="1"/>
  <c r="J1359" i="1"/>
  <c r="N1358" i="1"/>
  <c r="M1358" i="1"/>
  <c r="L1358" i="1"/>
  <c r="J1358" i="1"/>
  <c r="N1357" i="1"/>
  <c r="M1357" i="1"/>
  <c r="L1357" i="1"/>
  <c r="J1357" i="1"/>
  <c r="N1356" i="1"/>
  <c r="M1356" i="1"/>
  <c r="L1356" i="1"/>
  <c r="J1356" i="1"/>
  <c r="N1355" i="1"/>
  <c r="M1355" i="1"/>
  <c r="L1355" i="1"/>
  <c r="J1355" i="1"/>
  <c r="N1354" i="1"/>
  <c r="M1354" i="1"/>
  <c r="L1354" i="1"/>
  <c r="J1354" i="1"/>
  <c r="N1353" i="1"/>
  <c r="M1353" i="1"/>
  <c r="L1353" i="1"/>
  <c r="J1353" i="1"/>
  <c r="N1352" i="1"/>
  <c r="M1352" i="1"/>
  <c r="L1352" i="1"/>
  <c r="J1352" i="1"/>
  <c r="N1351" i="1"/>
  <c r="M1351" i="1"/>
  <c r="L1351" i="1"/>
  <c r="J1351" i="1"/>
  <c r="N1350" i="1"/>
  <c r="M1350" i="1"/>
  <c r="L1350" i="1"/>
  <c r="J1350" i="1"/>
  <c r="N1349" i="1"/>
  <c r="M1349" i="1"/>
  <c r="L1349" i="1"/>
  <c r="J1349" i="1"/>
  <c r="N1348" i="1"/>
  <c r="M1348" i="1"/>
  <c r="L1348" i="1"/>
  <c r="J1348" i="1"/>
  <c r="N1347" i="1"/>
  <c r="M1347" i="1"/>
  <c r="L1347" i="1"/>
  <c r="J1347" i="1"/>
  <c r="N1346" i="1"/>
  <c r="M1346" i="1"/>
  <c r="L1346" i="1"/>
  <c r="J1346" i="1"/>
  <c r="N1345" i="1"/>
  <c r="M1345" i="1"/>
  <c r="L1345" i="1"/>
  <c r="J1345" i="1"/>
  <c r="N1344" i="1"/>
  <c r="M1344" i="1"/>
  <c r="L1344" i="1"/>
  <c r="J1344" i="1"/>
  <c r="N1343" i="1"/>
  <c r="M1343" i="1"/>
  <c r="L1343" i="1"/>
  <c r="J1343" i="1"/>
  <c r="N1342" i="1"/>
  <c r="M1342" i="1"/>
  <c r="L1342" i="1"/>
  <c r="J1342" i="1"/>
  <c r="N1341" i="1"/>
  <c r="M1341" i="1"/>
  <c r="L1341" i="1"/>
  <c r="J1341" i="1"/>
  <c r="N1340" i="1"/>
  <c r="M1340" i="1"/>
  <c r="L1340" i="1"/>
  <c r="J1340" i="1"/>
  <c r="N1339" i="1"/>
  <c r="M1339" i="1"/>
  <c r="L1339" i="1"/>
  <c r="J1339" i="1"/>
  <c r="N1338" i="1"/>
  <c r="M1338" i="1"/>
  <c r="L1338" i="1"/>
  <c r="J1338" i="1"/>
  <c r="N1337" i="1"/>
  <c r="M1337" i="1"/>
  <c r="L1337" i="1"/>
  <c r="J1337" i="1"/>
  <c r="N1336" i="1"/>
  <c r="M1336" i="1"/>
  <c r="L1336" i="1"/>
  <c r="J1336" i="1"/>
  <c r="N1335" i="1"/>
  <c r="M1335" i="1"/>
  <c r="L1335" i="1"/>
  <c r="J1335" i="1"/>
  <c r="N1334" i="1"/>
  <c r="M1334" i="1"/>
  <c r="L1334" i="1"/>
  <c r="J1334" i="1"/>
  <c r="N1333" i="1"/>
  <c r="M1333" i="1"/>
  <c r="L1333" i="1"/>
  <c r="J1333" i="1"/>
  <c r="N1332" i="1"/>
  <c r="M1332" i="1"/>
  <c r="L1332" i="1"/>
  <c r="J1332" i="1"/>
  <c r="N1331" i="1"/>
  <c r="M1331" i="1"/>
  <c r="L1331" i="1"/>
  <c r="J1331" i="1"/>
  <c r="N1330" i="1"/>
  <c r="M1330" i="1"/>
  <c r="L1330" i="1"/>
  <c r="J1330" i="1"/>
  <c r="N1329" i="1"/>
  <c r="M1329" i="1"/>
  <c r="L1329" i="1"/>
  <c r="J1329" i="1"/>
  <c r="N1328" i="1"/>
  <c r="M1328" i="1"/>
  <c r="L1328" i="1"/>
  <c r="J1328" i="1"/>
  <c r="N1327" i="1"/>
  <c r="M1327" i="1"/>
  <c r="L1327" i="1"/>
  <c r="J1327" i="1"/>
  <c r="N1326" i="1"/>
  <c r="M1326" i="1"/>
  <c r="L1326" i="1"/>
  <c r="J1326" i="1"/>
  <c r="N1325" i="1"/>
  <c r="M1325" i="1"/>
  <c r="L1325" i="1"/>
  <c r="J1325" i="1"/>
  <c r="N1324" i="1"/>
  <c r="M1324" i="1"/>
  <c r="L1324" i="1"/>
  <c r="J1324" i="1"/>
  <c r="N1323" i="1"/>
  <c r="M1323" i="1"/>
  <c r="L1323" i="1"/>
  <c r="J1323" i="1"/>
  <c r="N1322" i="1"/>
  <c r="M1322" i="1"/>
  <c r="L1322" i="1"/>
  <c r="J1322" i="1"/>
  <c r="N1321" i="1"/>
  <c r="M1321" i="1"/>
  <c r="L1321" i="1"/>
  <c r="J1321" i="1"/>
  <c r="N1320" i="1"/>
  <c r="M1320" i="1"/>
  <c r="L1320" i="1"/>
  <c r="J1320" i="1"/>
  <c r="N1319" i="1"/>
  <c r="M1319" i="1"/>
  <c r="L1319" i="1"/>
  <c r="J1319" i="1"/>
  <c r="N1318" i="1"/>
  <c r="M1318" i="1"/>
  <c r="L1318" i="1"/>
  <c r="J1318" i="1"/>
  <c r="N1317" i="1"/>
  <c r="M1317" i="1"/>
  <c r="L1317" i="1"/>
  <c r="J1317" i="1"/>
  <c r="N1316" i="1"/>
  <c r="M1316" i="1"/>
  <c r="L1316" i="1"/>
  <c r="J1316" i="1"/>
  <c r="N1315" i="1"/>
  <c r="M1315" i="1"/>
  <c r="L1315" i="1"/>
  <c r="J1315" i="1"/>
  <c r="N1314" i="1"/>
  <c r="M1314" i="1"/>
  <c r="L1314" i="1"/>
  <c r="J1314" i="1"/>
  <c r="N1313" i="1"/>
  <c r="M1313" i="1"/>
  <c r="L1313" i="1"/>
  <c r="J1313" i="1"/>
  <c r="N1312" i="1"/>
  <c r="M1312" i="1"/>
  <c r="L1312" i="1"/>
  <c r="J1312" i="1"/>
  <c r="N1311" i="1"/>
  <c r="M1311" i="1"/>
  <c r="L1311" i="1"/>
  <c r="J1311" i="1"/>
  <c r="N1310" i="1"/>
  <c r="M1310" i="1"/>
  <c r="L1310" i="1"/>
  <c r="J1310" i="1"/>
  <c r="N1309" i="1"/>
  <c r="M1309" i="1"/>
  <c r="L1309" i="1"/>
  <c r="J1309" i="1"/>
  <c r="N1308" i="1"/>
  <c r="M1308" i="1"/>
  <c r="L1308" i="1"/>
  <c r="J1308" i="1"/>
  <c r="N1307" i="1"/>
  <c r="M1307" i="1"/>
  <c r="L1307" i="1"/>
  <c r="J1307" i="1"/>
  <c r="N1306" i="1"/>
  <c r="M1306" i="1"/>
  <c r="L1306" i="1"/>
  <c r="J1306" i="1"/>
  <c r="N1305" i="1"/>
  <c r="M1305" i="1"/>
  <c r="L1305" i="1"/>
  <c r="J1305" i="1"/>
  <c r="N1304" i="1"/>
  <c r="M1304" i="1"/>
  <c r="L1304" i="1"/>
  <c r="J1304" i="1"/>
  <c r="N1303" i="1"/>
  <c r="M1303" i="1"/>
  <c r="L1303" i="1"/>
  <c r="J1303" i="1"/>
  <c r="N1302" i="1"/>
  <c r="M1302" i="1"/>
  <c r="L1302" i="1"/>
  <c r="J1302" i="1"/>
  <c r="N1301" i="1"/>
  <c r="M1301" i="1"/>
  <c r="L1301" i="1"/>
  <c r="J1301" i="1"/>
  <c r="N1300" i="1"/>
  <c r="M1300" i="1"/>
  <c r="L1300" i="1"/>
  <c r="J1300" i="1"/>
  <c r="N1299" i="1"/>
  <c r="M1299" i="1"/>
  <c r="L1299" i="1"/>
  <c r="J1299" i="1"/>
  <c r="N1298" i="1"/>
  <c r="M1298" i="1"/>
  <c r="L1298" i="1"/>
  <c r="J1298" i="1"/>
  <c r="N1297" i="1"/>
  <c r="M1297" i="1"/>
  <c r="L1297" i="1"/>
  <c r="J1297" i="1"/>
  <c r="N1296" i="1"/>
  <c r="M1296" i="1"/>
  <c r="L1296" i="1"/>
  <c r="J1296" i="1"/>
  <c r="N1295" i="1"/>
  <c r="M1295" i="1"/>
  <c r="L1295" i="1"/>
  <c r="J1295" i="1"/>
  <c r="N1294" i="1"/>
  <c r="M1294" i="1"/>
  <c r="L1294" i="1"/>
  <c r="J1294" i="1"/>
  <c r="N1293" i="1"/>
  <c r="M1293" i="1"/>
  <c r="L1293" i="1"/>
  <c r="J1293" i="1"/>
  <c r="N1292" i="1"/>
  <c r="M1292" i="1"/>
  <c r="L1292" i="1"/>
  <c r="J1292" i="1"/>
  <c r="N1291" i="1"/>
  <c r="M1291" i="1"/>
  <c r="L1291" i="1"/>
  <c r="J1291" i="1"/>
  <c r="N1290" i="1"/>
  <c r="M1290" i="1"/>
  <c r="L1290" i="1"/>
  <c r="J1290" i="1"/>
  <c r="N1289" i="1"/>
  <c r="M1289" i="1"/>
  <c r="L1289" i="1"/>
  <c r="J1289" i="1"/>
  <c r="N1288" i="1"/>
  <c r="M1288" i="1"/>
  <c r="L1288" i="1"/>
  <c r="J1288" i="1"/>
  <c r="N1287" i="1"/>
  <c r="M1287" i="1"/>
  <c r="L1287" i="1"/>
  <c r="J1287" i="1"/>
  <c r="N1286" i="1"/>
  <c r="M1286" i="1"/>
  <c r="L1286" i="1"/>
  <c r="J1286" i="1"/>
  <c r="N1285" i="1"/>
  <c r="M1285" i="1"/>
  <c r="L1285" i="1"/>
  <c r="J1285" i="1"/>
  <c r="N1284" i="1"/>
  <c r="M1284" i="1"/>
  <c r="L1284" i="1"/>
  <c r="J1284" i="1"/>
  <c r="N1283" i="1"/>
  <c r="M1283" i="1"/>
  <c r="L1283" i="1"/>
  <c r="J1283" i="1"/>
  <c r="N1282" i="1"/>
  <c r="M1282" i="1"/>
  <c r="L1282" i="1"/>
  <c r="J1282" i="1"/>
  <c r="N1281" i="1"/>
  <c r="M1281" i="1"/>
  <c r="L1281" i="1"/>
  <c r="J1281" i="1"/>
  <c r="N1280" i="1"/>
  <c r="M1280" i="1"/>
  <c r="L1280" i="1"/>
  <c r="J1280" i="1"/>
  <c r="N1279" i="1"/>
  <c r="M1279" i="1"/>
  <c r="L1279" i="1"/>
  <c r="J1279" i="1"/>
  <c r="N1278" i="1"/>
  <c r="M1278" i="1"/>
  <c r="L1278" i="1"/>
  <c r="J1278" i="1"/>
  <c r="N1277" i="1"/>
  <c r="M1277" i="1"/>
  <c r="L1277" i="1"/>
  <c r="J1277" i="1"/>
  <c r="N1276" i="1"/>
  <c r="M1276" i="1"/>
  <c r="L1276" i="1"/>
  <c r="J1276" i="1"/>
  <c r="N1275" i="1"/>
  <c r="M1275" i="1"/>
  <c r="L1275" i="1"/>
  <c r="J1275" i="1"/>
  <c r="N1274" i="1"/>
  <c r="M1274" i="1"/>
  <c r="L1274" i="1"/>
  <c r="J1274" i="1"/>
  <c r="N1273" i="1"/>
  <c r="M1273" i="1"/>
  <c r="L1273" i="1"/>
  <c r="J1273" i="1"/>
  <c r="N1272" i="1"/>
  <c r="M1272" i="1"/>
  <c r="L1272" i="1"/>
  <c r="J1272" i="1"/>
  <c r="N1271" i="1"/>
  <c r="M1271" i="1"/>
  <c r="L1271" i="1"/>
  <c r="J1271" i="1"/>
  <c r="N1270" i="1"/>
  <c r="M1270" i="1"/>
  <c r="L1270" i="1"/>
  <c r="J1270" i="1"/>
  <c r="N1269" i="1"/>
  <c r="M1269" i="1"/>
  <c r="L1269" i="1"/>
  <c r="J1269" i="1"/>
  <c r="N1268" i="1"/>
  <c r="M1268" i="1"/>
  <c r="L1268" i="1"/>
  <c r="J1268" i="1"/>
  <c r="N1267" i="1"/>
  <c r="M1267" i="1"/>
  <c r="L1267" i="1"/>
  <c r="J1267" i="1"/>
  <c r="N1266" i="1"/>
  <c r="M1266" i="1"/>
  <c r="L1266" i="1"/>
  <c r="J1266" i="1"/>
  <c r="N1265" i="1"/>
  <c r="M1265" i="1"/>
  <c r="L1265" i="1"/>
  <c r="J1265" i="1"/>
  <c r="N1264" i="1"/>
  <c r="M1264" i="1"/>
  <c r="L1264" i="1"/>
  <c r="J1264" i="1"/>
  <c r="N1263" i="1"/>
  <c r="M1263" i="1"/>
  <c r="L1263" i="1"/>
  <c r="J1263" i="1"/>
  <c r="N1262" i="1"/>
  <c r="M1262" i="1"/>
  <c r="L1262" i="1"/>
  <c r="J1262" i="1"/>
  <c r="N1261" i="1"/>
  <c r="M1261" i="1"/>
  <c r="L1261" i="1"/>
  <c r="J1261" i="1"/>
  <c r="N1260" i="1"/>
  <c r="M1260" i="1"/>
  <c r="L1260" i="1"/>
  <c r="J1260" i="1"/>
  <c r="N1259" i="1"/>
  <c r="M1259" i="1"/>
  <c r="L1259" i="1"/>
  <c r="J1259" i="1"/>
  <c r="N1258" i="1"/>
  <c r="M1258" i="1"/>
  <c r="L1258" i="1"/>
  <c r="J1258" i="1"/>
  <c r="N1257" i="1"/>
  <c r="M1257" i="1"/>
  <c r="L1257" i="1"/>
  <c r="J1257" i="1"/>
  <c r="N1256" i="1"/>
  <c r="M1256" i="1"/>
  <c r="L1256" i="1"/>
  <c r="J1256" i="1"/>
  <c r="N1255" i="1"/>
  <c r="M1255" i="1"/>
  <c r="L1255" i="1"/>
  <c r="J1255" i="1"/>
  <c r="N1254" i="1"/>
  <c r="M1254" i="1"/>
  <c r="L1254" i="1"/>
  <c r="J1254" i="1"/>
  <c r="N1253" i="1"/>
  <c r="M1253" i="1"/>
  <c r="L1253" i="1"/>
  <c r="J1253" i="1"/>
  <c r="N1252" i="1"/>
  <c r="M1252" i="1"/>
  <c r="L1252" i="1"/>
  <c r="J1252" i="1"/>
  <c r="N1251" i="1"/>
  <c r="M1251" i="1"/>
  <c r="L1251" i="1"/>
  <c r="J1251" i="1"/>
  <c r="N1250" i="1"/>
  <c r="M1250" i="1"/>
  <c r="L1250" i="1"/>
  <c r="J1250" i="1"/>
  <c r="N1249" i="1"/>
  <c r="M1249" i="1"/>
  <c r="L1249" i="1"/>
  <c r="J1249" i="1"/>
  <c r="N1248" i="1"/>
  <c r="M1248" i="1"/>
  <c r="L1248" i="1"/>
  <c r="J1248" i="1"/>
  <c r="N1247" i="1"/>
  <c r="M1247" i="1"/>
  <c r="L1247" i="1"/>
  <c r="J1247" i="1"/>
  <c r="N1246" i="1"/>
  <c r="M1246" i="1"/>
  <c r="L1246" i="1"/>
  <c r="J1246" i="1"/>
  <c r="N1245" i="1"/>
  <c r="M1245" i="1"/>
  <c r="L1245" i="1"/>
  <c r="J1245" i="1"/>
  <c r="N1244" i="1"/>
  <c r="M1244" i="1"/>
  <c r="L1244" i="1"/>
  <c r="J1244" i="1"/>
  <c r="N1243" i="1"/>
  <c r="M1243" i="1"/>
  <c r="L1243" i="1"/>
  <c r="J1243" i="1"/>
  <c r="N1242" i="1"/>
  <c r="M1242" i="1"/>
  <c r="L1242" i="1"/>
  <c r="J1242" i="1"/>
  <c r="N1241" i="1"/>
  <c r="M1241" i="1"/>
  <c r="L1241" i="1"/>
  <c r="J1241" i="1"/>
  <c r="N1240" i="1"/>
  <c r="M1240" i="1"/>
  <c r="L1240" i="1"/>
  <c r="J1240" i="1"/>
  <c r="N1239" i="1"/>
  <c r="M1239" i="1"/>
  <c r="L1239" i="1"/>
  <c r="J1239" i="1"/>
  <c r="N1238" i="1"/>
  <c r="M1238" i="1"/>
  <c r="L1238" i="1"/>
  <c r="J1238" i="1"/>
  <c r="N1237" i="1"/>
  <c r="M1237" i="1"/>
  <c r="L1237" i="1"/>
  <c r="J1237" i="1"/>
  <c r="N1236" i="1"/>
  <c r="M1236" i="1"/>
  <c r="L1236" i="1"/>
  <c r="J1236" i="1"/>
  <c r="N1235" i="1"/>
  <c r="M1235" i="1"/>
  <c r="L1235" i="1"/>
  <c r="J1235" i="1"/>
  <c r="N1234" i="1"/>
  <c r="M1234" i="1"/>
  <c r="L1234" i="1"/>
  <c r="J1234" i="1"/>
  <c r="N1233" i="1"/>
  <c r="M1233" i="1"/>
  <c r="L1233" i="1"/>
  <c r="J1233" i="1"/>
  <c r="N1232" i="1"/>
  <c r="M1232" i="1"/>
  <c r="L1232" i="1"/>
  <c r="J1232" i="1"/>
  <c r="N1231" i="1"/>
  <c r="M1231" i="1"/>
  <c r="L1231" i="1"/>
  <c r="J1231" i="1"/>
  <c r="N1230" i="1"/>
  <c r="M1230" i="1"/>
  <c r="L1230" i="1"/>
  <c r="J1230" i="1"/>
  <c r="N1229" i="1"/>
  <c r="M1229" i="1"/>
  <c r="L1229" i="1"/>
  <c r="J1229" i="1"/>
  <c r="N1228" i="1"/>
  <c r="M1228" i="1"/>
  <c r="L1228" i="1"/>
  <c r="J1228" i="1"/>
  <c r="N1227" i="1"/>
  <c r="M1227" i="1"/>
  <c r="L1227" i="1"/>
  <c r="J1227" i="1"/>
  <c r="N1226" i="1"/>
  <c r="M1226" i="1"/>
  <c r="L1226" i="1"/>
  <c r="J1226" i="1"/>
  <c r="N1225" i="1"/>
  <c r="M1225" i="1"/>
  <c r="L1225" i="1"/>
  <c r="J1225" i="1"/>
  <c r="N1224" i="1"/>
  <c r="M1224" i="1"/>
  <c r="L1224" i="1"/>
  <c r="J1224" i="1"/>
  <c r="N1223" i="1"/>
  <c r="M1223" i="1"/>
  <c r="L1223" i="1"/>
  <c r="J1223" i="1"/>
  <c r="N1222" i="1"/>
  <c r="M1222" i="1"/>
  <c r="L1222" i="1"/>
  <c r="J1222" i="1"/>
  <c r="N1221" i="1"/>
  <c r="M1221" i="1"/>
  <c r="L1221" i="1"/>
  <c r="J1221" i="1"/>
  <c r="N1220" i="1"/>
  <c r="M1220" i="1"/>
  <c r="L1220" i="1"/>
  <c r="J1220" i="1"/>
  <c r="N1219" i="1"/>
  <c r="M1219" i="1"/>
  <c r="L1219" i="1"/>
  <c r="J1219" i="1"/>
  <c r="N1218" i="1"/>
  <c r="M1218" i="1"/>
  <c r="L1218" i="1"/>
  <c r="J1218" i="1"/>
  <c r="N1217" i="1"/>
  <c r="M1217" i="1"/>
  <c r="L1217" i="1"/>
  <c r="J1217" i="1"/>
  <c r="N1216" i="1"/>
  <c r="M1216" i="1"/>
  <c r="L1216" i="1"/>
  <c r="J1216" i="1"/>
  <c r="N1215" i="1"/>
  <c r="M1215" i="1"/>
  <c r="L1215" i="1"/>
  <c r="J1215" i="1"/>
  <c r="N1214" i="1"/>
  <c r="M1214" i="1"/>
  <c r="L1214" i="1"/>
  <c r="J1214" i="1"/>
  <c r="N1213" i="1"/>
  <c r="M1213" i="1"/>
  <c r="L1213" i="1"/>
  <c r="J1213" i="1"/>
  <c r="N1212" i="1"/>
  <c r="M1212" i="1"/>
  <c r="L1212" i="1"/>
  <c r="J1212" i="1"/>
  <c r="N1211" i="1"/>
  <c r="M1211" i="1"/>
  <c r="L1211" i="1"/>
  <c r="J1211" i="1"/>
  <c r="N1210" i="1"/>
  <c r="M1210" i="1"/>
  <c r="L1210" i="1"/>
  <c r="J1210" i="1"/>
  <c r="N1209" i="1"/>
  <c r="M1209" i="1"/>
  <c r="L1209" i="1"/>
  <c r="J1209" i="1"/>
  <c r="N1208" i="1"/>
  <c r="M1208" i="1"/>
  <c r="L1208" i="1"/>
  <c r="J1208" i="1"/>
  <c r="N1207" i="1"/>
  <c r="M1207" i="1"/>
  <c r="L1207" i="1"/>
  <c r="J1207" i="1"/>
  <c r="N1206" i="1"/>
  <c r="M1206" i="1"/>
  <c r="L1206" i="1"/>
  <c r="J1206" i="1"/>
  <c r="N1205" i="1"/>
  <c r="M1205" i="1"/>
  <c r="L1205" i="1"/>
  <c r="J1205" i="1"/>
  <c r="N1204" i="1"/>
  <c r="M1204" i="1"/>
  <c r="L1204" i="1"/>
  <c r="J1204" i="1"/>
  <c r="N1203" i="1"/>
  <c r="M1203" i="1"/>
  <c r="L1203" i="1"/>
  <c r="J1203" i="1"/>
  <c r="N1202" i="1"/>
  <c r="M1202" i="1"/>
  <c r="L1202" i="1"/>
  <c r="J1202" i="1"/>
  <c r="N1201" i="1"/>
  <c r="M1201" i="1"/>
  <c r="L1201" i="1"/>
  <c r="J1201" i="1"/>
  <c r="N1200" i="1"/>
  <c r="M1200" i="1"/>
  <c r="L1200" i="1"/>
  <c r="J1200" i="1"/>
  <c r="N1199" i="1"/>
  <c r="M1199" i="1"/>
  <c r="L1199" i="1"/>
  <c r="J1199" i="1"/>
  <c r="N1198" i="1"/>
  <c r="M1198" i="1"/>
  <c r="L1198" i="1"/>
  <c r="J1198" i="1"/>
  <c r="N1197" i="1"/>
  <c r="M1197" i="1"/>
  <c r="L1197" i="1"/>
  <c r="J1197" i="1"/>
  <c r="N1196" i="1"/>
  <c r="M1196" i="1"/>
  <c r="L1196" i="1"/>
  <c r="J1196" i="1"/>
  <c r="N1195" i="1"/>
  <c r="M1195" i="1"/>
  <c r="L1195" i="1"/>
  <c r="J1195" i="1"/>
  <c r="N1194" i="1"/>
  <c r="M1194" i="1"/>
  <c r="L1194" i="1"/>
  <c r="J1194" i="1"/>
  <c r="N1193" i="1"/>
  <c r="M1193" i="1"/>
  <c r="L1193" i="1"/>
  <c r="J1193" i="1"/>
  <c r="N1192" i="1"/>
  <c r="M1192" i="1"/>
  <c r="L1192" i="1"/>
  <c r="J1192" i="1"/>
  <c r="N1191" i="1"/>
  <c r="M1191" i="1"/>
  <c r="L1191" i="1"/>
  <c r="J1191" i="1"/>
  <c r="N1190" i="1"/>
  <c r="M1190" i="1"/>
  <c r="L1190" i="1"/>
  <c r="J1190" i="1"/>
  <c r="N1189" i="1"/>
  <c r="M1189" i="1"/>
  <c r="L1189" i="1"/>
  <c r="J1189" i="1"/>
  <c r="N1188" i="1"/>
  <c r="M1188" i="1"/>
  <c r="L1188" i="1"/>
  <c r="J1188" i="1"/>
  <c r="N1187" i="1"/>
  <c r="M1187" i="1"/>
  <c r="L1187" i="1"/>
  <c r="J1187" i="1"/>
  <c r="N1186" i="1"/>
  <c r="M1186" i="1"/>
  <c r="L1186" i="1"/>
  <c r="J1186" i="1"/>
  <c r="N1185" i="1"/>
  <c r="M1185" i="1"/>
  <c r="L1185" i="1"/>
  <c r="J1185" i="1"/>
  <c r="N1184" i="1"/>
  <c r="M1184" i="1"/>
  <c r="L1184" i="1"/>
  <c r="J1184" i="1"/>
  <c r="N1183" i="1"/>
  <c r="M1183" i="1"/>
  <c r="L1183" i="1"/>
  <c r="J1183" i="1"/>
  <c r="N1182" i="1"/>
  <c r="M1182" i="1"/>
  <c r="L1182" i="1"/>
  <c r="J1182" i="1"/>
  <c r="N1181" i="1"/>
  <c r="M1181" i="1"/>
  <c r="L1181" i="1"/>
  <c r="J1181" i="1"/>
  <c r="N1180" i="1"/>
  <c r="M1180" i="1"/>
  <c r="L1180" i="1"/>
  <c r="J1180" i="1"/>
  <c r="N1179" i="1"/>
  <c r="M1179" i="1"/>
  <c r="L1179" i="1"/>
  <c r="J1179" i="1"/>
  <c r="N1178" i="1"/>
  <c r="M1178" i="1"/>
  <c r="L1178" i="1"/>
  <c r="J1178" i="1"/>
  <c r="N1177" i="1"/>
  <c r="M1177" i="1"/>
  <c r="L1177" i="1"/>
  <c r="J1177" i="1"/>
  <c r="N1176" i="1"/>
  <c r="M1176" i="1"/>
  <c r="L1176" i="1"/>
  <c r="J1176" i="1"/>
  <c r="N1175" i="1"/>
  <c r="M1175" i="1"/>
  <c r="L1175" i="1"/>
  <c r="J1175" i="1"/>
  <c r="N1174" i="1"/>
  <c r="M1174" i="1"/>
  <c r="L1174" i="1"/>
  <c r="J1174" i="1"/>
  <c r="N1173" i="1"/>
  <c r="M1173" i="1"/>
  <c r="L1173" i="1"/>
  <c r="J1173" i="1"/>
  <c r="N1172" i="1"/>
  <c r="M1172" i="1"/>
  <c r="L1172" i="1"/>
  <c r="J1172" i="1"/>
  <c r="N1171" i="1"/>
  <c r="M1171" i="1"/>
  <c r="L1171" i="1"/>
  <c r="J1171" i="1"/>
  <c r="N1170" i="1"/>
  <c r="M1170" i="1"/>
  <c r="L1170" i="1"/>
  <c r="J1170" i="1"/>
  <c r="N1169" i="1"/>
  <c r="M1169" i="1"/>
  <c r="L1169" i="1"/>
  <c r="J1169" i="1"/>
  <c r="N1168" i="1"/>
  <c r="M1168" i="1"/>
  <c r="L1168" i="1"/>
  <c r="J1168" i="1"/>
  <c r="N1167" i="1"/>
  <c r="M1167" i="1"/>
  <c r="L1167" i="1"/>
  <c r="J1167" i="1"/>
  <c r="N1166" i="1"/>
  <c r="M1166" i="1"/>
  <c r="L1166" i="1"/>
  <c r="J1166" i="1"/>
  <c r="N1165" i="1"/>
  <c r="M1165" i="1"/>
  <c r="L1165" i="1"/>
  <c r="J1165" i="1"/>
  <c r="N1164" i="1"/>
  <c r="M1164" i="1"/>
  <c r="L1164" i="1"/>
  <c r="J1164" i="1"/>
  <c r="N1163" i="1"/>
  <c r="M1163" i="1"/>
  <c r="L1163" i="1"/>
  <c r="J1163" i="1"/>
  <c r="N1162" i="1"/>
  <c r="M1162" i="1"/>
  <c r="L1162" i="1"/>
  <c r="J1162" i="1"/>
  <c r="N1161" i="1"/>
  <c r="M1161" i="1"/>
  <c r="L1161" i="1"/>
  <c r="J1161" i="1"/>
  <c r="N1160" i="1"/>
  <c r="M1160" i="1"/>
  <c r="L1160" i="1"/>
  <c r="J1160" i="1"/>
  <c r="N1159" i="1"/>
  <c r="M1159" i="1"/>
  <c r="L1159" i="1"/>
  <c r="J1159" i="1"/>
  <c r="N1158" i="1"/>
  <c r="M1158" i="1"/>
  <c r="L1158" i="1"/>
  <c r="J1158" i="1"/>
  <c r="N1157" i="1"/>
  <c r="M1157" i="1"/>
  <c r="L1157" i="1"/>
  <c r="J1157" i="1"/>
  <c r="N1156" i="1"/>
  <c r="M1156" i="1"/>
  <c r="L1156" i="1"/>
  <c r="J1156" i="1"/>
  <c r="N1155" i="1"/>
  <c r="M1155" i="1"/>
  <c r="L1155" i="1"/>
  <c r="J1155" i="1"/>
  <c r="N1154" i="1"/>
  <c r="M1154" i="1"/>
  <c r="L1154" i="1"/>
  <c r="J1154" i="1"/>
  <c r="N1153" i="1"/>
  <c r="M1153" i="1"/>
  <c r="L1153" i="1"/>
  <c r="J1153" i="1"/>
  <c r="N1152" i="1"/>
  <c r="M1152" i="1"/>
  <c r="L1152" i="1"/>
  <c r="J1152" i="1"/>
  <c r="N1151" i="1"/>
  <c r="M1151" i="1"/>
  <c r="L1151" i="1"/>
  <c r="J1151" i="1"/>
  <c r="N1150" i="1"/>
  <c r="M1150" i="1"/>
  <c r="L1150" i="1"/>
  <c r="J1150" i="1"/>
  <c r="N1149" i="1"/>
  <c r="M1149" i="1"/>
  <c r="L1149" i="1"/>
  <c r="J1149" i="1"/>
  <c r="N1148" i="1"/>
  <c r="M1148" i="1"/>
  <c r="L1148" i="1"/>
  <c r="J1148" i="1"/>
  <c r="N1147" i="1"/>
  <c r="M1147" i="1"/>
  <c r="L1147" i="1"/>
  <c r="J1147" i="1"/>
  <c r="N1146" i="1"/>
  <c r="M1146" i="1"/>
  <c r="L1146" i="1"/>
  <c r="J1146" i="1"/>
  <c r="N1145" i="1"/>
  <c r="M1145" i="1"/>
  <c r="L1145" i="1"/>
  <c r="J1145" i="1"/>
  <c r="N1144" i="1"/>
  <c r="M1144" i="1"/>
  <c r="L1144" i="1"/>
  <c r="J1144" i="1"/>
  <c r="N1143" i="1"/>
  <c r="M1143" i="1"/>
  <c r="L1143" i="1"/>
  <c r="J1143" i="1"/>
  <c r="N1142" i="1"/>
  <c r="M1142" i="1"/>
  <c r="L1142" i="1"/>
  <c r="J1142" i="1"/>
  <c r="N1141" i="1"/>
  <c r="M1141" i="1"/>
  <c r="L1141" i="1"/>
  <c r="J1141" i="1"/>
  <c r="N1140" i="1"/>
  <c r="M1140" i="1"/>
  <c r="L1140" i="1"/>
  <c r="J1140" i="1"/>
  <c r="N1139" i="1"/>
  <c r="M1139" i="1"/>
  <c r="L1139" i="1"/>
  <c r="J1139" i="1"/>
  <c r="N1138" i="1"/>
  <c r="M1138" i="1"/>
  <c r="L1138" i="1"/>
  <c r="J1138" i="1"/>
  <c r="N1137" i="1"/>
  <c r="M1137" i="1"/>
  <c r="L1137" i="1"/>
  <c r="J1137" i="1"/>
  <c r="N1136" i="1"/>
  <c r="M1136" i="1"/>
  <c r="L1136" i="1"/>
  <c r="J1136" i="1"/>
  <c r="N1135" i="1"/>
  <c r="M1135" i="1"/>
  <c r="L1135" i="1"/>
  <c r="J1135" i="1"/>
  <c r="N1134" i="1"/>
  <c r="M1134" i="1"/>
  <c r="L1134" i="1"/>
  <c r="J1134" i="1"/>
  <c r="N1133" i="1"/>
  <c r="M1133" i="1"/>
  <c r="L1133" i="1"/>
  <c r="J1133" i="1"/>
  <c r="N1132" i="1"/>
  <c r="M1132" i="1"/>
  <c r="L1132" i="1"/>
  <c r="J1132" i="1"/>
  <c r="N1131" i="1"/>
  <c r="M1131" i="1"/>
  <c r="L1131" i="1"/>
  <c r="J1131" i="1"/>
  <c r="N1130" i="1"/>
  <c r="M1130" i="1"/>
  <c r="L1130" i="1"/>
  <c r="J1130" i="1"/>
  <c r="N1129" i="1"/>
  <c r="M1129" i="1"/>
  <c r="L1129" i="1"/>
  <c r="J1129" i="1"/>
  <c r="N1128" i="1"/>
  <c r="M1128" i="1"/>
  <c r="L1128" i="1"/>
  <c r="J1128" i="1"/>
  <c r="N1127" i="1"/>
  <c r="M1127" i="1"/>
  <c r="L1127" i="1"/>
  <c r="J1127" i="1"/>
  <c r="N1126" i="1"/>
  <c r="M1126" i="1"/>
  <c r="L1126" i="1"/>
  <c r="J1126" i="1"/>
  <c r="N1125" i="1"/>
  <c r="M1125" i="1"/>
  <c r="L1125" i="1"/>
  <c r="J1125" i="1"/>
  <c r="N1124" i="1"/>
  <c r="M1124" i="1"/>
  <c r="L1124" i="1"/>
  <c r="J1124" i="1"/>
  <c r="N1123" i="1"/>
  <c r="M1123" i="1"/>
  <c r="L1123" i="1"/>
  <c r="J1123" i="1"/>
  <c r="N1122" i="1"/>
  <c r="M1122" i="1"/>
  <c r="L1122" i="1"/>
  <c r="J1122" i="1"/>
  <c r="N1121" i="1"/>
  <c r="M1121" i="1"/>
  <c r="L1121" i="1"/>
  <c r="J1121" i="1"/>
  <c r="N1120" i="1"/>
  <c r="M1120" i="1"/>
  <c r="L1120" i="1"/>
  <c r="J1120" i="1"/>
  <c r="N1119" i="1"/>
  <c r="M1119" i="1"/>
  <c r="L1119" i="1"/>
  <c r="J1119" i="1"/>
  <c r="N1118" i="1"/>
  <c r="M1118" i="1"/>
  <c r="L1118" i="1"/>
  <c r="J1118" i="1"/>
  <c r="N1117" i="1"/>
  <c r="M1117" i="1"/>
  <c r="L1117" i="1"/>
  <c r="J1117" i="1"/>
  <c r="N1116" i="1"/>
  <c r="M1116" i="1"/>
  <c r="L1116" i="1"/>
  <c r="J1116" i="1"/>
  <c r="N1115" i="1"/>
  <c r="M1115" i="1"/>
  <c r="L1115" i="1"/>
  <c r="J1115" i="1"/>
  <c r="N1114" i="1"/>
  <c r="M1114" i="1"/>
  <c r="L1114" i="1"/>
  <c r="J1114" i="1"/>
  <c r="N1113" i="1"/>
  <c r="M1113" i="1"/>
  <c r="L1113" i="1"/>
  <c r="J1113" i="1"/>
  <c r="N1112" i="1"/>
  <c r="M1112" i="1"/>
  <c r="L1112" i="1"/>
  <c r="J1112" i="1"/>
  <c r="N1111" i="1"/>
  <c r="M1111" i="1"/>
  <c r="L1111" i="1"/>
  <c r="J1111" i="1"/>
  <c r="N1110" i="1"/>
  <c r="M1110" i="1"/>
  <c r="L1110" i="1"/>
  <c r="J1110" i="1"/>
  <c r="N1109" i="1"/>
  <c r="M1109" i="1"/>
  <c r="L1109" i="1"/>
  <c r="J1109" i="1"/>
  <c r="N1108" i="1"/>
  <c r="M1108" i="1"/>
  <c r="L1108" i="1"/>
  <c r="J1108" i="1"/>
  <c r="N1107" i="1"/>
  <c r="M1107" i="1"/>
  <c r="L1107" i="1"/>
  <c r="J1107" i="1"/>
  <c r="N1106" i="1"/>
  <c r="M1106" i="1"/>
  <c r="L1106" i="1"/>
  <c r="J1106" i="1"/>
  <c r="N1105" i="1"/>
  <c r="M1105" i="1"/>
  <c r="L1105" i="1"/>
  <c r="J1105" i="1"/>
  <c r="N1104" i="1"/>
  <c r="M1104" i="1"/>
  <c r="L1104" i="1"/>
  <c r="J1104" i="1"/>
  <c r="N1103" i="1"/>
  <c r="M1103" i="1"/>
  <c r="L1103" i="1"/>
  <c r="J1103" i="1"/>
  <c r="N1102" i="1"/>
  <c r="M1102" i="1"/>
  <c r="L1102" i="1"/>
  <c r="J1102" i="1"/>
  <c r="N1101" i="1"/>
  <c r="M1101" i="1"/>
  <c r="L1101" i="1"/>
  <c r="J1101" i="1"/>
  <c r="N1100" i="1"/>
  <c r="M1100" i="1"/>
  <c r="L1100" i="1"/>
  <c r="J1100" i="1"/>
  <c r="N1099" i="1"/>
  <c r="M1099" i="1"/>
  <c r="L1099" i="1"/>
  <c r="J1099" i="1"/>
  <c r="N1098" i="1"/>
  <c r="M1098" i="1"/>
  <c r="L1098" i="1"/>
  <c r="J1098" i="1"/>
  <c r="N1097" i="1"/>
  <c r="M1097" i="1"/>
  <c r="L1097" i="1"/>
  <c r="J1097" i="1"/>
  <c r="N1096" i="1"/>
  <c r="M1096" i="1"/>
  <c r="L1096" i="1"/>
  <c r="J1096" i="1"/>
  <c r="N1095" i="1"/>
  <c r="M1095" i="1"/>
  <c r="L1095" i="1"/>
  <c r="J1095" i="1"/>
  <c r="N1094" i="1"/>
  <c r="M1094" i="1"/>
  <c r="L1094" i="1"/>
  <c r="J1094" i="1"/>
  <c r="N1093" i="1"/>
  <c r="M1093" i="1"/>
  <c r="L1093" i="1"/>
  <c r="J1093" i="1"/>
  <c r="N1092" i="1"/>
  <c r="M1092" i="1"/>
  <c r="L1092" i="1"/>
  <c r="J1092" i="1"/>
  <c r="N1091" i="1"/>
  <c r="M1091" i="1"/>
  <c r="L1091" i="1"/>
  <c r="J1091" i="1"/>
  <c r="N1090" i="1"/>
  <c r="M1090" i="1"/>
  <c r="L1090" i="1"/>
  <c r="J1090" i="1"/>
  <c r="N1089" i="1"/>
  <c r="M1089" i="1"/>
  <c r="L1089" i="1"/>
  <c r="J1089" i="1"/>
  <c r="N1088" i="1"/>
  <c r="M1088" i="1"/>
  <c r="L1088" i="1"/>
  <c r="J1088" i="1"/>
  <c r="N1087" i="1"/>
  <c r="M1087" i="1"/>
  <c r="L1087" i="1"/>
  <c r="J1087" i="1"/>
  <c r="N1086" i="1"/>
  <c r="M1086" i="1"/>
  <c r="L1086" i="1"/>
  <c r="J1086" i="1"/>
  <c r="N1085" i="1"/>
  <c r="M1085" i="1"/>
  <c r="L1085" i="1"/>
  <c r="J1085" i="1"/>
  <c r="N1084" i="1"/>
  <c r="M1084" i="1"/>
  <c r="L1084" i="1"/>
  <c r="J1084" i="1"/>
  <c r="N1083" i="1"/>
  <c r="M1083" i="1"/>
  <c r="L1083" i="1"/>
  <c r="J1083" i="1"/>
  <c r="N1082" i="1"/>
  <c r="M1082" i="1"/>
  <c r="L1082" i="1"/>
  <c r="J1082" i="1"/>
  <c r="N1081" i="1"/>
  <c r="M1081" i="1"/>
  <c r="L1081" i="1"/>
  <c r="J1081" i="1"/>
  <c r="N1080" i="1"/>
  <c r="M1080" i="1"/>
  <c r="L1080" i="1"/>
  <c r="J1080" i="1"/>
  <c r="N1079" i="1"/>
  <c r="M1079" i="1"/>
  <c r="L1079" i="1"/>
  <c r="J1079" i="1"/>
  <c r="N1078" i="1"/>
  <c r="M1078" i="1"/>
  <c r="L1078" i="1"/>
  <c r="J1078" i="1"/>
  <c r="N1077" i="1"/>
  <c r="M1077" i="1"/>
  <c r="L1077" i="1"/>
  <c r="J1077" i="1"/>
  <c r="N1076" i="1"/>
  <c r="M1076" i="1"/>
  <c r="L1076" i="1"/>
  <c r="J1076" i="1"/>
  <c r="N1075" i="1"/>
  <c r="M1075" i="1"/>
  <c r="L1075" i="1"/>
  <c r="J1075" i="1"/>
  <c r="N1074" i="1"/>
  <c r="M1074" i="1"/>
  <c r="L1074" i="1"/>
  <c r="J1074" i="1"/>
  <c r="N1073" i="1"/>
  <c r="M1073" i="1"/>
  <c r="L1073" i="1"/>
  <c r="J1073" i="1"/>
  <c r="N1072" i="1"/>
  <c r="M1072" i="1"/>
  <c r="L1072" i="1"/>
  <c r="J1072" i="1"/>
  <c r="N1071" i="1"/>
  <c r="M1071" i="1"/>
  <c r="L1071" i="1"/>
  <c r="J1071" i="1"/>
  <c r="N1070" i="1"/>
  <c r="M1070" i="1"/>
  <c r="L1070" i="1"/>
  <c r="J1070" i="1"/>
  <c r="N1069" i="1"/>
  <c r="M1069" i="1"/>
  <c r="L1069" i="1"/>
  <c r="J1069" i="1"/>
  <c r="N1068" i="1"/>
  <c r="M1068" i="1"/>
  <c r="L1068" i="1"/>
  <c r="J1068" i="1"/>
  <c r="N1067" i="1"/>
  <c r="M1067" i="1"/>
  <c r="L1067" i="1"/>
  <c r="J1067" i="1"/>
  <c r="N1066" i="1"/>
  <c r="M1066" i="1"/>
  <c r="L1066" i="1"/>
  <c r="J1066" i="1"/>
  <c r="N1065" i="1"/>
  <c r="M1065" i="1"/>
  <c r="L1065" i="1"/>
  <c r="J1065" i="1"/>
  <c r="N1064" i="1"/>
  <c r="M1064" i="1"/>
  <c r="L1064" i="1"/>
  <c r="J1064" i="1"/>
  <c r="N1063" i="1"/>
  <c r="M1063" i="1"/>
  <c r="L1063" i="1"/>
  <c r="J1063" i="1"/>
  <c r="N1062" i="1"/>
  <c r="M1062" i="1"/>
  <c r="L1062" i="1"/>
  <c r="J1062" i="1"/>
  <c r="N1061" i="1"/>
  <c r="M1061" i="1"/>
  <c r="L1061" i="1"/>
  <c r="J1061" i="1"/>
  <c r="N1060" i="1"/>
  <c r="M1060" i="1"/>
  <c r="L1060" i="1"/>
  <c r="J1060" i="1"/>
  <c r="N1059" i="1"/>
  <c r="M1059" i="1"/>
  <c r="L1059" i="1"/>
  <c r="J1059" i="1"/>
  <c r="N1058" i="1"/>
  <c r="M1058" i="1"/>
  <c r="L1058" i="1"/>
  <c r="J1058" i="1"/>
  <c r="N1057" i="1"/>
  <c r="M1057" i="1"/>
  <c r="L1057" i="1"/>
  <c r="J1057" i="1"/>
  <c r="N1056" i="1"/>
  <c r="M1056" i="1"/>
  <c r="L1056" i="1"/>
  <c r="J1056" i="1"/>
  <c r="N1055" i="1"/>
  <c r="M1055" i="1"/>
  <c r="L1055" i="1"/>
  <c r="J1055" i="1"/>
  <c r="N1054" i="1"/>
  <c r="M1054" i="1"/>
  <c r="L1054" i="1"/>
  <c r="J1054" i="1"/>
  <c r="N1053" i="1"/>
  <c r="M1053" i="1"/>
  <c r="L1053" i="1"/>
  <c r="J1053" i="1"/>
  <c r="N1052" i="1"/>
  <c r="M1052" i="1"/>
  <c r="L1052" i="1"/>
  <c r="J1052" i="1"/>
  <c r="N1051" i="1"/>
  <c r="M1051" i="1"/>
  <c r="L1051" i="1"/>
  <c r="J1051" i="1"/>
  <c r="N1050" i="1"/>
  <c r="M1050" i="1"/>
  <c r="L1050" i="1"/>
  <c r="J1050" i="1"/>
  <c r="N1049" i="1"/>
  <c r="M1049" i="1"/>
  <c r="L1049" i="1"/>
  <c r="J1049" i="1"/>
  <c r="N1048" i="1"/>
  <c r="M1048" i="1"/>
  <c r="L1048" i="1"/>
  <c r="J1048" i="1"/>
  <c r="N1047" i="1"/>
  <c r="M1047" i="1"/>
  <c r="L1047" i="1"/>
  <c r="J1047" i="1"/>
  <c r="N1046" i="1"/>
  <c r="M1046" i="1"/>
  <c r="L1046" i="1"/>
  <c r="J1046" i="1"/>
  <c r="N1045" i="1"/>
  <c r="M1045" i="1"/>
  <c r="L1045" i="1"/>
  <c r="J1045" i="1"/>
  <c r="N1044" i="1"/>
  <c r="M1044" i="1"/>
  <c r="L1044" i="1"/>
  <c r="J1044" i="1"/>
  <c r="N1043" i="1"/>
  <c r="M1043" i="1"/>
  <c r="L1043" i="1"/>
  <c r="J1043" i="1"/>
  <c r="N1042" i="1"/>
  <c r="M1042" i="1"/>
  <c r="L1042" i="1"/>
  <c r="J1042" i="1"/>
  <c r="N1041" i="1"/>
  <c r="M1041" i="1"/>
  <c r="L1041" i="1"/>
  <c r="J1041" i="1"/>
  <c r="N1040" i="1"/>
  <c r="M1040" i="1"/>
  <c r="L1040" i="1"/>
  <c r="J1040" i="1"/>
  <c r="N1039" i="1"/>
  <c r="M1039" i="1"/>
  <c r="L1039" i="1"/>
  <c r="J1039" i="1"/>
  <c r="N1038" i="1"/>
  <c r="M1038" i="1"/>
  <c r="L1038" i="1"/>
  <c r="J1038" i="1"/>
  <c r="N1037" i="1"/>
  <c r="M1037" i="1"/>
  <c r="L1037" i="1"/>
  <c r="J1037" i="1"/>
  <c r="N1036" i="1"/>
  <c r="M1036" i="1"/>
  <c r="L1036" i="1"/>
  <c r="J1036" i="1"/>
  <c r="N1035" i="1"/>
  <c r="M1035" i="1"/>
  <c r="L1035" i="1"/>
  <c r="J1035" i="1"/>
  <c r="N1034" i="1"/>
  <c r="M1034" i="1"/>
  <c r="L1034" i="1"/>
  <c r="J1034" i="1"/>
  <c r="N1033" i="1"/>
  <c r="M1033" i="1"/>
  <c r="L1033" i="1"/>
  <c r="J1033" i="1"/>
  <c r="N1032" i="1"/>
  <c r="M1032" i="1"/>
  <c r="L1032" i="1"/>
  <c r="J1032" i="1"/>
  <c r="N1031" i="1"/>
  <c r="M1031" i="1"/>
  <c r="L1031" i="1"/>
  <c r="J1031" i="1"/>
  <c r="N1030" i="1"/>
  <c r="M1030" i="1"/>
  <c r="L1030" i="1"/>
  <c r="J1030" i="1"/>
  <c r="N1029" i="1"/>
  <c r="M1029" i="1"/>
  <c r="L1029" i="1"/>
  <c r="J1029" i="1"/>
  <c r="N1028" i="1"/>
  <c r="M1028" i="1"/>
  <c r="L1028" i="1"/>
  <c r="J1028" i="1"/>
  <c r="N1027" i="1"/>
  <c r="M1027" i="1"/>
  <c r="L1027" i="1"/>
  <c r="J1027" i="1"/>
  <c r="N1026" i="1"/>
  <c r="M1026" i="1"/>
  <c r="L1026" i="1"/>
  <c r="J1026" i="1"/>
  <c r="N1025" i="1"/>
  <c r="M1025" i="1"/>
  <c r="L1025" i="1"/>
  <c r="J1025" i="1"/>
  <c r="N1024" i="1"/>
  <c r="M1024" i="1"/>
  <c r="L1024" i="1"/>
  <c r="J1024" i="1"/>
  <c r="N1023" i="1"/>
  <c r="M1023" i="1"/>
  <c r="L1023" i="1"/>
  <c r="J1023" i="1"/>
  <c r="N1022" i="1"/>
  <c r="M1022" i="1"/>
  <c r="L1022" i="1"/>
  <c r="J1022" i="1"/>
  <c r="N1021" i="1"/>
  <c r="M1021" i="1"/>
  <c r="L1021" i="1"/>
  <c r="J1021" i="1"/>
  <c r="N1020" i="1"/>
  <c r="M1020" i="1"/>
  <c r="L1020" i="1"/>
  <c r="J1020" i="1"/>
  <c r="N1019" i="1"/>
  <c r="M1019" i="1"/>
  <c r="L1019" i="1"/>
  <c r="J1019" i="1"/>
  <c r="N1018" i="1"/>
  <c r="M1018" i="1"/>
  <c r="L1018" i="1"/>
  <c r="J1018" i="1"/>
  <c r="N1017" i="1"/>
  <c r="M1017" i="1"/>
  <c r="L1017" i="1"/>
  <c r="J1017" i="1"/>
  <c r="N1016" i="1"/>
  <c r="M1016" i="1"/>
  <c r="L1016" i="1"/>
  <c r="J1016" i="1"/>
  <c r="N1015" i="1"/>
  <c r="M1015" i="1"/>
  <c r="L1015" i="1"/>
  <c r="J1015" i="1"/>
  <c r="N1014" i="1"/>
  <c r="M1014" i="1"/>
  <c r="L1014" i="1"/>
  <c r="J1014" i="1"/>
  <c r="N1013" i="1"/>
  <c r="M1013" i="1"/>
  <c r="L1013" i="1"/>
  <c r="J1013" i="1"/>
  <c r="N1012" i="1"/>
  <c r="M1012" i="1"/>
  <c r="L1012" i="1"/>
  <c r="J1012" i="1"/>
  <c r="N1011" i="1"/>
  <c r="M1011" i="1"/>
  <c r="L1011" i="1"/>
  <c r="J1011" i="1"/>
  <c r="N1010" i="1"/>
  <c r="M1010" i="1"/>
  <c r="L1010" i="1"/>
  <c r="J1010" i="1"/>
  <c r="N1009" i="1"/>
  <c r="M1009" i="1"/>
  <c r="L1009" i="1"/>
  <c r="J1009" i="1"/>
  <c r="N1008" i="1"/>
  <c r="M1008" i="1"/>
  <c r="L1008" i="1"/>
  <c r="J1008" i="1"/>
  <c r="N1007" i="1"/>
  <c r="M1007" i="1"/>
  <c r="L1007" i="1"/>
  <c r="J1007" i="1"/>
  <c r="N1006" i="1"/>
  <c r="M1006" i="1"/>
  <c r="L1006" i="1"/>
  <c r="J1006" i="1"/>
  <c r="N1005" i="1"/>
  <c r="M1005" i="1"/>
  <c r="L1005" i="1"/>
  <c r="J1005" i="1"/>
  <c r="N1004" i="1"/>
  <c r="M1004" i="1"/>
  <c r="L1004" i="1"/>
  <c r="J1004" i="1"/>
  <c r="N1003" i="1"/>
  <c r="M1003" i="1"/>
  <c r="L1003" i="1"/>
  <c r="J1003" i="1"/>
  <c r="N1002" i="1"/>
  <c r="M1002" i="1"/>
  <c r="L1002" i="1"/>
  <c r="J1002" i="1"/>
  <c r="N1001" i="1"/>
  <c r="M1001" i="1"/>
  <c r="L1001" i="1"/>
  <c r="J1001" i="1"/>
  <c r="N1000" i="1"/>
  <c r="M1000" i="1"/>
  <c r="L1000" i="1"/>
  <c r="J1000" i="1"/>
  <c r="N999" i="1"/>
  <c r="M999" i="1"/>
  <c r="L999" i="1"/>
  <c r="J999" i="1"/>
  <c r="N998" i="1"/>
  <c r="M998" i="1"/>
  <c r="L998" i="1"/>
  <c r="J998" i="1"/>
  <c r="N997" i="1"/>
  <c r="M997" i="1"/>
  <c r="L997" i="1"/>
  <c r="J997" i="1"/>
  <c r="N996" i="1"/>
  <c r="M996" i="1"/>
  <c r="L996" i="1"/>
  <c r="J996" i="1"/>
  <c r="N995" i="1"/>
  <c r="M995" i="1"/>
  <c r="L995" i="1"/>
  <c r="J995" i="1"/>
  <c r="N994" i="1"/>
  <c r="M994" i="1"/>
  <c r="L994" i="1"/>
  <c r="J994" i="1"/>
  <c r="N993" i="1"/>
  <c r="M993" i="1"/>
  <c r="L993" i="1"/>
  <c r="J993" i="1"/>
  <c r="N992" i="1"/>
  <c r="M992" i="1"/>
  <c r="L992" i="1"/>
  <c r="J992" i="1"/>
  <c r="N991" i="1"/>
  <c r="M991" i="1"/>
  <c r="L991" i="1"/>
  <c r="J991" i="1"/>
  <c r="N990" i="1"/>
  <c r="M990" i="1"/>
  <c r="L990" i="1"/>
  <c r="J990" i="1"/>
  <c r="N989" i="1"/>
  <c r="M989" i="1"/>
  <c r="L989" i="1"/>
  <c r="J989" i="1"/>
  <c r="N988" i="1"/>
  <c r="M988" i="1"/>
  <c r="L988" i="1"/>
  <c r="J988" i="1"/>
  <c r="N987" i="1"/>
  <c r="M987" i="1"/>
  <c r="L987" i="1"/>
  <c r="J987" i="1"/>
  <c r="N986" i="1"/>
  <c r="M986" i="1"/>
  <c r="L986" i="1"/>
  <c r="J986" i="1"/>
  <c r="N985" i="1"/>
  <c r="M985" i="1"/>
  <c r="L985" i="1"/>
  <c r="J985" i="1"/>
  <c r="N984" i="1"/>
  <c r="M984" i="1"/>
  <c r="L984" i="1"/>
  <c r="J984" i="1"/>
  <c r="N983" i="1"/>
  <c r="M983" i="1"/>
  <c r="L983" i="1"/>
  <c r="J983" i="1"/>
  <c r="N982" i="1"/>
  <c r="M982" i="1"/>
  <c r="L982" i="1"/>
  <c r="J982" i="1"/>
  <c r="N981" i="1"/>
  <c r="M981" i="1"/>
  <c r="L981" i="1"/>
  <c r="J981" i="1"/>
  <c r="N980" i="1"/>
  <c r="M980" i="1"/>
  <c r="L980" i="1"/>
  <c r="J980" i="1"/>
  <c r="N979" i="1"/>
  <c r="M979" i="1"/>
  <c r="L979" i="1"/>
  <c r="J979" i="1"/>
  <c r="N978" i="1"/>
  <c r="M978" i="1"/>
  <c r="L978" i="1"/>
  <c r="J978" i="1"/>
  <c r="N977" i="1"/>
  <c r="M977" i="1"/>
  <c r="L977" i="1"/>
  <c r="J977" i="1"/>
  <c r="N976" i="1"/>
  <c r="M976" i="1"/>
  <c r="L976" i="1"/>
  <c r="J976" i="1"/>
  <c r="N975" i="1"/>
  <c r="M975" i="1"/>
  <c r="L975" i="1"/>
  <c r="J975" i="1"/>
  <c r="N974" i="1"/>
  <c r="M974" i="1"/>
  <c r="L974" i="1"/>
  <c r="J974" i="1"/>
  <c r="N973" i="1"/>
  <c r="M973" i="1"/>
  <c r="L973" i="1"/>
  <c r="J973" i="1"/>
  <c r="N972" i="1"/>
  <c r="M972" i="1"/>
  <c r="L972" i="1"/>
  <c r="J972" i="1"/>
  <c r="N971" i="1"/>
  <c r="M971" i="1"/>
  <c r="L971" i="1"/>
  <c r="J971" i="1"/>
  <c r="N970" i="1"/>
  <c r="M970" i="1"/>
  <c r="L970" i="1"/>
  <c r="J970" i="1"/>
  <c r="N969" i="1"/>
  <c r="M969" i="1"/>
  <c r="L969" i="1"/>
  <c r="J969" i="1"/>
  <c r="N968" i="1"/>
  <c r="M968" i="1"/>
  <c r="L968" i="1"/>
  <c r="J968" i="1"/>
  <c r="N967" i="1"/>
  <c r="M967" i="1"/>
  <c r="L967" i="1"/>
  <c r="J967" i="1"/>
  <c r="N966" i="1"/>
  <c r="M966" i="1"/>
  <c r="L966" i="1"/>
  <c r="J966" i="1"/>
  <c r="N965" i="1"/>
  <c r="M965" i="1"/>
  <c r="L965" i="1"/>
  <c r="J965" i="1"/>
  <c r="N964" i="1"/>
  <c r="M964" i="1"/>
  <c r="L964" i="1"/>
  <c r="J964" i="1"/>
  <c r="N963" i="1"/>
  <c r="M963" i="1"/>
  <c r="L963" i="1"/>
  <c r="J963" i="1"/>
  <c r="N962" i="1"/>
  <c r="M962" i="1"/>
  <c r="L962" i="1"/>
  <c r="J962" i="1"/>
  <c r="N961" i="1"/>
  <c r="M961" i="1"/>
  <c r="L961" i="1"/>
  <c r="J961" i="1"/>
  <c r="N960" i="1"/>
  <c r="M960" i="1"/>
  <c r="L960" i="1"/>
  <c r="J960" i="1"/>
  <c r="N959" i="1"/>
  <c r="M959" i="1"/>
  <c r="L959" i="1"/>
  <c r="J959" i="1"/>
  <c r="N958" i="1"/>
  <c r="M958" i="1"/>
  <c r="L958" i="1"/>
  <c r="J958" i="1"/>
  <c r="N957" i="1"/>
  <c r="M957" i="1"/>
  <c r="L957" i="1"/>
  <c r="J957" i="1"/>
  <c r="N956" i="1"/>
  <c r="M956" i="1"/>
  <c r="L956" i="1"/>
  <c r="J956" i="1"/>
  <c r="N955" i="1"/>
  <c r="M955" i="1"/>
  <c r="L955" i="1"/>
  <c r="J955" i="1"/>
  <c r="N954" i="1"/>
  <c r="M954" i="1"/>
  <c r="L954" i="1"/>
  <c r="J954" i="1"/>
  <c r="N953" i="1"/>
  <c r="M953" i="1"/>
  <c r="L953" i="1"/>
  <c r="J953" i="1"/>
  <c r="N952" i="1"/>
  <c r="M952" i="1"/>
  <c r="L952" i="1"/>
  <c r="J952" i="1"/>
  <c r="N951" i="1"/>
  <c r="M951" i="1"/>
  <c r="L951" i="1"/>
  <c r="J951" i="1"/>
  <c r="N950" i="1"/>
  <c r="M950" i="1"/>
  <c r="L950" i="1"/>
  <c r="J950" i="1"/>
  <c r="N949" i="1"/>
  <c r="M949" i="1"/>
  <c r="L949" i="1"/>
  <c r="J949" i="1"/>
  <c r="N948" i="1"/>
  <c r="M948" i="1"/>
  <c r="L948" i="1"/>
  <c r="J948" i="1"/>
  <c r="N947" i="1"/>
  <c r="M947" i="1"/>
  <c r="L947" i="1"/>
  <c r="J947" i="1"/>
  <c r="N946" i="1"/>
  <c r="M946" i="1"/>
  <c r="L946" i="1"/>
  <c r="J946" i="1"/>
  <c r="N945" i="1"/>
  <c r="M945" i="1"/>
  <c r="L945" i="1"/>
  <c r="J945" i="1"/>
  <c r="N944" i="1"/>
  <c r="M944" i="1"/>
  <c r="L944" i="1"/>
  <c r="J944" i="1"/>
  <c r="N943" i="1"/>
  <c r="M943" i="1"/>
  <c r="L943" i="1"/>
  <c r="J943" i="1"/>
  <c r="N942" i="1"/>
  <c r="M942" i="1"/>
  <c r="L942" i="1"/>
  <c r="J942" i="1"/>
  <c r="N941" i="1"/>
  <c r="M941" i="1"/>
  <c r="L941" i="1"/>
  <c r="J941" i="1"/>
  <c r="N940" i="1"/>
  <c r="M940" i="1"/>
  <c r="L940" i="1"/>
  <c r="J940" i="1"/>
  <c r="N939" i="1"/>
  <c r="M939" i="1"/>
  <c r="L939" i="1"/>
  <c r="J939" i="1"/>
  <c r="N938" i="1"/>
  <c r="M938" i="1"/>
  <c r="L938" i="1"/>
  <c r="J938" i="1"/>
  <c r="N937" i="1"/>
  <c r="M937" i="1"/>
  <c r="L937" i="1"/>
  <c r="J937" i="1"/>
  <c r="N936" i="1"/>
  <c r="M936" i="1"/>
  <c r="L936" i="1"/>
  <c r="J936" i="1"/>
  <c r="N935" i="1"/>
  <c r="M935" i="1"/>
  <c r="L935" i="1"/>
  <c r="J935" i="1"/>
  <c r="N934" i="1"/>
  <c r="M934" i="1"/>
  <c r="L934" i="1"/>
  <c r="J934" i="1"/>
  <c r="N933" i="1"/>
  <c r="M933" i="1"/>
  <c r="L933" i="1"/>
  <c r="J933" i="1"/>
  <c r="N932" i="1"/>
  <c r="M932" i="1"/>
  <c r="L932" i="1"/>
  <c r="J932" i="1"/>
  <c r="N931" i="1"/>
  <c r="M931" i="1"/>
  <c r="L931" i="1"/>
  <c r="J931" i="1"/>
  <c r="N930" i="1"/>
  <c r="M930" i="1"/>
  <c r="L930" i="1"/>
  <c r="J930" i="1"/>
  <c r="N929" i="1"/>
  <c r="M929" i="1"/>
  <c r="L929" i="1"/>
  <c r="J929" i="1"/>
  <c r="N928" i="1"/>
  <c r="M928" i="1"/>
  <c r="L928" i="1"/>
  <c r="J928" i="1"/>
  <c r="N927" i="1"/>
  <c r="M927" i="1"/>
  <c r="L927" i="1"/>
  <c r="J927" i="1"/>
  <c r="N926" i="1"/>
  <c r="M926" i="1"/>
  <c r="L926" i="1"/>
  <c r="J926" i="1"/>
  <c r="N925" i="1"/>
  <c r="M925" i="1"/>
  <c r="L925" i="1"/>
  <c r="J925" i="1"/>
  <c r="N924" i="1"/>
  <c r="M924" i="1"/>
  <c r="L924" i="1"/>
  <c r="J924" i="1"/>
  <c r="N923" i="1"/>
  <c r="M923" i="1"/>
  <c r="L923" i="1"/>
  <c r="J923" i="1"/>
  <c r="N922" i="1"/>
  <c r="M922" i="1"/>
  <c r="L922" i="1"/>
  <c r="J922" i="1"/>
  <c r="N921" i="1"/>
  <c r="M921" i="1"/>
  <c r="L921" i="1"/>
  <c r="J921" i="1"/>
  <c r="N920" i="1"/>
  <c r="M920" i="1"/>
  <c r="L920" i="1"/>
  <c r="J920" i="1"/>
  <c r="N919" i="1"/>
  <c r="M919" i="1"/>
  <c r="L919" i="1"/>
  <c r="J919" i="1"/>
  <c r="N918" i="1"/>
  <c r="M918" i="1"/>
  <c r="L918" i="1"/>
  <c r="J918" i="1"/>
  <c r="N917" i="1"/>
  <c r="M917" i="1"/>
  <c r="L917" i="1"/>
  <c r="J917" i="1"/>
  <c r="N916" i="1"/>
  <c r="M916" i="1"/>
  <c r="L916" i="1"/>
  <c r="J916" i="1"/>
  <c r="N915" i="1"/>
  <c r="M915" i="1"/>
  <c r="L915" i="1"/>
  <c r="J915" i="1"/>
  <c r="N914" i="1"/>
  <c r="M914" i="1"/>
  <c r="L914" i="1"/>
  <c r="J914" i="1"/>
  <c r="N913" i="1"/>
  <c r="M913" i="1"/>
  <c r="L913" i="1"/>
  <c r="J913" i="1"/>
  <c r="N912" i="1"/>
  <c r="M912" i="1"/>
  <c r="L912" i="1"/>
  <c r="J912" i="1"/>
  <c r="N911" i="1"/>
  <c r="M911" i="1"/>
  <c r="L911" i="1"/>
  <c r="J911" i="1"/>
  <c r="N910" i="1"/>
  <c r="M910" i="1"/>
  <c r="L910" i="1"/>
  <c r="J910" i="1"/>
  <c r="N909" i="1"/>
  <c r="M909" i="1"/>
  <c r="L909" i="1"/>
  <c r="J909" i="1"/>
  <c r="N908" i="1"/>
  <c r="M908" i="1"/>
  <c r="L908" i="1"/>
  <c r="J908" i="1"/>
  <c r="N907" i="1"/>
  <c r="M907" i="1"/>
  <c r="L907" i="1"/>
  <c r="J907" i="1"/>
  <c r="N906" i="1"/>
  <c r="M906" i="1"/>
  <c r="L906" i="1"/>
  <c r="J906" i="1"/>
  <c r="N905" i="1"/>
  <c r="M905" i="1"/>
  <c r="L905" i="1"/>
  <c r="J905" i="1"/>
  <c r="N904" i="1"/>
  <c r="M904" i="1"/>
  <c r="L904" i="1"/>
  <c r="J904" i="1"/>
  <c r="N903" i="1"/>
  <c r="M903" i="1"/>
  <c r="L903" i="1"/>
  <c r="J903" i="1"/>
  <c r="N902" i="1"/>
  <c r="M902" i="1"/>
  <c r="L902" i="1"/>
  <c r="J902" i="1"/>
  <c r="N901" i="1"/>
  <c r="M901" i="1"/>
  <c r="L901" i="1"/>
  <c r="J901" i="1"/>
  <c r="N900" i="1"/>
  <c r="M900" i="1"/>
  <c r="L900" i="1"/>
  <c r="J900" i="1"/>
  <c r="N899" i="1"/>
  <c r="M899" i="1"/>
  <c r="L899" i="1"/>
  <c r="J899" i="1"/>
  <c r="N898" i="1"/>
  <c r="M898" i="1"/>
  <c r="L898" i="1"/>
  <c r="J898" i="1"/>
  <c r="N897" i="1"/>
  <c r="M897" i="1"/>
  <c r="L897" i="1"/>
  <c r="J897" i="1"/>
  <c r="N896" i="1"/>
  <c r="M896" i="1"/>
  <c r="L896" i="1"/>
  <c r="J896" i="1"/>
  <c r="N895" i="1"/>
  <c r="M895" i="1"/>
  <c r="L895" i="1"/>
  <c r="J895" i="1"/>
  <c r="N894" i="1"/>
  <c r="M894" i="1"/>
  <c r="L894" i="1"/>
  <c r="J894" i="1"/>
  <c r="N893" i="1"/>
  <c r="M893" i="1"/>
  <c r="L893" i="1"/>
  <c r="J893" i="1"/>
  <c r="N892" i="1"/>
  <c r="M892" i="1"/>
  <c r="L892" i="1"/>
  <c r="J892" i="1"/>
  <c r="N891" i="1"/>
  <c r="M891" i="1"/>
  <c r="L891" i="1"/>
  <c r="J891" i="1"/>
  <c r="N890" i="1"/>
  <c r="M890" i="1"/>
  <c r="L890" i="1"/>
  <c r="J890" i="1"/>
  <c r="N889" i="1"/>
  <c r="M889" i="1"/>
  <c r="L889" i="1"/>
  <c r="J889" i="1"/>
  <c r="N888" i="1"/>
  <c r="M888" i="1"/>
  <c r="L888" i="1"/>
  <c r="J888" i="1"/>
  <c r="N887" i="1"/>
  <c r="M887" i="1"/>
  <c r="L887" i="1"/>
  <c r="J887" i="1"/>
  <c r="N886" i="1"/>
  <c r="M886" i="1"/>
  <c r="L886" i="1"/>
  <c r="J886" i="1"/>
  <c r="N885" i="1"/>
  <c r="M885" i="1"/>
  <c r="L885" i="1"/>
  <c r="J885" i="1"/>
  <c r="N884" i="1"/>
  <c r="M884" i="1"/>
  <c r="L884" i="1"/>
  <c r="J884" i="1"/>
  <c r="N883" i="1"/>
  <c r="M883" i="1"/>
  <c r="L883" i="1"/>
  <c r="J883" i="1"/>
  <c r="N882" i="1"/>
  <c r="M882" i="1"/>
  <c r="L882" i="1"/>
  <c r="J882" i="1"/>
  <c r="N881" i="1"/>
  <c r="M881" i="1"/>
  <c r="L881" i="1"/>
  <c r="J881" i="1"/>
  <c r="N880" i="1"/>
  <c r="M880" i="1"/>
  <c r="L880" i="1"/>
  <c r="J880" i="1"/>
  <c r="N879" i="1"/>
  <c r="M879" i="1"/>
  <c r="L879" i="1"/>
  <c r="J879" i="1"/>
  <c r="N878" i="1"/>
  <c r="M878" i="1"/>
  <c r="L878" i="1"/>
  <c r="J878" i="1"/>
  <c r="N877" i="1"/>
  <c r="M877" i="1"/>
  <c r="L877" i="1"/>
  <c r="J877" i="1"/>
  <c r="N876" i="1"/>
  <c r="M876" i="1"/>
  <c r="L876" i="1"/>
  <c r="J876" i="1"/>
  <c r="N875" i="1"/>
  <c r="M875" i="1"/>
  <c r="L875" i="1"/>
  <c r="J875" i="1"/>
  <c r="N874" i="1"/>
  <c r="M874" i="1"/>
  <c r="L874" i="1"/>
  <c r="J874" i="1"/>
  <c r="N873" i="1"/>
  <c r="M873" i="1"/>
  <c r="L873" i="1"/>
  <c r="J873" i="1"/>
  <c r="N872" i="1"/>
  <c r="M872" i="1"/>
  <c r="L872" i="1"/>
  <c r="J872" i="1"/>
  <c r="N871" i="1"/>
  <c r="M871" i="1"/>
  <c r="L871" i="1"/>
  <c r="J871" i="1"/>
  <c r="N870" i="1"/>
  <c r="M870" i="1"/>
  <c r="L870" i="1"/>
  <c r="J870" i="1"/>
  <c r="N869" i="1"/>
  <c r="M869" i="1"/>
  <c r="L869" i="1"/>
  <c r="J869" i="1"/>
  <c r="N868" i="1"/>
  <c r="M868" i="1"/>
  <c r="L868" i="1"/>
  <c r="J868" i="1"/>
  <c r="N867" i="1"/>
  <c r="M867" i="1"/>
  <c r="L867" i="1"/>
  <c r="J867" i="1"/>
  <c r="N866" i="1"/>
  <c r="M866" i="1"/>
  <c r="L866" i="1"/>
  <c r="J866" i="1"/>
  <c r="N865" i="1"/>
  <c r="M865" i="1"/>
  <c r="L865" i="1"/>
  <c r="J865" i="1"/>
  <c r="N864" i="1"/>
  <c r="M864" i="1"/>
  <c r="L864" i="1"/>
  <c r="J864" i="1"/>
  <c r="N863" i="1"/>
  <c r="M863" i="1"/>
  <c r="L863" i="1"/>
  <c r="J863" i="1"/>
  <c r="N862" i="1"/>
  <c r="M862" i="1"/>
  <c r="L862" i="1"/>
  <c r="J862" i="1"/>
  <c r="N861" i="1"/>
  <c r="M861" i="1"/>
  <c r="L861" i="1"/>
  <c r="J861" i="1"/>
  <c r="N860" i="1"/>
  <c r="M860" i="1"/>
  <c r="L860" i="1"/>
  <c r="J860" i="1"/>
  <c r="N859" i="1"/>
  <c r="M859" i="1"/>
  <c r="L859" i="1"/>
  <c r="J859" i="1"/>
  <c r="N858" i="1"/>
  <c r="M858" i="1"/>
  <c r="L858" i="1"/>
  <c r="J858" i="1"/>
  <c r="N857" i="1"/>
  <c r="M857" i="1"/>
  <c r="L857" i="1"/>
  <c r="J857" i="1"/>
  <c r="N856" i="1"/>
  <c r="M856" i="1"/>
  <c r="L856" i="1"/>
  <c r="J856" i="1"/>
  <c r="N855" i="1"/>
  <c r="M855" i="1"/>
  <c r="L855" i="1"/>
  <c r="J855" i="1"/>
  <c r="N854" i="1"/>
  <c r="M854" i="1"/>
  <c r="L854" i="1"/>
  <c r="J854" i="1"/>
  <c r="N853" i="1"/>
  <c r="M853" i="1"/>
  <c r="L853" i="1"/>
  <c r="J853" i="1"/>
  <c r="N852" i="1"/>
  <c r="M852" i="1"/>
  <c r="L852" i="1"/>
  <c r="J852" i="1"/>
  <c r="N851" i="1"/>
  <c r="M851" i="1"/>
  <c r="L851" i="1"/>
  <c r="J851" i="1"/>
  <c r="N850" i="1"/>
  <c r="M850" i="1"/>
  <c r="L850" i="1"/>
  <c r="J850" i="1"/>
  <c r="N849" i="1"/>
  <c r="M849" i="1"/>
  <c r="L849" i="1"/>
  <c r="J849" i="1"/>
  <c r="N848" i="1"/>
  <c r="M848" i="1"/>
  <c r="L848" i="1"/>
  <c r="J848" i="1"/>
  <c r="N847" i="1"/>
  <c r="M847" i="1"/>
  <c r="L847" i="1"/>
  <c r="J847" i="1"/>
  <c r="N846" i="1"/>
  <c r="M846" i="1"/>
  <c r="L846" i="1"/>
  <c r="J846" i="1"/>
  <c r="N845" i="1"/>
  <c r="M845" i="1"/>
  <c r="L845" i="1"/>
  <c r="J845" i="1"/>
  <c r="N844" i="1"/>
  <c r="M844" i="1"/>
  <c r="L844" i="1"/>
  <c r="J844" i="1"/>
  <c r="N843" i="1"/>
  <c r="M843" i="1"/>
  <c r="L843" i="1"/>
  <c r="J843" i="1"/>
  <c r="N842" i="1"/>
  <c r="M842" i="1"/>
  <c r="L842" i="1"/>
  <c r="J842" i="1"/>
  <c r="N841" i="1"/>
  <c r="M841" i="1"/>
  <c r="L841" i="1"/>
  <c r="J841" i="1"/>
  <c r="N840" i="1"/>
  <c r="M840" i="1"/>
  <c r="L840" i="1"/>
  <c r="J840" i="1"/>
  <c r="N839" i="1"/>
  <c r="M839" i="1"/>
  <c r="L839" i="1"/>
  <c r="J839" i="1"/>
  <c r="N838" i="1"/>
  <c r="M838" i="1"/>
  <c r="L838" i="1"/>
  <c r="J838" i="1"/>
  <c r="N837" i="1"/>
  <c r="M837" i="1"/>
  <c r="L837" i="1"/>
  <c r="J837" i="1"/>
  <c r="N836" i="1"/>
  <c r="M836" i="1"/>
  <c r="L836" i="1"/>
  <c r="J836" i="1"/>
  <c r="N835" i="1"/>
  <c r="M835" i="1"/>
  <c r="L835" i="1"/>
  <c r="J835" i="1"/>
  <c r="N834" i="1"/>
  <c r="M834" i="1"/>
  <c r="L834" i="1"/>
  <c r="J834" i="1"/>
  <c r="N833" i="1"/>
  <c r="M833" i="1"/>
  <c r="L833" i="1"/>
  <c r="J833" i="1"/>
  <c r="N832" i="1"/>
  <c r="M832" i="1"/>
  <c r="L832" i="1"/>
  <c r="J832" i="1"/>
  <c r="N831" i="1"/>
  <c r="M831" i="1"/>
  <c r="L831" i="1"/>
  <c r="J831" i="1"/>
  <c r="N830" i="1"/>
  <c r="M830" i="1"/>
  <c r="L830" i="1"/>
  <c r="J830" i="1"/>
  <c r="N829" i="1"/>
  <c r="M829" i="1"/>
  <c r="L829" i="1"/>
  <c r="J829" i="1"/>
  <c r="N828" i="1"/>
  <c r="M828" i="1"/>
  <c r="L828" i="1"/>
  <c r="J828" i="1"/>
  <c r="N827" i="1"/>
  <c r="M827" i="1"/>
  <c r="L827" i="1"/>
  <c r="J827" i="1"/>
  <c r="N826" i="1"/>
  <c r="M826" i="1"/>
  <c r="L826" i="1"/>
  <c r="J826" i="1"/>
  <c r="N825" i="1"/>
  <c r="M825" i="1"/>
  <c r="L825" i="1"/>
  <c r="J825" i="1"/>
  <c r="N824" i="1"/>
  <c r="M824" i="1"/>
  <c r="L824" i="1"/>
  <c r="J824" i="1"/>
  <c r="N823" i="1"/>
  <c r="M823" i="1"/>
  <c r="L823" i="1"/>
  <c r="J823" i="1"/>
  <c r="N822" i="1"/>
  <c r="M822" i="1"/>
  <c r="L822" i="1"/>
  <c r="J822" i="1"/>
  <c r="N821" i="1"/>
  <c r="M821" i="1"/>
  <c r="L821" i="1"/>
  <c r="J821" i="1"/>
  <c r="N820" i="1"/>
  <c r="M820" i="1"/>
  <c r="L820" i="1"/>
  <c r="J820" i="1"/>
  <c r="N819" i="1"/>
  <c r="M819" i="1"/>
  <c r="L819" i="1"/>
  <c r="J819" i="1"/>
  <c r="N818" i="1"/>
  <c r="M818" i="1"/>
  <c r="L818" i="1"/>
  <c r="J818" i="1"/>
  <c r="N817" i="1"/>
  <c r="M817" i="1"/>
  <c r="L817" i="1"/>
  <c r="J817" i="1"/>
  <c r="N816" i="1"/>
  <c r="M816" i="1"/>
  <c r="L816" i="1"/>
  <c r="J816" i="1"/>
  <c r="N815" i="1"/>
  <c r="M815" i="1"/>
  <c r="L815" i="1"/>
  <c r="J815" i="1"/>
  <c r="N814" i="1"/>
  <c r="M814" i="1"/>
  <c r="L814" i="1"/>
  <c r="J814" i="1"/>
  <c r="N813" i="1"/>
  <c r="M813" i="1"/>
  <c r="L813" i="1"/>
  <c r="J813" i="1"/>
  <c r="N812" i="1"/>
  <c r="M812" i="1"/>
  <c r="L812" i="1"/>
  <c r="J812" i="1"/>
  <c r="N811" i="1"/>
  <c r="M811" i="1"/>
  <c r="L811" i="1"/>
  <c r="J811" i="1"/>
  <c r="N810" i="1"/>
  <c r="M810" i="1"/>
  <c r="L810" i="1"/>
  <c r="J810" i="1"/>
  <c r="N809" i="1"/>
  <c r="M809" i="1"/>
  <c r="L809" i="1"/>
  <c r="J809" i="1"/>
  <c r="N808" i="1"/>
  <c r="M808" i="1"/>
  <c r="L808" i="1"/>
  <c r="J808" i="1"/>
  <c r="N807" i="1"/>
  <c r="M807" i="1"/>
  <c r="L807" i="1"/>
  <c r="J807" i="1"/>
  <c r="N806" i="1"/>
  <c r="M806" i="1"/>
  <c r="L806" i="1"/>
  <c r="J806" i="1"/>
  <c r="N805" i="1"/>
  <c r="M805" i="1"/>
  <c r="L805" i="1"/>
  <c r="J805" i="1"/>
  <c r="N804" i="1"/>
  <c r="M804" i="1"/>
  <c r="L804" i="1"/>
  <c r="J804" i="1"/>
  <c r="N803" i="1"/>
  <c r="M803" i="1"/>
  <c r="L803" i="1"/>
  <c r="J803" i="1"/>
  <c r="N802" i="1"/>
  <c r="M802" i="1"/>
  <c r="L802" i="1"/>
  <c r="J802" i="1"/>
  <c r="N801" i="1"/>
  <c r="M801" i="1"/>
  <c r="L801" i="1"/>
  <c r="J801" i="1"/>
  <c r="N800" i="1"/>
  <c r="M800" i="1"/>
  <c r="L800" i="1"/>
  <c r="J800" i="1"/>
  <c r="N799" i="1"/>
  <c r="M799" i="1"/>
  <c r="L799" i="1"/>
  <c r="J799" i="1"/>
  <c r="N798" i="1"/>
  <c r="M798" i="1"/>
  <c r="L798" i="1"/>
  <c r="J798" i="1"/>
  <c r="N797" i="1"/>
  <c r="M797" i="1"/>
  <c r="L797" i="1"/>
  <c r="J797" i="1"/>
  <c r="N796" i="1"/>
  <c r="M796" i="1"/>
  <c r="L796" i="1"/>
  <c r="J796" i="1"/>
  <c r="N795" i="1"/>
  <c r="M795" i="1"/>
  <c r="L795" i="1"/>
  <c r="J795" i="1"/>
  <c r="N794" i="1"/>
  <c r="M794" i="1"/>
  <c r="L794" i="1"/>
  <c r="J794" i="1"/>
  <c r="N793" i="1"/>
  <c r="M793" i="1"/>
  <c r="L793" i="1"/>
  <c r="J793" i="1"/>
  <c r="N792" i="1"/>
  <c r="M792" i="1"/>
  <c r="L792" i="1"/>
  <c r="J792" i="1"/>
  <c r="N791" i="1"/>
  <c r="M791" i="1"/>
  <c r="L791" i="1"/>
  <c r="J791" i="1"/>
  <c r="N790" i="1"/>
  <c r="M790" i="1"/>
  <c r="L790" i="1"/>
  <c r="J790" i="1"/>
  <c r="N789" i="1"/>
  <c r="M789" i="1"/>
  <c r="L789" i="1"/>
  <c r="J789" i="1"/>
  <c r="N788" i="1"/>
  <c r="M788" i="1"/>
  <c r="L788" i="1"/>
  <c r="J788" i="1"/>
  <c r="N787" i="1"/>
  <c r="M787" i="1"/>
  <c r="L787" i="1"/>
  <c r="J787" i="1"/>
  <c r="N786" i="1"/>
  <c r="M786" i="1"/>
  <c r="L786" i="1"/>
  <c r="J786" i="1"/>
  <c r="N785" i="1"/>
  <c r="M785" i="1"/>
  <c r="L785" i="1"/>
  <c r="J785" i="1"/>
  <c r="N784" i="1"/>
  <c r="M784" i="1"/>
  <c r="L784" i="1"/>
  <c r="J784" i="1"/>
  <c r="N783" i="1"/>
  <c r="M783" i="1"/>
  <c r="L783" i="1"/>
  <c r="J783" i="1"/>
  <c r="N782" i="1"/>
  <c r="M782" i="1"/>
  <c r="L782" i="1"/>
  <c r="J782" i="1"/>
  <c r="N781" i="1"/>
  <c r="M781" i="1"/>
  <c r="L781" i="1"/>
  <c r="J781" i="1"/>
  <c r="N780" i="1"/>
  <c r="M780" i="1"/>
  <c r="L780" i="1"/>
  <c r="J780" i="1"/>
  <c r="N779" i="1"/>
  <c r="M779" i="1"/>
  <c r="L779" i="1"/>
  <c r="J779" i="1"/>
  <c r="N778" i="1"/>
  <c r="M778" i="1"/>
  <c r="L778" i="1"/>
  <c r="J778" i="1"/>
  <c r="N777" i="1"/>
  <c r="M777" i="1"/>
  <c r="L777" i="1"/>
  <c r="J777" i="1"/>
  <c r="N776" i="1"/>
  <c r="M776" i="1"/>
  <c r="L776" i="1"/>
  <c r="J776" i="1"/>
  <c r="N775" i="1"/>
  <c r="M775" i="1"/>
  <c r="L775" i="1"/>
  <c r="J775" i="1"/>
  <c r="N774" i="1"/>
  <c r="M774" i="1"/>
  <c r="L774" i="1"/>
  <c r="J774" i="1"/>
  <c r="N773" i="1"/>
  <c r="M773" i="1"/>
  <c r="L773" i="1"/>
  <c r="J773" i="1"/>
  <c r="N772" i="1"/>
  <c r="M772" i="1"/>
  <c r="L772" i="1"/>
  <c r="J772" i="1"/>
  <c r="N771" i="1"/>
  <c r="M771" i="1"/>
  <c r="L771" i="1"/>
  <c r="J771" i="1"/>
  <c r="N770" i="1"/>
  <c r="M770" i="1"/>
  <c r="L770" i="1"/>
  <c r="J770" i="1"/>
  <c r="N769" i="1"/>
  <c r="M769" i="1"/>
  <c r="L769" i="1"/>
  <c r="J769" i="1"/>
  <c r="N768" i="1"/>
  <c r="M768" i="1"/>
  <c r="L768" i="1"/>
  <c r="J768" i="1"/>
  <c r="N767" i="1"/>
  <c r="M767" i="1"/>
  <c r="L767" i="1"/>
  <c r="J767" i="1"/>
  <c r="N766" i="1"/>
  <c r="M766" i="1"/>
  <c r="L766" i="1"/>
  <c r="J766" i="1"/>
  <c r="N765" i="1"/>
  <c r="M765" i="1"/>
  <c r="L765" i="1"/>
  <c r="J765" i="1"/>
  <c r="N764" i="1"/>
  <c r="M764" i="1"/>
  <c r="L764" i="1"/>
  <c r="J764" i="1"/>
  <c r="N763" i="1"/>
  <c r="M763" i="1"/>
  <c r="L763" i="1"/>
  <c r="J763" i="1"/>
  <c r="N762" i="1"/>
  <c r="M762" i="1"/>
  <c r="L762" i="1"/>
  <c r="J762" i="1"/>
  <c r="N761" i="1"/>
  <c r="M761" i="1"/>
  <c r="L761" i="1"/>
  <c r="J761" i="1"/>
  <c r="N760" i="1"/>
  <c r="M760" i="1"/>
  <c r="L760" i="1"/>
  <c r="J760" i="1"/>
  <c r="N759" i="1"/>
  <c r="M759" i="1"/>
  <c r="L759" i="1"/>
  <c r="J759" i="1"/>
  <c r="N758" i="1"/>
  <c r="M758" i="1"/>
  <c r="L758" i="1"/>
  <c r="J758" i="1"/>
  <c r="N757" i="1"/>
  <c r="M757" i="1"/>
  <c r="L757" i="1"/>
  <c r="J757" i="1"/>
  <c r="N756" i="1"/>
  <c r="M756" i="1"/>
  <c r="L756" i="1"/>
  <c r="J756" i="1"/>
  <c r="N755" i="1"/>
  <c r="M755" i="1"/>
  <c r="L755" i="1"/>
  <c r="J755" i="1"/>
  <c r="N754" i="1"/>
  <c r="M754" i="1"/>
  <c r="L754" i="1"/>
  <c r="J754" i="1"/>
  <c r="N753" i="1"/>
  <c r="M753" i="1"/>
  <c r="L753" i="1"/>
  <c r="J753" i="1"/>
  <c r="N752" i="1"/>
  <c r="M752" i="1"/>
  <c r="L752" i="1"/>
  <c r="J752" i="1"/>
  <c r="N751" i="1"/>
  <c r="M751" i="1"/>
  <c r="L751" i="1"/>
  <c r="J751" i="1"/>
  <c r="N750" i="1"/>
  <c r="M750" i="1"/>
  <c r="L750" i="1"/>
  <c r="J750" i="1"/>
  <c r="N749" i="1"/>
  <c r="M749" i="1"/>
  <c r="L749" i="1"/>
  <c r="J749" i="1"/>
  <c r="N748" i="1"/>
  <c r="M748" i="1"/>
  <c r="L748" i="1"/>
  <c r="J748" i="1"/>
  <c r="N747" i="1"/>
  <c r="M747" i="1"/>
  <c r="L747" i="1"/>
  <c r="J747" i="1"/>
  <c r="N746" i="1"/>
  <c r="M746" i="1"/>
  <c r="L746" i="1"/>
  <c r="J746" i="1"/>
  <c r="N745" i="1"/>
  <c r="M745" i="1"/>
  <c r="L745" i="1"/>
  <c r="J745" i="1"/>
  <c r="N744" i="1"/>
  <c r="M744" i="1"/>
  <c r="L744" i="1"/>
  <c r="J744" i="1"/>
  <c r="N743" i="1"/>
  <c r="M743" i="1"/>
  <c r="L743" i="1"/>
  <c r="J743" i="1"/>
  <c r="N742" i="1"/>
  <c r="M742" i="1"/>
  <c r="L742" i="1"/>
  <c r="J742" i="1"/>
  <c r="N741" i="1"/>
  <c r="M741" i="1"/>
  <c r="L741" i="1"/>
  <c r="J741" i="1"/>
  <c r="N740" i="1"/>
  <c r="M740" i="1"/>
  <c r="L740" i="1"/>
  <c r="J740" i="1"/>
  <c r="N739" i="1"/>
  <c r="M739" i="1"/>
  <c r="L739" i="1"/>
  <c r="J739" i="1"/>
  <c r="N738" i="1"/>
  <c r="M738" i="1"/>
  <c r="L738" i="1"/>
  <c r="J738" i="1"/>
  <c r="N737" i="1"/>
  <c r="M737" i="1"/>
  <c r="L737" i="1"/>
  <c r="J737" i="1"/>
  <c r="N736" i="1"/>
  <c r="M736" i="1"/>
  <c r="L736" i="1"/>
  <c r="J736" i="1"/>
  <c r="N735" i="1"/>
  <c r="M735" i="1"/>
  <c r="L735" i="1"/>
  <c r="J735" i="1"/>
  <c r="N734" i="1"/>
  <c r="M734" i="1"/>
  <c r="L734" i="1"/>
  <c r="J734" i="1"/>
  <c r="N733" i="1"/>
  <c r="M733" i="1"/>
  <c r="L733" i="1"/>
  <c r="J733" i="1"/>
  <c r="N732" i="1"/>
  <c r="M732" i="1"/>
  <c r="L732" i="1"/>
  <c r="J732" i="1"/>
  <c r="N731" i="1"/>
  <c r="M731" i="1"/>
  <c r="L731" i="1"/>
  <c r="J731" i="1"/>
  <c r="N730" i="1"/>
  <c r="M730" i="1"/>
  <c r="L730" i="1"/>
  <c r="J730" i="1"/>
  <c r="N729" i="1"/>
  <c r="M729" i="1"/>
  <c r="L729" i="1"/>
  <c r="J729" i="1"/>
  <c r="N728" i="1"/>
  <c r="M728" i="1"/>
  <c r="L728" i="1"/>
  <c r="J728" i="1"/>
  <c r="N727" i="1"/>
  <c r="M727" i="1"/>
  <c r="L727" i="1"/>
  <c r="J727" i="1"/>
  <c r="N726" i="1"/>
  <c r="M726" i="1"/>
  <c r="L726" i="1"/>
  <c r="J726" i="1"/>
  <c r="N725" i="1"/>
  <c r="M725" i="1"/>
  <c r="L725" i="1"/>
  <c r="J725" i="1"/>
  <c r="N724" i="1"/>
  <c r="M724" i="1"/>
  <c r="L724" i="1"/>
  <c r="J724" i="1"/>
  <c r="N723" i="1"/>
  <c r="M723" i="1"/>
  <c r="L723" i="1"/>
  <c r="J723" i="1"/>
  <c r="N722" i="1"/>
  <c r="M722" i="1"/>
  <c r="L722" i="1"/>
  <c r="J722" i="1"/>
  <c r="N721" i="1"/>
  <c r="M721" i="1"/>
  <c r="L721" i="1"/>
  <c r="J721" i="1"/>
  <c r="N720" i="1"/>
  <c r="M720" i="1"/>
  <c r="L720" i="1"/>
  <c r="J720" i="1"/>
  <c r="N719" i="1"/>
  <c r="M719" i="1"/>
  <c r="L719" i="1"/>
  <c r="J719" i="1"/>
  <c r="N718" i="1"/>
  <c r="M718" i="1"/>
  <c r="L718" i="1"/>
  <c r="J718" i="1"/>
  <c r="N717" i="1"/>
  <c r="M717" i="1"/>
  <c r="L717" i="1"/>
  <c r="J717" i="1"/>
  <c r="N716" i="1"/>
  <c r="M716" i="1"/>
  <c r="L716" i="1"/>
  <c r="J716" i="1"/>
  <c r="N715" i="1"/>
  <c r="M715" i="1"/>
  <c r="L715" i="1"/>
  <c r="J715" i="1"/>
  <c r="N714" i="1"/>
  <c r="M714" i="1"/>
  <c r="L714" i="1"/>
  <c r="J714" i="1"/>
  <c r="N713" i="1"/>
  <c r="M713" i="1"/>
  <c r="L713" i="1"/>
  <c r="J713" i="1"/>
  <c r="N712" i="1"/>
  <c r="M712" i="1"/>
  <c r="L712" i="1"/>
  <c r="J712" i="1"/>
  <c r="N711" i="1"/>
  <c r="M711" i="1"/>
  <c r="L711" i="1"/>
  <c r="J711" i="1"/>
  <c r="N710" i="1"/>
  <c r="M710" i="1"/>
  <c r="L710" i="1"/>
  <c r="J710" i="1"/>
  <c r="N709" i="1"/>
  <c r="M709" i="1"/>
  <c r="L709" i="1"/>
  <c r="J709" i="1"/>
  <c r="N708" i="1"/>
  <c r="M708" i="1"/>
  <c r="L708" i="1"/>
  <c r="J708" i="1"/>
  <c r="N707" i="1"/>
  <c r="M707" i="1"/>
  <c r="L707" i="1"/>
  <c r="J707" i="1"/>
  <c r="N706" i="1"/>
  <c r="M706" i="1"/>
  <c r="L706" i="1"/>
  <c r="J706" i="1"/>
  <c r="N705" i="1"/>
  <c r="M705" i="1"/>
  <c r="L705" i="1"/>
  <c r="J705" i="1"/>
  <c r="N704" i="1"/>
  <c r="M704" i="1"/>
  <c r="L704" i="1"/>
  <c r="J704" i="1"/>
  <c r="N703" i="1"/>
  <c r="M703" i="1"/>
  <c r="L703" i="1"/>
  <c r="J703" i="1"/>
  <c r="N702" i="1"/>
  <c r="M702" i="1"/>
  <c r="L702" i="1"/>
  <c r="J702" i="1"/>
  <c r="N701" i="1"/>
  <c r="M701" i="1"/>
  <c r="L701" i="1"/>
  <c r="J701" i="1"/>
  <c r="N700" i="1"/>
  <c r="M700" i="1"/>
  <c r="L700" i="1"/>
  <c r="J700" i="1"/>
  <c r="N699" i="1"/>
  <c r="M699" i="1"/>
  <c r="L699" i="1"/>
  <c r="J699" i="1"/>
  <c r="N698" i="1"/>
  <c r="M698" i="1"/>
  <c r="L698" i="1"/>
  <c r="J698" i="1"/>
  <c r="N697" i="1"/>
  <c r="M697" i="1"/>
  <c r="L697" i="1"/>
  <c r="J697" i="1"/>
  <c r="N696" i="1"/>
  <c r="M696" i="1"/>
  <c r="L696" i="1"/>
  <c r="J696" i="1"/>
  <c r="N695" i="1"/>
  <c r="M695" i="1"/>
  <c r="L695" i="1"/>
  <c r="J695" i="1"/>
  <c r="N694" i="1"/>
  <c r="M694" i="1"/>
  <c r="L694" i="1"/>
  <c r="J694" i="1"/>
  <c r="N693" i="1"/>
  <c r="M693" i="1"/>
  <c r="L693" i="1"/>
  <c r="J693" i="1"/>
  <c r="N692" i="1"/>
  <c r="M692" i="1"/>
  <c r="L692" i="1"/>
  <c r="J692" i="1"/>
  <c r="N691" i="1"/>
  <c r="M691" i="1"/>
  <c r="L691" i="1"/>
  <c r="J691" i="1"/>
  <c r="N690" i="1"/>
  <c r="M690" i="1"/>
  <c r="L690" i="1"/>
  <c r="J690" i="1"/>
  <c r="N689" i="1"/>
  <c r="M689" i="1"/>
  <c r="L689" i="1"/>
  <c r="J689" i="1"/>
  <c r="N688" i="1"/>
  <c r="M688" i="1"/>
  <c r="L688" i="1"/>
  <c r="J688" i="1"/>
  <c r="N687" i="1"/>
  <c r="M687" i="1"/>
  <c r="L687" i="1"/>
  <c r="J687" i="1"/>
  <c r="N686" i="1"/>
  <c r="M686" i="1"/>
  <c r="L686" i="1"/>
  <c r="J686" i="1"/>
  <c r="N685" i="1"/>
  <c r="M685" i="1"/>
  <c r="L685" i="1"/>
  <c r="J685" i="1"/>
  <c r="N684" i="1"/>
  <c r="M684" i="1"/>
  <c r="L684" i="1"/>
  <c r="J684" i="1"/>
  <c r="N683" i="1"/>
  <c r="M683" i="1"/>
  <c r="L683" i="1"/>
  <c r="J683" i="1"/>
  <c r="N682" i="1"/>
  <c r="M682" i="1"/>
  <c r="L682" i="1"/>
  <c r="J682" i="1"/>
  <c r="N681" i="1"/>
  <c r="M681" i="1"/>
  <c r="L681" i="1"/>
  <c r="J681" i="1"/>
  <c r="N680" i="1"/>
  <c r="M680" i="1"/>
  <c r="L680" i="1"/>
  <c r="J680" i="1"/>
  <c r="N679" i="1"/>
  <c r="M679" i="1"/>
  <c r="L679" i="1"/>
  <c r="J679" i="1"/>
  <c r="N678" i="1"/>
  <c r="M678" i="1"/>
  <c r="L678" i="1"/>
  <c r="J678" i="1"/>
  <c r="N677" i="1"/>
  <c r="M677" i="1"/>
  <c r="L677" i="1"/>
  <c r="J677" i="1"/>
  <c r="N676" i="1"/>
  <c r="M676" i="1"/>
  <c r="L676" i="1"/>
  <c r="J676" i="1"/>
  <c r="N675" i="1"/>
  <c r="M675" i="1"/>
  <c r="L675" i="1"/>
  <c r="J675" i="1"/>
  <c r="N674" i="1"/>
  <c r="M674" i="1"/>
  <c r="L674" i="1"/>
  <c r="J674" i="1"/>
  <c r="N673" i="1"/>
  <c r="M673" i="1"/>
  <c r="L673" i="1"/>
  <c r="J673" i="1"/>
  <c r="N672" i="1"/>
  <c r="M672" i="1"/>
  <c r="L672" i="1"/>
  <c r="J672" i="1"/>
  <c r="N671" i="1"/>
  <c r="M671" i="1"/>
  <c r="L671" i="1"/>
  <c r="J671" i="1"/>
  <c r="N670" i="1"/>
  <c r="M670" i="1"/>
  <c r="L670" i="1"/>
  <c r="J670" i="1"/>
  <c r="N669" i="1"/>
  <c r="M669" i="1"/>
  <c r="L669" i="1"/>
  <c r="J669" i="1"/>
  <c r="N668" i="1"/>
  <c r="M668" i="1"/>
  <c r="L668" i="1"/>
  <c r="J668" i="1"/>
  <c r="N667" i="1"/>
  <c r="M667" i="1"/>
  <c r="L667" i="1"/>
  <c r="J667" i="1"/>
  <c r="N666" i="1"/>
  <c r="M666" i="1"/>
  <c r="L666" i="1"/>
  <c r="J666" i="1"/>
  <c r="N665" i="1"/>
  <c r="M665" i="1"/>
  <c r="L665" i="1"/>
  <c r="J665" i="1"/>
  <c r="N664" i="1"/>
  <c r="M664" i="1"/>
  <c r="L664" i="1"/>
  <c r="J664" i="1"/>
  <c r="N663" i="1"/>
  <c r="M663" i="1"/>
  <c r="L663" i="1"/>
  <c r="J663" i="1"/>
  <c r="N662" i="1"/>
  <c r="M662" i="1"/>
  <c r="L662" i="1"/>
  <c r="J662" i="1"/>
  <c r="N661" i="1"/>
  <c r="M661" i="1"/>
  <c r="L661" i="1"/>
  <c r="J661" i="1"/>
  <c r="N660" i="1"/>
  <c r="M660" i="1"/>
  <c r="L660" i="1"/>
  <c r="J660" i="1"/>
  <c r="N659" i="1"/>
  <c r="M659" i="1"/>
  <c r="L659" i="1"/>
  <c r="J659" i="1"/>
  <c r="N658" i="1"/>
  <c r="M658" i="1"/>
  <c r="L658" i="1"/>
  <c r="J658" i="1"/>
  <c r="N657" i="1"/>
  <c r="M657" i="1"/>
  <c r="L657" i="1"/>
  <c r="J657" i="1"/>
  <c r="N656" i="1"/>
  <c r="M656" i="1"/>
  <c r="L656" i="1"/>
  <c r="J656" i="1"/>
  <c r="N655" i="1"/>
  <c r="M655" i="1"/>
  <c r="L655" i="1"/>
  <c r="J655" i="1"/>
  <c r="N654" i="1"/>
  <c r="M654" i="1"/>
  <c r="L654" i="1"/>
  <c r="J654" i="1"/>
  <c r="N653" i="1"/>
  <c r="M653" i="1"/>
  <c r="L653" i="1"/>
  <c r="J653" i="1"/>
  <c r="N652" i="1"/>
  <c r="M652" i="1"/>
  <c r="L652" i="1"/>
  <c r="J652" i="1"/>
  <c r="N651" i="1"/>
  <c r="M651" i="1"/>
  <c r="L651" i="1"/>
  <c r="J651" i="1"/>
  <c r="N650" i="1"/>
  <c r="M650" i="1"/>
  <c r="L650" i="1"/>
  <c r="J650" i="1"/>
  <c r="N649" i="1"/>
  <c r="M649" i="1"/>
  <c r="L649" i="1"/>
  <c r="J649" i="1"/>
  <c r="N648" i="1"/>
  <c r="M648" i="1"/>
  <c r="L648" i="1"/>
  <c r="J648" i="1"/>
  <c r="N647" i="1"/>
  <c r="M647" i="1"/>
  <c r="L647" i="1"/>
  <c r="J647" i="1"/>
  <c r="N646" i="1"/>
  <c r="M646" i="1"/>
  <c r="L646" i="1"/>
  <c r="J646" i="1"/>
  <c r="N645" i="1"/>
  <c r="M645" i="1"/>
  <c r="L645" i="1"/>
  <c r="J645" i="1"/>
  <c r="N644" i="1"/>
  <c r="M644" i="1"/>
  <c r="L644" i="1"/>
  <c r="J644" i="1"/>
  <c r="N643" i="1"/>
  <c r="M643" i="1"/>
  <c r="L643" i="1"/>
  <c r="J643" i="1"/>
  <c r="N642" i="1"/>
  <c r="M642" i="1"/>
  <c r="L642" i="1"/>
  <c r="J642" i="1"/>
  <c r="N641" i="1"/>
  <c r="M641" i="1"/>
  <c r="L641" i="1"/>
  <c r="J641" i="1"/>
  <c r="N640" i="1"/>
  <c r="M640" i="1"/>
  <c r="L640" i="1"/>
  <c r="J640" i="1"/>
  <c r="N639" i="1"/>
  <c r="M639" i="1"/>
  <c r="L639" i="1"/>
  <c r="J639" i="1"/>
  <c r="N638" i="1"/>
  <c r="M638" i="1"/>
  <c r="L638" i="1"/>
  <c r="J638" i="1"/>
  <c r="N637" i="1"/>
  <c r="M637" i="1"/>
  <c r="L637" i="1"/>
  <c r="J637" i="1"/>
  <c r="N636" i="1"/>
  <c r="M636" i="1"/>
  <c r="L636" i="1"/>
  <c r="J636" i="1"/>
  <c r="N635" i="1"/>
  <c r="M635" i="1"/>
  <c r="L635" i="1"/>
  <c r="J635" i="1"/>
  <c r="N634" i="1"/>
  <c r="M634" i="1"/>
  <c r="L634" i="1"/>
  <c r="J634" i="1"/>
  <c r="N633" i="1"/>
  <c r="M633" i="1"/>
  <c r="L633" i="1"/>
  <c r="J633" i="1"/>
  <c r="N632" i="1"/>
  <c r="M632" i="1"/>
  <c r="L632" i="1"/>
  <c r="J632" i="1"/>
  <c r="N631" i="1"/>
  <c r="M631" i="1"/>
  <c r="L631" i="1"/>
  <c r="J631" i="1"/>
  <c r="N630" i="1"/>
  <c r="M630" i="1"/>
  <c r="L630" i="1"/>
  <c r="J630" i="1"/>
  <c r="N629" i="1"/>
  <c r="M629" i="1"/>
  <c r="L629" i="1"/>
  <c r="J629" i="1"/>
  <c r="N628" i="1"/>
  <c r="M628" i="1"/>
  <c r="L628" i="1"/>
  <c r="J628" i="1"/>
  <c r="N627" i="1"/>
  <c r="M627" i="1"/>
  <c r="L627" i="1"/>
  <c r="J627" i="1"/>
  <c r="N626" i="1"/>
  <c r="M626" i="1"/>
  <c r="L626" i="1"/>
  <c r="J626" i="1"/>
  <c r="N625" i="1"/>
  <c r="M625" i="1"/>
  <c r="L625" i="1"/>
  <c r="J625" i="1"/>
  <c r="N624" i="1"/>
  <c r="M624" i="1"/>
  <c r="L624" i="1"/>
  <c r="J624" i="1"/>
  <c r="N623" i="1"/>
  <c r="M623" i="1"/>
  <c r="L623" i="1"/>
  <c r="J623" i="1"/>
  <c r="N622" i="1"/>
  <c r="M622" i="1"/>
  <c r="L622" i="1"/>
  <c r="J622" i="1"/>
  <c r="N621" i="1"/>
  <c r="M621" i="1"/>
  <c r="L621" i="1"/>
  <c r="J621" i="1"/>
  <c r="N620" i="1"/>
  <c r="M620" i="1"/>
  <c r="L620" i="1"/>
  <c r="J620" i="1"/>
  <c r="N619" i="1"/>
  <c r="M619" i="1"/>
  <c r="L619" i="1"/>
  <c r="J619" i="1"/>
  <c r="N618" i="1"/>
  <c r="M618" i="1"/>
  <c r="L618" i="1"/>
  <c r="J618" i="1"/>
  <c r="N617" i="1"/>
  <c r="M617" i="1"/>
  <c r="L617" i="1"/>
  <c r="J617" i="1"/>
  <c r="N616" i="1"/>
  <c r="M616" i="1"/>
  <c r="L616" i="1"/>
  <c r="J616" i="1"/>
  <c r="N615" i="1"/>
  <c r="M615" i="1"/>
  <c r="L615" i="1"/>
  <c r="J615" i="1"/>
  <c r="N614" i="1"/>
  <c r="M614" i="1"/>
  <c r="L614" i="1"/>
  <c r="J614" i="1"/>
  <c r="N613" i="1"/>
  <c r="M613" i="1"/>
  <c r="L613" i="1"/>
  <c r="J613" i="1"/>
  <c r="N612" i="1"/>
  <c r="M612" i="1"/>
  <c r="L612" i="1"/>
  <c r="J612" i="1"/>
  <c r="N611" i="1"/>
  <c r="M611" i="1"/>
  <c r="L611" i="1"/>
  <c r="J611" i="1"/>
  <c r="N610" i="1"/>
  <c r="M610" i="1"/>
  <c r="L610" i="1"/>
  <c r="J610" i="1"/>
  <c r="N609" i="1"/>
  <c r="M609" i="1"/>
  <c r="L609" i="1"/>
  <c r="J609" i="1"/>
  <c r="N608" i="1"/>
  <c r="M608" i="1"/>
  <c r="L608" i="1"/>
  <c r="J608" i="1"/>
  <c r="N607" i="1"/>
  <c r="M607" i="1"/>
  <c r="L607" i="1"/>
  <c r="J607" i="1"/>
  <c r="N606" i="1"/>
  <c r="M606" i="1"/>
  <c r="L606" i="1"/>
  <c r="J606" i="1"/>
  <c r="N605" i="1"/>
  <c r="M605" i="1"/>
  <c r="L605" i="1"/>
  <c r="J605" i="1"/>
  <c r="N604" i="1"/>
  <c r="M604" i="1"/>
  <c r="L604" i="1"/>
  <c r="J604" i="1"/>
  <c r="N603" i="1"/>
  <c r="M603" i="1"/>
  <c r="L603" i="1"/>
  <c r="J603" i="1"/>
  <c r="N602" i="1"/>
  <c r="M602" i="1"/>
  <c r="L602" i="1"/>
  <c r="J602" i="1"/>
  <c r="N601" i="1"/>
  <c r="M601" i="1"/>
  <c r="L601" i="1"/>
  <c r="J601" i="1"/>
  <c r="N600" i="1"/>
  <c r="M600" i="1"/>
  <c r="L600" i="1"/>
  <c r="J600" i="1"/>
  <c r="N599" i="1"/>
  <c r="M599" i="1"/>
  <c r="L599" i="1"/>
  <c r="J599" i="1"/>
  <c r="N598" i="1"/>
  <c r="M598" i="1"/>
  <c r="L598" i="1"/>
  <c r="J598" i="1"/>
  <c r="N597" i="1"/>
  <c r="M597" i="1"/>
  <c r="L597" i="1"/>
  <c r="J597" i="1"/>
  <c r="N596" i="1"/>
  <c r="M596" i="1"/>
  <c r="L596" i="1"/>
  <c r="J596" i="1"/>
  <c r="N595" i="1"/>
  <c r="M595" i="1"/>
  <c r="L595" i="1"/>
  <c r="J595" i="1"/>
  <c r="N594" i="1"/>
  <c r="M594" i="1"/>
  <c r="L594" i="1"/>
  <c r="J594" i="1"/>
  <c r="N593" i="1"/>
  <c r="M593" i="1"/>
  <c r="L593" i="1"/>
  <c r="J593" i="1"/>
  <c r="N592" i="1"/>
  <c r="M592" i="1"/>
  <c r="L592" i="1"/>
  <c r="J592" i="1"/>
  <c r="N591" i="1"/>
  <c r="M591" i="1"/>
  <c r="L591" i="1"/>
  <c r="J591" i="1"/>
  <c r="N590" i="1"/>
  <c r="M590" i="1"/>
  <c r="L590" i="1"/>
  <c r="J590" i="1"/>
  <c r="N589" i="1"/>
  <c r="M589" i="1"/>
  <c r="L589" i="1"/>
  <c r="J589" i="1"/>
  <c r="N588" i="1"/>
  <c r="M588" i="1"/>
  <c r="L588" i="1"/>
  <c r="J588" i="1"/>
  <c r="N587" i="1"/>
  <c r="M587" i="1"/>
  <c r="L587" i="1"/>
  <c r="J587" i="1"/>
  <c r="N586" i="1"/>
  <c r="M586" i="1"/>
  <c r="L586" i="1"/>
  <c r="J586" i="1"/>
  <c r="N585" i="1"/>
  <c r="M585" i="1"/>
  <c r="L585" i="1"/>
  <c r="J585" i="1"/>
  <c r="N584" i="1"/>
  <c r="M584" i="1"/>
  <c r="L584" i="1"/>
  <c r="J584" i="1"/>
  <c r="N583" i="1"/>
  <c r="M583" i="1"/>
  <c r="L583" i="1"/>
  <c r="J583" i="1"/>
  <c r="N582" i="1"/>
  <c r="M582" i="1"/>
  <c r="L582" i="1"/>
  <c r="J582" i="1"/>
  <c r="N581" i="1"/>
  <c r="M581" i="1"/>
  <c r="L581" i="1"/>
  <c r="J581" i="1"/>
  <c r="N580" i="1"/>
  <c r="M580" i="1"/>
  <c r="L580" i="1"/>
  <c r="J580" i="1"/>
  <c r="N579" i="1"/>
  <c r="M579" i="1"/>
  <c r="L579" i="1"/>
  <c r="J579" i="1"/>
  <c r="N578" i="1"/>
  <c r="M578" i="1"/>
  <c r="L578" i="1"/>
  <c r="J578" i="1"/>
  <c r="N577" i="1"/>
  <c r="M577" i="1"/>
  <c r="L577" i="1"/>
  <c r="J577" i="1"/>
  <c r="N576" i="1"/>
  <c r="M576" i="1"/>
  <c r="L576" i="1"/>
  <c r="J576" i="1"/>
  <c r="N575" i="1"/>
  <c r="M575" i="1"/>
  <c r="L575" i="1"/>
  <c r="J575" i="1"/>
  <c r="N574" i="1"/>
  <c r="M574" i="1"/>
  <c r="L574" i="1"/>
  <c r="J574" i="1"/>
  <c r="N573" i="1"/>
  <c r="M573" i="1"/>
  <c r="L573" i="1"/>
  <c r="J573" i="1"/>
  <c r="N572" i="1"/>
  <c r="M572" i="1"/>
  <c r="L572" i="1"/>
  <c r="J572" i="1"/>
  <c r="N571" i="1"/>
  <c r="M571" i="1"/>
  <c r="L571" i="1"/>
  <c r="J571" i="1"/>
  <c r="N570" i="1"/>
  <c r="M570" i="1"/>
  <c r="L570" i="1"/>
  <c r="J570" i="1"/>
  <c r="N569" i="1"/>
  <c r="M569" i="1"/>
  <c r="L569" i="1"/>
  <c r="J569" i="1"/>
  <c r="N568" i="1"/>
  <c r="M568" i="1"/>
  <c r="L568" i="1"/>
  <c r="J568" i="1"/>
  <c r="N567" i="1"/>
  <c r="M567" i="1"/>
  <c r="L567" i="1"/>
  <c r="J567" i="1"/>
  <c r="N566" i="1"/>
  <c r="M566" i="1"/>
  <c r="L566" i="1"/>
  <c r="J566" i="1"/>
  <c r="N565" i="1"/>
  <c r="M565" i="1"/>
  <c r="L565" i="1"/>
  <c r="J565" i="1"/>
  <c r="N564" i="1"/>
  <c r="M564" i="1"/>
  <c r="L564" i="1"/>
  <c r="J564" i="1"/>
  <c r="N563" i="1"/>
  <c r="M563" i="1"/>
  <c r="L563" i="1"/>
  <c r="J563" i="1"/>
  <c r="N562" i="1"/>
  <c r="M562" i="1"/>
  <c r="L562" i="1"/>
  <c r="J562" i="1"/>
  <c r="N561" i="1"/>
  <c r="M561" i="1"/>
  <c r="L561" i="1"/>
  <c r="J561" i="1"/>
  <c r="N560" i="1"/>
  <c r="M560" i="1"/>
  <c r="L560" i="1"/>
  <c r="J560" i="1"/>
  <c r="N559" i="1"/>
  <c r="M559" i="1"/>
  <c r="L559" i="1"/>
  <c r="J559" i="1"/>
  <c r="N558" i="1"/>
  <c r="M558" i="1"/>
  <c r="L558" i="1"/>
  <c r="J558" i="1"/>
  <c r="N557" i="1"/>
  <c r="M557" i="1"/>
  <c r="L557" i="1"/>
  <c r="J557" i="1"/>
  <c r="N556" i="1"/>
  <c r="M556" i="1"/>
  <c r="L556" i="1"/>
  <c r="J556" i="1"/>
  <c r="N555" i="1"/>
  <c r="M555" i="1"/>
  <c r="L555" i="1"/>
  <c r="J555" i="1"/>
  <c r="N554" i="1"/>
  <c r="M554" i="1"/>
  <c r="L554" i="1"/>
  <c r="J554" i="1"/>
  <c r="N553" i="1"/>
  <c r="M553" i="1"/>
  <c r="L553" i="1"/>
  <c r="J553" i="1"/>
  <c r="N552" i="1"/>
  <c r="M552" i="1"/>
  <c r="L552" i="1"/>
  <c r="J552" i="1"/>
  <c r="N551" i="1"/>
  <c r="M551" i="1"/>
  <c r="L551" i="1"/>
  <c r="J551" i="1"/>
  <c r="N550" i="1"/>
  <c r="M550" i="1"/>
  <c r="L550" i="1"/>
  <c r="J550" i="1"/>
  <c r="N549" i="1"/>
  <c r="M549" i="1"/>
  <c r="L549" i="1"/>
  <c r="J549" i="1"/>
  <c r="N548" i="1"/>
  <c r="M548" i="1"/>
  <c r="L548" i="1"/>
  <c r="J548" i="1"/>
  <c r="N547" i="1"/>
  <c r="M547" i="1"/>
  <c r="L547" i="1"/>
  <c r="J547" i="1"/>
  <c r="N546" i="1"/>
  <c r="M546" i="1"/>
  <c r="L546" i="1"/>
  <c r="J546" i="1"/>
  <c r="N545" i="1"/>
  <c r="M545" i="1"/>
  <c r="L545" i="1"/>
  <c r="J545" i="1"/>
  <c r="N544" i="1"/>
  <c r="M544" i="1"/>
  <c r="L544" i="1"/>
  <c r="J544" i="1"/>
  <c r="N543" i="1"/>
  <c r="M543" i="1"/>
  <c r="L543" i="1"/>
  <c r="J543" i="1"/>
  <c r="N542" i="1"/>
  <c r="M542" i="1"/>
  <c r="L542" i="1"/>
  <c r="J542" i="1"/>
  <c r="N541" i="1"/>
  <c r="M541" i="1"/>
  <c r="L541" i="1"/>
  <c r="J541" i="1"/>
  <c r="N540" i="1"/>
  <c r="M540" i="1"/>
  <c r="L540" i="1"/>
  <c r="J540" i="1"/>
  <c r="N539" i="1"/>
  <c r="M539" i="1"/>
  <c r="L539" i="1"/>
  <c r="J539" i="1"/>
  <c r="N538" i="1"/>
  <c r="M538" i="1"/>
  <c r="L538" i="1"/>
  <c r="J538" i="1"/>
  <c r="N537" i="1"/>
  <c r="M537" i="1"/>
  <c r="L537" i="1"/>
  <c r="J537" i="1"/>
  <c r="N536" i="1"/>
  <c r="M536" i="1"/>
  <c r="L536" i="1"/>
  <c r="J536" i="1"/>
  <c r="N535" i="1"/>
  <c r="M535" i="1"/>
  <c r="L535" i="1"/>
  <c r="J535" i="1"/>
  <c r="N534" i="1"/>
  <c r="M534" i="1"/>
  <c r="L534" i="1"/>
  <c r="J534" i="1"/>
  <c r="N533" i="1"/>
  <c r="M533" i="1"/>
  <c r="L533" i="1"/>
  <c r="J533" i="1"/>
  <c r="N532" i="1"/>
  <c r="M532" i="1"/>
  <c r="L532" i="1"/>
  <c r="J532" i="1"/>
  <c r="N531" i="1"/>
  <c r="M531" i="1"/>
  <c r="L531" i="1"/>
  <c r="J531" i="1"/>
  <c r="N530" i="1"/>
  <c r="M530" i="1"/>
  <c r="L530" i="1"/>
  <c r="J530" i="1"/>
  <c r="N529" i="1"/>
  <c r="M529" i="1"/>
  <c r="L529" i="1"/>
  <c r="J529" i="1"/>
  <c r="N528" i="1"/>
  <c r="M528" i="1"/>
  <c r="L528" i="1"/>
  <c r="J528" i="1"/>
  <c r="N527" i="1"/>
  <c r="M527" i="1"/>
  <c r="L527" i="1"/>
  <c r="J527" i="1"/>
  <c r="N526" i="1"/>
  <c r="M526" i="1"/>
  <c r="L526" i="1"/>
  <c r="J526" i="1"/>
  <c r="N525" i="1"/>
  <c r="M525" i="1"/>
  <c r="L525" i="1"/>
  <c r="J525" i="1"/>
  <c r="N524" i="1"/>
  <c r="M524" i="1"/>
  <c r="L524" i="1"/>
  <c r="J524" i="1"/>
  <c r="N523" i="1"/>
  <c r="M523" i="1"/>
  <c r="L523" i="1"/>
  <c r="J523" i="1"/>
  <c r="N522" i="1"/>
  <c r="M522" i="1"/>
  <c r="L522" i="1"/>
  <c r="J522" i="1"/>
  <c r="N521" i="1"/>
  <c r="M521" i="1"/>
  <c r="L521" i="1"/>
  <c r="J521" i="1"/>
  <c r="N520" i="1"/>
  <c r="M520" i="1"/>
  <c r="L520" i="1"/>
  <c r="J520" i="1"/>
  <c r="N519" i="1"/>
  <c r="M519" i="1"/>
  <c r="L519" i="1"/>
  <c r="J519" i="1"/>
  <c r="N518" i="1"/>
  <c r="M518" i="1"/>
  <c r="L518" i="1"/>
  <c r="J518" i="1"/>
  <c r="N517" i="1"/>
  <c r="M517" i="1"/>
  <c r="L517" i="1"/>
  <c r="J517" i="1"/>
  <c r="N516" i="1"/>
  <c r="M516" i="1"/>
  <c r="L516" i="1"/>
  <c r="J516" i="1"/>
  <c r="N515" i="1"/>
  <c r="M515" i="1"/>
  <c r="L515" i="1"/>
  <c r="J515" i="1"/>
  <c r="N514" i="1"/>
  <c r="M514" i="1"/>
  <c r="L514" i="1"/>
  <c r="J514" i="1"/>
  <c r="N513" i="1"/>
  <c r="M513" i="1"/>
  <c r="L513" i="1"/>
  <c r="J513" i="1"/>
  <c r="N512" i="1"/>
  <c r="M512" i="1"/>
  <c r="L512" i="1"/>
  <c r="J512" i="1"/>
  <c r="N511" i="1"/>
  <c r="M511" i="1"/>
  <c r="L511" i="1"/>
  <c r="J511" i="1"/>
  <c r="N510" i="1"/>
  <c r="M510" i="1"/>
  <c r="L510" i="1"/>
  <c r="J510" i="1"/>
  <c r="N509" i="1"/>
  <c r="M509" i="1"/>
  <c r="L509" i="1"/>
  <c r="J509" i="1"/>
  <c r="N508" i="1"/>
  <c r="M508" i="1"/>
  <c r="L508" i="1"/>
  <c r="J508" i="1"/>
  <c r="N507" i="1"/>
  <c r="M507" i="1"/>
  <c r="L507" i="1"/>
  <c r="J507" i="1"/>
  <c r="N506" i="1"/>
  <c r="M506" i="1"/>
  <c r="L506" i="1"/>
  <c r="J506" i="1"/>
  <c r="N505" i="1"/>
  <c r="M505" i="1"/>
  <c r="L505" i="1"/>
  <c r="J505" i="1"/>
  <c r="N504" i="1"/>
  <c r="M504" i="1"/>
  <c r="L504" i="1"/>
  <c r="J504" i="1"/>
  <c r="N503" i="1"/>
  <c r="M503" i="1"/>
  <c r="L503" i="1"/>
  <c r="J503" i="1"/>
  <c r="N502" i="1"/>
  <c r="M502" i="1"/>
  <c r="L502" i="1"/>
  <c r="J502" i="1"/>
  <c r="N501" i="1"/>
  <c r="M501" i="1"/>
  <c r="L501" i="1"/>
  <c r="J501" i="1"/>
  <c r="N500" i="1"/>
  <c r="M500" i="1"/>
  <c r="L500" i="1"/>
  <c r="J500" i="1"/>
  <c r="N499" i="1"/>
  <c r="M499" i="1"/>
  <c r="L499" i="1"/>
  <c r="J499" i="1"/>
  <c r="N498" i="1"/>
  <c r="M498" i="1"/>
  <c r="L498" i="1"/>
  <c r="J498" i="1"/>
  <c r="N497" i="1"/>
  <c r="M497" i="1"/>
  <c r="L497" i="1"/>
  <c r="J497" i="1"/>
  <c r="N496" i="1"/>
  <c r="M496" i="1"/>
  <c r="L496" i="1"/>
  <c r="J496" i="1"/>
  <c r="N495" i="1"/>
  <c r="M495" i="1"/>
  <c r="L495" i="1"/>
  <c r="J495" i="1"/>
  <c r="N494" i="1"/>
  <c r="M494" i="1"/>
  <c r="L494" i="1"/>
  <c r="J494" i="1"/>
  <c r="N493" i="1"/>
  <c r="M493" i="1"/>
  <c r="L493" i="1"/>
  <c r="J493" i="1"/>
  <c r="N492" i="1"/>
  <c r="M492" i="1"/>
  <c r="L492" i="1"/>
  <c r="J492" i="1"/>
  <c r="N491" i="1"/>
  <c r="M491" i="1"/>
  <c r="L491" i="1"/>
  <c r="J491" i="1"/>
  <c r="N490" i="1"/>
  <c r="M490" i="1"/>
  <c r="L490" i="1"/>
  <c r="J490" i="1"/>
  <c r="N489" i="1"/>
  <c r="M489" i="1"/>
  <c r="L489" i="1"/>
  <c r="J489" i="1"/>
  <c r="N488" i="1"/>
  <c r="M488" i="1"/>
  <c r="L488" i="1"/>
  <c r="J488" i="1"/>
  <c r="N487" i="1"/>
  <c r="M487" i="1"/>
  <c r="L487" i="1"/>
  <c r="J487" i="1"/>
  <c r="N486" i="1"/>
  <c r="M486" i="1"/>
  <c r="L486" i="1"/>
  <c r="J486" i="1"/>
  <c r="N485" i="1"/>
  <c r="M485" i="1"/>
  <c r="L485" i="1"/>
  <c r="J485" i="1"/>
  <c r="N484" i="1"/>
  <c r="M484" i="1"/>
  <c r="L484" i="1"/>
  <c r="J484" i="1"/>
  <c r="N483" i="1"/>
  <c r="M483" i="1"/>
  <c r="L483" i="1"/>
  <c r="J483" i="1"/>
  <c r="N482" i="1"/>
  <c r="M482" i="1"/>
  <c r="L482" i="1"/>
  <c r="J482" i="1"/>
  <c r="N481" i="1"/>
  <c r="M481" i="1"/>
  <c r="L481" i="1"/>
  <c r="J481" i="1"/>
  <c r="N480" i="1"/>
  <c r="M480" i="1"/>
  <c r="L480" i="1"/>
  <c r="J480" i="1"/>
  <c r="N479" i="1"/>
  <c r="M479" i="1"/>
  <c r="L479" i="1"/>
  <c r="J479" i="1"/>
  <c r="N478" i="1"/>
  <c r="M478" i="1"/>
  <c r="L478" i="1"/>
  <c r="J478" i="1"/>
  <c r="N477" i="1"/>
  <c r="M477" i="1"/>
  <c r="L477" i="1"/>
  <c r="J477" i="1"/>
  <c r="N476" i="1"/>
  <c r="M476" i="1"/>
  <c r="L476" i="1"/>
  <c r="J476" i="1"/>
  <c r="N475" i="1"/>
  <c r="M475" i="1"/>
  <c r="L475" i="1"/>
  <c r="J475" i="1"/>
  <c r="N474" i="1"/>
  <c r="M474" i="1"/>
  <c r="L474" i="1"/>
  <c r="J474" i="1"/>
  <c r="N473" i="1"/>
  <c r="M473" i="1"/>
  <c r="L473" i="1"/>
  <c r="J473" i="1"/>
  <c r="N472" i="1"/>
  <c r="M472" i="1"/>
  <c r="L472" i="1"/>
  <c r="J472" i="1"/>
  <c r="N471" i="1"/>
  <c r="M471" i="1"/>
  <c r="L471" i="1"/>
  <c r="J471" i="1"/>
  <c r="N470" i="1"/>
  <c r="M470" i="1"/>
  <c r="L470" i="1"/>
  <c r="J470" i="1"/>
  <c r="N469" i="1"/>
  <c r="M469" i="1"/>
  <c r="L469" i="1"/>
  <c r="J469" i="1"/>
  <c r="N468" i="1"/>
  <c r="M468" i="1"/>
  <c r="L468" i="1"/>
  <c r="J468" i="1"/>
  <c r="N467" i="1"/>
  <c r="M467" i="1"/>
  <c r="L467" i="1"/>
  <c r="J467" i="1"/>
  <c r="N466" i="1"/>
  <c r="M466" i="1"/>
  <c r="L466" i="1"/>
  <c r="J466" i="1"/>
  <c r="N465" i="1"/>
  <c r="M465" i="1"/>
  <c r="L465" i="1"/>
  <c r="J465" i="1"/>
  <c r="N464" i="1"/>
  <c r="M464" i="1"/>
  <c r="L464" i="1"/>
  <c r="J464" i="1"/>
  <c r="N463" i="1"/>
  <c r="M463" i="1"/>
  <c r="L463" i="1"/>
  <c r="J463" i="1"/>
  <c r="N462" i="1"/>
  <c r="M462" i="1"/>
  <c r="L462" i="1"/>
  <c r="J462" i="1"/>
  <c r="N461" i="1"/>
  <c r="M461" i="1"/>
  <c r="L461" i="1"/>
  <c r="J461" i="1"/>
  <c r="N460" i="1"/>
  <c r="M460" i="1"/>
  <c r="L460" i="1"/>
  <c r="J460" i="1"/>
  <c r="N459" i="1"/>
  <c r="M459" i="1"/>
  <c r="L459" i="1"/>
  <c r="J459" i="1"/>
  <c r="N458" i="1"/>
  <c r="M458" i="1"/>
  <c r="L458" i="1"/>
  <c r="J458" i="1"/>
  <c r="N457" i="1"/>
  <c r="M457" i="1"/>
  <c r="L457" i="1"/>
  <c r="J457" i="1"/>
  <c r="N456" i="1"/>
  <c r="M456" i="1"/>
  <c r="L456" i="1"/>
  <c r="J456" i="1"/>
  <c r="N455" i="1"/>
  <c r="M455" i="1"/>
  <c r="L455" i="1"/>
  <c r="J455" i="1"/>
  <c r="N454" i="1"/>
  <c r="M454" i="1"/>
  <c r="L454" i="1"/>
  <c r="J454" i="1"/>
  <c r="N453" i="1"/>
  <c r="M453" i="1"/>
  <c r="L453" i="1"/>
  <c r="J453" i="1"/>
  <c r="N452" i="1"/>
  <c r="M452" i="1"/>
  <c r="L452" i="1"/>
  <c r="J452" i="1"/>
  <c r="N451" i="1"/>
  <c r="M451" i="1"/>
  <c r="L451" i="1"/>
  <c r="J451" i="1"/>
  <c r="N450" i="1"/>
  <c r="M450" i="1"/>
  <c r="L450" i="1"/>
  <c r="J450" i="1"/>
  <c r="N449" i="1"/>
  <c r="M449" i="1"/>
  <c r="L449" i="1"/>
  <c r="J449" i="1"/>
  <c r="N448" i="1"/>
  <c r="M448" i="1"/>
  <c r="L448" i="1"/>
  <c r="J448" i="1"/>
  <c r="N447" i="1"/>
  <c r="M447" i="1"/>
  <c r="L447" i="1"/>
  <c r="J447" i="1"/>
  <c r="N446" i="1"/>
  <c r="M446" i="1"/>
  <c r="L446" i="1"/>
  <c r="J446" i="1"/>
  <c r="N445" i="1"/>
  <c r="M445" i="1"/>
  <c r="L445" i="1"/>
  <c r="J445" i="1"/>
  <c r="N444" i="1"/>
  <c r="M444" i="1"/>
  <c r="L444" i="1"/>
  <c r="J444" i="1"/>
  <c r="N443" i="1"/>
  <c r="M443" i="1"/>
  <c r="L443" i="1"/>
  <c r="J443" i="1"/>
  <c r="N442" i="1"/>
  <c r="M442" i="1"/>
  <c r="L442" i="1"/>
  <c r="J442" i="1"/>
  <c r="N441" i="1"/>
  <c r="M441" i="1"/>
  <c r="L441" i="1"/>
  <c r="J441" i="1"/>
  <c r="N440" i="1"/>
  <c r="M440" i="1"/>
  <c r="L440" i="1"/>
  <c r="J440" i="1"/>
  <c r="N439" i="1"/>
  <c r="M439" i="1"/>
  <c r="L439" i="1"/>
  <c r="J439" i="1"/>
  <c r="N438" i="1"/>
  <c r="M438" i="1"/>
  <c r="L438" i="1"/>
  <c r="J438" i="1"/>
  <c r="N437" i="1"/>
  <c r="M437" i="1"/>
  <c r="L437" i="1"/>
  <c r="J437" i="1"/>
  <c r="N436" i="1"/>
  <c r="M436" i="1"/>
  <c r="L436" i="1"/>
  <c r="J436" i="1"/>
  <c r="N435" i="1"/>
  <c r="M435" i="1"/>
  <c r="L435" i="1"/>
  <c r="J435" i="1"/>
  <c r="N434" i="1"/>
  <c r="M434" i="1"/>
  <c r="L434" i="1"/>
  <c r="J434" i="1"/>
  <c r="N433" i="1"/>
  <c r="M433" i="1"/>
  <c r="L433" i="1"/>
  <c r="J433" i="1"/>
  <c r="N432" i="1"/>
  <c r="M432" i="1"/>
  <c r="L432" i="1"/>
  <c r="J432" i="1"/>
  <c r="N431" i="1"/>
  <c r="M431" i="1"/>
  <c r="L431" i="1"/>
  <c r="J431" i="1"/>
  <c r="N430" i="1"/>
  <c r="M430" i="1"/>
  <c r="L430" i="1"/>
  <c r="J430" i="1"/>
  <c r="N429" i="1"/>
  <c r="M429" i="1"/>
  <c r="L429" i="1"/>
  <c r="J429" i="1"/>
  <c r="N428" i="1"/>
  <c r="M428" i="1"/>
  <c r="L428" i="1"/>
  <c r="J428" i="1"/>
  <c r="N427" i="1"/>
  <c r="M427" i="1"/>
  <c r="L427" i="1"/>
  <c r="J427" i="1"/>
  <c r="N426" i="1"/>
  <c r="M426" i="1"/>
  <c r="L426" i="1"/>
  <c r="J426" i="1"/>
  <c r="N425" i="1"/>
  <c r="M425" i="1"/>
  <c r="L425" i="1"/>
  <c r="J425" i="1"/>
  <c r="N424" i="1"/>
  <c r="M424" i="1"/>
  <c r="L424" i="1"/>
  <c r="J424" i="1"/>
  <c r="N423" i="1"/>
  <c r="M423" i="1"/>
  <c r="L423" i="1"/>
  <c r="J423" i="1"/>
  <c r="N422" i="1"/>
  <c r="M422" i="1"/>
  <c r="L422" i="1"/>
  <c r="J422" i="1"/>
  <c r="N421" i="1"/>
  <c r="M421" i="1"/>
  <c r="L421" i="1"/>
  <c r="J421" i="1"/>
  <c r="N420" i="1"/>
  <c r="M420" i="1"/>
  <c r="L420" i="1"/>
  <c r="J420" i="1"/>
  <c r="N419" i="1"/>
  <c r="M419" i="1"/>
  <c r="L419" i="1"/>
  <c r="J419" i="1"/>
  <c r="N418" i="1"/>
  <c r="M418" i="1"/>
  <c r="L418" i="1"/>
  <c r="J418" i="1"/>
  <c r="N417" i="1"/>
  <c r="M417" i="1"/>
  <c r="L417" i="1"/>
  <c r="J417" i="1"/>
  <c r="N416" i="1"/>
  <c r="M416" i="1"/>
  <c r="L416" i="1"/>
  <c r="J416" i="1"/>
  <c r="N415" i="1"/>
  <c r="M415" i="1"/>
  <c r="L415" i="1"/>
  <c r="J415" i="1"/>
  <c r="N414" i="1"/>
  <c r="M414" i="1"/>
  <c r="L414" i="1"/>
  <c r="J414" i="1"/>
  <c r="N413" i="1"/>
  <c r="M413" i="1"/>
  <c r="L413" i="1"/>
  <c r="J413" i="1"/>
  <c r="N412" i="1"/>
  <c r="M412" i="1"/>
  <c r="L412" i="1"/>
  <c r="J412" i="1"/>
  <c r="N411" i="1"/>
  <c r="M411" i="1"/>
  <c r="L411" i="1"/>
  <c r="J411" i="1"/>
  <c r="N410" i="1"/>
  <c r="M410" i="1"/>
  <c r="L410" i="1"/>
  <c r="J410" i="1"/>
  <c r="N409" i="1"/>
  <c r="M409" i="1"/>
  <c r="L409" i="1"/>
  <c r="J409" i="1"/>
  <c r="N408" i="1"/>
  <c r="M408" i="1"/>
  <c r="L408" i="1"/>
  <c r="J408" i="1"/>
  <c r="N407" i="1"/>
  <c r="M407" i="1"/>
  <c r="L407" i="1"/>
  <c r="J407" i="1"/>
  <c r="N406" i="1"/>
  <c r="M406" i="1"/>
  <c r="L406" i="1"/>
  <c r="J406" i="1"/>
  <c r="N405" i="1"/>
  <c r="M405" i="1"/>
  <c r="L405" i="1"/>
  <c r="J405" i="1"/>
  <c r="N404" i="1"/>
  <c r="M404" i="1"/>
  <c r="L404" i="1"/>
  <c r="J404" i="1"/>
  <c r="N403" i="1"/>
  <c r="M403" i="1"/>
  <c r="L403" i="1"/>
  <c r="J403" i="1"/>
  <c r="N402" i="1"/>
  <c r="M402" i="1"/>
  <c r="L402" i="1"/>
  <c r="J402" i="1"/>
  <c r="N401" i="1"/>
  <c r="M401" i="1"/>
  <c r="L401" i="1"/>
  <c r="J401" i="1"/>
  <c r="N400" i="1"/>
  <c r="M400" i="1"/>
  <c r="L400" i="1"/>
  <c r="J400" i="1"/>
  <c r="N399" i="1"/>
  <c r="M399" i="1"/>
  <c r="L399" i="1"/>
  <c r="J399" i="1"/>
  <c r="N398" i="1"/>
  <c r="M398" i="1"/>
  <c r="L398" i="1"/>
  <c r="J398" i="1"/>
  <c r="N397" i="1"/>
  <c r="M397" i="1"/>
  <c r="L397" i="1"/>
  <c r="J397" i="1"/>
  <c r="N396" i="1"/>
  <c r="M396" i="1"/>
  <c r="L396" i="1"/>
  <c r="J396" i="1"/>
  <c r="N395" i="1"/>
  <c r="M395" i="1"/>
  <c r="L395" i="1"/>
  <c r="J395" i="1"/>
  <c r="N394" i="1"/>
  <c r="M394" i="1"/>
  <c r="L394" i="1"/>
  <c r="J394" i="1"/>
  <c r="N393" i="1"/>
  <c r="M393" i="1"/>
  <c r="L393" i="1"/>
  <c r="J393" i="1"/>
  <c r="N392" i="1"/>
  <c r="M392" i="1"/>
  <c r="L392" i="1"/>
  <c r="J392" i="1"/>
  <c r="N391" i="1"/>
  <c r="M391" i="1"/>
  <c r="L391" i="1"/>
  <c r="J391" i="1"/>
  <c r="N390" i="1"/>
  <c r="M390" i="1"/>
  <c r="L390" i="1"/>
  <c r="J390" i="1"/>
  <c r="N389" i="1"/>
  <c r="M389" i="1"/>
  <c r="L389" i="1"/>
  <c r="J389" i="1"/>
  <c r="N388" i="1"/>
  <c r="M388" i="1"/>
  <c r="L388" i="1"/>
  <c r="J388" i="1"/>
  <c r="N387" i="1"/>
  <c r="M387" i="1"/>
  <c r="L387" i="1"/>
  <c r="J387" i="1"/>
  <c r="N386" i="1"/>
  <c r="M386" i="1"/>
  <c r="L386" i="1"/>
  <c r="J386" i="1"/>
  <c r="N385" i="1"/>
  <c r="M385" i="1"/>
  <c r="L385" i="1"/>
  <c r="J385" i="1"/>
  <c r="N384" i="1"/>
  <c r="M384" i="1"/>
  <c r="L384" i="1"/>
  <c r="J384" i="1"/>
  <c r="N383" i="1"/>
  <c r="M383" i="1"/>
  <c r="L383" i="1"/>
  <c r="J383" i="1"/>
  <c r="N382" i="1"/>
  <c r="M382" i="1"/>
  <c r="L382" i="1"/>
  <c r="J382" i="1"/>
  <c r="N381" i="1"/>
  <c r="M381" i="1"/>
  <c r="L381" i="1"/>
  <c r="J381" i="1"/>
  <c r="N380" i="1"/>
  <c r="M380" i="1"/>
  <c r="L380" i="1"/>
  <c r="J380" i="1"/>
  <c r="N379" i="1"/>
  <c r="M379" i="1"/>
  <c r="L379" i="1"/>
  <c r="J379" i="1"/>
  <c r="N378" i="1"/>
  <c r="M378" i="1"/>
  <c r="L378" i="1"/>
  <c r="J378" i="1"/>
  <c r="N377" i="1"/>
  <c r="M377" i="1"/>
  <c r="L377" i="1"/>
  <c r="J377" i="1"/>
  <c r="N376" i="1"/>
  <c r="M376" i="1"/>
  <c r="L376" i="1"/>
  <c r="J376" i="1"/>
  <c r="N375" i="1"/>
  <c r="M375" i="1"/>
  <c r="L375" i="1"/>
  <c r="J375" i="1"/>
  <c r="N374" i="1"/>
  <c r="M374" i="1"/>
  <c r="L374" i="1"/>
  <c r="J374" i="1"/>
  <c r="N373" i="1"/>
  <c r="M373" i="1"/>
  <c r="L373" i="1"/>
  <c r="J373" i="1"/>
  <c r="N372" i="1"/>
  <c r="M372" i="1"/>
  <c r="L372" i="1"/>
  <c r="J372" i="1"/>
  <c r="N371" i="1"/>
  <c r="M371" i="1"/>
  <c r="L371" i="1"/>
  <c r="J371" i="1"/>
  <c r="N370" i="1"/>
  <c r="M370" i="1"/>
  <c r="L370" i="1"/>
  <c r="J370" i="1"/>
  <c r="N369" i="1"/>
  <c r="M369" i="1"/>
  <c r="L369" i="1"/>
  <c r="J369" i="1"/>
  <c r="N368" i="1"/>
  <c r="M368" i="1"/>
  <c r="L368" i="1"/>
  <c r="J368" i="1"/>
  <c r="N367" i="1"/>
  <c r="M367" i="1"/>
  <c r="L367" i="1"/>
  <c r="J367" i="1"/>
  <c r="N366" i="1"/>
  <c r="M366" i="1"/>
  <c r="L366" i="1"/>
  <c r="J366" i="1"/>
  <c r="N365" i="1"/>
  <c r="M365" i="1"/>
  <c r="L365" i="1"/>
  <c r="J365" i="1"/>
  <c r="N364" i="1"/>
  <c r="M364" i="1"/>
  <c r="L364" i="1"/>
  <c r="J364" i="1"/>
  <c r="N363" i="1"/>
  <c r="M363" i="1"/>
  <c r="L363" i="1"/>
  <c r="J363" i="1"/>
  <c r="N362" i="1"/>
  <c r="M362" i="1"/>
  <c r="L362" i="1"/>
  <c r="J362" i="1"/>
  <c r="N361" i="1"/>
  <c r="M361" i="1"/>
  <c r="L361" i="1"/>
  <c r="J361" i="1"/>
  <c r="N360" i="1"/>
  <c r="M360" i="1"/>
  <c r="L360" i="1"/>
  <c r="J360" i="1"/>
  <c r="N359" i="1"/>
  <c r="M359" i="1"/>
  <c r="L359" i="1"/>
  <c r="J359" i="1"/>
  <c r="N358" i="1"/>
  <c r="M358" i="1"/>
  <c r="L358" i="1"/>
  <c r="J358" i="1"/>
  <c r="N357" i="1"/>
  <c r="M357" i="1"/>
  <c r="L357" i="1"/>
  <c r="J357" i="1"/>
  <c r="N356" i="1"/>
  <c r="M356" i="1"/>
  <c r="L356" i="1"/>
  <c r="J356" i="1"/>
  <c r="N355" i="1"/>
  <c r="M355" i="1"/>
  <c r="L355" i="1"/>
  <c r="J355" i="1"/>
  <c r="N354" i="1"/>
  <c r="M354" i="1"/>
  <c r="L354" i="1"/>
  <c r="J354" i="1"/>
  <c r="N353" i="1"/>
  <c r="M353" i="1"/>
  <c r="L353" i="1"/>
  <c r="J353" i="1"/>
  <c r="N352" i="1"/>
  <c r="M352" i="1"/>
  <c r="L352" i="1"/>
  <c r="J352" i="1"/>
  <c r="N351" i="1"/>
  <c r="M351" i="1"/>
  <c r="L351" i="1"/>
  <c r="J351" i="1"/>
  <c r="N350" i="1"/>
  <c r="M350" i="1"/>
  <c r="L350" i="1"/>
  <c r="J350" i="1"/>
  <c r="N349" i="1"/>
  <c r="M349" i="1"/>
  <c r="L349" i="1"/>
  <c r="J349" i="1"/>
  <c r="N348" i="1"/>
  <c r="M348" i="1"/>
  <c r="L348" i="1"/>
  <c r="J348" i="1"/>
  <c r="N347" i="1"/>
  <c r="M347" i="1"/>
  <c r="L347" i="1"/>
  <c r="J347" i="1"/>
  <c r="N346" i="1"/>
  <c r="M346" i="1"/>
  <c r="L346" i="1"/>
  <c r="J346" i="1"/>
  <c r="N345" i="1"/>
  <c r="M345" i="1"/>
  <c r="L345" i="1"/>
  <c r="J345" i="1"/>
  <c r="N344" i="1"/>
  <c r="M344" i="1"/>
  <c r="L344" i="1"/>
  <c r="J344" i="1"/>
  <c r="N343" i="1"/>
  <c r="M343" i="1"/>
  <c r="L343" i="1"/>
  <c r="J343" i="1"/>
  <c r="N342" i="1"/>
  <c r="M342" i="1"/>
  <c r="L342" i="1"/>
  <c r="J342" i="1"/>
  <c r="N341" i="1"/>
  <c r="M341" i="1"/>
  <c r="L341" i="1"/>
  <c r="J341" i="1"/>
  <c r="N340" i="1"/>
  <c r="M340" i="1"/>
  <c r="L340" i="1"/>
  <c r="J340" i="1"/>
  <c r="N339" i="1"/>
  <c r="M339" i="1"/>
  <c r="L339" i="1"/>
  <c r="J339" i="1"/>
  <c r="N338" i="1"/>
  <c r="M338" i="1"/>
  <c r="L338" i="1"/>
  <c r="J338" i="1"/>
  <c r="N337" i="1"/>
  <c r="M337" i="1"/>
  <c r="L337" i="1"/>
  <c r="J337" i="1"/>
  <c r="N336" i="1"/>
  <c r="M336" i="1"/>
  <c r="L336" i="1"/>
  <c r="J336" i="1"/>
  <c r="N335" i="1"/>
  <c r="M335" i="1"/>
  <c r="L335" i="1"/>
  <c r="J335" i="1"/>
  <c r="N334" i="1"/>
  <c r="M334" i="1"/>
  <c r="L334" i="1"/>
  <c r="J334" i="1"/>
  <c r="N333" i="1"/>
  <c r="M333" i="1"/>
  <c r="L333" i="1"/>
  <c r="J333" i="1"/>
  <c r="N332" i="1"/>
  <c r="M332" i="1"/>
  <c r="L332" i="1"/>
  <c r="J332" i="1"/>
  <c r="N331" i="1"/>
  <c r="M331" i="1"/>
  <c r="L331" i="1"/>
  <c r="J331" i="1"/>
  <c r="N330" i="1"/>
  <c r="M330" i="1"/>
  <c r="L330" i="1"/>
  <c r="J330" i="1"/>
  <c r="N329" i="1"/>
  <c r="M329" i="1"/>
  <c r="L329" i="1"/>
  <c r="J329" i="1"/>
  <c r="N328" i="1"/>
  <c r="M328" i="1"/>
  <c r="L328" i="1"/>
  <c r="J328" i="1"/>
  <c r="N327" i="1"/>
  <c r="M327" i="1"/>
  <c r="L327" i="1"/>
  <c r="J327" i="1"/>
  <c r="N326" i="1"/>
  <c r="M326" i="1"/>
  <c r="L326" i="1"/>
  <c r="J326" i="1"/>
  <c r="N325" i="1"/>
  <c r="M325" i="1"/>
  <c r="L325" i="1"/>
  <c r="J325" i="1"/>
  <c r="N324" i="1"/>
  <c r="M324" i="1"/>
  <c r="L324" i="1"/>
  <c r="J324" i="1"/>
  <c r="N323" i="1"/>
  <c r="M323" i="1"/>
  <c r="L323" i="1"/>
  <c r="J323" i="1"/>
  <c r="N322" i="1"/>
  <c r="M322" i="1"/>
  <c r="L322" i="1"/>
  <c r="J322" i="1"/>
  <c r="N321" i="1"/>
  <c r="M321" i="1"/>
  <c r="L321" i="1"/>
  <c r="J321" i="1"/>
  <c r="N320" i="1"/>
  <c r="M320" i="1"/>
  <c r="L320" i="1"/>
  <c r="J320" i="1"/>
  <c r="N319" i="1"/>
  <c r="M319" i="1"/>
  <c r="L319" i="1"/>
  <c r="J319" i="1"/>
  <c r="N318" i="1"/>
  <c r="M318" i="1"/>
  <c r="L318" i="1"/>
  <c r="J318" i="1"/>
  <c r="N317" i="1"/>
  <c r="M317" i="1"/>
  <c r="L317" i="1"/>
  <c r="J317" i="1"/>
  <c r="N316" i="1"/>
  <c r="M316" i="1"/>
  <c r="L316" i="1"/>
  <c r="J316" i="1"/>
  <c r="N315" i="1"/>
  <c r="M315" i="1"/>
  <c r="L315" i="1"/>
  <c r="J315" i="1"/>
  <c r="N314" i="1"/>
  <c r="M314" i="1"/>
  <c r="L314" i="1"/>
  <c r="J314" i="1"/>
  <c r="N313" i="1"/>
  <c r="M313" i="1"/>
  <c r="L313" i="1"/>
  <c r="J313" i="1"/>
  <c r="N312" i="1"/>
  <c r="M312" i="1"/>
  <c r="L312" i="1"/>
  <c r="J312" i="1"/>
  <c r="N311" i="1"/>
  <c r="M311" i="1"/>
  <c r="L311" i="1"/>
  <c r="J311" i="1"/>
  <c r="N310" i="1"/>
  <c r="M310" i="1"/>
  <c r="L310" i="1"/>
  <c r="J310" i="1"/>
  <c r="N309" i="1"/>
  <c r="M309" i="1"/>
  <c r="L309" i="1"/>
  <c r="J309" i="1"/>
  <c r="N308" i="1"/>
  <c r="M308" i="1"/>
  <c r="L308" i="1"/>
  <c r="J308" i="1"/>
  <c r="N307" i="1"/>
  <c r="M307" i="1"/>
  <c r="L307" i="1"/>
  <c r="J307" i="1"/>
  <c r="N306" i="1"/>
  <c r="M306" i="1"/>
  <c r="L306" i="1"/>
  <c r="J306" i="1"/>
  <c r="N305" i="1"/>
  <c r="M305" i="1"/>
  <c r="L305" i="1"/>
  <c r="J305" i="1"/>
  <c r="N304" i="1"/>
  <c r="M304" i="1"/>
  <c r="L304" i="1"/>
  <c r="J304" i="1"/>
  <c r="N303" i="1"/>
  <c r="M303" i="1"/>
  <c r="L303" i="1"/>
  <c r="J303" i="1"/>
  <c r="N302" i="1"/>
  <c r="M302" i="1"/>
  <c r="L302" i="1"/>
  <c r="J302" i="1"/>
  <c r="N301" i="1"/>
  <c r="M301" i="1"/>
  <c r="L301" i="1"/>
  <c r="J301" i="1"/>
  <c r="N300" i="1"/>
  <c r="M300" i="1"/>
  <c r="L300" i="1"/>
  <c r="J300" i="1"/>
  <c r="N299" i="1"/>
  <c r="M299" i="1"/>
  <c r="L299" i="1"/>
  <c r="J299" i="1"/>
  <c r="N298" i="1"/>
  <c r="M298" i="1"/>
  <c r="L298" i="1"/>
  <c r="J298" i="1"/>
  <c r="N297" i="1"/>
  <c r="M297" i="1"/>
  <c r="L297" i="1"/>
  <c r="J297" i="1"/>
  <c r="N296" i="1"/>
  <c r="M296" i="1"/>
  <c r="L296" i="1"/>
  <c r="J296" i="1"/>
  <c r="N295" i="1"/>
  <c r="M295" i="1"/>
  <c r="L295" i="1"/>
  <c r="J295" i="1"/>
  <c r="N294" i="1"/>
  <c r="M294" i="1"/>
  <c r="L294" i="1"/>
  <c r="J294" i="1"/>
  <c r="N293" i="1"/>
  <c r="M293" i="1"/>
  <c r="L293" i="1"/>
  <c r="J293" i="1"/>
  <c r="N292" i="1"/>
  <c r="M292" i="1"/>
  <c r="L292" i="1"/>
  <c r="J292" i="1"/>
  <c r="N291" i="1"/>
  <c r="M291" i="1"/>
  <c r="L291" i="1"/>
  <c r="J291" i="1"/>
  <c r="N290" i="1"/>
  <c r="M290" i="1"/>
  <c r="L290" i="1"/>
  <c r="J290" i="1"/>
  <c r="N289" i="1"/>
  <c r="M289" i="1"/>
  <c r="L289" i="1"/>
  <c r="J289" i="1"/>
  <c r="N288" i="1"/>
  <c r="M288" i="1"/>
  <c r="L288" i="1"/>
  <c r="J288" i="1"/>
  <c r="N287" i="1"/>
  <c r="M287" i="1"/>
  <c r="L287" i="1"/>
  <c r="J287" i="1"/>
  <c r="N286" i="1"/>
  <c r="M286" i="1"/>
  <c r="L286" i="1"/>
  <c r="J286" i="1"/>
  <c r="N285" i="1"/>
  <c r="M285" i="1"/>
  <c r="L285" i="1"/>
  <c r="J285" i="1"/>
  <c r="N284" i="1"/>
  <c r="M284" i="1"/>
  <c r="L284" i="1"/>
  <c r="J284" i="1"/>
  <c r="N283" i="1"/>
  <c r="M283" i="1"/>
  <c r="L283" i="1"/>
  <c r="J283" i="1"/>
  <c r="N282" i="1"/>
  <c r="M282" i="1"/>
  <c r="L282" i="1"/>
  <c r="J282" i="1"/>
  <c r="N281" i="1"/>
  <c r="M281" i="1"/>
  <c r="L281" i="1"/>
  <c r="J281" i="1"/>
  <c r="N280" i="1"/>
  <c r="M280" i="1"/>
  <c r="L280" i="1"/>
  <c r="J280" i="1"/>
  <c r="N279" i="1"/>
  <c r="M279" i="1"/>
  <c r="L279" i="1"/>
  <c r="J279" i="1"/>
  <c r="N278" i="1"/>
  <c r="M278" i="1"/>
  <c r="L278" i="1"/>
  <c r="J278" i="1"/>
  <c r="N277" i="1"/>
  <c r="M277" i="1"/>
  <c r="L277" i="1"/>
  <c r="J277" i="1"/>
  <c r="N276" i="1"/>
  <c r="M276" i="1"/>
  <c r="L276" i="1"/>
  <c r="J276" i="1"/>
  <c r="N275" i="1"/>
  <c r="M275" i="1"/>
  <c r="L275" i="1"/>
  <c r="J275" i="1"/>
  <c r="N274" i="1"/>
  <c r="M274" i="1"/>
  <c r="L274" i="1"/>
  <c r="J274" i="1"/>
  <c r="N273" i="1"/>
  <c r="M273" i="1"/>
  <c r="L273" i="1"/>
  <c r="J273" i="1"/>
  <c r="N272" i="1"/>
  <c r="M272" i="1"/>
  <c r="L272" i="1"/>
  <c r="J272" i="1"/>
  <c r="N271" i="1"/>
  <c r="M271" i="1"/>
  <c r="L271" i="1"/>
  <c r="J271" i="1"/>
  <c r="N270" i="1"/>
  <c r="M270" i="1"/>
  <c r="L270" i="1"/>
  <c r="J270" i="1"/>
  <c r="N269" i="1"/>
  <c r="M269" i="1"/>
  <c r="L269" i="1"/>
  <c r="J269" i="1"/>
  <c r="N268" i="1"/>
  <c r="M268" i="1"/>
  <c r="L268" i="1"/>
  <c r="J268" i="1"/>
  <c r="N267" i="1"/>
  <c r="M267" i="1"/>
  <c r="L267" i="1"/>
  <c r="J267" i="1"/>
  <c r="N266" i="1"/>
  <c r="M266" i="1"/>
  <c r="L266" i="1"/>
  <c r="J266" i="1"/>
  <c r="N265" i="1"/>
  <c r="M265" i="1"/>
  <c r="L265" i="1"/>
  <c r="J265" i="1"/>
  <c r="N264" i="1"/>
  <c r="M264" i="1"/>
  <c r="L264" i="1"/>
  <c r="J264" i="1"/>
  <c r="N263" i="1"/>
  <c r="M263" i="1"/>
  <c r="L263" i="1"/>
  <c r="J263" i="1"/>
  <c r="N262" i="1"/>
  <c r="M262" i="1"/>
  <c r="L262" i="1"/>
  <c r="J262" i="1"/>
  <c r="N261" i="1"/>
  <c r="M261" i="1"/>
  <c r="L261" i="1"/>
  <c r="J261" i="1"/>
  <c r="N260" i="1"/>
  <c r="M260" i="1"/>
  <c r="L260" i="1"/>
  <c r="J260" i="1"/>
  <c r="N259" i="1"/>
  <c r="M259" i="1"/>
  <c r="L259" i="1"/>
  <c r="J259" i="1"/>
  <c r="N258" i="1"/>
  <c r="M258" i="1"/>
  <c r="L258" i="1"/>
  <c r="J258" i="1"/>
  <c r="N257" i="1"/>
  <c r="M257" i="1"/>
  <c r="L257" i="1"/>
  <c r="J257" i="1"/>
  <c r="N256" i="1"/>
  <c r="M256" i="1"/>
  <c r="L256" i="1"/>
  <c r="J256" i="1"/>
  <c r="N255" i="1"/>
  <c r="M255" i="1"/>
  <c r="L255" i="1"/>
  <c r="J255" i="1"/>
  <c r="N254" i="1"/>
  <c r="M254" i="1"/>
  <c r="L254" i="1"/>
  <c r="J254" i="1"/>
  <c r="N253" i="1"/>
  <c r="M253" i="1"/>
  <c r="L253" i="1"/>
  <c r="J253" i="1"/>
  <c r="N252" i="1"/>
  <c r="M252" i="1"/>
  <c r="L252" i="1"/>
  <c r="J252" i="1"/>
  <c r="N251" i="1"/>
  <c r="M251" i="1"/>
  <c r="L251" i="1"/>
  <c r="J251" i="1"/>
  <c r="N250" i="1"/>
  <c r="M250" i="1"/>
  <c r="L250" i="1"/>
  <c r="J250" i="1"/>
  <c r="N249" i="1"/>
  <c r="M249" i="1"/>
  <c r="L249" i="1"/>
  <c r="J249" i="1"/>
  <c r="N248" i="1"/>
  <c r="M248" i="1"/>
  <c r="L248" i="1"/>
  <c r="J248" i="1"/>
  <c r="N247" i="1"/>
  <c r="M247" i="1"/>
  <c r="L247" i="1"/>
  <c r="J247" i="1"/>
  <c r="N246" i="1"/>
  <c r="M246" i="1"/>
  <c r="L246" i="1"/>
  <c r="J246" i="1"/>
  <c r="N245" i="1"/>
  <c r="M245" i="1"/>
  <c r="L245" i="1"/>
  <c r="J245" i="1"/>
  <c r="N244" i="1"/>
  <c r="M244" i="1"/>
  <c r="L244" i="1"/>
  <c r="J244" i="1"/>
  <c r="N243" i="1"/>
  <c r="M243" i="1"/>
  <c r="L243" i="1"/>
  <c r="J243" i="1"/>
  <c r="N242" i="1"/>
  <c r="M242" i="1"/>
  <c r="L242" i="1"/>
  <c r="J242" i="1"/>
  <c r="N241" i="1"/>
  <c r="M241" i="1"/>
  <c r="L241" i="1"/>
  <c r="J241" i="1"/>
  <c r="N240" i="1"/>
  <c r="M240" i="1"/>
  <c r="L240" i="1"/>
  <c r="J240" i="1"/>
  <c r="N239" i="1"/>
  <c r="M239" i="1"/>
  <c r="L239" i="1"/>
  <c r="J239" i="1"/>
  <c r="N238" i="1"/>
  <c r="M238" i="1"/>
  <c r="L238" i="1"/>
  <c r="J238" i="1"/>
  <c r="N237" i="1"/>
  <c r="M237" i="1"/>
  <c r="L237" i="1"/>
  <c r="J237" i="1"/>
  <c r="N236" i="1"/>
  <c r="M236" i="1"/>
  <c r="L236" i="1"/>
  <c r="J236" i="1"/>
  <c r="N235" i="1"/>
  <c r="M235" i="1"/>
  <c r="L235" i="1"/>
  <c r="J235" i="1"/>
  <c r="N234" i="1"/>
  <c r="M234" i="1"/>
  <c r="L234" i="1"/>
  <c r="J234" i="1"/>
  <c r="N233" i="1"/>
  <c r="M233" i="1"/>
  <c r="L233" i="1"/>
  <c r="J233" i="1"/>
  <c r="N232" i="1"/>
  <c r="M232" i="1"/>
  <c r="L232" i="1"/>
  <c r="J232" i="1"/>
  <c r="N231" i="1"/>
  <c r="M231" i="1"/>
  <c r="L231" i="1"/>
  <c r="J231" i="1"/>
  <c r="N230" i="1"/>
  <c r="M230" i="1"/>
  <c r="L230" i="1"/>
  <c r="J230" i="1"/>
  <c r="N229" i="1"/>
  <c r="M229" i="1"/>
  <c r="L229" i="1"/>
  <c r="J229" i="1"/>
  <c r="N228" i="1"/>
  <c r="M228" i="1"/>
  <c r="L228" i="1"/>
  <c r="J228" i="1"/>
  <c r="N227" i="1"/>
  <c r="M227" i="1"/>
  <c r="L227" i="1"/>
  <c r="J227" i="1"/>
  <c r="N226" i="1"/>
  <c r="M226" i="1"/>
  <c r="L226" i="1"/>
  <c r="J226" i="1"/>
  <c r="N225" i="1"/>
  <c r="M225" i="1"/>
  <c r="L225" i="1"/>
  <c r="J225" i="1"/>
  <c r="N224" i="1"/>
  <c r="M224" i="1"/>
  <c r="L224" i="1"/>
  <c r="J224" i="1"/>
  <c r="N223" i="1"/>
  <c r="M223" i="1"/>
  <c r="L223" i="1"/>
  <c r="J223" i="1"/>
  <c r="N222" i="1"/>
  <c r="M222" i="1"/>
  <c r="L222" i="1"/>
  <c r="J222" i="1"/>
  <c r="N221" i="1"/>
  <c r="M221" i="1"/>
  <c r="L221" i="1"/>
  <c r="J221" i="1"/>
  <c r="N220" i="1"/>
  <c r="M220" i="1"/>
  <c r="L220" i="1"/>
  <c r="J220" i="1"/>
  <c r="N219" i="1"/>
  <c r="M219" i="1"/>
  <c r="L219" i="1"/>
  <c r="J219" i="1"/>
  <c r="N218" i="1"/>
  <c r="M218" i="1"/>
  <c r="L218" i="1"/>
  <c r="J218" i="1"/>
  <c r="N217" i="1"/>
  <c r="M217" i="1"/>
  <c r="L217" i="1"/>
  <c r="J217" i="1"/>
  <c r="N216" i="1"/>
  <c r="M216" i="1"/>
  <c r="L216" i="1"/>
  <c r="J216" i="1"/>
  <c r="N215" i="1"/>
  <c r="M215" i="1"/>
  <c r="L215" i="1"/>
  <c r="J215" i="1"/>
  <c r="N214" i="1"/>
  <c r="M214" i="1"/>
  <c r="L214" i="1"/>
  <c r="J214" i="1"/>
  <c r="N213" i="1"/>
  <c r="M213" i="1"/>
  <c r="L213" i="1"/>
  <c r="J213" i="1"/>
  <c r="N212" i="1"/>
  <c r="M212" i="1"/>
  <c r="L212" i="1"/>
  <c r="J212" i="1"/>
  <c r="N211" i="1"/>
  <c r="M211" i="1"/>
  <c r="L211" i="1"/>
  <c r="J211" i="1"/>
  <c r="N210" i="1"/>
  <c r="M210" i="1"/>
  <c r="L210" i="1"/>
  <c r="J210" i="1"/>
  <c r="N209" i="1"/>
  <c r="M209" i="1"/>
  <c r="L209" i="1"/>
  <c r="J209" i="1"/>
  <c r="N208" i="1"/>
  <c r="M208" i="1"/>
  <c r="L208" i="1"/>
  <c r="J208" i="1"/>
  <c r="N207" i="1"/>
  <c r="M207" i="1"/>
  <c r="L207" i="1"/>
  <c r="J207" i="1"/>
  <c r="N206" i="1"/>
  <c r="M206" i="1"/>
  <c r="L206" i="1"/>
  <c r="J206" i="1"/>
  <c r="N205" i="1"/>
  <c r="M205" i="1"/>
  <c r="L205" i="1"/>
  <c r="J205" i="1"/>
  <c r="N204" i="1"/>
  <c r="M204" i="1"/>
  <c r="L204" i="1"/>
  <c r="J204" i="1"/>
  <c r="N203" i="1"/>
  <c r="M203" i="1"/>
  <c r="L203" i="1"/>
  <c r="J203" i="1"/>
  <c r="N202" i="1"/>
  <c r="M202" i="1"/>
  <c r="L202" i="1"/>
  <c r="J202" i="1"/>
  <c r="N201" i="1"/>
  <c r="M201" i="1"/>
  <c r="L201" i="1"/>
  <c r="J201" i="1"/>
  <c r="N200" i="1"/>
  <c r="M200" i="1"/>
  <c r="L200" i="1"/>
  <c r="J200" i="1"/>
  <c r="N199" i="1"/>
  <c r="M199" i="1"/>
  <c r="L199" i="1"/>
  <c r="J199" i="1"/>
  <c r="N198" i="1"/>
  <c r="M198" i="1"/>
  <c r="L198" i="1"/>
  <c r="J198" i="1"/>
  <c r="N197" i="1"/>
  <c r="M197" i="1"/>
  <c r="L197" i="1"/>
  <c r="J197" i="1"/>
  <c r="N196" i="1"/>
  <c r="M196" i="1"/>
  <c r="L196" i="1"/>
  <c r="J196" i="1"/>
  <c r="N195" i="1"/>
  <c r="M195" i="1"/>
  <c r="L195" i="1"/>
  <c r="J195" i="1"/>
  <c r="N194" i="1"/>
  <c r="M194" i="1"/>
  <c r="L194" i="1"/>
  <c r="J194" i="1"/>
  <c r="N193" i="1"/>
  <c r="M193" i="1"/>
  <c r="L193" i="1"/>
  <c r="J193" i="1"/>
  <c r="N192" i="1"/>
  <c r="M192" i="1"/>
  <c r="L192" i="1"/>
  <c r="J192" i="1"/>
  <c r="N191" i="1"/>
  <c r="M191" i="1"/>
  <c r="L191" i="1"/>
  <c r="J191" i="1"/>
  <c r="N190" i="1"/>
  <c r="M190" i="1"/>
  <c r="L190" i="1"/>
  <c r="J190" i="1"/>
  <c r="N189" i="1"/>
  <c r="M189" i="1"/>
  <c r="L189" i="1"/>
  <c r="J189" i="1"/>
  <c r="N188" i="1"/>
  <c r="M188" i="1"/>
  <c r="L188" i="1"/>
  <c r="J188" i="1"/>
  <c r="N187" i="1"/>
  <c r="M187" i="1"/>
  <c r="L187" i="1"/>
  <c r="J187" i="1"/>
  <c r="N186" i="1"/>
  <c r="M186" i="1"/>
  <c r="L186" i="1"/>
  <c r="J186" i="1"/>
  <c r="N185" i="1"/>
  <c r="M185" i="1"/>
  <c r="L185" i="1"/>
  <c r="J185" i="1"/>
  <c r="N184" i="1"/>
  <c r="M184" i="1"/>
  <c r="L184" i="1"/>
  <c r="J184" i="1"/>
  <c r="N183" i="1"/>
  <c r="M183" i="1"/>
  <c r="L183" i="1"/>
  <c r="J183" i="1"/>
  <c r="N182" i="1"/>
  <c r="M182" i="1"/>
  <c r="L182" i="1"/>
  <c r="J182" i="1"/>
  <c r="N181" i="1"/>
  <c r="M181" i="1"/>
  <c r="L181" i="1"/>
  <c r="J181" i="1"/>
  <c r="N180" i="1"/>
  <c r="M180" i="1"/>
  <c r="L180" i="1"/>
  <c r="J180" i="1"/>
  <c r="N179" i="1"/>
  <c r="M179" i="1"/>
  <c r="L179" i="1"/>
  <c r="J179" i="1"/>
  <c r="N178" i="1"/>
  <c r="M178" i="1"/>
  <c r="L178" i="1"/>
  <c r="J178" i="1"/>
  <c r="N177" i="1"/>
  <c r="M177" i="1"/>
  <c r="L177" i="1"/>
  <c r="J177" i="1"/>
  <c r="N176" i="1"/>
  <c r="M176" i="1"/>
  <c r="L176" i="1"/>
  <c r="J176" i="1"/>
  <c r="N175" i="1"/>
  <c r="M175" i="1"/>
  <c r="L175" i="1"/>
  <c r="J175" i="1"/>
  <c r="N174" i="1"/>
  <c r="M174" i="1"/>
  <c r="L174" i="1"/>
  <c r="J174" i="1"/>
  <c r="N173" i="1"/>
  <c r="M173" i="1"/>
  <c r="L173" i="1"/>
  <c r="J173" i="1"/>
  <c r="N172" i="1"/>
  <c r="M172" i="1"/>
  <c r="L172" i="1"/>
  <c r="J172" i="1"/>
  <c r="N171" i="1"/>
  <c r="M171" i="1"/>
  <c r="L171" i="1"/>
  <c r="J171" i="1"/>
  <c r="N170" i="1"/>
  <c r="M170" i="1"/>
  <c r="L170" i="1"/>
  <c r="J170" i="1"/>
  <c r="N169" i="1"/>
  <c r="M169" i="1"/>
  <c r="L169" i="1"/>
  <c r="J169" i="1"/>
  <c r="N168" i="1"/>
  <c r="M168" i="1"/>
  <c r="L168" i="1"/>
  <c r="J168" i="1"/>
  <c r="N167" i="1"/>
  <c r="M167" i="1"/>
  <c r="L167" i="1"/>
  <c r="J167" i="1"/>
  <c r="N166" i="1"/>
  <c r="M166" i="1"/>
  <c r="L166" i="1"/>
  <c r="J166" i="1"/>
  <c r="N165" i="1"/>
  <c r="M165" i="1"/>
  <c r="L165" i="1"/>
  <c r="J165" i="1"/>
  <c r="N164" i="1"/>
  <c r="M164" i="1"/>
  <c r="L164" i="1"/>
  <c r="J164" i="1"/>
  <c r="N163" i="1"/>
  <c r="M163" i="1"/>
  <c r="L163" i="1"/>
  <c r="J163" i="1"/>
  <c r="N162" i="1"/>
  <c r="M162" i="1"/>
  <c r="L162" i="1"/>
  <c r="J162" i="1"/>
  <c r="N161" i="1"/>
  <c r="M161" i="1"/>
  <c r="L161" i="1"/>
  <c r="J161" i="1"/>
  <c r="N160" i="1"/>
  <c r="M160" i="1"/>
  <c r="L160" i="1"/>
  <c r="J160" i="1"/>
  <c r="N159" i="1"/>
  <c r="M159" i="1"/>
  <c r="L159" i="1"/>
  <c r="J159" i="1"/>
  <c r="N158" i="1"/>
  <c r="M158" i="1"/>
  <c r="L158" i="1"/>
  <c r="J158" i="1"/>
  <c r="N157" i="1"/>
  <c r="M157" i="1"/>
  <c r="L157" i="1"/>
  <c r="J157" i="1"/>
  <c r="N156" i="1"/>
  <c r="M156" i="1"/>
  <c r="L156" i="1"/>
  <c r="J156" i="1"/>
  <c r="N155" i="1"/>
  <c r="M155" i="1"/>
  <c r="L155" i="1"/>
  <c r="J155" i="1"/>
  <c r="N154" i="1"/>
  <c r="M154" i="1"/>
  <c r="L154" i="1"/>
  <c r="J154" i="1"/>
  <c r="N153" i="1"/>
  <c r="M153" i="1"/>
  <c r="L153" i="1"/>
  <c r="J153" i="1"/>
  <c r="N152" i="1"/>
  <c r="M152" i="1"/>
  <c r="L152" i="1"/>
  <c r="J152" i="1"/>
  <c r="N151" i="1"/>
  <c r="M151" i="1"/>
  <c r="L151" i="1"/>
  <c r="J151" i="1"/>
  <c r="N150" i="1"/>
  <c r="M150" i="1"/>
  <c r="L150" i="1"/>
  <c r="J150" i="1"/>
  <c r="N149" i="1"/>
  <c r="M149" i="1"/>
  <c r="L149" i="1"/>
  <c r="J149" i="1"/>
  <c r="N148" i="1"/>
  <c r="M148" i="1"/>
  <c r="L148" i="1"/>
  <c r="J148" i="1"/>
  <c r="N147" i="1"/>
  <c r="M147" i="1"/>
  <c r="L147" i="1"/>
  <c r="J147" i="1"/>
  <c r="N146" i="1"/>
  <c r="M146" i="1"/>
  <c r="L146" i="1"/>
  <c r="J146" i="1"/>
  <c r="N145" i="1"/>
  <c r="M145" i="1"/>
  <c r="L145" i="1"/>
  <c r="J145" i="1"/>
  <c r="N144" i="1"/>
  <c r="M144" i="1"/>
  <c r="L144" i="1"/>
  <c r="J144" i="1"/>
  <c r="N143" i="1"/>
  <c r="M143" i="1"/>
  <c r="L143" i="1"/>
  <c r="J143" i="1"/>
  <c r="N142" i="1"/>
  <c r="M142" i="1"/>
  <c r="L142" i="1"/>
  <c r="J142" i="1"/>
  <c r="N141" i="1"/>
  <c r="M141" i="1"/>
  <c r="L141" i="1"/>
  <c r="J141" i="1"/>
  <c r="N140" i="1"/>
  <c r="M140" i="1"/>
  <c r="L140" i="1"/>
  <c r="J140" i="1"/>
  <c r="N139" i="1"/>
  <c r="M139" i="1"/>
  <c r="L139" i="1"/>
  <c r="J139" i="1"/>
  <c r="N138" i="1"/>
  <c r="M138" i="1"/>
  <c r="L138" i="1"/>
  <c r="J138" i="1"/>
  <c r="N137" i="1"/>
  <c r="M137" i="1"/>
  <c r="L137" i="1"/>
  <c r="J137" i="1"/>
  <c r="N136" i="1"/>
  <c r="M136" i="1"/>
  <c r="L136" i="1"/>
  <c r="J136" i="1"/>
  <c r="N135" i="1"/>
  <c r="M135" i="1"/>
  <c r="L135" i="1"/>
  <c r="J135" i="1"/>
  <c r="N134" i="1"/>
  <c r="M134" i="1"/>
  <c r="L134" i="1"/>
  <c r="J134" i="1"/>
  <c r="N133" i="1"/>
  <c r="M133" i="1"/>
  <c r="L133" i="1"/>
  <c r="J133" i="1"/>
  <c r="N132" i="1"/>
  <c r="M132" i="1"/>
  <c r="L132" i="1"/>
  <c r="J132" i="1"/>
  <c r="N131" i="1"/>
  <c r="M131" i="1"/>
  <c r="L131" i="1"/>
  <c r="J131" i="1"/>
  <c r="N130" i="1"/>
  <c r="M130" i="1"/>
  <c r="L130" i="1"/>
  <c r="J130" i="1"/>
  <c r="N129" i="1"/>
  <c r="M129" i="1"/>
  <c r="L129" i="1"/>
  <c r="J129" i="1"/>
  <c r="N128" i="1"/>
  <c r="M128" i="1"/>
  <c r="L128" i="1"/>
  <c r="J128" i="1"/>
  <c r="N127" i="1"/>
  <c r="M127" i="1"/>
  <c r="L127" i="1"/>
  <c r="J127" i="1"/>
  <c r="N126" i="1"/>
  <c r="M126" i="1"/>
  <c r="L126" i="1"/>
  <c r="J126" i="1"/>
  <c r="N125" i="1"/>
  <c r="M125" i="1"/>
  <c r="L125" i="1"/>
  <c r="J125" i="1"/>
  <c r="N124" i="1"/>
  <c r="M124" i="1"/>
  <c r="L124" i="1"/>
  <c r="J124" i="1"/>
  <c r="N123" i="1"/>
  <c r="M123" i="1"/>
  <c r="L123" i="1"/>
  <c r="J123" i="1"/>
  <c r="N122" i="1"/>
  <c r="M122" i="1"/>
  <c r="L122" i="1"/>
  <c r="J122" i="1"/>
  <c r="N121" i="1"/>
  <c r="M121" i="1"/>
  <c r="L121" i="1"/>
  <c r="J121" i="1"/>
  <c r="N120" i="1"/>
  <c r="M120" i="1"/>
  <c r="L120" i="1"/>
  <c r="J120" i="1"/>
  <c r="N119" i="1"/>
  <c r="M119" i="1"/>
  <c r="L119" i="1"/>
  <c r="J119" i="1"/>
  <c r="N118" i="1"/>
  <c r="M118" i="1"/>
  <c r="L118" i="1"/>
  <c r="J118" i="1"/>
  <c r="N117" i="1"/>
  <c r="M117" i="1"/>
  <c r="L117" i="1"/>
  <c r="J117" i="1"/>
  <c r="N116" i="1"/>
  <c r="M116" i="1"/>
  <c r="L116" i="1"/>
  <c r="J116" i="1"/>
  <c r="N115" i="1"/>
  <c r="M115" i="1"/>
  <c r="L115" i="1"/>
  <c r="J115" i="1"/>
  <c r="N114" i="1"/>
  <c r="M114" i="1"/>
  <c r="L114" i="1"/>
  <c r="J114" i="1"/>
  <c r="N113" i="1"/>
  <c r="M113" i="1"/>
  <c r="L113" i="1"/>
  <c r="J113" i="1"/>
  <c r="N112" i="1"/>
  <c r="M112" i="1"/>
  <c r="L112" i="1"/>
  <c r="J112" i="1"/>
  <c r="N111" i="1"/>
  <c r="M111" i="1"/>
  <c r="L111" i="1"/>
  <c r="J111" i="1"/>
  <c r="N110" i="1"/>
  <c r="M110" i="1"/>
  <c r="L110" i="1"/>
  <c r="J110" i="1"/>
  <c r="N109" i="1"/>
  <c r="M109" i="1"/>
  <c r="L109" i="1"/>
  <c r="J109" i="1"/>
  <c r="N108" i="1"/>
  <c r="M108" i="1"/>
  <c r="L108" i="1"/>
  <c r="J108" i="1"/>
  <c r="N107" i="1"/>
  <c r="M107" i="1"/>
  <c r="L107" i="1"/>
  <c r="J107" i="1"/>
  <c r="N106" i="1"/>
  <c r="M106" i="1"/>
  <c r="L106" i="1"/>
  <c r="J106" i="1"/>
  <c r="N105" i="1"/>
  <c r="M105" i="1"/>
  <c r="L105" i="1"/>
  <c r="J105" i="1"/>
  <c r="N104" i="1"/>
  <c r="M104" i="1"/>
  <c r="L104" i="1"/>
  <c r="J104" i="1"/>
  <c r="N103" i="1"/>
  <c r="M103" i="1"/>
  <c r="L103" i="1"/>
  <c r="J103" i="1"/>
  <c r="N102" i="1"/>
  <c r="M102" i="1"/>
  <c r="L102" i="1"/>
  <c r="J102" i="1"/>
  <c r="N101" i="1"/>
  <c r="M101" i="1"/>
  <c r="L101" i="1"/>
  <c r="J101" i="1"/>
  <c r="N100" i="1"/>
  <c r="M100" i="1"/>
  <c r="L100" i="1"/>
  <c r="J100" i="1"/>
  <c r="N99" i="1"/>
  <c r="M99" i="1"/>
  <c r="L99" i="1"/>
  <c r="J99" i="1"/>
  <c r="N98" i="1"/>
  <c r="M98" i="1"/>
  <c r="L98" i="1"/>
  <c r="J98" i="1"/>
  <c r="N97" i="1"/>
  <c r="M97" i="1"/>
  <c r="L97" i="1"/>
  <c r="J97" i="1"/>
  <c r="N96" i="1"/>
  <c r="M96" i="1"/>
  <c r="L96" i="1"/>
  <c r="J96" i="1"/>
  <c r="N95" i="1"/>
  <c r="M95" i="1"/>
  <c r="L95" i="1"/>
  <c r="J95" i="1"/>
  <c r="N94" i="1"/>
  <c r="M94" i="1"/>
  <c r="L94" i="1"/>
  <c r="J94" i="1"/>
  <c r="N93" i="1"/>
  <c r="M93" i="1"/>
  <c r="L93" i="1"/>
  <c r="J93" i="1"/>
  <c r="N92" i="1"/>
  <c r="M92" i="1"/>
  <c r="L92" i="1"/>
  <c r="J92" i="1"/>
  <c r="N91" i="1"/>
  <c r="M91" i="1"/>
  <c r="L91" i="1"/>
  <c r="J91" i="1"/>
  <c r="N90" i="1"/>
  <c r="M90" i="1"/>
  <c r="L90" i="1"/>
  <c r="J90" i="1"/>
  <c r="N89" i="1"/>
  <c r="M89" i="1"/>
  <c r="L89" i="1"/>
  <c r="J89" i="1"/>
  <c r="N88" i="1"/>
  <c r="M88" i="1"/>
  <c r="L88" i="1"/>
  <c r="J88" i="1"/>
  <c r="N87" i="1"/>
  <c r="M87" i="1"/>
  <c r="L87" i="1"/>
  <c r="J87" i="1"/>
  <c r="N86" i="1"/>
  <c r="M86" i="1"/>
  <c r="L86" i="1"/>
  <c r="J86" i="1"/>
  <c r="N85" i="1"/>
  <c r="M85" i="1"/>
  <c r="L85" i="1"/>
  <c r="J85" i="1"/>
  <c r="N84" i="1"/>
  <c r="M84" i="1"/>
  <c r="L84" i="1"/>
  <c r="J84" i="1"/>
  <c r="N83" i="1"/>
  <c r="M83" i="1"/>
  <c r="L83" i="1"/>
  <c r="J83" i="1"/>
  <c r="N82" i="1"/>
  <c r="M82" i="1"/>
  <c r="L82" i="1"/>
  <c r="J82" i="1"/>
  <c r="N81" i="1"/>
  <c r="M81" i="1"/>
  <c r="L81" i="1"/>
  <c r="J81" i="1"/>
  <c r="N80" i="1"/>
  <c r="M80" i="1"/>
  <c r="L80" i="1"/>
  <c r="J80" i="1"/>
  <c r="N79" i="1"/>
  <c r="M79" i="1"/>
  <c r="L79" i="1"/>
  <c r="J79" i="1"/>
  <c r="N78" i="1"/>
  <c r="M78" i="1"/>
  <c r="L78" i="1"/>
  <c r="J78" i="1"/>
  <c r="N77" i="1"/>
  <c r="M77" i="1"/>
  <c r="L77" i="1"/>
  <c r="J77" i="1"/>
  <c r="N76" i="1"/>
  <c r="M76" i="1"/>
  <c r="L76" i="1"/>
  <c r="J76" i="1"/>
  <c r="N75" i="1"/>
  <c r="M75" i="1"/>
  <c r="L75" i="1"/>
  <c r="J75" i="1"/>
  <c r="N74" i="1"/>
  <c r="M74" i="1"/>
  <c r="L74" i="1"/>
  <c r="J74" i="1"/>
  <c r="N73" i="1"/>
  <c r="M73" i="1"/>
  <c r="L73" i="1"/>
  <c r="J73" i="1"/>
  <c r="N72" i="1"/>
  <c r="M72" i="1"/>
  <c r="L72" i="1"/>
  <c r="J72" i="1"/>
  <c r="N71" i="1"/>
  <c r="M71" i="1"/>
  <c r="L71" i="1"/>
  <c r="J71" i="1"/>
  <c r="N70" i="1"/>
  <c r="M70" i="1"/>
  <c r="L70" i="1"/>
  <c r="J70" i="1"/>
  <c r="N69" i="1"/>
  <c r="M69" i="1"/>
  <c r="L69" i="1"/>
  <c r="J69" i="1"/>
  <c r="N68" i="1"/>
  <c r="M68" i="1"/>
  <c r="L68" i="1"/>
  <c r="J68" i="1"/>
  <c r="N67" i="1"/>
  <c r="M67" i="1"/>
  <c r="L67" i="1"/>
  <c r="J67" i="1"/>
  <c r="N66" i="1"/>
  <c r="M66" i="1"/>
  <c r="L66" i="1"/>
  <c r="J66" i="1"/>
  <c r="N65" i="1"/>
  <c r="M65" i="1"/>
  <c r="L65" i="1"/>
  <c r="J65" i="1"/>
  <c r="N64" i="1"/>
  <c r="M64" i="1"/>
  <c r="L64" i="1"/>
  <c r="J64" i="1"/>
  <c r="N63" i="1"/>
  <c r="M63" i="1"/>
  <c r="L63" i="1"/>
  <c r="J63" i="1"/>
  <c r="N62" i="1"/>
  <c r="M62" i="1"/>
  <c r="L62" i="1"/>
  <c r="J62" i="1"/>
  <c r="N61" i="1"/>
  <c r="M61" i="1"/>
  <c r="L61" i="1"/>
  <c r="J61" i="1"/>
  <c r="N60" i="1"/>
  <c r="M60" i="1"/>
  <c r="L60" i="1"/>
  <c r="J60" i="1"/>
  <c r="N59" i="1"/>
  <c r="M59" i="1"/>
  <c r="L59" i="1"/>
  <c r="J59" i="1"/>
  <c r="N58" i="1"/>
  <c r="M58" i="1"/>
  <c r="L58" i="1"/>
  <c r="J58" i="1"/>
  <c r="N57" i="1"/>
  <c r="M57" i="1"/>
  <c r="L57" i="1"/>
  <c r="J57" i="1"/>
  <c r="N56" i="1"/>
  <c r="M56" i="1"/>
  <c r="L56" i="1"/>
  <c r="J56" i="1"/>
  <c r="N55" i="1"/>
  <c r="M55" i="1"/>
  <c r="L55" i="1"/>
  <c r="J55" i="1"/>
  <c r="N54" i="1"/>
  <c r="M54" i="1"/>
  <c r="L54" i="1"/>
  <c r="J54" i="1"/>
  <c r="N53" i="1"/>
  <c r="M53" i="1"/>
  <c r="L53" i="1"/>
  <c r="J53" i="1"/>
  <c r="N52" i="1"/>
  <c r="M52" i="1"/>
  <c r="L52" i="1"/>
  <c r="J52" i="1"/>
  <c r="N51" i="1"/>
  <c r="M51" i="1"/>
  <c r="L51" i="1"/>
  <c r="J51" i="1"/>
  <c r="N50" i="1"/>
  <c r="M50" i="1"/>
  <c r="L50" i="1"/>
  <c r="J50" i="1"/>
  <c r="N49" i="1"/>
  <c r="M49" i="1"/>
  <c r="L49" i="1"/>
  <c r="J49" i="1"/>
  <c r="N48" i="1"/>
  <c r="M48" i="1"/>
  <c r="L48" i="1"/>
  <c r="J48" i="1"/>
  <c r="N47" i="1"/>
  <c r="M47" i="1"/>
  <c r="L47" i="1"/>
  <c r="J47" i="1"/>
  <c r="N46" i="1"/>
  <c r="M46" i="1"/>
  <c r="L46" i="1"/>
  <c r="J46" i="1"/>
  <c r="N45" i="1"/>
  <c r="M45" i="1"/>
  <c r="L45" i="1"/>
  <c r="J45" i="1"/>
  <c r="N44" i="1"/>
  <c r="M44" i="1"/>
  <c r="L44" i="1"/>
  <c r="J44" i="1"/>
  <c r="N43" i="1"/>
  <c r="M43" i="1"/>
  <c r="L43" i="1"/>
  <c r="J43" i="1"/>
  <c r="N42" i="1"/>
  <c r="M42" i="1"/>
  <c r="L42" i="1"/>
  <c r="J42" i="1"/>
  <c r="N41" i="1"/>
  <c r="M41" i="1"/>
  <c r="L41" i="1"/>
  <c r="J41" i="1"/>
  <c r="N40" i="1"/>
  <c r="M40" i="1"/>
  <c r="L40" i="1"/>
  <c r="J40" i="1"/>
  <c r="N39" i="1"/>
  <c r="M39" i="1"/>
  <c r="L39" i="1"/>
  <c r="J39" i="1"/>
  <c r="N38" i="1"/>
  <c r="M38" i="1"/>
  <c r="L38" i="1"/>
  <c r="J38" i="1"/>
  <c r="N37" i="1"/>
  <c r="M37" i="1"/>
  <c r="L37" i="1"/>
  <c r="J37" i="1"/>
  <c r="N36" i="1"/>
  <c r="M36" i="1"/>
  <c r="L36" i="1"/>
  <c r="J36" i="1"/>
  <c r="N35" i="1"/>
  <c r="M35" i="1"/>
  <c r="L35" i="1"/>
  <c r="J35" i="1"/>
  <c r="N34" i="1"/>
  <c r="M34" i="1"/>
  <c r="L34" i="1"/>
  <c r="J34" i="1"/>
  <c r="N33" i="1"/>
  <c r="M33" i="1"/>
  <c r="L33" i="1"/>
  <c r="J33" i="1"/>
  <c r="N32" i="1"/>
  <c r="M32" i="1"/>
  <c r="L32" i="1"/>
  <c r="J32" i="1"/>
  <c r="N31" i="1"/>
  <c r="M31" i="1"/>
  <c r="L31" i="1"/>
  <c r="J31" i="1"/>
  <c r="N30" i="1"/>
  <c r="M30" i="1"/>
  <c r="L30" i="1"/>
  <c r="J30" i="1"/>
  <c r="N29" i="1"/>
  <c r="M29" i="1"/>
  <c r="L29" i="1"/>
  <c r="J29" i="1"/>
  <c r="N28" i="1"/>
  <c r="M28" i="1"/>
  <c r="L28" i="1"/>
  <c r="J28" i="1"/>
  <c r="N27" i="1"/>
  <c r="M27" i="1"/>
  <c r="L27" i="1"/>
  <c r="J27" i="1"/>
  <c r="N26" i="1"/>
  <c r="M26" i="1"/>
  <c r="L26" i="1"/>
  <c r="J26" i="1"/>
  <c r="N25" i="1"/>
  <c r="M25" i="1"/>
  <c r="L25" i="1"/>
  <c r="J25" i="1"/>
  <c r="N24" i="1"/>
  <c r="M24" i="1"/>
  <c r="L24" i="1"/>
  <c r="J24" i="1"/>
  <c r="N23" i="1"/>
  <c r="M23" i="1"/>
  <c r="L23" i="1"/>
  <c r="J23" i="1"/>
  <c r="N22" i="1"/>
  <c r="M22" i="1"/>
  <c r="L22" i="1"/>
  <c r="J22" i="1"/>
  <c r="N21" i="1"/>
  <c r="M21" i="1"/>
  <c r="L21" i="1"/>
  <c r="J21" i="1"/>
  <c r="N20" i="1"/>
  <c r="M20" i="1"/>
  <c r="L20" i="1"/>
  <c r="J20" i="1"/>
  <c r="N19" i="1"/>
  <c r="M19" i="1"/>
  <c r="L19" i="1"/>
  <c r="J19" i="1"/>
  <c r="N18" i="1"/>
  <c r="M18" i="1"/>
  <c r="L18" i="1"/>
  <c r="J18" i="1"/>
  <c r="N17" i="1"/>
  <c r="M17" i="1"/>
  <c r="L17" i="1"/>
  <c r="J17" i="1"/>
  <c r="N16" i="1"/>
  <c r="M16" i="1"/>
  <c r="L16" i="1"/>
  <c r="J16" i="1"/>
  <c r="N15" i="1"/>
  <c r="M15" i="1"/>
  <c r="L15" i="1"/>
  <c r="J15" i="1"/>
  <c r="N14" i="1"/>
  <c r="M14" i="1"/>
  <c r="L14" i="1"/>
  <c r="J14" i="1"/>
  <c r="N13" i="1"/>
  <c r="M13" i="1"/>
  <c r="L13" i="1"/>
  <c r="J13" i="1"/>
  <c r="N12" i="1"/>
  <c r="M12" i="1"/>
  <c r="L12" i="1"/>
  <c r="J12" i="1"/>
  <c r="N11" i="1"/>
  <c r="M11" i="1"/>
  <c r="L11" i="1"/>
  <c r="J11" i="1"/>
  <c r="N10" i="1"/>
  <c r="M10" i="1"/>
  <c r="L10" i="1"/>
  <c r="J10" i="1"/>
  <c r="N9" i="1"/>
  <c r="M9" i="1"/>
  <c r="L9" i="1"/>
  <c r="J9" i="1"/>
  <c r="N8" i="1"/>
  <c r="M8" i="1"/>
  <c r="L8" i="1"/>
  <c r="J8" i="1"/>
  <c r="N7" i="1"/>
  <c r="M7" i="1"/>
  <c r="L7" i="1"/>
  <c r="J7" i="1"/>
  <c r="N6" i="1"/>
  <c r="M6" i="1"/>
  <c r="L6" i="1"/>
  <c r="J6" i="1"/>
  <c r="N5" i="1"/>
  <c r="M5" i="1"/>
  <c r="L5" i="1"/>
  <c r="J5" i="1"/>
  <c r="N4" i="1"/>
  <c r="M4" i="1"/>
  <c r="L4" i="1"/>
  <c r="J4" i="1"/>
</calcChain>
</file>

<file path=xl/sharedStrings.xml><?xml version="1.0" encoding="utf-8"?>
<sst xmlns="http://schemas.openxmlformats.org/spreadsheetml/2006/main" count="21664" uniqueCount="2082">
  <si>
    <t>Domande in Liquidazione Decreto 58</t>
  </si>
  <si>
    <t>Organismo Pagatore</t>
  </si>
  <si>
    <t>Gruppo Misura</t>
  </si>
  <si>
    <t>Regione</t>
  </si>
  <si>
    <t>Caa Nazionale Presentazione Domanda</t>
  </si>
  <si>
    <t>Ufficio Caa Presentazione Domanda</t>
  </si>
  <si>
    <t>Caa Nazionale detentore del fascicolo dell'azienda</t>
  </si>
  <si>
    <t>Ufficio Caa detentore del fascicolo dell'azienda</t>
  </si>
  <si>
    <t>Ente</t>
  </si>
  <si>
    <t>Campagna</t>
  </si>
  <si>
    <t>Codice Domanda</t>
  </si>
  <si>
    <t>Tipologia Programmazione</t>
  </si>
  <si>
    <t>Misura PSR 2014-2020</t>
  </si>
  <si>
    <t>Intervento</t>
  </si>
  <si>
    <t>Cuaa</t>
  </si>
  <si>
    <t>Denominazione</t>
  </si>
  <si>
    <t>Tipologia Elenco</t>
  </si>
  <si>
    <t>Protocollo Elenco</t>
  </si>
  <si>
    <t>Data Autorizzazione OP Elenco</t>
  </si>
  <si>
    <t>Stato Della Domanda</t>
  </si>
  <si>
    <t>Tipologia di Pagamento</t>
  </si>
  <si>
    <t>Tipologia di Finanziamento</t>
  </si>
  <si>
    <t>Importo Totale in Elenco</t>
  </si>
  <si>
    <t>Importo in Elenco (Quota FEASR)</t>
  </si>
  <si>
    <t>Importo in Elenco (Quota Nazionale)</t>
  </si>
  <si>
    <t>Importo in Elenco (Quota Regionale)</t>
  </si>
  <si>
    <t>AGEA</t>
  </si>
  <si>
    <t>Interventi FEASR SIGC</t>
  </si>
  <si>
    <t>PUGLIA</t>
  </si>
  <si>
    <t>CAA Confagricoltura srl</t>
  </si>
  <si>
    <t>CAA Confagricoltura - FOGGIA - 002</t>
  </si>
  <si>
    <t>CAA CONFAGRICOLTURA S.R.L.</t>
  </si>
  <si>
    <t>Reg. Puglia - Serv. Prov. Agric. di Foggia</t>
  </si>
  <si>
    <t>PSP Programmazione 2023/2027</t>
  </si>
  <si>
    <t>BONVINO RAFFAELLA VALENTINA</t>
  </si>
  <si>
    <t>Ordinario</t>
  </si>
  <si>
    <t>AGEA.ASR.2025.1041752</t>
  </si>
  <si>
    <t>In Liquidazione</t>
  </si>
  <si>
    <t>Saldo</t>
  </si>
  <si>
    <t>Co-Finanziato</t>
  </si>
  <si>
    <t>LAZIO</t>
  </si>
  <si>
    <t>CAA Coldiretti srl</t>
  </si>
  <si>
    <t>CAA Coldiretti - RIETI - 006</t>
  </si>
  <si>
    <t>CAA COLDIRETTI S.R.L.</t>
  </si>
  <si>
    <t>AREA DECENTRATA AGRICOLTURA DI RIETI</t>
  </si>
  <si>
    <t>DANTE STEFANO</t>
  </si>
  <si>
    <t>AGEA.ASR.2024.1727961</t>
  </si>
  <si>
    <t>CAA Coldiretti - FROSINONE - 009</t>
  </si>
  <si>
    <t>AREA DECENTRATA AGRICOLTURA DI FROSINONE</t>
  </si>
  <si>
    <t>SARRACINI ANNA</t>
  </si>
  <si>
    <t>Istruttoria Automatica</t>
  </si>
  <si>
    <t>CAA-CAF AGRI S.R.L.</t>
  </si>
  <si>
    <t>CAA CAF AGRI - RIETI - 221</t>
  </si>
  <si>
    <t>PANFILI CESARE</t>
  </si>
  <si>
    <t>AGEA.ASR.2025.0639859</t>
  </si>
  <si>
    <t>CAALPA srl</t>
  </si>
  <si>
    <t>CAA ALPA - VITERBO - 003</t>
  </si>
  <si>
    <t>CAA C.A.A.L.P.A. S.R.L.</t>
  </si>
  <si>
    <t>AREA DECENTRATA AGRICOLTURA DI VITERBO</t>
  </si>
  <si>
    <t>PIERGENTILI GIOVANNI</t>
  </si>
  <si>
    <t>AGEA.ASR.2025.0704312</t>
  </si>
  <si>
    <t>CAA CIA srl</t>
  </si>
  <si>
    <t>CAA CIA - ROMA - 002</t>
  </si>
  <si>
    <t>CAA CIA</t>
  </si>
  <si>
    <t>AREA DECENTRATA AGRICOLTURA DI ROMA</t>
  </si>
  <si>
    <t>SOCIETA' AGRICOLA AGRI MER.IN.DA. S.S</t>
  </si>
  <si>
    <t>AGEA.ASR.2025.1071911</t>
  </si>
  <si>
    <t>CAA Coldiretti - RIETI - 008</t>
  </si>
  <si>
    <t>ENACHI TATIANA</t>
  </si>
  <si>
    <t>CAA INTESA srl</t>
  </si>
  <si>
    <t>CAA INTESA - BARI - 300</t>
  </si>
  <si>
    <t>CAA INTESA</t>
  </si>
  <si>
    <t>Reg. Puglia - Serv. Prov. Agric. di Bari</t>
  </si>
  <si>
    <t>CASAMASSIMA MARIA</t>
  </si>
  <si>
    <t>AGEA.ASR.2025.0621584</t>
  </si>
  <si>
    <t>CAA UNICAA srl</t>
  </si>
  <si>
    <t>CAA UNICAA - ROMA - 005</t>
  </si>
  <si>
    <t>CAA UNICAA</t>
  </si>
  <si>
    <t>GIACOMOBONO SOCIETA' AGRICOLA SEMPLICE</t>
  </si>
  <si>
    <t>AGEA.ASR.2025.1071943</t>
  </si>
  <si>
    <t>LIGURIA</t>
  </si>
  <si>
    <t>CAA Coldiretti - IMPERIA - 003</t>
  </si>
  <si>
    <t>Reg. Liguria - Ispettorato Agrario</t>
  </si>
  <si>
    <t>SOCIETA' AGRICOLA A TRINCEA DI MASALA LAURA E VENTURA EMILIA SS</t>
  </si>
  <si>
    <t>AGEA.ASR.2025.1088657</t>
  </si>
  <si>
    <t>CAA AIC SERVICES</t>
  </si>
  <si>
    <t>CAA AIC SERVICES - RIETI - 002</t>
  </si>
  <si>
    <t>GIOVANNINI ANGELA</t>
  </si>
  <si>
    <t>CAA Coldiretti - FOGGIA - 003</t>
  </si>
  <si>
    <t>ZAR - SOCIETA' COOPERATIVA AGRICOLA</t>
  </si>
  <si>
    <t>SICILIA</t>
  </si>
  <si>
    <t>CAA Confagricoltura - CATANIA - 001</t>
  </si>
  <si>
    <t>Reg. Sicilia - IPA Siracusa</t>
  </si>
  <si>
    <t>INSERRA FRANCESCA</t>
  </si>
  <si>
    <t>AGEA.ASR.2025.1071936</t>
  </si>
  <si>
    <t>CAA Coldiretti - PALERMO - 013</t>
  </si>
  <si>
    <t>Reg. Sicilia- IPA Palermo</t>
  </si>
  <si>
    <t>CUTTITTA SALVATORE</t>
  </si>
  <si>
    <t>AGEA.ASR.2025.1072105</t>
  </si>
  <si>
    <t>CAA UNSIC s.r.l.</t>
  </si>
  <si>
    <t>CAA UNSIC - RAGUSA - 001</t>
  </si>
  <si>
    <t>CAA UNSIC</t>
  </si>
  <si>
    <t>Reg. Sicilia - IPA Ragusa</t>
  </si>
  <si>
    <t>DI QUATTRO VINCENZO</t>
  </si>
  <si>
    <t>AGEA.ASR.2025.1083983</t>
  </si>
  <si>
    <t>CAA CAF AGRI - PALERMO - 221</t>
  </si>
  <si>
    <t>FERRANTELLI ANTONINO</t>
  </si>
  <si>
    <t>CAA ACLI srl</t>
  </si>
  <si>
    <t>CAA ACLI - PALERMO - 002</t>
  </si>
  <si>
    <t>CAA INTESA - PALERMO - 200</t>
  </si>
  <si>
    <t>LUOGOMARCHESE SRL</t>
  </si>
  <si>
    <t>CALABRINI STEFANIA</t>
  </si>
  <si>
    <t>CAA Confagricoltura - VITERBO - 001</t>
  </si>
  <si>
    <t>CONDUZIONE TERRE SOCIETA' COOPERATIVA</t>
  </si>
  <si>
    <t>CAA ACLI - LATINA - 009</t>
  </si>
  <si>
    <t>CAA ACLI</t>
  </si>
  <si>
    <t>AREA DECENTRATA AGRICOLTURA DI LATINA</t>
  </si>
  <si>
    <t>AGRICOLA PONTINA S.R.L.</t>
  </si>
  <si>
    <t>CAA UNSIC - LATINA - 004</t>
  </si>
  <si>
    <t>CAA LIBERIAGRICOLTORI S.R.L</t>
  </si>
  <si>
    <t>CAA LiberiAgricoltori - BENEVENTO - 001</t>
  </si>
  <si>
    <t>FEUDO ROMANO</t>
  </si>
  <si>
    <t>CAA Coldiretti - LATINA - 005</t>
  </si>
  <si>
    <t>FIORI ANGELO</t>
  </si>
  <si>
    <t>MARASCHIN LINO</t>
  </si>
  <si>
    <t>CAA Coldiretti - LATINA - 002</t>
  </si>
  <si>
    <t>MINCHELLA GIUSEPPE</t>
  </si>
  <si>
    <t>CAA Coldiretti - LATINA - 006</t>
  </si>
  <si>
    <t>SACCHETTI ROBERTO</t>
  </si>
  <si>
    <t>SOCIETA'AGRICOLA FRATELLI CHIARPARIN MAURIZIO E ALESSANDRO S.S.</t>
  </si>
  <si>
    <t>CAA Coldiretti - TERAMO - 006</t>
  </si>
  <si>
    <t>TESTA SERAFINA</t>
  </si>
  <si>
    <t>MARCHE</t>
  </si>
  <si>
    <t>CAA CIA - PESARO E URBINO - 001</t>
  </si>
  <si>
    <t>SERV. DEC. AGRICOLTURA E ALIMENTAZIONE - PESARO</t>
  </si>
  <si>
    <t>BARTOLINI FABIO</t>
  </si>
  <si>
    <t>AGEA.ASR.2025.0919704</t>
  </si>
  <si>
    <t>CAA C.A.N.A.P.A. srl</t>
  </si>
  <si>
    <t>CAA C.A.N.A.P.A. - RIETI - 001</t>
  </si>
  <si>
    <t>CAA CENTRO AUT.NAZ.ASS.PRODUTTORI AGRICOLI S.R.L.</t>
  </si>
  <si>
    <t>FILZI MASSIMO</t>
  </si>
  <si>
    <t>CAA Confagricoltura - ROMA - 002</t>
  </si>
  <si>
    <t>SOCIETA' AGRICOLA MONTETOSTO SRL</t>
  </si>
  <si>
    <t>CAA Coldiretti - ROMA - 012</t>
  </si>
  <si>
    <t>SCANZANI ALESSANDRA</t>
  </si>
  <si>
    <t>CAA Coldiretti - IMPERIA - 001</t>
  </si>
  <si>
    <t>AMORETTI PIETRO</t>
  </si>
  <si>
    <t>AGEA.ASR.2025.1088053</t>
  </si>
  <si>
    <t>CAA C.A.N.A.P.A. - SAVONA - 002</t>
  </si>
  <si>
    <t>P.E.Q. AGRI SOCIETA' AGRICOLA A R.L.</t>
  </si>
  <si>
    <t>CAA CIA - PESARO E URBINO - 006</t>
  </si>
  <si>
    <t>LEVA DAVIDE</t>
  </si>
  <si>
    <t>CAA Coldiretti - MACERATA - 010</t>
  </si>
  <si>
    <t>SERV. DEC. AGRICOLTURA E ALIM. - MACERATA</t>
  </si>
  <si>
    <t>SOCIETA' AGRICOLA GIGLI DI GIGLI GIULIANO E LORENZO S.S.</t>
  </si>
  <si>
    <t>CAA Confagricoltura - BRINDISI - 001</t>
  </si>
  <si>
    <t>Reg. Puglia - Serv. Prov. Agric. di Brindisi</t>
  </si>
  <si>
    <t>CAPUCANALI SOCIETA' AGRICOLA S.R.L.S.</t>
  </si>
  <si>
    <t>MONACO GIUSEPPE</t>
  </si>
  <si>
    <t>CAA Confagricoltura - FOGGIA - 001</t>
  </si>
  <si>
    <t>SORELLE SANTINO SOCIETA' SEMPLICE AGRICOLA</t>
  </si>
  <si>
    <t>CAA CAF AGRI - BARI - 221</t>
  </si>
  <si>
    <t>NETTI ANTONIO</t>
  </si>
  <si>
    <t>AGEA.ASR.2025.1042017</t>
  </si>
  <si>
    <t>CAA AGRISERVIZI s.r.l.</t>
  </si>
  <si>
    <t>CAA AGRISERVIZI - BARI - 002</t>
  </si>
  <si>
    <t>CAA AGRISERVIZI S.R.L.</t>
  </si>
  <si>
    <t>NETTI FRANCESCO SANTE</t>
  </si>
  <si>
    <t>CAA Coldiretti - FOGGIA - 004</t>
  </si>
  <si>
    <t>QUERQUES MICHELE ROCCO</t>
  </si>
  <si>
    <t>SOCIETA' AGRICOLA CASABOLI DI LAERA ALESSANDRO &amp; C. SAS</t>
  </si>
  <si>
    <t>CAA Coldiretti - BARI - 101</t>
  </si>
  <si>
    <t>CAVALIERE NICOLA</t>
  </si>
  <si>
    <t>AGEA.ASR.2025.1041548</t>
  </si>
  <si>
    <t>CAA Coldiretti - FOGGIA - 007</t>
  </si>
  <si>
    <t>GAETA SALVATORE</t>
  </si>
  <si>
    <t>CAA ACLI - BARI - 005</t>
  </si>
  <si>
    <t>CAA INTESA - BARI - 910</t>
  </si>
  <si>
    <t>LEO FRANCESCO</t>
  </si>
  <si>
    <t>LORUSSO FRANCESCO</t>
  </si>
  <si>
    <t>CAA AIC SERVICES srl</t>
  </si>
  <si>
    <t>CAA AIC SERVICES - BARI - 002</t>
  </si>
  <si>
    <t>MARRONE GIUSEPPE</t>
  </si>
  <si>
    <t>CAA Coldiretti - BARI - 116</t>
  </si>
  <si>
    <t>ORO VERDE DEI F.LLI LOMUSCIO SOCIETA' SEMPLICE AGRICOLA</t>
  </si>
  <si>
    <t>CAA UNICAA - BARI - 008</t>
  </si>
  <si>
    <t>PAVONE MARIA</t>
  </si>
  <si>
    <t>RICCO FRANCESCO</t>
  </si>
  <si>
    <t>SFREGOLA PASQUALE</t>
  </si>
  <si>
    <t>BURRIESCI ISIDORA</t>
  </si>
  <si>
    <t>CAA Confagricoltura - FOGGIA - 011</t>
  </si>
  <si>
    <t>CAPANO MARIO DINO</t>
  </si>
  <si>
    <t>AGEA.ASR.2025.1041570</t>
  </si>
  <si>
    <t>CAA UNSIC - BARI - 006</t>
  </si>
  <si>
    <t>CASIELLO CATERINA</t>
  </si>
  <si>
    <t>CAA Coldiretti - BARI - 010</t>
  </si>
  <si>
    <t>DIFONZO FRANCESCA MARIA</t>
  </si>
  <si>
    <t>CAA Coldiretti - FOGGIA - 001</t>
  </si>
  <si>
    <t>MASTROPIETRO NICOLINA</t>
  </si>
  <si>
    <t>CAA Confagricoltura - MATERA - 001</t>
  </si>
  <si>
    <t>PELLICCIARI SALVATORE</t>
  </si>
  <si>
    <t>CAA CIA - BARI - 004</t>
  </si>
  <si>
    <t>PONTRANDOLFO VITA MARIA</t>
  </si>
  <si>
    <t>CAA Confagricoltura - FOGGIA - 008</t>
  </si>
  <si>
    <t>FRATTAROLO GIANCARLO</t>
  </si>
  <si>
    <t>NATALE ALESSANDRA</t>
  </si>
  <si>
    <t>TRAGNI MARIA</t>
  </si>
  <si>
    <t>CAA CIA - ENNA - 002</t>
  </si>
  <si>
    <t>Reg. Sicilia - IPA Enna</t>
  </si>
  <si>
    <t>GIULIANO ANTONINA</t>
  </si>
  <si>
    <t>AGEA.ASR.2025.1037945</t>
  </si>
  <si>
    <t>CAA CIA - ENNA - 001</t>
  </si>
  <si>
    <t>Reg. Sicilia - IPA Caltanissetta</t>
  </si>
  <si>
    <t>NINFOSI' BARBARA</t>
  </si>
  <si>
    <t>AGEA.ASR.2025.1084204</t>
  </si>
  <si>
    <t>CAA FAPI s.r.l.</t>
  </si>
  <si>
    <t>CAA Fapi - MESSINA - 130</t>
  </si>
  <si>
    <t>CAA FAPI S.R.L.</t>
  </si>
  <si>
    <t>Reg. Sicilia - IPA Messina</t>
  </si>
  <si>
    <t>ARMELI MOCCIA SEBASTIANO</t>
  </si>
  <si>
    <t>AGEA.ASR.2025.1084846</t>
  </si>
  <si>
    <t>CAA CAF AGRI - MESSINA - 224</t>
  </si>
  <si>
    <t>CAA AGRISERVIZI - TRAPANI - 002</t>
  </si>
  <si>
    <t>BRAND DEI NEBRODI SOC. COOP. AGRICOLA</t>
  </si>
  <si>
    <t>CAA Coldiretti - MESSINA - 001</t>
  </si>
  <si>
    <t>CANNISTRA' GIUSEPPE</t>
  </si>
  <si>
    <t>CAA CAF AGRI - SIRACUSA - 221</t>
  </si>
  <si>
    <t>COVATO GIORGIO</t>
  </si>
  <si>
    <t>CAA Liberi Prof.</t>
  </si>
  <si>
    <t>CAA Liberi Prof. - SIRACUSA - 003</t>
  </si>
  <si>
    <t>CAA LIBERI PROFESSIONISTI S.R.L.</t>
  </si>
  <si>
    <t>MONTI ANGIOLETTA</t>
  </si>
  <si>
    <t>AGEA.ASR.2025.1071813</t>
  </si>
  <si>
    <t>APARO GIUSEPPE</t>
  </si>
  <si>
    <t>CAA LiberiAgricoltori srl già CAA AGCI srl</t>
  </si>
  <si>
    <t>CAA LiberiAgricoltori - SIRACUSA - 004</t>
  </si>
  <si>
    <t>AZIENDA AGRICOLA FIDUCIA S.S. SOCIETA' AGRICOLA</t>
  </si>
  <si>
    <t>VINCI SALVATORE</t>
  </si>
  <si>
    <t>CAA Coldiretti - SIRACUSA - 003</t>
  </si>
  <si>
    <t>BELLIO PAOLO</t>
  </si>
  <si>
    <t>CAA CIA - MESSINA - 002</t>
  </si>
  <si>
    <t>CALA' LESINA SEBASTIANO</t>
  </si>
  <si>
    <t>CAA ACLI - MESSINA - 004</t>
  </si>
  <si>
    <t>CONTI TAGUALI TIZIANA</t>
  </si>
  <si>
    <t>CAA CAF AGRI - RAGUSA - 221</t>
  </si>
  <si>
    <t>F.LLI LACOGNATA GIOVANNI E ORAZI</t>
  </si>
  <si>
    <t>CAA Liberi Prof. - CATANIA - 009</t>
  </si>
  <si>
    <t>MARINO SALVATORE</t>
  </si>
  <si>
    <t>CAA Confagricoltura - SIRACUSA - 004</t>
  </si>
  <si>
    <t>FIDUCIA ELVIRA</t>
  </si>
  <si>
    <t>MONACO VINCENZO</t>
  </si>
  <si>
    <t>CAA CIA - CATANIA - 014</t>
  </si>
  <si>
    <t>MONTAGNO FRANCESCO</t>
  </si>
  <si>
    <t>PARASILITI FACCINETTA MIRIAM</t>
  </si>
  <si>
    <t>CAA degli Agricoltori Srl</t>
  </si>
  <si>
    <t>CAA Degli Agricoltori - PALERMO - 101</t>
  </si>
  <si>
    <t>CAA degli AGRICOLTORI Srl</t>
  </si>
  <si>
    <t>AIAVOLASIT GIOVANNA</t>
  </si>
  <si>
    <t>CAA AIC SERVICES - PALERMO - 003</t>
  </si>
  <si>
    <t>ARATA ANTONIO</t>
  </si>
  <si>
    <t>CAA Coldiretti - PALERMO - 006</t>
  </si>
  <si>
    <t>ARCURI GIUSEPPINA</t>
  </si>
  <si>
    <t>CAA Coldiretti - PALERMO - 010</t>
  </si>
  <si>
    <t>CIOLINO FRANCESCA</t>
  </si>
  <si>
    <t>CAA Coldiretti - PALERMO - 003</t>
  </si>
  <si>
    <t>BARBACCIA GIOSAFAT</t>
  </si>
  <si>
    <t>BAUCINA BENEDETTO</t>
  </si>
  <si>
    <t>BELLAVIA GASPARE</t>
  </si>
  <si>
    <t>MARCECA GIUSEPPE</t>
  </si>
  <si>
    <t>CANGIALOSI GIUSI</t>
  </si>
  <si>
    <t>CAA Coldiretti - PALERMO - 001</t>
  </si>
  <si>
    <t>CARRABBA GIUSEPPE</t>
  </si>
  <si>
    <t>CAA CIA - PALERMO - 001</t>
  </si>
  <si>
    <t>CATALANO GIUSEPPA</t>
  </si>
  <si>
    <t>CAVALERI TOMMASO CROCE</t>
  </si>
  <si>
    <t>CAA Confagricoltura - RAGUSA - 002</t>
  </si>
  <si>
    <t>ADAMO MARTELLO VINCENZO S.S.- SOCIETA' AGRICOLA</t>
  </si>
  <si>
    <t>COVATO VINCENZO</t>
  </si>
  <si>
    <t>NICASTRO GIORGIO</t>
  </si>
  <si>
    <t>STRACQUADANIO ROSA</t>
  </si>
  <si>
    <t>CAA AGRISERVIZI - MESSINA - 001</t>
  </si>
  <si>
    <t>DI NATALE ANTONINO</t>
  </si>
  <si>
    <t>CAA LiberiAgricoltori - AGRIGENTO - 002</t>
  </si>
  <si>
    <t>DINO CARMELA</t>
  </si>
  <si>
    <t>CAA Coldiretti - PALERMO - 004</t>
  </si>
  <si>
    <t>FEDE CONCETTINA</t>
  </si>
  <si>
    <t>CAA Confagricoltura - PALERMO - 001</t>
  </si>
  <si>
    <t>FERRARA PIETRO</t>
  </si>
  <si>
    <t>FILIPPELLO LUCIA</t>
  </si>
  <si>
    <t>FILIPPELLO PAOLO</t>
  </si>
  <si>
    <t>CAA CIA - PALERMO - 006</t>
  </si>
  <si>
    <t>FOLISI LUCIA</t>
  </si>
  <si>
    <t>CAA Confagricoltura - CALTANISSETTA - 001</t>
  </si>
  <si>
    <t>GRANATA ANTONINO</t>
  </si>
  <si>
    <t>CAA UNICAA - TRAPANI - 002</t>
  </si>
  <si>
    <t>GRECO PASQUALE GIUSEPPE</t>
  </si>
  <si>
    <t>GUAGLIARDO SALVATORE</t>
  </si>
  <si>
    <t>IANNAZZO SALVATORE</t>
  </si>
  <si>
    <t>LALA FRANCESCO</t>
  </si>
  <si>
    <t>LANZA LEOLUCA</t>
  </si>
  <si>
    <t>MARINO FRANCESCO</t>
  </si>
  <si>
    <t>MAZZOLA MARIA ANTONINA</t>
  </si>
  <si>
    <t>MICELI GIUSEPPE ANTONIO</t>
  </si>
  <si>
    <t>MIGLIACCIO FILIPPA</t>
  </si>
  <si>
    <t>MIGLIAZZO VINCENZO</t>
  </si>
  <si>
    <t>PAN SOCIETA' AGRICOLA SEMPLICE</t>
  </si>
  <si>
    <t>CAA ALPA - PALERMO - 001</t>
  </si>
  <si>
    <t>PINTILII DUTA</t>
  </si>
  <si>
    <t>PORTANOVA GIUSEPPA</t>
  </si>
  <si>
    <t>SINATRA CARMELO</t>
  </si>
  <si>
    <t>CAA Coldiretti - AGRIGENTO - 004</t>
  </si>
  <si>
    <t>Reg. Sicilia - IPA Agrigento</t>
  </si>
  <si>
    <t>AQUILINA GIUSEPPE</t>
  </si>
  <si>
    <t>AGEA.ASR.2025.1033977</t>
  </si>
  <si>
    <t>FAZZINO PIETRO</t>
  </si>
  <si>
    <t>CAA CAF AGRI - AGRIGENTO - 224</t>
  </si>
  <si>
    <t>VENEZIA GIOVANNA</t>
  </si>
  <si>
    <t>MASTROPAOLO VINCENZO</t>
  </si>
  <si>
    <t>D'ABRAMO GINA</t>
  </si>
  <si>
    <t>CAA Coldiretti - BARI - 007</t>
  </si>
  <si>
    <t>D'ONGHIA FRANCESCO</t>
  </si>
  <si>
    <t>MASSERIA TORRE ABBONDANZA SOC.AGR.SEMPL.DEI F.LLI GIUNTA</t>
  </si>
  <si>
    <t>CAA CIA - BARI - 002</t>
  </si>
  <si>
    <t>LOFRESE ANTONIO</t>
  </si>
  <si>
    <t>CAA UNSIC - BARI - 004</t>
  </si>
  <si>
    <t>LAMACCHIA GIUSEPPINA</t>
  </si>
  <si>
    <t>LOBASCIO ANTONIO</t>
  </si>
  <si>
    <t>DI MARIA SANTO</t>
  </si>
  <si>
    <t>AGEA.ASR.2025.1033336</t>
  </si>
  <si>
    <t>CAA LiberiAgricoltori - ENNA - 003</t>
  </si>
  <si>
    <t>ROVELLO VINCENZO</t>
  </si>
  <si>
    <t>SICILIANO GRAZIA</t>
  </si>
  <si>
    <t>INGRAFFIA GIUSEPPE</t>
  </si>
  <si>
    <t>MARRETTA GIUSEPPA</t>
  </si>
  <si>
    <t>CAA CIA - ENNA - 011</t>
  </si>
  <si>
    <t>TAORMINA PAOLA</t>
  </si>
  <si>
    <t>ADDAMO SALVO</t>
  </si>
  <si>
    <t>CAA AGRISERVIZI - ENNA - 002</t>
  </si>
  <si>
    <t>AMATORE PAOLO</t>
  </si>
  <si>
    <t>GANCI SALVATORE</t>
  </si>
  <si>
    <t>LO.BA. SOCIETA' SEMPLICE</t>
  </si>
  <si>
    <t>CAA Confagricoltura - SIRACUSA - 001</t>
  </si>
  <si>
    <t>CAA CIA - CATANIA - 001</t>
  </si>
  <si>
    <t>GIANSIRACUSA PAOLO</t>
  </si>
  <si>
    <t>CAA UNSIC - SIRACUSA - 003</t>
  </si>
  <si>
    <t>GIONFRIDDO GIUSEPPE</t>
  </si>
  <si>
    <t>LA TERRA GIORGIO</t>
  </si>
  <si>
    <t>LA VALLATA DELL'ACREMONTE SOC. SEMPL. AGR.</t>
  </si>
  <si>
    <t>LO MONACO GIAN PAOLO</t>
  </si>
  <si>
    <t>NOLFO MATTEO</t>
  </si>
  <si>
    <t>ROSSITTO SOFIA</t>
  </si>
  <si>
    <t>SCARNA' PIER PAOLO</t>
  </si>
  <si>
    <t>ZOCCO EMANUELE</t>
  </si>
  <si>
    <t>ACCOMANDO MARINA</t>
  </si>
  <si>
    <t>ARCA.BIO SOCIETA' SEMPLICE AGRICOLA</t>
  </si>
  <si>
    <t>ARCURI PIETRO</t>
  </si>
  <si>
    <t>AZ. AGR. CANNELLA S.S.A. DI GIUSEPPE SALVATORE E LUCIA</t>
  </si>
  <si>
    <t>AZIENDA AGRICOLA CANGIALOSI SOCIETA' SEMPLICE AGRICOLA</t>
  </si>
  <si>
    <t>AZIENDA AGRICOLA FRATELLI REALMUTO SOCIETA' SEMPL</t>
  </si>
  <si>
    <t>BIONATURA SOCIETA' AGRICOLA SRL</t>
  </si>
  <si>
    <t>CIRRITO GIUSEPPE</t>
  </si>
  <si>
    <t>CAA CAF AGRI - PALERMO - 222</t>
  </si>
  <si>
    <t>DI GIORGIO MARIANNA</t>
  </si>
  <si>
    <t>BOCCELLATO CALOGERO</t>
  </si>
  <si>
    <t>CAA FENAPI srl</t>
  </si>
  <si>
    <t>CAA FENAPI - PALERMO - 005</t>
  </si>
  <si>
    <t>DI BELLA SANTINA</t>
  </si>
  <si>
    <t>BOCCELLATO PIETRO</t>
  </si>
  <si>
    <t>BONGIORNO GIUSEPPE</t>
  </si>
  <si>
    <t>CALDARELLA GASPARE</t>
  </si>
  <si>
    <t>CANNELLA GIUSEPPE</t>
  </si>
  <si>
    <t>CANNIZZARO DOMENICO</t>
  </si>
  <si>
    <t>CORTICCHIA CIRA</t>
  </si>
  <si>
    <t>CACCAMO RAFFAELE</t>
  </si>
  <si>
    <t>DI MAGGIO ROSARIO</t>
  </si>
  <si>
    <t>CAA UNICAA - CATANIA - 005</t>
  </si>
  <si>
    <t>FRANCO FRANCESCO</t>
  </si>
  <si>
    <t>DI MARTINO ANTONINO</t>
  </si>
  <si>
    <t>DRAGO GIUSEPPE</t>
  </si>
  <si>
    <t>FERINA MARIA CRISTINA</t>
  </si>
  <si>
    <t>FILIPPELLO GIUSEPPE</t>
  </si>
  <si>
    <t>MARCIANTI GIUSEPPA</t>
  </si>
  <si>
    <t>SOC.AGR.S.VENERA BESI DI GENDUSA G. &amp; C. S.S.</t>
  </si>
  <si>
    <t>FIORINO GUIDO</t>
  </si>
  <si>
    <t>IANNAZZO CIRO</t>
  </si>
  <si>
    <t>ILARDO VINCENZO</t>
  </si>
  <si>
    <t>LA BARBERA GIUSEPPE</t>
  </si>
  <si>
    <t>LA BARBERA SALVATORE</t>
  </si>
  <si>
    <t>LAGATTUTA CARMELO</t>
  </si>
  <si>
    <t>LO BUE PASQUALINO</t>
  </si>
  <si>
    <t>ROMANO LUCIA</t>
  </si>
  <si>
    <t>LO FASO SALVATORE</t>
  </si>
  <si>
    <t>LUCIA GIUSEPPE</t>
  </si>
  <si>
    <t>CAA FENAPI S.R.L.</t>
  </si>
  <si>
    <t>NASCA ROSARIO</t>
  </si>
  <si>
    <t>POLLINA NICOLO'</t>
  </si>
  <si>
    <t>CAA Coldiretti - MESSINA - 003</t>
  </si>
  <si>
    <t>MARCECA SALVATORE</t>
  </si>
  <si>
    <t>MARRETTA FILIPPO GIUSEPPE</t>
  </si>
  <si>
    <t>MILAZZO GIUSEPPE</t>
  </si>
  <si>
    <t>MUFFOLETTO EPIFANIO GIOVANNI</t>
  </si>
  <si>
    <t>ODDO MARIANO</t>
  </si>
  <si>
    <t>PECORARO SALVATORE STEFANO</t>
  </si>
  <si>
    <t>POMILLA ANGELO</t>
  </si>
  <si>
    <t>PUCCIA PINA</t>
  </si>
  <si>
    <t>RAMACCIA GIUSEPPA RITA</t>
  </si>
  <si>
    <t>ROCCA DI BRONTE DEI F.LLI D'IPPOLITO S.S.A.</t>
  </si>
  <si>
    <t>ROTONDI ANTONIETTA</t>
  </si>
  <si>
    <t>SCELSI MARIANO</t>
  </si>
  <si>
    <t>SOCIETA' AGRICOLA DELLE TERRE DEL SUD S.S.</t>
  </si>
  <si>
    <t>SOCIETA' AGRICOLA F.LLI D'AIUTO S.N.C. DI D'AIUTO LAURA E D'AIUTO FRAN</t>
  </si>
  <si>
    <t>SOCIETA' AGRICOLA FRATELLI SCALISI SS</t>
  </si>
  <si>
    <t>CAA Coldiretti - ENNA - 002</t>
  </si>
  <si>
    <t>SOCIETA' AGRICOLA GIORDANO 2010 S.S.</t>
  </si>
  <si>
    <t>SOCIETA' AGRICOLA MASSERIA BARBACCIA DI FILIPPO E VINCENZO BARB ACCIA</t>
  </si>
  <si>
    <t>SOCIETA' AGRICOLA RAMA TORTA SOCIETA' A RESPONSABILITA' LIMITATAS EMPL</t>
  </si>
  <si>
    <t>SOCIETA' SEMPLICE AGRICOLA GORGO DEL DRAGO</t>
  </si>
  <si>
    <t>CAA Coldiretti - ENNA - 004</t>
  </si>
  <si>
    <t>RASPANTI MICHELE</t>
  </si>
  <si>
    <t>AGEA.ASR.2025.1046505</t>
  </si>
  <si>
    <t>TERRE DI BALATE DEI FRATELLI MACALUSO S.S.A</t>
  </si>
  <si>
    <t>TUMMINELLO GIANFRANCO</t>
  </si>
  <si>
    <t>CAA Coldiretti - AGRIGENTO - 008</t>
  </si>
  <si>
    <t>FICARROTTA PIETRO</t>
  </si>
  <si>
    <t>PUMILIA LORENZO</t>
  </si>
  <si>
    <t>IN PROPRIO</t>
  </si>
  <si>
    <t>BONOMO SPITALE GIUSEPPA</t>
  </si>
  <si>
    <t>CAA Liberi Prof. - CATANIA - 002</t>
  </si>
  <si>
    <t>CORSARO VINCENZO</t>
  </si>
  <si>
    <t>CAA AGRISERVIZI - ENNA - 003</t>
  </si>
  <si>
    <t>DI MARCO PIETRO</t>
  </si>
  <si>
    <t>CAA CAF AGRI - ENNA - 222</t>
  </si>
  <si>
    <t>PALERMO GIUSI</t>
  </si>
  <si>
    <t>SANSONE CATERINA</t>
  </si>
  <si>
    <t>SEMINARA ALESSANDRO</t>
  </si>
  <si>
    <t>VIOLA PATRIZIA</t>
  </si>
  <si>
    <t>AZ.AGR.LICITRA MANUELE E GIANCARLO S.S.</t>
  </si>
  <si>
    <t>AGEA.ASR.2025.1082387</t>
  </si>
  <si>
    <t>CAA UNSIC - RAGUSA - 005</t>
  </si>
  <si>
    <t>BONOMO PATRIZIA</t>
  </si>
  <si>
    <t>CAA AGRISERVIZI - AGRIGENTO - 004</t>
  </si>
  <si>
    <t>MICELI ENZA</t>
  </si>
  <si>
    <t>AGEA.ASR.2025.1082512</t>
  </si>
  <si>
    <t>PUCCIO VINCENZO</t>
  </si>
  <si>
    <t>CAA Confagricoltura - AGRIGENTO - 006</t>
  </si>
  <si>
    <t>PALMINTERI ANTONIO</t>
  </si>
  <si>
    <t>PAGLIAZZO DALILA</t>
  </si>
  <si>
    <t>AGEA.ASR.2025.1084528</t>
  </si>
  <si>
    <t>CAA Confagricoltura - RAGUSA - 001</t>
  </si>
  <si>
    <t>CAA LiberiAgricoltori - RAGUSA - 005</t>
  </si>
  <si>
    <t>TRAINA SALVATORE</t>
  </si>
  <si>
    <t>UMBRIA</t>
  </si>
  <si>
    <t>CAA CIA - PERUGIA - 004</t>
  </si>
  <si>
    <t>Regione Umbria - Ente regionale</t>
  </si>
  <si>
    <t>ALBERTI GUIDO</t>
  </si>
  <si>
    <t>AGEA.ASR.2025.1065324</t>
  </si>
  <si>
    <t>CAA Liberi Professionisti - PERUGIA - 002</t>
  </si>
  <si>
    <t>BECELLI FABRIZIO</t>
  </si>
  <si>
    <t>CAA Confagricoltura - PERUGIA - 003</t>
  </si>
  <si>
    <t>CERBELLA DAVIDE</t>
  </si>
  <si>
    <t>SOCIETA' AGRICOLA E AGRITURISTICA LA QUERCIA DEL PENTIMENTO SOCIETA' S</t>
  </si>
  <si>
    <t>SPATOLA CLAUDIA</t>
  </si>
  <si>
    <t>CAA UNICAA - PERUGIA - 008</t>
  </si>
  <si>
    <t>GAUDENZI SOCIETA' AGRICOLA SEMPLICE</t>
  </si>
  <si>
    <t>AGEA.ASR.2025.1037192</t>
  </si>
  <si>
    <t>ABRUZZO</t>
  </si>
  <si>
    <t>CAA Confagricoltura - L'AQUILA - 001</t>
  </si>
  <si>
    <t>SER. TERRITORIALE PER L'AGRICOLTURA ABRUZZO OVEST</t>
  </si>
  <si>
    <t>GIORDANO MASSA DE CAPITE ANDREADOMENICO</t>
  </si>
  <si>
    <t>AGEA.ASR.2025.1068394</t>
  </si>
  <si>
    <t>BASILICATA</t>
  </si>
  <si>
    <t>CAA UNICAA - POTENZA - 012</t>
  </si>
  <si>
    <t>ARBEA SEDE DI POTENZA</t>
  </si>
  <si>
    <t>DI TUCCIO RAFFAELE</t>
  </si>
  <si>
    <t>AGEA.ASR.2025.1037765</t>
  </si>
  <si>
    <t>CAA Confagricoltura - POTENZA - 001</t>
  </si>
  <si>
    <t>TAMBURRIELLO RAFFAELE</t>
  </si>
  <si>
    <t>ZACCAGNINO LUCIANO</t>
  </si>
  <si>
    <t>CAMPANIA</t>
  </si>
  <si>
    <t>CAA Confagricoltura - SALERNO - 003</t>
  </si>
  <si>
    <t>Reg. Campania - UOD 52 06 19 Serv. terr. prov. SA</t>
  </si>
  <si>
    <t>CERTINI DAVIDE</t>
  </si>
  <si>
    <t>AGEA.ASR.2025.1043565</t>
  </si>
  <si>
    <t>CAA Coldiretti - CASERTA - 007</t>
  </si>
  <si>
    <t>Reg. Campania - UOD 52 06 17 Serv. terr. prov. CE</t>
  </si>
  <si>
    <t>COMPOSTELLA SOCIETA' AGRICOLA SRL</t>
  </si>
  <si>
    <t>DURANTE MASSIMILIANO</t>
  </si>
  <si>
    <t>ZOOTECNIA PAPA DI UMBERTO &amp; GIROLAMO PAPA S.S.</t>
  </si>
  <si>
    <t>Reg. Sicilia - IPA Trapani</t>
  </si>
  <si>
    <t>CRESCENTE PIETRO</t>
  </si>
  <si>
    <t>AGEA.ASR.2025.1046579</t>
  </si>
  <si>
    <t>CAA FENAPI - TRAPANI - 008</t>
  </si>
  <si>
    <t>LOMBARDO FRANCO LIBORIO</t>
  </si>
  <si>
    <t>CAA Coldiretti - TRAPANI - 002</t>
  </si>
  <si>
    <t>MENDOLIA DAMIANO LEONARDO</t>
  </si>
  <si>
    <t>CAA CAF AGRI - TRAPANI - 221</t>
  </si>
  <si>
    <t>MISERENDINO SALVATORE</t>
  </si>
  <si>
    <t>SOCIETA' AGRICOLA TERRE IN FIORE S.R.L.</t>
  </si>
  <si>
    <t>CAA CIA - TERNI - 001</t>
  </si>
  <si>
    <t>FATTORIA SAN CARLO DI MORELLI MARINO E GIUSEPPE S.N.C.</t>
  </si>
  <si>
    <t>MILITELLO GIUSEPPE</t>
  </si>
  <si>
    <t>NATURA DI COCO GIUSEPPE SOCIETA' SEMPLICE AGRICOLA</t>
  </si>
  <si>
    <t>NICOLETTI SALVATORE</t>
  </si>
  <si>
    <t>ORLANDO ANTONINO</t>
  </si>
  <si>
    <t>PIRRONE ANGELO</t>
  </si>
  <si>
    <t>PIZZO BENEDETTA</t>
  </si>
  <si>
    <t>RESTIVO GIROLAMO</t>
  </si>
  <si>
    <t>SALETTA ANTONINO</t>
  </si>
  <si>
    <t>SALVAGIO ANNA</t>
  </si>
  <si>
    <t>CAA AIC SERVICES - PALERMO - 002</t>
  </si>
  <si>
    <t>SCALZO ANTONINO</t>
  </si>
  <si>
    <t>SOCIETA' AGRICOLA PAL.MI.SA. SRL</t>
  </si>
  <si>
    <t>SOCIETA' AGRICOLA MIGAIDO SRL</t>
  </si>
  <si>
    <t>SOCIETA' AGRICOLA SEMPLICE " ANTICA MASSERIA LUPOTTO" S.S</t>
  </si>
  <si>
    <t>CAA CIA - AGRIGENTO - 022</t>
  </si>
  <si>
    <t>RUSSOTTO ONOFRIO</t>
  </si>
  <si>
    <t>VASSALLO GIOVANNI</t>
  </si>
  <si>
    <t>CAA FENAPI - RAGUSA - 003</t>
  </si>
  <si>
    <t>AGOSTA ORAZIO</t>
  </si>
  <si>
    <t>CIACCIO NICOLO' GIUSEPPE</t>
  </si>
  <si>
    <t>FARINA MARIA</t>
  </si>
  <si>
    <t>CAA Coldiretti - ENNA - 001</t>
  </si>
  <si>
    <t>BAIUNCO DARIO ANGELO</t>
  </si>
  <si>
    <t>RISALVATO LEONARDO ROSARIO</t>
  </si>
  <si>
    <t>CAA Confagricoltura - AGRIGENTO - 001</t>
  </si>
  <si>
    <t>ZARBO MARIA GIUSEPPA</t>
  </si>
  <si>
    <t>BERNUNZO MICHAEL</t>
  </si>
  <si>
    <t>CAA CIA - ENNA - 009</t>
  </si>
  <si>
    <t>BONGIOVI' CALOGERO</t>
  </si>
  <si>
    <t>GALLINA FRANCESCA</t>
  </si>
  <si>
    <t>PURRAZZELLA FRANCESCA</t>
  </si>
  <si>
    <t>AGRICOLA NERA DI ELENA VITALI ROSATI E C. SOCIETA' AGRICOLA S.A.S</t>
  </si>
  <si>
    <t>CAA CIA - PERUGIA - 002</t>
  </si>
  <si>
    <t>ANTONELLI FABIO</t>
  </si>
  <si>
    <t>CAA Confagricoltura - PERUGIA - 002</t>
  </si>
  <si>
    <t>BATTISTINI GIANNI</t>
  </si>
  <si>
    <t>CAA Coldiretti - PERUGIA - 001</t>
  </si>
  <si>
    <t>BETTI GIAMPAOLO</t>
  </si>
  <si>
    <t>CAA CAF AGRI - PERUGIA - 221</t>
  </si>
  <si>
    <t>BISOGNI ARAMIS</t>
  </si>
  <si>
    <t>BISOGNI RENATO</t>
  </si>
  <si>
    <t>CAA Confagricoltura - TERNI - 002</t>
  </si>
  <si>
    <t>BUZZICO ELISA</t>
  </si>
  <si>
    <t>CARDARELLI ANASTASIA</t>
  </si>
  <si>
    <t>CARISSIMI BRUNO</t>
  </si>
  <si>
    <t>CAROBELLI DINO</t>
  </si>
  <si>
    <t>FATICA GIULIA</t>
  </si>
  <si>
    <t>FATTORIA DI MONTICELLO SOC. AGR.</t>
  </si>
  <si>
    <t>GRIGI ALLEVAMENTI SOCIETA' AGRICOLA S.R.L.</t>
  </si>
  <si>
    <t>ROTICIANI STEFANO</t>
  </si>
  <si>
    <t>SANTINI GIACOMO</t>
  </si>
  <si>
    <t>SERRANI STEFANO</t>
  </si>
  <si>
    <t>SOCIETA' AGRICOLA FRATELLI CROCCHIANTI S.S.</t>
  </si>
  <si>
    <t>TRAPPETTI MARCO</t>
  </si>
  <si>
    <t>CAA Coldiretti - TERNI - 003</t>
  </si>
  <si>
    <t>BASSETTI TOMMASO</t>
  </si>
  <si>
    <t>CAA Coldiretti - RIETI - 003</t>
  </si>
  <si>
    <t>PETRUCCI FABRIZIO</t>
  </si>
  <si>
    <t>CAA Confagricoltura - PERUGIA - 006</t>
  </si>
  <si>
    <t>SOCIETA' AGRICOLA REGOLI SOCIETA' SEMPLICE</t>
  </si>
  <si>
    <t>AGEA.ASR.2025.1039435</t>
  </si>
  <si>
    <t>MOLISE</t>
  </si>
  <si>
    <t>CAA CAF AGRI - CAMPOBASSO - 221</t>
  </si>
  <si>
    <t>ENTE ISTRUTTORE REGIONE MOLISE</t>
  </si>
  <si>
    <t>NIRO GIOVANNI</t>
  </si>
  <si>
    <t>FANTAUZZI MARTINA</t>
  </si>
  <si>
    <t>AGEA.ASR.2025.1068309</t>
  </si>
  <si>
    <t>CAA Coldiretti - L'AQUILA - 005</t>
  </si>
  <si>
    <t>AZIENDA AGRICOLA F.LLI MARRONARO LINO E RODOLFO SOCIETA' SEMPLICE SOCI</t>
  </si>
  <si>
    <t>CAA Coldiretti - L'AQUILA - 007</t>
  </si>
  <si>
    <t>PELINI ALESSANDRO</t>
  </si>
  <si>
    <t>SOLLITTO MARIA CARMELA</t>
  </si>
  <si>
    <t>CAA UNSIC - CASERTA - 004</t>
  </si>
  <si>
    <t>BERNINI LUIGI</t>
  </si>
  <si>
    <t>CAA UNSIC - CASERTA - 002</t>
  </si>
  <si>
    <t>MARTINO ELENA</t>
  </si>
  <si>
    <t>AGEA.ASR.2025.1072084</t>
  </si>
  <si>
    <t>BELARDO MARIO</t>
  </si>
  <si>
    <t>AGEA.ASR.2025.1087205</t>
  </si>
  <si>
    <t>CAA CIA - CASERTA - 006</t>
  </si>
  <si>
    <t>MARTINO SALVATORE</t>
  </si>
  <si>
    <t>PEZONE CARMELA</t>
  </si>
  <si>
    <t>CAA UNICAA - BENEVENTO - 001</t>
  </si>
  <si>
    <t>TENUTA LONDI S.R.L. SOCIETA' AGRICOLA</t>
  </si>
  <si>
    <t>SOCIETA AGRICOLA TELARO SRL</t>
  </si>
  <si>
    <t>CAA CAF AGRI - CASERTA - 221</t>
  </si>
  <si>
    <t>CAPRIO PASQUALESILVIO</t>
  </si>
  <si>
    <t>AGEA.ASR.2025.1043207</t>
  </si>
  <si>
    <t>CAA Confagricoltura - CASERTA - 001</t>
  </si>
  <si>
    <t>MARGIORE ANTONIO</t>
  </si>
  <si>
    <t>CAA C.A.N.A.P.A. - CASERTA - 005</t>
  </si>
  <si>
    <t>NIOLA GIOVANNI</t>
  </si>
  <si>
    <t>RIVETTI MARIA</t>
  </si>
  <si>
    <t>CAA LiberiAgricoltori - TRAPANI - 007</t>
  </si>
  <si>
    <t>MESSINA CASTRENZE</t>
  </si>
  <si>
    <t>CAA LiberiAgricoltori - MACERATA - 006</t>
  </si>
  <si>
    <t>CARAFFA EDOARDO</t>
  </si>
  <si>
    <t>AGEA.ASR.2025.0919709</t>
  </si>
  <si>
    <t>LOSAVIO GIACOMO</t>
  </si>
  <si>
    <t>CAA Confagricoltura - ASCOLI PICENO - 001</t>
  </si>
  <si>
    <t>SERV. DEC. AGRICOLTURA E ALIM. -ASCOLI PICENO</t>
  </si>
  <si>
    <t>PROSPERI STEFANO</t>
  </si>
  <si>
    <t>CARDI TERESA</t>
  </si>
  <si>
    <t>CAA Liberi Prof. - NAPOLI - 001</t>
  </si>
  <si>
    <t>Reg. Campania - UOD 52 06 15 Serv. terr. prov. AV</t>
  </si>
  <si>
    <t>LONGOBARDI INCORONATA</t>
  </si>
  <si>
    <t>AGEA.ASR.2025.1031688</t>
  </si>
  <si>
    <t>AGEA.ASR.2025.1088597</t>
  </si>
  <si>
    <t>GALATI GIORDANO LUCA</t>
  </si>
  <si>
    <t>GALATI GIORDANO SEBASTIANO</t>
  </si>
  <si>
    <t>CAA FENAPI - MESSINA - 013</t>
  </si>
  <si>
    <t>NIVOSO FORTUNATO</t>
  </si>
  <si>
    <t>CAA FENAPI - MESSINA - 006</t>
  </si>
  <si>
    <t>PRUITI CIARELLO STEFANO</t>
  </si>
  <si>
    <t>Reg. Campania - UOD 52 06 16 Serv. terr. prov. BN</t>
  </si>
  <si>
    <t>SOCIETA' AGRICOLA DUE ELLE SOCIETA' SEMPLICE</t>
  </si>
  <si>
    <t>AGEA.ASR.2025.1093537</t>
  </si>
  <si>
    <t>FILIPPONI LUIGI</t>
  </si>
  <si>
    <t>LEONI MARA</t>
  </si>
  <si>
    <t>CAA CIA - PERUGIA - 009</t>
  </si>
  <si>
    <t>LUCULLI ANGELO</t>
  </si>
  <si>
    <t>PERILLI PIETRO</t>
  </si>
  <si>
    <t>SOCIETA' AGRICOLA "PISANU" S.S.</t>
  </si>
  <si>
    <t>MAGARINI FILIPPO</t>
  </si>
  <si>
    <t>SOCIETA' AGRICOLA DEGLI ANGELI S.S.</t>
  </si>
  <si>
    <t>MENCARELLI BRUNO</t>
  </si>
  <si>
    <t>CAA CIA - PERUGIA - 001</t>
  </si>
  <si>
    <t>MOLINI POPOLARI RIUNITI ELLERA UMBERTIDE SOCIETA' COOPERATIVA AGRICOLA</t>
  </si>
  <si>
    <t>CAA CIA - PERUGIA - 005</t>
  </si>
  <si>
    <t>OLIVIERI LAURA</t>
  </si>
  <si>
    <t>PANFILI VALENTINA</t>
  </si>
  <si>
    <t>ROSATI ROBERTO</t>
  </si>
  <si>
    <t>ROSSI GISELDA</t>
  </si>
  <si>
    <t>SANTINI FRANCESCA</t>
  </si>
  <si>
    <t>SCIACCALUGA JENNY</t>
  </si>
  <si>
    <t>SOCIETA' AGRICOLA CASTEL D'ALFIOLO S.R.L.</t>
  </si>
  <si>
    <t>CAA CIA - TERNI - 002</t>
  </si>
  <si>
    <t>SOCIETA' AGRICOLA CERCHECCI SIMONE &amp; C. S.S.</t>
  </si>
  <si>
    <t>CAA Coldiretti - PERUGIA - 008</t>
  </si>
  <si>
    <t>SOCIETA' AGRICOLA ERCOLI RAFFAELLO E MARCO S.S.</t>
  </si>
  <si>
    <t>SOCIETA' AGRICOLA F.LLI ROSATI QUINTO ED ANGELO S.S.</t>
  </si>
  <si>
    <t>SOCIETA' AGRICOLA FRATELLI LEOANRDI SOCIETA' SEMPLICE</t>
  </si>
  <si>
    <t>SOCIETA' AGRICOLA LE CASELLE S.S.</t>
  </si>
  <si>
    <t>SOCIETA' AGRICOLA VILLAMAGNA E TROPPOLA S.S.</t>
  </si>
  <si>
    <t>SOCIETA' COOPERATIVA AGRICOLA ZOOTECNICA EUGUBINA CARESTELLO</t>
  </si>
  <si>
    <t>SOLOBRADO SOCIETA' AGRICOLA A RESPONSABILITA' LIMITATA SIGLA: SOLOBRAD</t>
  </si>
  <si>
    <t>CAA Confagricoltura - PERUGIA - 001</t>
  </si>
  <si>
    <t>SOCIETA' AGRICOLA FONTANELLE SOCIETA' SEMPLICE</t>
  </si>
  <si>
    <t>AGEA.ASR.2025.1039375</t>
  </si>
  <si>
    <t>CAA Coldiretti - TERNI - 006</t>
  </si>
  <si>
    <t>VIVAIO CASTELCHIARO DI FRANCISCI ORIANA SOCIETA' SEMPLICE AGRICOLA</t>
  </si>
  <si>
    <t>CAA Confagricoltura - PERUGIA - 004</t>
  </si>
  <si>
    <t>ANTONELLI SAN MARCO S.S. SOCIETA' AGRICOLA</t>
  </si>
  <si>
    <t>CAA CIA - PERUGIA - 006</t>
  </si>
  <si>
    <t>CAMBIOTTI ROBERTO</t>
  </si>
  <si>
    <t>SOCIETA' AGRICOLA LA VENTIA SS</t>
  </si>
  <si>
    <t>CAA CIA - PERUGIA - 007</t>
  </si>
  <si>
    <t>SAMPAOLO GRAZIANO</t>
  </si>
  <si>
    <t>VALLE D'AOSTA</t>
  </si>
  <si>
    <t>CAA Coldiretti - AOSTA - 005</t>
  </si>
  <si>
    <t>ENTE VALLE D'AOSTA</t>
  </si>
  <si>
    <t>PECCO CAMILLO</t>
  </si>
  <si>
    <t>AGEA.ASR.2025.1070280</t>
  </si>
  <si>
    <t>CAA CIA - MATERA - 003</t>
  </si>
  <si>
    <t>ARBEA SEDE DI MATERA</t>
  </si>
  <si>
    <t>LAMAINA ENRICHETTA</t>
  </si>
  <si>
    <t>AGEA.ASR.2025.1033137</t>
  </si>
  <si>
    <t>CAA Coldiretti - AVELLINO - 009</t>
  </si>
  <si>
    <t>SALVIO ALESSANDRA</t>
  </si>
  <si>
    <t>AGEA.ASR.2025.1031674</t>
  </si>
  <si>
    <t>SOCIETA' AGRICOLA COLLE PENNACCHIO S.S.</t>
  </si>
  <si>
    <t>CAA Coldiretti - L'AQUILA - 001</t>
  </si>
  <si>
    <t>CAMERLENGO FERNANDO</t>
  </si>
  <si>
    <t>D'AMORE FRANCO</t>
  </si>
  <si>
    <t>DE ROCCIS DANIELE</t>
  </si>
  <si>
    <t>CAA Coldiretti - POTENZA - 015</t>
  </si>
  <si>
    <t>CASTRONUOVO GAETANO</t>
  </si>
  <si>
    <t>AGEA.ASR.2025.1033119</t>
  </si>
  <si>
    <t>CAA Coldiretti - POTENZA - 009</t>
  </si>
  <si>
    <t>PETITO ANTONIO</t>
  </si>
  <si>
    <t>CAA FENAPI - POTENZA - 002</t>
  </si>
  <si>
    <t>CAA Coldiretti - POTENZA - 027</t>
  </si>
  <si>
    <t>DI CONSOLI GIANPIERO</t>
  </si>
  <si>
    <t>CAA Coldiretti - POTENZA - 003</t>
  </si>
  <si>
    <t>GIORDANO SAVERIO</t>
  </si>
  <si>
    <t>CAA Confagricoltura - BARLETTA-ANDRIA-TRANI - 014</t>
  </si>
  <si>
    <t>GRASSI CATERINA</t>
  </si>
  <si>
    <t>CAA Coldiretti - POTENZA - 022</t>
  </si>
  <si>
    <t>GRUOSSO GIUSEPPE</t>
  </si>
  <si>
    <t>CAA Coldiretti - POTENZA - 026</t>
  </si>
  <si>
    <t>MAIO LUCIANO</t>
  </si>
  <si>
    <t>RINALDI DONATO</t>
  </si>
  <si>
    <t>PETITO MAURIZIO</t>
  </si>
  <si>
    <t>GRANATA MARIA</t>
  </si>
  <si>
    <t>CAA Coldiretti - CASERTA - 019</t>
  </si>
  <si>
    <t>MARTUCCI GIOVANNI</t>
  </si>
  <si>
    <t>PETRELLA FRANCESCO</t>
  </si>
  <si>
    <t>CAA Coldiretti - CASERTA - 020</t>
  </si>
  <si>
    <t>RISTALDO MARIA</t>
  </si>
  <si>
    <t>CAA Coldiretti - CASERTA - 018</t>
  </si>
  <si>
    <t>ZARA ANTIMO</t>
  </si>
  <si>
    <t>TRAETTO CUSTODIA</t>
  </si>
  <si>
    <t>CAA CAF AGRI - SALERNO - 223</t>
  </si>
  <si>
    <t>ALLEVAMENTI SALERNITANI SOCIETA' AGRICOLA SEMPLICE</t>
  </si>
  <si>
    <t>AMICO ENRICO</t>
  </si>
  <si>
    <t>CAA CIA - CASERTA - 001</t>
  </si>
  <si>
    <t>PAGANO ARTURO</t>
  </si>
  <si>
    <t>CAA CIA - SALERNO - 004</t>
  </si>
  <si>
    <t>SUDANO MARIA</t>
  </si>
  <si>
    <t>CAA Coldiretti - CASERTA - 014</t>
  </si>
  <si>
    <t>ANTUONO MARIO</t>
  </si>
  <si>
    <t>BUONANNO PETRILLO CHIARA</t>
  </si>
  <si>
    <t>CAA UNSIC - CASERTA - 005</t>
  </si>
  <si>
    <t>CAPRIO FRANCESCO</t>
  </si>
  <si>
    <t>DE SIMONE COSTANTINO</t>
  </si>
  <si>
    <t>FOLCO MARIA CIVITA</t>
  </si>
  <si>
    <t>CIMMINO GUIDO</t>
  </si>
  <si>
    <t>IANNALFO VINCENZINO</t>
  </si>
  <si>
    <t>ANTIGNANO ANTONIO</t>
  </si>
  <si>
    <t>CAA UNICAA - CASERTA - 003</t>
  </si>
  <si>
    <t>BATTILOMO GENNARO</t>
  </si>
  <si>
    <t>COOP. AGRICOLA " LA MARGHERITA "</t>
  </si>
  <si>
    <t>CAA LiberiAgricoltori - NAPOLI - 002</t>
  </si>
  <si>
    <t>GUARINO CARMINE</t>
  </si>
  <si>
    <t>PAGLIARO ANTONIETTA</t>
  </si>
  <si>
    <t>PETRILLO FRANCESCO</t>
  </si>
  <si>
    <t>ROBBIO ANTONIO</t>
  </si>
  <si>
    <t>CAA Confagricoltura - ROMA - 001</t>
  </si>
  <si>
    <t>AMM. DELLA COMUNIONE EREDITARIA DEL CAV. AL LAVORO ROMOLO VASELLI SOC.</t>
  </si>
  <si>
    <t>MANGIARACINA CARLO</t>
  </si>
  <si>
    <t>VELLA NICOLA</t>
  </si>
  <si>
    <t>VELLA PAOLA</t>
  </si>
  <si>
    <t>CAA LiberiAgricoltori - BENEVENTO - 002</t>
  </si>
  <si>
    <t>VERRILLI GIOVANNI</t>
  </si>
  <si>
    <t>VITTORIOSO GRAZIA</t>
  </si>
  <si>
    <t>ZERILLO ROSA</t>
  </si>
  <si>
    <t>DI CAMILLO FEDERICO</t>
  </si>
  <si>
    <t>AGEA.ASR.2025.1039557</t>
  </si>
  <si>
    <t>PELLACANI PAOLA</t>
  </si>
  <si>
    <t>RANIERI ERNESTA MARIA</t>
  </si>
  <si>
    <t>CAA Coldiretti - PERUGIA - 003</t>
  </si>
  <si>
    <t>SOCIETA' AGRICOLA ASCINA DI FAUSTO GIUSEPPE &amp; C. SOCIETA' SEMPLICE</t>
  </si>
  <si>
    <t>CAA CIA - AVELLINO - 007</t>
  </si>
  <si>
    <t>LO CONTE VINCENZO</t>
  </si>
  <si>
    <t>CAA CIA - AVELLINO - 008</t>
  </si>
  <si>
    <t>NIGRO ANTONIO</t>
  </si>
  <si>
    <t>CAA CIA - AVELLINO - 002</t>
  </si>
  <si>
    <t>PAGLIARO ANTONELLA</t>
  </si>
  <si>
    <t>CALANNI MACCHIO SEBASTIANO</t>
  </si>
  <si>
    <t>CALI' ORAZIO SALVATORE</t>
  </si>
  <si>
    <t>CATALANO PUMA GIOVANNI</t>
  </si>
  <si>
    <t>FOTI SANTO</t>
  </si>
  <si>
    <t>FRA.LLI GULLOTTI SOCIETA' AGRICOLA SEMPLICE</t>
  </si>
  <si>
    <t>LA PERLA DEI NEBRODI SOCIETA' AGRICOLA A RESPONSABILITA' LIMITATA SEMP</t>
  </si>
  <si>
    <t>CAA CAF AGRI - MESSINA - 222</t>
  </si>
  <si>
    <t>LIUZZO SCORPO PATRIZIA</t>
  </si>
  <si>
    <t>IUCULANO MARIA GIUSI</t>
  </si>
  <si>
    <t>LEANZA FRANCESCO</t>
  </si>
  <si>
    <t>FRANCESCONI SILVANO</t>
  </si>
  <si>
    <t>AGEA.ASR.2025.1052560</t>
  </si>
  <si>
    <t>KSIEZARCZYK ROMUALDA</t>
  </si>
  <si>
    <t>CAA Coldiretti - RIETI - 001</t>
  </si>
  <si>
    <t>PICA ARNALDO DARIO</t>
  </si>
  <si>
    <t>LAURETTI GIUSEPPE</t>
  </si>
  <si>
    <t>AGEA.ASR.2025.1071922</t>
  </si>
  <si>
    <t>ABBATE CARMELO</t>
  </si>
  <si>
    <t>AGEA.ASR.2025.1084674</t>
  </si>
  <si>
    <t>AMATO SOTTOSANTI ROSARIO</t>
  </si>
  <si>
    <t>LO BALBO CIRINO</t>
  </si>
  <si>
    <t>MANASSERI MARIANNA</t>
  </si>
  <si>
    <t>CAA Coldiretti - MATERA - 008</t>
  </si>
  <si>
    <t>CORIGLIONE NICOLA</t>
  </si>
  <si>
    <t>AGEA.ASR.2025.1033126</t>
  </si>
  <si>
    <t>QUARTARONE GIOVANNA</t>
  </si>
  <si>
    <t>SORIANO LIBERA</t>
  </si>
  <si>
    <t>SORIANO MARCO</t>
  </si>
  <si>
    <t>SPAGNOLETTI ONOFRIO</t>
  </si>
  <si>
    <t>VENDITTI VERONICA</t>
  </si>
  <si>
    <t>VERNACCHIA MICHELE</t>
  </si>
  <si>
    <t>VORRASI ANTONIO</t>
  </si>
  <si>
    <t>VORRASI GIORGIO</t>
  </si>
  <si>
    <t>VORRASI PELLEGRINA</t>
  </si>
  <si>
    <t>ZERILLO ANNUNZIATA IDA</t>
  </si>
  <si>
    <t>CAA UNICAA - PERUGIA - 001</t>
  </si>
  <si>
    <t>BALDI CARLO</t>
  </si>
  <si>
    <t>CAA Coldiretti - PERUGIA - 014</t>
  </si>
  <si>
    <t>IL COLLINO DI TODI S.A.S. DI ILARIA BACCARELLI E C.</t>
  </si>
  <si>
    <t>CAA UNSIC - BENEVENTO - 001</t>
  </si>
  <si>
    <t>DE STASIO ANTONIO</t>
  </si>
  <si>
    <t>CAA Coldiretti - PERUGIA - 012</t>
  </si>
  <si>
    <t>SCARSELLONE LUCIANA</t>
  </si>
  <si>
    <t>CAA CIA - ASCOLI PICENO - 001</t>
  </si>
  <si>
    <t>MONDOMINI SOCIETA' AGRICOLA SEMPLICE</t>
  </si>
  <si>
    <t>CAA LiberiAgricoltori - MACERATA - 005</t>
  </si>
  <si>
    <t>SOCIETA' AGRICOLA TERRAVIVA S.S</t>
  </si>
  <si>
    <t>CAA CIA - ASCOLI PICENO - 004</t>
  </si>
  <si>
    <t>VITALI LUISELLA</t>
  </si>
  <si>
    <t>CAA CIA - MACERATA - 001</t>
  </si>
  <si>
    <t>WADMAN AMY TAMS</t>
  </si>
  <si>
    <t>CAA Confagricoltura - MACERATA - 001</t>
  </si>
  <si>
    <t>CARTECHINI GIOVANNA</t>
  </si>
  <si>
    <t>CICCONI FEDERICO</t>
  </si>
  <si>
    <t>CAA LiberiAgricoltori - MACERATA - 004</t>
  </si>
  <si>
    <t>GIOVANNINI MAURIZIO</t>
  </si>
  <si>
    <t>I.I.S. "GARIBALDI-BRAMANTE-PANNAGGI"</t>
  </si>
  <si>
    <t>CAA CIA - PESARO E URBINO - 007</t>
  </si>
  <si>
    <t>CARDINALI TINA</t>
  </si>
  <si>
    <t>CAA Coldiretti - PESARO E URBINO - 007</t>
  </si>
  <si>
    <t>SOCIETA' AGRICOLA ECCE POMO DI GUERRA MARCO E SERRAZANETTI DIANA-ISABE</t>
  </si>
  <si>
    <t>AZIENDA AGRICOLA SAN BENEDETTO SOCIETA' SEMPLICE</t>
  </si>
  <si>
    <t>CAA Coldiretti - ASCOLI PICENO - 025</t>
  </si>
  <si>
    <t>PELLICCIA GIUSEPPE</t>
  </si>
  <si>
    <t>CAA Coldiretti - ASCOLI PICENO - 030</t>
  </si>
  <si>
    <t>SOCIETA' AGRICOLA GREGORI GIOVANNI E LUIGI</t>
  </si>
  <si>
    <t>DI CAPUA SALVATORE</t>
  </si>
  <si>
    <t>IMBRIANI LUIGI</t>
  </si>
  <si>
    <t>IMPERIALE MARIA</t>
  </si>
  <si>
    <t>MARTINO ANTONIO</t>
  </si>
  <si>
    <t>CAA Confagricoltura - AVELLINO - 002</t>
  </si>
  <si>
    <t>MARTINO PASQUALE</t>
  </si>
  <si>
    <t>CAA CIA - AVELLINO - 001</t>
  </si>
  <si>
    <t>NIGRO CARMINE</t>
  </si>
  <si>
    <t>PECCHIA ANDREA</t>
  </si>
  <si>
    <t>SARNO ROCCO</t>
  </si>
  <si>
    <t>ORITI MARIA PIA ASSUNTA</t>
  </si>
  <si>
    <t>PRUITI VINCENT SOCIETA' SEMPLICE AGRICOLA DI PRUITI CIARELLO ANTONINO</t>
  </si>
  <si>
    <t>SCATTARREGGIA FRANCESCO TINDARO</t>
  </si>
  <si>
    <t>TRISCARI SPRIMUTO MARISA</t>
  </si>
  <si>
    <t>ALIMENTI DOMENICO</t>
  </si>
  <si>
    <t>CAA CIA - RIETI - 001</t>
  </si>
  <si>
    <t>ANGELINI DOMENICO</t>
  </si>
  <si>
    <t>AZIENDA AGRICOLA IACOBINI &amp; NICOLI SOCIETA' SEMPLICE</t>
  </si>
  <si>
    <t>AZIENDA AGRICOLA TOR S.N.C. DI OTTAVI ERMINIA E LIMONE LUCA</t>
  </si>
  <si>
    <t>CO.ZO.VA. - COOPERATIVA ZOOTECNICA VALLINFREDA SOCIETA' COOPERATI VA</t>
  </si>
  <si>
    <t>DE GREGORI PIERFRANCESCO</t>
  </si>
  <si>
    <t>LUCIDI CLAUDIO</t>
  </si>
  <si>
    <t>CAA Coldiretti - RIETI - 004</t>
  </si>
  <si>
    <t>BENEDETTI AMALIA</t>
  </si>
  <si>
    <t>CARDILLI ENRICO E CARDILLI PASQUALE S.S.</t>
  </si>
  <si>
    <t>CAA AIC SERVICES - RIETI - 001</t>
  </si>
  <si>
    <t>DE GASPERIS LUCILLA</t>
  </si>
  <si>
    <t>CAA ACLI - ROMA - 005</t>
  </si>
  <si>
    <t>MONACO MARIA</t>
  </si>
  <si>
    <t>ELEODORO ROSA JUNIOR ANTONIO</t>
  </si>
  <si>
    <t>CAA Coldiretti - ROMA - 010</t>
  </si>
  <si>
    <t>IL BAGOLARO SOCIETA' AGRICOLA S.S.</t>
  </si>
  <si>
    <t>MARINUCCI ANGELA</t>
  </si>
  <si>
    <t>CAA Confagricoltura - RIETI - 001</t>
  </si>
  <si>
    <t>MARTINI LUCIANO</t>
  </si>
  <si>
    <t>MARZIALI EMILIANO</t>
  </si>
  <si>
    <t>MEI EMANUELA</t>
  </si>
  <si>
    <t>MORGANTE GABRIELLA</t>
  </si>
  <si>
    <t>PANICONI ADRIANA</t>
  </si>
  <si>
    <t>PENNESE ATTILIO</t>
  </si>
  <si>
    <t>ROSATA VENANZIO</t>
  </si>
  <si>
    <t>CAA AGRISERVIZI - ROMA - 001</t>
  </si>
  <si>
    <t>ROSSETTI DANIELA</t>
  </si>
  <si>
    <t>ROSSI GIULIA</t>
  </si>
  <si>
    <t>SANESI EZIO</t>
  </si>
  <si>
    <t>SANTONI VINCENZO</t>
  </si>
  <si>
    <t>SANTORI ALBERTO</t>
  </si>
  <si>
    <t>SIMONE FERNANDA</t>
  </si>
  <si>
    <t>TOMASSETTI CHIARA</t>
  </si>
  <si>
    <t>CAA Coldiretti - RAGUSA - 006</t>
  </si>
  <si>
    <t>L.D.M. SRL</t>
  </si>
  <si>
    <t>AGEA.ASR.2025.1033520</t>
  </si>
  <si>
    <t>Reg. Puglia - Serv. Prov. Agric. di Taranto</t>
  </si>
  <si>
    <t>RODIO FRANCESCO</t>
  </si>
  <si>
    <t>AGEA.ASR.2025.1057172</t>
  </si>
  <si>
    <t>CAA Coldiretti - TARANTO - 005</t>
  </si>
  <si>
    <t>SOCIETA AGRICOLA TENUTE BLASI S.R.L.</t>
  </si>
  <si>
    <t>CAA ACLI - POTENZA - 001</t>
  </si>
  <si>
    <t>TRIPODI ANNA MARIA</t>
  </si>
  <si>
    <t>PETRILIGGIERI GIOVANNA</t>
  </si>
  <si>
    <t>LISI DIEGO</t>
  </si>
  <si>
    <t>MINCHELLA PIETRO</t>
  </si>
  <si>
    <t>PECCHIA GUIDO</t>
  </si>
  <si>
    <t>CAA CIA - VITERBO - 001</t>
  </si>
  <si>
    <t>STEFANINI ARTURO</t>
  </si>
  <si>
    <t>CAA AIC SERVICES - VITERBO - 001</t>
  </si>
  <si>
    <t>TENUTA LA FARNESIANA SOCIETA' AGRICOLA A R.L.</t>
  </si>
  <si>
    <t>CAA Coldiretti - TARANTO - 004</t>
  </si>
  <si>
    <t>CAA UNSIC - TARANTO - 009</t>
  </si>
  <si>
    <t>BITELLA GIUSEPPE</t>
  </si>
  <si>
    <t>CAA CAF AGRI - TARANTO - 221</t>
  </si>
  <si>
    <t>D'ORLANDO ANGELA</t>
  </si>
  <si>
    <t>CAA Confagricoltura - MESSINA - 001</t>
  </si>
  <si>
    <t>AGRIFIUMARA S.R.L. - SOCIETA' AGRICOLA</t>
  </si>
  <si>
    <t>CAA Liberi Prof. - MESSINA - 003</t>
  </si>
  <si>
    <t>FORZANO ANNAROSA</t>
  </si>
  <si>
    <t>LEMBO STEFANO</t>
  </si>
  <si>
    <t>MARINO BENEDETTO</t>
  </si>
  <si>
    <t>ALBATROS S.R.L.</t>
  </si>
  <si>
    <t>AZIENDA AGRICOLA RUGIANI SNC DI RUNDO GIANNI</t>
  </si>
  <si>
    <t>BSC DI CAMPO BIAGIO E C.SOCIETA' IN NOME COLLETTIVO AGRICOLA</t>
  </si>
  <si>
    <t>CAA UNICAA - MESSINA - 003</t>
  </si>
  <si>
    <t>CALCO' LABBRUZZO GIUSEPPE</t>
  </si>
  <si>
    <t>CARROCCIO MARIANNA</t>
  </si>
  <si>
    <t>COSTANZO GIUSEPPE</t>
  </si>
  <si>
    <t>DI COSTA VERONICA</t>
  </si>
  <si>
    <t>FULIA FRANCESCO</t>
  </si>
  <si>
    <t>CAA CAF AGRI - CATANIA - 222</t>
  </si>
  <si>
    <t>LA MARCHESA SOCIETA' SEMPLICE AGRICOLA</t>
  </si>
  <si>
    <t>MALLACI BOCCHIO EMANUELE FRANCESCO</t>
  </si>
  <si>
    <t>MANASSERI CIRINO</t>
  </si>
  <si>
    <t>MANCUSO MARIAROSA</t>
  </si>
  <si>
    <t>CAA ALPA - MESSINA - 002</t>
  </si>
  <si>
    <t>MARTINO GIUSEPPE</t>
  </si>
  <si>
    <t>MASCARELLO ROSALBA</t>
  </si>
  <si>
    <t>CAA CAF AGRI - MATERA - 221</t>
  </si>
  <si>
    <t>CIANNELLA MARIO DAMIANO</t>
  </si>
  <si>
    <t>CAA CIA - MATERA - 006</t>
  </si>
  <si>
    <t>CORRADO GIOVANNI</t>
  </si>
  <si>
    <t>CAA Coldiretti - MATERA - 009</t>
  </si>
  <si>
    <t>DE PAOLA MARIO</t>
  </si>
  <si>
    <t>SPINNATO LIRIO</t>
  </si>
  <si>
    <t>VILLA MORERI - SOCIETA' COOPERATIVA AGRICOLA</t>
  </si>
  <si>
    <t>CAA UNSIC - PALERMO - 010</t>
  </si>
  <si>
    <t>FIRRANTELLO GIORGIO</t>
  </si>
  <si>
    <t>AGEA.ASR.2025.1033397</t>
  </si>
  <si>
    <t>MILAZZO SALVATORE</t>
  </si>
  <si>
    <t>DE ROSA GIUSEPPE</t>
  </si>
  <si>
    <t>AGEA.ASR.2025.1087166</t>
  </si>
  <si>
    <t>AGEA.ASR.2025.1071933</t>
  </si>
  <si>
    <t>CAA Liberi Prof. - VITERBO - 001</t>
  </si>
  <si>
    <t>IL CASTORO DI MARTIGNANO SOCIETA' AGRICOLA A RESPONSABILITA' LIMITATA</t>
  </si>
  <si>
    <t>SALANITRO MARIA</t>
  </si>
  <si>
    <t>ANGELONI GIUSEPPINA</t>
  </si>
  <si>
    <t>ERBONI SOCIETA' AGRICOLA</t>
  </si>
  <si>
    <t>DI PAOLANTONIO GIOVANNI</t>
  </si>
  <si>
    <t>AZIENDA AGRICOLA "FEDERICI" SOCIETA' SEMPLICE</t>
  </si>
  <si>
    <t>FICORILLI ANNA MARIA</t>
  </si>
  <si>
    <t>BUZZI GIOVANNI</t>
  </si>
  <si>
    <t>CARDELLINI MICHELE</t>
  </si>
  <si>
    <t>DI CARLO MAURIZIO</t>
  </si>
  <si>
    <t>CERRI LUIGI</t>
  </si>
  <si>
    <t>CINTIA LAURA</t>
  </si>
  <si>
    <t>COLASANTI UMBERTINA</t>
  </si>
  <si>
    <t>DE LUCA FRANCO</t>
  </si>
  <si>
    <t>NAPOLEONE MARCO</t>
  </si>
  <si>
    <t>PAOLINI LICIA CATERINA</t>
  </si>
  <si>
    <t>CAA CAF AGRI - ROMA - 221</t>
  </si>
  <si>
    <t>GIOSI NICOLINA</t>
  </si>
  <si>
    <t>DE SANCTIS MICHELE</t>
  </si>
  <si>
    <t>PARENTE ALESSANDRO</t>
  </si>
  <si>
    <t>DE SIMONE CARLA</t>
  </si>
  <si>
    <t>DI CINO ROSELLA</t>
  </si>
  <si>
    <t>FERRARI FARM SOCIETA' AGRICOLA-SRL</t>
  </si>
  <si>
    <t>AGRESTA EMILY</t>
  </si>
  <si>
    <t>FRANCESCONI GIANDOMENICO</t>
  </si>
  <si>
    <t>GIULIANI PIERLUIGI</t>
  </si>
  <si>
    <t>MARCHIONI ADELE</t>
  </si>
  <si>
    <t>MARIANI STEFANO</t>
  </si>
  <si>
    <t>CAA Coldiretti - ROMA - 008</t>
  </si>
  <si>
    <t>PAOLONI AUGUSTO</t>
  </si>
  <si>
    <t>CAA Coldiretti - ROMA - 006</t>
  </si>
  <si>
    <t>MACALI MAURIZIO</t>
  </si>
  <si>
    <t>MACERONI ANTONIETTA</t>
  </si>
  <si>
    <t>MARCHETTI EMILIANO</t>
  </si>
  <si>
    <t>MARGARITA CLAUDIA</t>
  </si>
  <si>
    <t>MASCIOLI SONIA</t>
  </si>
  <si>
    <t>MELLINI LUIGI</t>
  </si>
  <si>
    <t>CAA Degli Agricoltori - AOSTA - 101</t>
  </si>
  <si>
    <t>DALBARD MANUEL</t>
  </si>
  <si>
    <t>AGEA.ASR.2025.1070164</t>
  </si>
  <si>
    <t>CAA Confagricoltura - TORINO - 002</t>
  </si>
  <si>
    <t>GLASSIER IVANA</t>
  </si>
  <si>
    <t>MICACCHI ALEANDRO</t>
  </si>
  <si>
    <t>MICARELLI UMBERTO</t>
  </si>
  <si>
    <t>ROSSI FRANCESCO</t>
  </si>
  <si>
    <t>MICHELI DAVID</t>
  </si>
  <si>
    <t>DE LUCA BIAGIO</t>
  </si>
  <si>
    <t>POCETTA CLARA</t>
  </si>
  <si>
    <t>CAA ALPA - RIETI - 001</t>
  </si>
  <si>
    <t>SAULLI FABIO</t>
  </si>
  <si>
    <t>SOCIETA' AGRICOLA L'OLIVO SOCIETA' SEMPLICE</t>
  </si>
  <si>
    <t>SEBASTIANI ENRICO MARIA</t>
  </si>
  <si>
    <t>TOMASSETTI MARIELLA</t>
  </si>
  <si>
    <t>BRANCALEONE ANTONIO</t>
  </si>
  <si>
    <t>DE LUCA GASPARE</t>
  </si>
  <si>
    <t>MATTEI GIUSEPPE</t>
  </si>
  <si>
    <t>CAA Coldiretti - LATINA - 003</t>
  </si>
  <si>
    <t>RUGGIERI FELICE</t>
  </si>
  <si>
    <t>SPERONI LUCA</t>
  </si>
  <si>
    <t>SPLENDORI DANILO</t>
  </si>
  <si>
    <t>CAA ACLI - TARANTO - 001</t>
  </si>
  <si>
    <t>DE MARCO SOCIETA' AGRICOLA SRL</t>
  </si>
  <si>
    <t>CAA Coldiretti - TARANTO - 011</t>
  </si>
  <si>
    <t>TINELLI ALESSANDRO</t>
  </si>
  <si>
    <t>CAMPISI CARMELINO</t>
  </si>
  <si>
    <t>CAA UNSIC - MESSINA - 006</t>
  </si>
  <si>
    <t>CASSATA GIOVANNI</t>
  </si>
  <si>
    <t>APPIO CEREALFRUTTA SOCIETA' AGRICOLA SEMPLICE</t>
  </si>
  <si>
    <t>FANELLI ANTONIO</t>
  </si>
  <si>
    <t>MASTROMATTEI LUCIA</t>
  </si>
  <si>
    <t>CAA CAF AGRI - POTENZA - 222</t>
  </si>
  <si>
    <t>MODUGNO BIAGIO</t>
  </si>
  <si>
    <t>CAA UNICAA - MATERA - 002</t>
  </si>
  <si>
    <t>MONTEMURRO MARIA FRANCA</t>
  </si>
  <si>
    <t>CAA UNSIC - BARI - 003</t>
  </si>
  <si>
    <t>SETTE TERESA</t>
  </si>
  <si>
    <t>CAA LiberiAgricoltori - MATERA - 001</t>
  </si>
  <si>
    <t>VIGGIANI CAMILLO MARIANO</t>
  </si>
  <si>
    <t>MUSARRA MARIA VENERA</t>
  </si>
  <si>
    <t>PRUITI CIARELLO SALVATORE</t>
  </si>
  <si>
    <t>CAA LiberiAgricoltori - PALERMO - 006</t>
  </si>
  <si>
    <t>SACCO FRANCA</t>
  </si>
  <si>
    <t>SCUDERI TERESA ANGELA</t>
  </si>
  <si>
    <t>SCUDIERI ANTONIO</t>
  </si>
  <si>
    <t>WOOD TRACY</t>
  </si>
  <si>
    <t>CAA UNICAA - FOGGIA - 006</t>
  </si>
  <si>
    <t>POMPA MARCO</t>
  </si>
  <si>
    <t>AGEA.ASR.2025.1041593</t>
  </si>
  <si>
    <t>RECCHIA NICOLA</t>
  </si>
  <si>
    <t>ZITA FAUSTO</t>
  </si>
  <si>
    <t>CAA Coldiretti - MATERA - 005</t>
  </si>
  <si>
    <t>AGRICOLAT DEI FRATELLI TORTORELLIMICHELE E GIOVANNI SOCIETA' SEMPLICE</t>
  </si>
  <si>
    <t>AGEA.ASR.2025.1033104</t>
  </si>
  <si>
    <t>AZIENDA AGRICOLA F.LLI MAVILLONIO SOCIETA' SEMPLICE</t>
  </si>
  <si>
    <t>CAA UNSIC - BARI - 002</t>
  </si>
  <si>
    <t>CASAREALE GIUSEPPE</t>
  </si>
  <si>
    <t>CAA UNSIC - BARI - 010</t>
  </si>
  <si>
    <t>LOGLISCI VINCENZO</t>
  </si>
  <si>
    <t>CRISPINO ALFONSO VITTORIO</t>
  </si>
  <si>
    <t>AGEA.ASR.2025.1043550</t>
  </si>
  <si>
    <t>FERRARO ANTONIO</t>
  </si>
  <si>
    <t>IZZO ROMOLO</t>
  </si>
  <si>
    <t>TENUTA CIPRIANO SOCIETA' AGRICOLA A R.L.</t>
  </si>
  <si>
    <t>CAA CAF AGRI - AVELLINO - 222</t>
  </si>
  <si>
    <t>GALIZIA DONATA</t>
  </si>
  <si>
    <t>AGEA.ASR.2025.1031646</t>
  </si>
  <si>
    <t>GRAZIANO MARCO</t>
  </si>
  <si>
    <t>CAA Coldiretti - BENEVENTO - 202</t>
  </si>
  <si>
    <t>AL.TI S.S.A.</t>
  </si>
  <si>
    <t>BATTISTA LUIGI</t>
  </si>
  <si>
    <t>RAVALLESE LIBERATA</t>
  </si>
  <si>
    <t>CAA Coldiretti - FOGGIA - 013</t>
  </si>
  <si>
    <t>SAGGESE ANTONIETTA</t>
  </si>
  <si>
    <t>AGEA.ASR.2025.1041990</t>
  </si>
  <si>
    <t>CAA Coldiretti - CASERTA - 017</t>
  </si>
  <si>
    <t>CAMPAGNANO PASQUALE</t>
  </si>
  <si>
    <t>FALCO LUCIA</t>
  </si>
  <si>
    <t>CAA CAF AGRI - NAPOLI - 221</t>
  </si>
  <si>
    <t>IMPARATO FLORA</t>
  </si>
  <si>
    <t>PALMA ANTONIO</t>
  </si>
  <si>
    <t>RICCIO RITA MARIA</t>
  </si>
  <si>
    <t>VICARIO AUGUSTO</t>
  </si>
  <si>
    <t>CAA CIA - ROMA - 006</t>
  </si>
  <si>
    <t>CARAVAGLIA SILVIA</t>
  </si>
  <si>
    <t>COLLE PARADISO</t>
  </si>
  <si>
    <t>DI BIASE GIUSEPPINA</t>
  </si>
  <si>
    <t>G.A.B. - AGRARIA - S.R.L.</t>
  </si>
  <si>
    <t>CAA Confagricoltura - LATINA - 001</t>
  </si>
  <si>
    <t>PASETTO ALESSANDRA</t>
  </si>
  <si>
    <t>PUCELLO ALESSANDRA</t>
  </si>
  <si>
    <t>RONCELLA ANTONIO</t>
  </si>
  <si>
    <t>SOC.AGRICOLA L'ACQU.ROMANO SRL</t>
  </si>
  <si>
    <t>CAA Coldiretti - ROMA - 013</t>
  </si>
  <si>
    <t>SOCIETA' AGRICOLA EX TERRA - SOCIETA' A RESPONSABILITA' LIMITATA</t>
  </si>
  <si>
    <t>AGEA.ASR.2025.1043384</t>
  </si>
  <si>
    <t>Reg. Sicilia - IPA Catania</t>
  </si>
  <si>
    <t>CONTI TAGUALI ALBA</t>
  </si>
  <si>
    <t>AGEA.ASR.2025.1082460</t>
  </si>
  <si>
    <t>CONTI TAGUALI CATERINA</t>
  </si>
  <si>
    <t>LUPICA CORDAZZARO MARILENA</t>
  </si>
  <si>
    <t>CAA Coldiretti - MESSINA - 010</t>
  </si>
  <si>
    <t>MARULLO BASILIO</t>
  </si>
  <si>
    <t>CAA CIA - CATANIA - 008</t>
  </si>
  <si>
    <t>SANDU MONA-LISA</t>
  </si>
  <si>
    <t>CAA LiberiAgricoltori - CHIETI - 001</t>
  </si>
  <si>
    <t>CINALLI LUIGI</t>
  </si>
  <si>
    <t>AGEA.ASR.2025.1087644</t>
  </si>
  <si>
    <t>CAA Coldiretti - CHIETI - 008</t>
  </si>
  <si>
    <t>MARRONE MARCO</t>
  </si>
  <si>
    <t>CAA Confagricoltura - CHIETI - 005</t>
  </si>
  <si>
    <t>RABOTTINI CARLO MASSIMO</t>
  </si>
  <si>
    <t>AGEA.ASR.2025.1084153</t>
  </si>
  <si>
    <t>CAROLLO CARLO</t>
  </si>
  <si>
    <t>CAA Confagricoltura - BENEVENTO - 001</t>
  </si>
  <si>
    <t>AZIENDA AGRICOLA VOLLA DI CUTILLO PERLINGIERI SRL</t>
  </si>
  <si>
    <t>AGEA.ASR.2025.1093547</t>
  </si>
  <si>
    <t>DE SIMIO PASQUALE</t>
  </si>
  <si>
    <t>CAA UNICAA - BENEVENTO - 005</t>
  </si>
  <si>
    <t>FERRO GIANNI</t>
  </si>
  <si>
    <t>FRANCO ALESSANDRO</t>
  </si>
  <si>
    <t>MAZZEO ROCCO</t>
  </si>
  <si>
    <t>AGEA.ASR.2025.1041606</t>
  </si>
  <si>
    <t>CAA Liberi Prof. - SIRACUSA - 001</t>
  </si>
  <si>
    <t>LOMBARDO STEFANO</t>
  </si>
  <si>
    <t>AGEA.ASR.2025.1037643</t>
  </si>
  <si>
    <t>CAA CIA - SIRACUSA - 003</t>
  </si>
  <si>
    <t>MELI VINCENZO</t>
  </si>
  <si>
    <t>THE GUARDIAN AGRI SOCIETA' AGRICOLA S.R.L.</t>
  </si>
  <si>
    <t>CAA CIA - SIRACUSA - 001</t>
  </si>
  <si>
    <t>ZOCCO SALVATORE</t>
  </si>
  <si>
    <t>ABC RURALE SOCIETA' AGRICOLA SEMPLICE</t>
  </si>
  <si>
    <t>AGEA.ASR.2025.1037736</t>
  </si>
  <si>
    <t>CAA Coldiretti - MATERA - 012</t>
  </si>
  <si>
    <t>DE MARCO GIUSEPPE</t>
  </si>
  <si>
    <t>ELETTO NICOLETTA</t>
  </si>
  <si>
    <t>CAA AGRISERVIZI - MATERA - 001</t>
  </si>
  <si>
    <t>GAROFALO LUIGIANTONIO</t>
  </si>
  <si>
    <t>MONTESANO MARCELLO</t>
  </si>
  <si>
    <t>CAA CIA - MATERA - 004</t>
  </si>
  <si>
    <t>ROSANO SOCIETA' SEMPLICE AGRICOLA</t>
  </si>
  <si>
    <t>CAA UNICAA - MATERA - 003</t>
  </si>
  <si>
    <t>SANTAMARIA LUCIA</t>
  </si>
  <si>
    <t>CAA UIPA srl</t>
  </si>
  <si>
    <t>CAA UIPA - BARI - 001</t>
  </si>
  <si>
    <t>CAA Confagricoltura - BARI - 013</t>
  </si>
  <si>
    <t>SOCIETA' AGRICOLA "L'ORTO DEI DESIDERI"</t>
  </si>
  <si>
    <t>VENTRELLI DOMENICO, ANNA</t>
  </si>
  <si>
    <t>CAA INTESA - MATERA - 100</t>
  </si>
  <si>
    <t>VIZZIELLO MARIA</t>
  </si>
  <si>
    <t>BRAIA LINA</t>
  </si>
  <si>
    <t>CAA Coldiretti - ANCONA - 003</t>
  </si>
  <si>
    <t>SERV. DEC. AGRICOLTURA E ALIMENTAZIONE - ANCONA</t>
  </si>
  <si>
    <t>BEFANUCCI EMANUELE</t>
  </si>
  <si>
    <t>AGEA.ASR.2025.1018995</t>
  </si>
  <si>
    <t>SOCIETA' AGRICOLA FAM.SALAMONE DI SALAMONE CATERINA &amp; C. S.S</t>
  </si>
  <si>
    <t>ZAITI ANGELICA</t>
  </si>
  <si>
    <t>FRANCHINO SALVATORE</t>
  </si>
  <si>
    <t>MASCIA AMALIA</t>
  </si>
  <si>
    <t>CAA CIA - FOGGIA - 037</t>
  </si>
  <si>
    <t>RUSSO ANGELO</t>
  </si>
  <si>
    <t>BONELLI STEFANIA,BEATRICE,MATILDE</t>
  </si>
  <si>
    <t>CLEMENTE ANNA</t>
  </si>
  <si>
    <t>LAVECCHIA ANDREA</t>
  </si>
  <si>
    <t>CAA Confagricoltura - BARI - 002</t>
  </si>
  <si>
    <t>TRENTADUE S.R.L. SOCIETA AGRICOLA</t>
  </si>
  <si>
    <t>VISCEGLIA VINCENZO MATTEO</t>
  </si>
  <si>
    <t>CAA UIPA S.R.L.</t>
  </si>
  <si>
    <t>CAA UIPA - CASERTA - 001</t>
  </si>
  <si>
    <t>CALIENDO MARILENA</t>
  </si>
  <si>
    <t>CAA AIC SERVICES - AVELLINO - 001</t>
  </si>
  <si>
    <t>DAMIANI GIANPIERO</t>
  </si>
  <si>
    <t>DI GESARO MASSIMO</t>
  </si>
  <si>
    <t>CARPENTIERI GIUSTINO</t>
  </si>
  <si>
    <t>CAA LiberiAgricoltori - AVELLINO - 005</t>
  </si>
  <si>
    <t>DE LEO SALVATORE</t>
  </si>
  <si>
    <t>CAA LiberiAgricoltori - AVELLINO - 001</t>
  </si>
  <si>
    <t>MELONE ANTONIO</t>
  </si>
  <si>
    <t>CAA Coldiretti - FOGGIA - 016</t>
  </si>
  <si>
    <t>CONTESSA LUIGI</t>
  </si>
  <si>
    <t>CAA CIA - FOGGIA - 027</t>
  </si>
  <si>
    <t>DI MAURO ANTONIO FRANCESCO</t>
  </si>
  <si>
    <t>DE ROSA GEMMA</t>
  </si>
  <si>
    <t>GALLO VITTORIO</t>
  </si>
  <si>
    <t>PENNACCHIO GIULIO</t>
  </si>
  <si>
    <t>VILLA MATILDE S.S.</t>
  </si>
  <si>
    <t>MONACO DANIELE</t>
  </si>
  <si>
    <t>AGEA.ASR.2025.1087235</t>
  </si>
  <si>
    <t>CAA Coldiretti - ROMA - 002</t>
  </si>
  <si>
    <t>BERNI ANGELO</t>
  </si>
  <si>
    <t>D'APOSTOLO PIETRO</t>
  </si>
  <si>
    <t>DI PRETE ANDREA</t>
  </si>
  <si>
    <t>FICCO GIACOMO</t>
  </si>
  <si>
    <t>FRATELLI LAZZARI SOCIETA' SEMPLICE</t>
  </si>
  <si>
    <t>CAA Coldiretti - ROMA - 007</t>
  </si>
  <si>
    <t>I CASALI DI SAN PASTORE SOCIETA' AGRICOLA SRL</t>
  </si>
  <si>
    <t>CAA Coldiretti - ROMA - 004</t>
  </si>
  <si>
    <t>MOREDDU STEFANO</t>
  </si>
  <si>
    <t>PETRESCA ILARIA</t>
  </si>
  <si>
    <t>RAMUNDO ORLANDO EMANUELE</t>
  </si>
  <si>
    <t>RENZI ADOLFO</t>
  </si>
  <si>
    <t>CAA Coldiretti - ROMA - 003</t>
  </si>
  <si>
    <t>SCOTTO ANNA MARIA</t>
  </si>
  <si>
    <t>SOCIETA' AGRICOLA CHERUBINI SRL</t>
  </si>
  <si>
    <t>SOCIETA' AGRICOLA GEMINAT SOCIETA' A RESPONSABILITA' LIMITATA</t>
  </si>
  <si>
    <t>SOCIETA' AGRICOLA STENDARDI PIO E MARCO S.S</t>
  </si>
  <si>
    <t>SOCIETA' AGRICOLA TENUTA CESARINA SRL</t>
  </si>
  <si>
    <t>SOCIETA' AGRICOLA TORRE SAN MICHELE S.R.L.</t>
  </si>
  <si>
    <t>SOCIETA' SEMPLICE AGRICOLA TENUTA DIOTALLEVI</t>
  </si>
  <si>
    <t>SPERONI DAVID</t>
  </si>
  <si>
    <t>TATTI PIETRO</t>
  </si>
  <si>
    <t>VARI GIORGIO</t>
  </si>
  <si>
    <t>VECCHI DANIELA</t>
  </si>
  <si>
    <t>VERNA ALESSANDRA</t>
  </si>
  <si>
    <t>ALLEVATORI DEI NEBRODI SOCIETA' COOPERATIVA AGRICOLA</t>
  </si>
  <si>
    <t>CASSATA GAETANO</t>
  </si>
  <si>
    <t>COSTANZO NUNZIATA</t>
  </si>
  <si>
    <t>CAA CIA - CATANIA - 002</t>
  </si>
  <si>
    <t>MONTAGNO BOZZONE VINCENZO</t>
  </si>
  <si>
    <t>CAA AGRISERVIZI - CATANIA - 002</t>
  </si>
  <si>
    <t>SAITTA PATRIZIA</t>
  </si>
  <si>
    <t>VISCUSI MALATERRA SOCIETA' AGRICOLA SEMPLICE S.S.</t>
  </si>
  <si>
    <t>DINO ROSA MARIA</t>
  </si>
  <si>
    <t>GLORIOSO ROSARIO</t>
  </si>
  <si>
    <t>LA MONICA ROSARIA</t>
  </si>
  <si>
    <t>PISCITELLO ANNUNZIATA</t>
  </si>
  <si>
    <t>SALAMONE CONCETTA MARIA</t>
  </si>
  <si>
    <t>CAA FENAPI - PALERMO - 011</t>
  </si>
  <si>
    <t>SILVESTRI GIOVANNI CARLO</t>
  </si>
  <si>
    <t>AUTORE ANTONIO</t>
  </si>
  <si>
    <t>BELLO ANGELO</t>
  </si>
  <si>
    <t>BENEDUCE ELISA</t>
  </si>
  <si>
    <t>CILENTI MARIA</t>
  </si>
  <si>
    <t>FARINA LUIGI</t>
  </si>
  <si>
    <t>GOLIA FRANCA ANGIOLETTA</t>
  </si>
  <si>
    <t>MATURO GIULIANO</t>
  </si>
  <si>
    <t>MERCORELLA MARIO</t>
  </si>
  <si>
    <t>PETRILLO PAOLO</t>
  </si>
  <si>
    <t>SACCHETTI OLGA</t>
  </si>
  <si>
    <t>SOCIETA' AGRICOLA LA SORGENTE DEL LATTE SRLS</t>
  </si>
  <si>
    <t>CAA CIA - BENEVENTO - 003</t>
  </si>
  <si>
    <t>COLANTONE CRISTINA</t>
  </si>
  <si>
    <t>AGEA.ASR.2025.1021032</t>
  </si>
  <si>
    <t>REALI LORENZO</t>
  </si>
  <si>
    <t>AGEA.ASR.2025.1047179</t>
  </si>
  <si>
    <t>FERRUCCI FRANCESCO</t>
  </si>
  <si>
    <t>AGEA.ASR.2025.1031663</t>
  </si>
  <si>
    <t>CAA Coldiretti - AVELLINO - 005</t>
  </si>
  <si>
    <t>MAGLIONE MARIA</t>
  </si>
  <si>
    <t>CAA Coldiretti - AVELLINO - 007</t>
  </si>
  <si>
    <t>MORANO GILDA BEATRICE</t>
  </si>
  <si>
    <t>PUCILLO ANTONELLA ROSALBA</t>
  </si>
  <si>
    <t>STOPPA MICHELE</t>
  </si>
  <si>
    <t>CAA Coldiretti - ENNA - 005</t>
  </si>
  <si>
    <t>PRUITI LUCA</t>
  </si>
  <si>
    <t>AGEA.ASR.2025.1033680</t>
  </si>
  <si>
    <t>LO MONACO SEBASTIANO</t>
  </si>
  <si>
    <t>RAMETTA GIUSEPPE</t>
  </si>
  <si>
    <t>TUE' GIOVANNI</t>
  </si>
  <si>
    <t>CARROZZA GIUSEPPINA</t>
  </si>
  <si>
    <t>AGEA.ASR.2025.1093509</t>
  </si>
  <si>
    <t>CAA CIA - BENEVENTO - 007</t>
  </si>
  <si>
    <t>RILLO LUIGINA</t>
  </si>
  <si>
    <t>CAA UNSIC - BENEVENTO - 003</t>
  </si>
  <si>
    <t>SPITALETTA FRANCESCO SALVATORE</t>
  </si>
  <si>
    <t>BIO ORGANIC HEMP SRL</t>
  </si>
  <si>
    <t>AGEA.ASR.2025.1084233</t>
  </si>
  <si>
    <t>CAA CIA - CALTANISSETTA - 010</t>
  </si>
  <si>
    <t>LICATA GIUSEPPE</t>
  </si>
  <si>
    <t>MANCUSO GIUSEPPE</t>
  </si>
  <si>
    <t>CASIERO NICOLA</t>
  </si>
  <si>
    <t>LOMBARDI ARMANDO</t>
  </si>
  <si>
    <t>CAA CAF AGRI - CATANIA - 221</t>
  </si>
  <si>
    <t>AGEA.ASR.2025.1046689</t>
  </si>
  <si>
    <t>D'ANGELO LINA</t>
  </si>
  <si>
    <t>DI DIO GIACOMO</t>
  </si>
  <si>
    <t>GIGLIO FRANCESCO</t>
  </si>
  <si>
    <t>CAA LiberiAgricoltori - MESSINA - 005</t>
  </si>
  <si>
    <t>IRACI SARERI ANTONIO</t>
  </si>
  <si>
    <t>PRIMO DOMENICO</t>
  </si>
  <si>
    <t>PRINCIPATO TROSSO PASQUALE</t>
  </si>
  <si>
    <t>SOCIETA' AGRICOLA DI CAUDO SRLS</t>
  </si>
  <si>
    <t>TESTA SALVATORE</t>
  </si>
  <si>
    <t>TROVATO SALINARO SALVATORE</t>
  </si>
  <si>
    <t>NOWACZYK EP LUCIETTO CHRISTEL MARIE LOUISE MARTHA</t>
  </si>
  <si>
    <t>PALMIERI SERAFINO</t>
  </si>
  <si>
    <t>PARCESEPE DANIELE</t>
  </si>
  <si>
    <t>POZZI ALESSIA</t>
  </si>
  <si>
    <t>ROSATI ARMANDO</t>
  </si>
  <si>
    <t>ROSATI GIUSEPPE E ROSATI MARIA LUISA - SOCIETA' SEMPLICE</t>
  </si>
  <si>
    <t>SCORSOLINI LUCA</t>
  </si>
  <si>
    <t>CAA Coldiretti - ROMA - 009</t>
  </si>
  <si>
    <t>SINI EMILIANO</t>
  </si>
  <si>
    <t>SOCIETA' AGRICOLA VALLE CADEVELLA S.S.</t>
  </si>
  <si>
    <t>TROCCHIANESI MASSIMO</t>
  </si>
  <si>
    <t>TROMBETTA BEATRICE</t>
  </si>
  <si>
    <t>UNIVERSITA' AGRARIA DI ALLUMIERE</t>
  </si>
  <si>
    <t>CAA LiberiAgricoltori - ROMA - 005</t>
  </si>
  <si>
    <t>VOLPI DESDEMONA</t>
  </si>
  <si>
    <t>CAA CIA - CATANIA - 004</t>
  </si>
  <si>
    <t>SPITALE ROSALIA</t>
  </si>
  <si>
    <t>AGEA.ASR.2025.1089976</t>
  </si>
  <si>
    <t>LAURENZI MARIA ANTONIETTA</t>
  </si>
  <si>
    <t>AGEA.ASR.2025.1037806</t>
  </si>
  <si>
    <t>CANTALE ANTONINO</t>
  </si>
  <si>
    <t>CONTI TAGUALI GIUSEPPE</t>
  </si>
  <si>
    <t>ZOOTECNICA CAMARDA SOCIETA' SEMPLICE AGRICOLA</t>
  </si>
  <si>
    <t>DINO GIUSEPPE</t>
  </si>
  <si>
    <t>SAPIENZA NIKO</t>
  </si>
  <si>
    <t>CARUSO MICHELE</t>
  </si>
  <si>
    <t>PENNUCCI CARMINE</t>
  </si>
  <si>
    <t>CIRCELLI ANTONIO</t>
  </si>
  <si>
    <t>CAA CIA - BENEVENTO - 004</t>
  </si>
  <si>
    <t>COLUCCI GRAZIANO</t>
  </si>
  <si>
    <t>CUSANELLI DOMENICO</t>
  </si>
  <si>
    <t>GUARINO VITO</t>
  </si>
  <si>
    <t>MECCARIELLO ANTONIO</t>
  </si>
  <si>
    <t>MIRESSE BIAGINA</t>
  </si>
  <si>
    <t>ALBERETTO ANNAMAYA</t>
  </si>
  <si>
    <t>BIZZARRI ANNA-MARIA-FILOMENA</t>
  </si>
  <si>
    <t>CUOCO INCORONATA</t>
  </si>
  <si>
    <t>CAA Confagricoltura - AVELLINO - 003</t>
  </si>
  <si>
    <t>DI PIETRO ANGELA</t>
  </si>
  <si>
    <t>CAA ACLI - AVELLINO - 001</t>
  </si>
  <si>
    <t>LO CONTE LUIGINA</t>
  </si>
  <si>
    <t>AMATO PAOLA</t>
  </si>
  <si>
    <t>BIOVERDE S.S.</t>
  </si>
  <si>
    <t>CAA UNSIC - CATANIA - 016</t>
  </si>
  <si>
    <t>CARUSO ANGELA MARTINA</t>
  </si>
  <si>
    <t>CAA FENAPI - SIRACUSA - 003</t>
  </si>
  <si>
    <t>LEONE GIUSEPPE</t>
  </si>
  <si>
    <t>MAUCERI FRANCESCA</t>
  </si>
  <si>
    <t>SCHIFITTO MARIA CONCETTA</t>
  </si>
  <si>
    <t>CAA LiberiAgricoltori - SIRACUSA - 006</t>
  </si>
  <si>
    <t>VITALE SALVATORE</t>
  </si>
  <si>
    <t>CAA Confagricoltura - TERNI - 001</t>
  </si>
  <si>
    <t>ALIERI ANDREA</t>
  </si>
  <si>
    <t>NATICCHI OMBRETTA</t>
  </si>
  <si>
    <t>AGEA.ASR.2025.1037712</t>
  </si>
  <si>
    <t>CAA UNICAA - CAMPOBASSO - 003</t>
  </si>
  <si>
    <t>CRISTOFANO ANTONIO</t>
  </si>
  <si>
    <t>TERRE CALDE SOCIETA' AGRICOLA SR</t>
  </si>
  <si>
    <t>CAA Coldiretti - ISERNIA - 003</t>
  </si>
  <si>
    <t>VITULLO AGOSTINO</t>
  </si>
  <si>
    <t>CAA CIA - CAMPOBASSO - 001</t>
  </si>
  <si>
    <t>MARCHITTO GIUSEPPE</t>
  </si>
  <si>
    <t>SBROCCA FERDINANDO</t>
  </si>
  <si>
    <t>CAA UNICAA - CAMPOBASSO - 006</t>
  </si>
  <si>
    <t>OCCHIONERO FILOMENA</t>
  </si>
  <si>
    <t>CAA C.A.N.A.P.A. - BENEVENTO - 003</t>
  </si>
  <si>
    <t>CIERVO ALFONSO</t>
  </si>
  <si>
    <t>COPPOLARO CLAUDIA</t>
  </si>
  <si>
    <t>CAA CIA - BENEVENTO - 001</t>
  </si>
  <si>
    <t>FORGIONE GIOVANNA</t>
  </si>
  <si>
    <t>FORMICHELLA MICHELE</t>
  </si>
  <si>
    <t>IANNELLA ANGELO</t>
  </si>
  <si>
    <t>IESCE IMMACOLATA</t>
  </si>
  <si>
    <t>MARTINO ANGELA</t>
  </si>
  <si>
    <t>PARENTE ANNA</t>
  </si>
  <si>
    <t>PETRACCARO PASQUALE</t>
  </si>
  <si>
    <t>ROMANO ALBERTO</t>
  </si>
  <si>
    <t>RUSSO MASSIMO</t>
  </si>
  <si>
    <t>SOCIETA AGRICOLA COLANGELO S.S.</t>
  </si>
  <si>
    <t>FICARRA GIUSEPPE</t>
  </si>
  <si>
    <t>CAA Coldiretti - CALTANISSETTA - 001</t>
  </si>
  <si>
    <t>PLUMERI ALESSANDRO</t>
  </si>
  <si>
    <t>CAA INTESA - TRAPANI - 105</t>
  </si>
  <si>
    <t>SUORMARCHESA S.R.L.</t>
  </si>
  <si>
    <t>BELPERIO GIUSEPPE</t>
  </si>
  <si>
    <t>DI RUBBO VITTORIO</t>
  </si>
  <si>
    <t>CAA Coldiretti - BENEVENTO - 212</t>
  </si>
  <si>
    <t>FARINA ESTER</t>
  </si>
  <si>
    <t>CAA Coldiretti - BENEVENTO - 110</t>
  </si>
  <si>
    <t>FRAGNITO ORSOLA</t>
  </si>
  <si>
    <t>GALLARELLO GIORGIO</t>
  </si>
  <si>
    <t>CAA Coldiretti - BENEVENTO - 707</t>
  </si>
  <si>
    <t>GIGANTE GRAZIANO</t>
  </si>
  <si>
    <t>IADANZA ANTONIO</t>
  </si>
  <si>
    <t>MASIELLO GENNARINO</t>
  </si>
  <si>
    <t>MERCORELLA GIORGIO</t>
  </si>
  <si>
    <t>MERLETTI CATERINA</t>
  </si>
  <si>
    <t>PANARESE PIERLUIGI</t>
  </si>
  <si>
    <t>PANFILO CORVINO MAURIZIO</t>
  </si>
  <si>
    <t>PARADISO MAURO</t>
  </si>
  <si>
    <t>RUSSO MARIA CONCETTA</t>
  </si>
  <si>
    <t>BARBARA FRANCESCO</t>
  </si>
  <si>
    <t>AGEA.ASR.2025.1084764</t>
  </si>
  <si>
    <t>CAA Coldiretti - TRAPANI - 003</t>
  </si>
  <si>
    <t>GENNA MICHELE</t>
  </si>
  <si>
    <t>ACQUACHIARA ELISA</t>
  </si>
  <si>
    <t>AMORUSO AGATA GRAZIELLA</t>
  </si>
  <si>
    <t>BONTEMPO SEBASTIANO</t>
  </si>
  <si>
    <t>CALA' PALMARINO ANTONINO</t>
  </si>
  <si>
    <t>CAMMARATA PAOLO</t>
  </si>
  <si>
    <t>CANCILLERI MARIO GIUSEPPE</t>
  </si>
  <si>
    <t>CARDACI GIOVANNI</t>
  </si>
  <si>
    <t>DI MARCO ANTONINO</t>
  </si>
  <si>
    <t>FASCETTO NICOLA</t>
  </si>
  <si>
    <t>FIORENZA GIUSY</t>
  </si>
  <si>
    <t>FURNARI FORTUNATO</t>
  </si>
  <si>
    <t>GRASSO ANGELO</t>
  </si>
  <si>
    <t>IRACI SARERI SALVATORE</t>
  </si>
  <si>
    <t>L'EPISCOPO ALEANDRO</t>
  </si>
  <si>
    <t>LA PIANA SRLS SOCIETA' AGRICOLA UNIPERSONALE</t>
  </si>
  <si>
    <t>LUPICA SPAGNOLO LUCIO NATALE</t>
  </si>
  <si>
    <t>MINGOIA FILIPPO</t>
  </si>
  <si>
    <t>PETRALIA SALVATORE</t>
  </si>
  <si>
    <t>RESTIVO MARIO ANTONIO</t>
  </si>
  <si>
    <t>RICCOBENE ANGELO</t>
  </si>
  <si>
    <t>SICILIAN FOOD SOCIETA' AGRICOLA SEMPLICE</t>
  </si>
  <si>
    <t>SOCIETA' AGRICOLA SEMPLICE "CASETTE CASTAGNA"</t>
  </si>
  <si>
    <t>STECCATO VATTUME' MARILENA</t>
  </si>
  <si>
    <t>SUTERA GIUSEPPE</t>
  </si>
  <si>
    <t>AGEA.ASR.2025.1094030</t>
  </si>
  <si>
    <t>CAA CIA - AOSTA - 002</t>
  </si>
  <si>
    <t>COLOSIMO YANNIK</t>
  </si>
  <si>
    <t>AGEA.ASR.2025.1070365</t>
  </si>
  <si>
    <t>AGEA.ASR.2025.1037786</t>
  </si>
  <si>
    <t>IACOVAZZO SALVATORE</t>
  </si>
  <si>
    <t>AGEA.ASR.2025.1033091</t>
  </si>
  <si>
    <t>AGEA.ASR.2025.1084330</t>
  </si>
  <si>
    <t>BONA FURTUNA SOCIETA' AGRICOLA S.R.L.</t>
  </si>
  <si>
    <t>CAA UNSIC - BARLETTA-ANDRIA-TRANI - 001</t>
  </si>
  <si>
    <t>CAA CAF AGRI - FOGGIA - 227</t>
  </si>
  <si>
    <t>AGRO IN PUGLIA SRLS SOCIETA' AGRICOLA</t>
  </si>
  <si>
    <t>AGEA.ASR.2025.1041954</t>
  </si>
  <si>
    <t>CAA CAF AGRI - BRINDISI - 222</t>
  </si>
  <si>
    <t>ANDRIULO TOMMASO</t>
  </si>
  <si>
    <t>CAA UNSIC - BARI - 005</t>
  </si>
  <si>
    <t>ANGIULI MARIA</t>
  </si>
  <si>
    <t>CAA Coldiretti - BARI - 009</t>
  </si>
  <si>
    <t>AZIENDA AGRICOLA LONGO FRANCESCO-D'ONGHIA ANNA SOCIETA' SEMPLICE</t>
  </si>
  <si>
    <t>CAA CIA - BARI - 050</t>
  </si>
  <si>
    <t>BARONE EMANUELE</t>
  </si>
  <si>
    <t>CAA Coldiretti - BARI - 015</t>
  </si>
  <si>
    <t>BRUNO SEBASTIANO</t>
  </si>
  <si>
    <t>CAA Coldiretti - FOGGIA - 011</t>
  </si>
  <si>
    <t>BUONO GIOVANNI</t>
  </si>
  <si>
    <t>CAA Coldiretti - LECCE - 005</t>
  </si>
  <si>
    <t>Reg. Puglia - Serv. Prov. Agric. di Lecce</t>
  </si>
  <si>
    <t>CAMPO MADRE SRL SOCIETA' AGRICOLA</t>
  </si>
  <si>
    <t>CANNITO ANGELO ANTONIO</t>
  </si>
  <si>
    <t>CAPONIO FRANCESCO</t>
  </si>
  <si>
    <t>CEGLIA VITO</t>
  </si>
  <si>
    <t>CAA Liberi Professionisti - LECCE - 002</t>
  </si>
  <si>
    <t>CHIRIATTI MARIO</t>
  </si>
  <si>
    <t>CAA Confagricoltura - BARI - 001</t>
  </si>
  <si>
    <t>CIRIELLO VITO</t>
  </si>
  <si>
    <t>CAA Coldiretti - BARI - 012</t>
  </si>
  <si>
    <t>CONSIGLIO MICHELA</t>
  </si>
  <si>
    <t>CAA Liberi Professionisti - BARI - 004</t>
  </si>
  <si>
    <t>COSCIA DONATO</t>
  </si>
  <si>
    <t>CAA Confagricoltura - BARI - 004</t>
  </si>
  <si>
    <t>COSMAI PIETRO</t>
  </si>
  <si>
    <t>CAA Confagricoltura - BARI - 015</t>
  </si>
  <si>
    <t>CUONZO LETIZIA</t>
  </si>
  <si>
    <t>CAA Coldiretti - BARI - 121</t>
  </si>
  <si>
    <t>D'ABRAMO LUIGI</t>
  </si>
  <si>
    <t>CAA Confagricoltura - LECCE - 001</t>
  </si>
  <si>
    <t>D'AURELIO LANZILAO COSIMO</t>
  </si>
  <si>
    <t>DE MARINIS FRANCESCO</t>
  </si>
  <si>
    <t>CAA CAF AGRI - LECCE - 225</t>
  </si>
  <si>
    <t>DELL'ANNA ANGELICA ORONZA</t>
  </si>
  <si>
    <t>CAA INTESA - LECCE - 800</t>
  </si>
  <si>
    <t>DELL'ANNA PIERPAOLO</t>
  </si>
  <si>
    <t>DERUVO FRANCESCO</t>
  </si>
  <si>
    <t>CAA Liberi Prof. - BARI - 001</t>
  </si>
  <si>
    <t>DI LORENZO DANIELE</t>
  </si>
  <si>
    <t>COSTA VINCENZO</t>
  </si>
  <si>
    <t>DI VITALE SALVATORE TIBERIO</t>
  </si>
  <si>
    <t>MARGAGLIOTTA SALVATORE</t>
  </si>
  <si>
    <t>NOCE GABRIELE</t>
  </si>
  <si>
    <t>FORTUNATO VITO NICOLA</t>
  </si>
  <si>
    <t>CAA ACLI - LECCE - 003</t>
  </si>
  <si>
    <t>FRUNI GIUSEPPE</t>
  </si>
  <si>
    <t>CAA AIC SERVICES - FOGGIA - 002</t>
  </si>
  <si>
    <t>GAETA TOMMASO</t>
  </si>
  <si>
    <t>CAA ALPA - BARI - 002</t>
  </si>
  <si>
    <t>GIANNINI PASQUALE</t>
  </si>
  <si>
    <t>DI STASI GIAMPIERO</t>
  </si>
  <si>
    <t>GONTIER EDY</t>
  </si>
  <si>
    <t>CAA UIPA - CAMPOBASSO - 001</t>
  </si>
  <si>
    <t>SAURO ORLANDO</t>
  </si>
  <si>
    <t>CAA Coldiretti - CAMPOBASSO - 007</t>
  </si>
  <si>
    <t>GIACOMODONATO MICHELE</t>
  </si>
  <si>
    <t>SARACINO ANTONIO</t>
  </si>
  <si>
    <t>CAA Coldiretti - CAMPOBASSO - 003</t>
  </si>
  <si>
    <t>TULLO ELVIO</t>
  </si>
  <si>
    <t>CAA AGRISERVIZI - BENEVENTO - 001</t>
  </si>
  <si>
    <t>BARONE GIUSEPPE</t>
  </si>
  <si>
    <t>IANNELLA COSIMO</t>
  </si>
  <si>
    <t>LEPPA GIORGIO</t>
  </si>
  <si>
    <t>MAZZEO NADIA</t>
  </si>
  <si>
    <t>CAA Coldiretti - BENEVENTO - 606</t>
  </si>
  <si>
    <t>PILLA PATRIZIA</t>
  </si>
  <si>
    <t>STANZIONE GIUSEPPE ANTONIO NATALINO</t>
  </si>
  <si>
    <t>PATUTO DONATO</t>
  </si>
  <si>
    <t>CAA Coldiretti - BENEVENTO - 808</t>
  </si>
  <si>
    <t>FONTANELLA MARIA</t>
  </si>
  <si>
    <t>CAA UNSIC - PALERMO - 011</t>
  </si>
  <si>
    <t>MARGIOTTA ALESSANDRA</t>
  </si>
  <si>
    <t>RAMPONE GLAUCO</t>
  </si>
  <si>
    <t>RILLO MARIA CONCETTA</t>
  </si>
  <si>
    <t>RUGGIERI FRANCESCO</t>
  </si>
  <si>
    <t>SCETTA MARIANO ATTILIO</t>
  </si>
  <si>
    <t>ZOTTI COSIMO</t>
  </si>
  <si>
    <t>CAMERLENGO ANTONIO</t>
  </si>
  <si>
    <t>DE PALMA DONATO</t>
  </si>
  <si>
    <t>PAOLUCCI LINA</t>
  </si>
  <si>
    <t>PIETRANTUONO LUCIO</t>
  </si>
  <si>
    <t>PELLEGRINO ANTONIO</t>
  </si>
  <si>
    <t>PICCIUTO GIOVANNI</t>
  </si>
  <si>
    <t>RICCIO MASSIMILIANO</t>
  </si>
  <si>
    <t>SOCIETA' AGRICOLA DE PALMA S.A.S. DI DE PALMA MICHELE</t>
  </si>
  <si>
    <t>CAA CIA - TRAPANI - 001</t>
  </si>
  <si>
    <t>FIORINO SALVATORE</t>
  </si>
  <si>
    <t>CAA Confagricoltura - TRAPANI - 001</t>
  </si>
  <si>
    <t>POSSENTE FRANCESCO</t>
  </si>
  <si>
    <t>CAA CAF AGRI - ENNA - 224</t>
  </si>
  <si>
    <t>ZITELLI ANTONELLA</t>
  </si>
  <si>
    <t>CARNEVALE MAURIZIO</t>
  </si>
  <si>
    <t>BARREA PASQUALE</t>
  </si>
  <si>
    <t>ENTE REGIONALE DI SVILUPPO AGRICOLO - MOLISE</t>
  </si>
  <si>
    <t>SANTORIELLO ZELINDA</t>
  </si>
  <si>
    <t>SOCIETA' SEMPLICE AGRICOLA FRATELLI CALANDRA</t>
  </si>
  <si>
    <t>VULLO VINCENZO DOMENICO</t>
  </si>
  <si>
    <t>CAA LiberiAgricoltori - RAGUSA - 004</t>
  </si>
  <si>
    <t>DESTRO PASTIZZARO CLAUDIO</t>
  </si>
  <si>
    <t>AGEA.ASR.2025.1033444</t>
  </si>
  <si>
    <t>GUARDIANO ESTER</t>
  </si>
  <si>
    <t>MILANA ANTONINO</t>
  </si>
  <si>
    <t>CAA FENAPI - RAGUSA - 001</t>
  </si>
  <si>
    <t>STELLA ANGELA</t>
  </si>
  <si>
    <t>CAA Coldiretti - AOSTA - 001</t>
  </si>
  <si>
    <t>DALBARD PAOLO</t>
  </si>
  <si>
    <t>CAA CIA - POTENZA - 025</t>
  </si>
  <si>
    <t>ROBORTELLA GIUSEPPE</t>
  </si>
  <si>
    <t>CAA Coldiretti - POTENZA - 011</t>
  </si>
  <si>
    <t>TRIVIGNO EGIDIO</t>
  </si>
  <si>
    <t>CROCCO ANGELO</t>
  </si>
  <si>
    <t>POTENZA DOMENICO</t>
  </si>
  <si>
    <t>CAA LiberiAgricoltori - MATERA - 003</t>
  </si>
  <si>
    <t>SARDELLA MARIO FRANCESCO</t>
  </si>
  <si>
    <t>ANDOLLINA CALOGERO</t>
  </si>
  <si>
    <t>ANTISTA ANNA CARMELA</t>
  </si>
  <si>
    <t>CAA UNSIC - PALERMO - 009</t>
  </si>
  <si>
    <t>ARMATO CALOGERA</t>
  </si>
  <si>
    <t>BADALAMENTI CATERINA</t>
  </si>
  <si>
    <t>CALACIONE PAOLA</t>
  </si>
  <si>
    <t>Ufficio Utente Qualificato</t>
  </si>
  <si>
    <t>1928 SOCIETA AGRICOLA SEMPLICE</t>
  </si>
  <si>
    <t>ANTONIOTTI GIANROBERTO UBALDO</t>
  </si>
  <si>
    <t>AZIENDA AGRICOLA ORTOPLANT DI DEPALO MICHELE &amp; C. SOCIETA' SEMPLI</t>
  </si>
  <si>
    <t>CAA CAF AGRI - FOGGIA - 226</t>
  </si>
  <si>
    <t>CAA UNICAA - FOGGIA - 008</t>
  </si>
  <si>
    <t>AZZARONE FRANCESCO</t>
  </si>
  <si>
    <t>CAA CIA - LECCE - 007</t>
  </si>
  <si>
    <t>BAFFA ROSA</t>
  </si>
  <si>
    <t>BIONATURE S.R.L. SOCIETA' AGRICOLA</t>
  </si>
  <si>
    <t>CAA CIA - FOGGIA - 016</t>
  </si>
  <si>
    <t>BOSCO GIORGIO</t>
  </si>
  <si>
    <t>CAA Coldiretti - LECCE - 009</t>
  </si>
  <si>
    <t>BRAMATO MARCO</t>
  </si>
  <si>
    <t>CANNAROZZI MICHELE</t>
  </si>
  <si>
    <t>CASIELLO GIACOMO</t>
  </si>
  <si>
    <t>CAA CIA - BARI - 015</t>
  </si>
  <si>
    <t>CAVALLUZZI &amp; C SOC SEM AGR</t>
  </si>
  <si>
    <t>CAA CIA - LECCE - 001</t>
  </si>
  <si>
    <t>CESI MARTA</t>
  </si>
  <si>
    <t>CAA Coldiretti - FOGGIA - 002</t>
  </si>
  <si>
    <t>CIFALDI ALESSIA</t>
  </si>
  <si>
    <t>CAA UNICAA - LECCE - 001</t>
  </si>
  <si>
    <t>CONSALVO LUISA</t>
  </si>
  <si>
    <t>CAA Confagricoltura - LECCE - 012</t>
  </si>
  <si>
    <t>COSI TOMMASO ANTONIO</t>
  </si>
  <si>
    <t>CAA Confagricoltura - BARI - 007</t>
  </si>
  <si>
    <t>CUSCITO LEONARDO</t>
  </si>
  <si>
    <t>DE GIUSEPPE GRAZIA</t>
  </si>
  <si>
    <t>DE PASCALIS SIMONE</t>
  </si>
  <si>
    <t>CAA Degli Agricoltori - BARI - 101</t>
  </si>
  <si>
    <t>DI PALO VITA MARIA</t>
  </si>
  <si>
    <t>CAA Confagricoltura - FOGGIA - 010</t>
  </si>
  <si>
    <t>CAA ALPA - FOGGIA - 001</t>
  </si>
  <si>
    <t>DRAICCHIO NICOLA</t>
  </si>
  <si>
    <t>CONTI ANGELO</t>
  </si>
  <si>
    <t>D'ASARO MARIA VALERIA</t>
  </si>
  <si>
    <t>CAA UNSIC - PALERMO - 012</t>
  </si>
  <si>
    <t>GRISANTI FRANCESCO</t>
  </si>
  <si>
    <t>ORLANDO MARIA FRANCESCA</t>
  </si>
  <si>
    <t>G&amp;G SOCIETA' AGRICOLA S.R.L.</t>
  </si>
  <si>
    <t>LUCERA GIOVANNI</t>
  </si>
  <si>
    <t>MAISANO SALVATORE</t>
  </si>
  <si>
    <t>ONORATO VALERIO</t>
  </si>
  <si>
    <t>PECORARO GASPARE</t>
  </si>
  <si>
    <t>ESPOSITO ANTONIO</t>
  </si>
  <si>
    <t>FIORE VINCENZO</t>
  </si>
  <si>
    <t>FRATTAROLO MATTEO</t>
  </si>
  <si>
    <t>CAA Coldiretti - BARI - 013</t>
  </si>
  <si>
    <t>GIAMPETRUZZI DOMENICO EDOARDO</t>
  </si>
  <si>
    <t>ROSSI MARIA ILLUMINATA</t>
  </si>
  <si>
    <t>SOCIETA' AGRICOLA PONTE CALATRASI AGRITURISMO S.R.L. IN FORMA ABBREVIA</t>
  </si>
  <si>
    <t>AZIENDA AGRICOLA CASALINO SOCIETA SEMLICE</t>
  </si>
  <si>
    <t>AGEA.ASR.2025.1048457</t>
  </si>
  <si>
    <t>AZIENDA AGRICOLA MALLIA GIOVANNI &amp; C. SOC. SEMPL.</t>
  </si>
  <si>
    <t>AGEA.ASR.2025.1082624</t>
  </si>
  <si>
    <t>GAROFALO GIUSEPPE</t>
  </si>
  <si>
    <t>GIUMMARRA GIORGIO</t>
  </si>
  <si>
    <t>CETRONE SILVIA</t>
  </si>
  <si>
    <t>AGEA.ASR.2025.1068339</t>
  </si>
  <si>
    <t>AGEA.ASR.2025.1031681</t>
  </si>
  <si>
    <t>STOPPIELLO CONSIGLIA ADELINA</t>
  </si>
  <si>
    <t>CAA Coldiretti - FOGGIA - 010</t>
  </si>
  <si>
    <t>POTENZA GIOVANNI</t>
  </si>
  <si>
    <t>CAA Coldiretti - BARI - 006</t>
  </si>
  <si>
    <t>ROMANAZZI SERAFINA</t>
  </si>
  <si>
    <t>CAA Confagricoltura - FOGGIA - 006</t>
  </si>
  <si>
    <t>ROMANO GABRIELE</t>
  </si>
  <si>
    <t>CAA Degli Agricoltori - CAMPOBASSO - 102</t>
  </si>
  <si>
    <t>STINZIANI GIOVANNI</t>
  </si>
  <si>
    <t>CAA Coldiretti - CAMPOBASSO - 011</t>
  </si>
  <si>
    <t>DE VITO GIOVANNI</t>
  </si>
  <si>
    <t>ANDRE' DANIELE</t>
  </si>
  <si>
    <t>ESTRELA DI BERGER SOCIETA' SEMPLICE AGRICOLA</t>
  </si>
  <si>
    <t>LE CHOLIRE SOCIETA' AGRICOLA S.S.</t>
  </si>
  <si>
    <t>MARTIGNON FRANCESCO</t>
  </si>
  <si>
    <t>MONTROSSET LEO</t>
  </si>
  <si>
    <t>MORET MARINA</t>
  </si>
  <si>
    <t>PARISET DIDIER</t>
  </si>
  <si>
    <t>CAA CIA - IMPERIA - 001</t>
  </si>
  <si>
    <t>SOCIETA' AGRICOLA TOUR D'AILLAND DI CUC ELISA E C. SOCIETA' SEMPLICE</t>
  </si>
  <si>
    <t>SOCIETA' AGRICOLA TSANTI' DI CHARBONNIER RENATO &amp; C. S.S.</t>
  </si>
  <si>
    <t>CAA Confagricoltura - AOSTA - 001</t>
  </si>
  <si>
    <t>UGHETTI MATTEO</t>
  </si>
  <si>
    <t>CAA LiberiAgricoltori - POTENZA - 002</t>
  </si>
  <si>
    <t>CALCAGNO TERESA MARIA</t>
  </si>
  <si>
    <t>CAA UNSIC - SALERNO - 001</t>
  </si>
  <si>
    <t>CERONE GIUSEPPINA</t>
  </si>
  <si>
    <t>CONTENTO ERMINIA AGNESE</t>
  </si>
  <si>
    <t>DIANO' MARIAROSARIA</t>
  </si>
  <si>
    <t>GIORDANO ROCCHINA</t>
  </si>
  <si>
    <t>PESSOLANI ANTONIO</t>
  </si>
  <si>
    <t>CAA CIA - POTENZA - 013</t>
  </si>
  <si>
    <t>ISOLDI VITO</t>
  </si>
  <si>
    <t>SANNAZZARO ANTONIETTA</t>
  </si>
  <si>
    <t>SARLI GIUSEPPE</t>
  </si>
  <si>
    <t>CAA UNICAA - POTENZA - 001</t>
  </si>
  <si>
    <t>SCAVONE GIOVANNA</t>
  </si>
  <si>
    <t>CAA CIA - POTENZA - 001</t>
  </si>
  <si>
    <t>TELESCA MARIA</t>
  </si>
  <si>
    <t>DELLO RUSSO MARIA ROSARIA</t>
  </si>
  <si>
    <t>IANNUZZI GIORGIO</t>
  </si>
  <si>
    <t>ANELLI DOMENICO</t>
  </si>
  <si>
    <t>AZ. AGR. POZZO DI CANGE S.S</t>
  </si>
  <si>
    <t>CAA AGRISERVIZI - BARI - 001</t>
  </si>
  <si>
    <t>AZIENDA AGRICOLA PASQUALE FERRARA SOCIETA' SEMPLICE</t>
  </si>
  <si>
    <t>CAA UNICAA - LECCE - 010</t>
  </si>
  <si>
    <t>AZZOLINI ROBERTA</t>
  </si>
  <si>
    <t>CAA UNICAA - LECCE - 007</t>
  </si>
  <si>
    <t>CALOGIURI DAMIANA ANTONELLA</t>
  </si>
  <si>
    <t>CAPOZZA DINO</t>
  </si>
  <si>
    <t>CAA AGRISERVIZI - BRINDISI - 001</t>
  </si>
  <si>
    <t>CENTURINI PAOLA</t>
  </si>
  <si>
    <t>CAA ACLI - LECCE - 007</t>
  </si>
  <si>
    <t>DE CILLIS GIUSEPPE</t>
  </si>
  <si>
    <t>DISANTO VALENTINA</t>
  </si>
  <si>
    <t>CAA Coldiretti - BARI - 118</t>
  </si>
  <si>
    <t>PEDONE TERESA</t>
  </si>
  <si>
    <t>DI MARTINO ROSA</t>
  </si>
  <si>
    <t>DI PIAZZA FRANCESCO</t>
  </si>
  <si>
    <t>GANGI DANTE GIUSEPPE</t>
  </si>
  <si>
    <t>GIURDANELLA VINCENZO</t>
  </si>
  <si>
    <t>MASSERIA XIRENI SOCIETA' SEMPLICE AGRICOLA</t>
  </si>
  <si>
    <t>PALAZZOLO ROSOLINO</t>
  </si>
  <si>
    <t>EPIFANI COSIMO DAMIANO</t>
  </si>
  <si>
    <t>F.LLI RENISI SOCIETA' AGRICOLA S.S.</t>
  </si>
  <si>
    <t>FEOLA VITTORIO</t>
  </si>
  <si>
    <t>FINIZIO FRANCESCO</t>
  </si>
  <si>
    <t>GALLO FRANCESCO</t>
  </si>
  <si>
    <t>CAA CAF AGRI - FOGGIA - 224</t>
  </si>
  <si>
    <t>FORLEO ALESSIA</t>
  </si>
  <si>
    <t>FRANCHINO CECILIA</t>
  </si>
  <si>
    <t>CAA UNICAA - FOGGIA - 004</t>
  </si>
  <si>
    <t>FRATELLI FIANO S.S</t>
  </si>
  <si>
    <t>GIAMPETRUZZI ANGELA</t>
  </si>
  <si>
    <t>GIORDANO SOCIETA AGRICOLA SEMPLICE</t>
  </si>
  <si>
    <t>GIRARDI DOMENICO</t>
  </si>
  <si>
    <t>IOLE IMMOBILIARE SOCIETA' AGRICOLA SRL</t>
  </si>
  <si>
    <t>CAA Liberi Professionisti - BARLETTA-ANDRIA-TRANI</t>
  </si>
  <si>
    <t>MANGANO PINO</t>
  </si>
  <si>
    <t>MARASCO ARIANNA</t>
  </si>
  <si>
    <t>CAA INTESA - FOGGIA - 502</t>
  </si>
  <si>
    <t>CAA LiberiAgricoltori - FOGGIA - 002</t>
  </si>
  <si>
    <t>MENONNA FRANCESCO</t>
  </si>
  <si>
    <t>CAA Liberi Prof. - BARI - 003</t>
  </si>
  <si>
    <t>MINAFRA GIOVANNI</t>
  </si>
  <si>
    <t>LA VIA LATTEA SOC. AGRICOLA A R. L.</t>
  </si>
  <si>
    <t>CAA Coldiretti - BARI - 069</t>
  </si>
  <si>
    <t>LEOGRANDE GIUSEPPE</t>
  </si>
  <si>
    <t>LOMURNO GIACOMO</t>
  </si>
  <si>
    <t>LONGO LUIGI UGO</t>
  </si>
  <si>
    <t>CAA CIA - BARI - 006</t>
  </si>
  <si>
    <t>LONGO VITANTONIO</t>
  </si>
  <si>
    <t>CAA Degli Agricoltori - BARI - 102</t>
  </si>
  <si>
    <t>LORUSSO LUCIA</t>
  </si>
  <si>
    <t>MAGGIPINTO ANGELORONZO</t>
  </si>
  <si>
    <t>PALELLA GIUSEPPE</t>
  </si>
  <si>
    <t>MAGLIONE ELEONORA</t>
  </si>
  <si>
    <t>MAGNO RICCARDO</t>
  </si>
  <si>
    <t>RINALDI SRLS</t>
  </si>
  <si>
    <t>MAIORANO FRANCESCA</t>
  </si>
  <si>
    <t>MALERBA ANTONIO</t>
  </si>
  <si>
    <t>MALERBA MARIA NUNZIA</t>
  </si>
  <si>
    <t>PRISCIANDARO MICHELE</t>
  </si>
  <si>
    <t>MANDUANO MATTEO</t>
  </si>
  <si>
    <t>MANGINI ANNA RITA</t>
  </si>
  <si>
    <t>MARIANO CLAUDIA</t>
  </si>
  <si>
    <t>MARIANO MARCO</t>
  </si>
  <si>
    <t>MASTROLEO LAURA</t>
  </si>
  <si>
    <t>MATERA DOMENICO</t>
  </si>
  <si>
    <t>CAA AGRISERVIZI - BARI - 005</t>
  </si>
  <si>
    <t>MILANO VITO SANTE</t>
  </si>
  <si>
    <t>MONDO VERDE DI MONDELLI ALDO PIO &amp; C. SAS SOCIETA' AGRICOLA</t>
  </si>
  <si>
    <t>OLEARIA PAZIENZA S.R.L.</t>
  </si>
  <si>
    <t>CAA Confagricoltura - FOGGIA - 009</t>
  </si>
  <si>
    <t>PASSALACQUA VALENTINA</t>
  </si>
  <si>
    <t>PASTUCCI VINCENZO</t>
  </si>
  <si>
    <t>PETRONELLI RACHELE</t>
  </si>
  <si>
    <t>PISCAZZI PAOLO</t>
  </si>
  <si>
    <t>PORFIDO ROSA</t>
  </si>
  <si>
    <t>PRUDENTE GAETANO</t>
  </si>
  <si>
    <t>NIGRO DOMENICO</t>
  </si>
  <si>
    <t>SALVIAMO LA TERRA S.S.A.</t>
  </si>
  <si>
    <t>SCELFO DUILIO</t>
  </si>
  <si>
    <t>SOCIETA' AGRICOLA F.LLI CAPPUZZO DI CAPPUZZO CARMELO E CAPPUZZO MASSIM</t>
  </si>
  <si>
    <t>TRAINA GIUSEPPE</t>
  </si>
  <si>
    <t>VAZZANO GIOACCHINA</t>
  </si>
  <si>
    <t>TESTA RICCARDO</t>
  </si>
  <si>
    <t>CAA CIA - RAGUSA - 002</t>
  </si>
  <si>
    <t>ASS.SEMPLICE TRA PRODUTTORI AGRICOLI LANDOLINA</t>
  </si>
  <si>
    <t>CAA Coldiretti - RAGUSA - 004</t>
  </si>
  <si>
    <t>FATTORIE AVICOLE MODICA DI IOZZIA CARMELO &amp; C. S.N.C.</t>
  </si>
  <si>
    <t>CAA CIA - TERAMO - 003</t>
  </si>
  <si>
    <t>ALMONTI MASSIMO</t>
  </si>
  <si>
    <t>CAA LiberiAgricoltori - PESCARA - 001</t>
  </si>
  <si>
    <t>D'ORTONA PAOLA</t>
  </si>
  <si>
    <t>FELACO MARISA</t>
  </si>
  <si>
    <t>CAA CAF AGRI - PESCARA - 222</t>
  </si>
  <si>
    <t>MANCO GIAMPIERO</t>
  </si>
  <si>
    <t>CAA CIA - TERAMO - 001</t>
  </si>
  <si>
    <t>MONTICELLI STEFANO</t>
  </si>
  <si>
    <t>CAA Coldiretti - TERAMO - 005</t>
  </si>
  <si>
    <t>SOCIETA' AGRICOLA D'ANTONIO CARLO E ARTURO</t>
  </si>
  <si>
    <t>SOCIETA' AGRICOLA "PIAZZARE" DI CHIAPPINI LORENZO E F.LLI</t>
  </si>
  <si>
    <t>CAA Coldiretti - PESCARA - 010</t>
  </si>
  <si>
    <t>TARANTELLI PAOLO</t>
  </si>
  <si>
    <t>CAA AIC SERVICES - CHIETI - 003</t>
  </si>
  <si>
    <t>TRE LAGHI SOCIETA' AGRICOLA AR.L.</t>
  </si>
  <si>
    <t>D'ANNUNZIO CARMINE</t>
  </si>
  <si>
    <t>SOCIETA' AGRICOLA DI EGIDIO S.S.</t>
  </si>
  <si>
    <t>CAA Coldiretti - CHIETI - 004</t>
  </si>
  <si>
    <t>DELL'ARCIPRETE NICOLA</t>
  </si>
  <si>
    <t>CAA CIA - TERAMO - 005</t>
  </si>
  <si>
    <t>DI STEFANO GIANNI</t>
  </si>
  <si>
    <t>GALANO ENZO</t>
  </si>
  <si>
    <t>CAA ACLI - AVELLINO - 003</t>
  </si>
  <si>
    <t>BIO NATURE SOCIETA' AGRICOLA SRLS</t>
  </si>
  <si>
    <t>CAA CAF AGRI - AVELLINO - 221</t>
  </si>
  <si>
    <t>BOSSONE ANTONIO</t>
  </si>
  <si>
    <t>CAA C.A.N.A.P.A. - AVELLINO - 008</t>
  </si>
  <si>
    <t>CANDELA GIANLUCA</t>
  </si>
  <si>
    <t>CAA Coldiretti - AVELLINO - 004</t>
  </si>
  <si>
    <t>CELA ANGELO</t>
  </si>
  <si>
    <t>CONTURSO GIULIA</t>
  </si>
  <si>
    <t>FICETOLA IMMACOLATA</t>
  </si>
  <si>
    <t>CAA Coldiretti - BENEVENTO - 909</t>
  </si>
  <si>
    <t>GALLO ANTONIO</t>
  </si>
  <si>
    <t>GRANDE FILOMENA</t>
  </si>
  <si>
    <t>LOMAZZO DOMENICO MICHELE</t>
  </si>
  <si>
    <t>RAIMO GIUSEPPE</t>
  </si>
  <si>
    <t>RUSSO ALESSANDRA</t>
  </si>
  <si>
    <t>CAA UNICAA - SALERNO - 002</t>
  </si>
  <si>
    <t>SPAGNUOLO ENRICO</t>
  </si>
  <si>
    <t>PALANO BIAGIO</t>
  </si>
  <si>
    <t>PASSALACQUA NAZARIO GUIDO</t>
  </si>
  <si>
    <t>CAA Coldiretti - FOGGIA - 006</t>
  </si>
  <si>
    <t>PERNA MARIA</t>
  </si>
  <si>
    <t>PETRACCA MATTEO LUIGI</t>
  </si>
  <si>
    <t>PONZIANO MICHELE</t>
  </si>
  <si>
    <t>CAA CIA - AVELLINO - 010</t>
  </si>
  <si>
    <t>RUGGIERO GIUSEPPE</t>
  </si>
  <si>
    <t>SANNICANDRO FRANCESCO PAOLO</t>
  </si>
  <si>
    <t>SCHIAVARELLI STEFANO</t>
  </si>
  <si>
    <t>SETTE GIUSEPPINA</t>
  </si>
  <si>
    <t>SOC.AGR. D'ALESSANDRO FRANCESCO &amp; FIGLIE S.S.</t>
  </si>
  <si>
    <t>SOCIETA' AGRICOLA AZIENDA AGRICOLADEL SUD SOCIETA' A RESPONSABILI TA'</t>
  </si>
  <si>
    <t>SOCIETA' AGRICOLA CERIFARM BIO S.S.</t>
  </si>
  <si>
    <t>SOCIETA' AGRICOLA COLIZZI SAS DI COLIZZI FRANCESCO &amp; C.</t>
  </si>
  <si>
    <t>SOCIETA' AGRICOLA LORUSSO S.N.C.</t>
  </si>
  <si>
    <t>AGEA.ASR.2025.1093629</t>
  </si>
  <si>
    <t>AGEA.ASR.2025.1082294</t>
  </si>
  <si>
    <t>FALLICO GIANLUIGI</t>
  </si>
  <si>
    <t>SOCIETA' AGRICOLA QUARTICELLI S.R.L.S.</t>
  </si>
  <si>
    <t>SOCIETA' AGRICOLA SEMPLICE CAMPAGNA</t>
  </si>
  <si>
    <t>SPECCHIA MARCO</t>
  </si>
  <si>
    <t>CAA UNICAA - LECCE - 009</t>
  </si>
  <si>
    <t>STOCCO ANTONELLA</t>
  </si>
  <si>
    <t>TANCREDI S.R.L. SOCIETA' AGR.LA</t>
  </si>
  <si>
    <t>CAA CIA - BARI - 017</t>
  </si>
  <si>
    <t>TENUTA FALCO SOCIETA' AGRICOLA A R.L.</t>
  </si>
  <si>
    <t>TONDI DOMENICO PANTALEO</t>
  </si>
  <si>
    <t>TRAETTA GAETANO</t>
  </si>
  <si>
    <t>TRIGGIANO NICOLA</t>
  </si>
  <si>
    <t>TURCHIANO ANTONIO</t>
  </si>
  <si>
    <t>CAA AGRISERVIZI - BARI - 007</t>
  </si>
  <si>
    <t>TURCHIANO GIACOMO</t>
  </si>
  <si>
    <t>AGEA.ASR.2025.1088067</t>
  </si>
  <si>
    <t>DI MARIA DOMENICANTONIO</t>
  </si>
  <si>
    <t>CAA Confagricoltura - TARANTO - 001</t>
  </si>
  <si>
    <t>CASULLI PASQUALE</t>
  </si>
  <si>
    <t>AGEA.ASR.2025.1073185</t>
  </si>
  <si>
    <t>MATURO GIUSEPPINA</t>
  </si>
  <si>
    <t>AZIENDA AGRICOLA PROTORGNET DI MIASSOT EDY E GARD BARBARA SOCIETA' SEM</t>
  </si>
  <si>
    <t>AGEA.ASR.2025.1070274</t>
  </si>
  <si>
    <t>GRIMOD PATRICK</t>
  </si>
  <si>
    <t>JACQUIN FABIO</t>
  </si>
  <si>
    <t>CAIRONE ANTONINO</t>
  </si>
  <si>
    <t>AGEA.ASR.2025.1088566</t>
  </si>
  <si>
    <t>CAA Coldiretti - CALTANISSETTA - 005</t>
  </si>
  <si>
    <t>NATURDIS SOCIETA' AGRICOLA S.R.L.</t>
  </si>
  <si>
    <t>AGEA.ASR.2025.1037778</t>
  </si>
  <si>
    <t>GIACINTO ROCCO</t>
  </si>
  <si>
    <t>GUARINI GIORGIO</t>
  </si>
  <si>
    <t>MARTINA MARTINA AGOSTINO</t>
  </si>
  <si>
    <t>MASTANDREA PASQUALE</t>
  </si>
  <si>
    <t>MENONNA FRANCESCO PIO</t>
  </si>
  <si>
    <t>PANZARINO ANGELA</t>
  </si>
  <si>
    <t>MONTECATO SOCIETA' SEMPLICE AGRICOLA</t>
  </si>
  <si>
    <t>NOCCO GIUSEPPE</t>
  </si>
  <si>
    <t>RUSSO GIUSEPPA</t>
  </si>
  <si>
    <t>SOCIETA' AGRICOLA FUTURA S.S. DI NOTO MARIA &amp; RANIOLO VINCENZO</t>
  </si>
  <si>
    <t>BONALDI NAZZARENO</t>
  </si>
  <si>
    <t>CAA Coldiretti - TERAMO - 001</t>
  </si>
  <si>
    <t>CANTORO DANIELE</t>
  </si>
  <si>
    <t>CARDINALE ALESSIO</t>
  </si>
  <si>
    <t>CILLI SIMONE</t>
  </si>
  <si>
    <t>CIVISCA MARIO</t>
  </si>
  <si>
    <t>COLONNELLE SOCIETA' SEMPLICE AGRICOLA</t>
  </si>
  <si>
    <t>LANCIONE PIETRO</t>
  </si>
  <si>
    <t>CAA Coldiretti - PESCARA - 001</t>
  </si>
  <si>
    <t>MORRETTI SAMUELE</t>
  </si>
  <si>
    <t>OLIVIERI MARINO</t>
  </si>
  <si>
    <t>BOCCHINO FRANCESCA</t>
  </si>
  <si>
    <t>CICCARELLA ANGELO</t>
  </si>
  <si>
    <t>SIRAGUSA MARIA DORA MATILDE</t>
  </si>
  <si>
    <t>CARFAGNI EGIDIO</t>
  </si>
  <si>
    <t>COLUCCI MICHELE</t>
  </si>
  <si>
    <t>CAA Coldiretti - AVELLINO - 014</t>
  </si>
  <si>
    <t>CUSANO GINA</t>
  </si>
  <si>
    <t>DE PRISCO RACHELE</t>
  </si>
  <si>
    <t>RODIA GIUSEPPE</t>
  </si>
  <si>
    <t>NUZZI MAURIZIO</t>
  </si>
  <si>
    <t>PAIANO GIANPIERO</t>
  </si>
  <si>
    <t>PASSIDOMO LUIGIA</t>
  </si>
  <si>
    <t>CAA Confagricoltura - BRINDISI - 004</t>
  </si>
  <si>
    <t>SANTESE GIOVANNI</t>
  </si>
  <si>
    <t>SAVINO TOMMASO</t>
  </si>
  <si>
    <t>SCALERA VITO NICOLA</t>
  </si>
  <si>
    <t>CAA Confagricoltura - BARI - 006</t>
  </si>
  <si>
    <t>SCARPA GIUSEPPE</t>
  </si>
  <si>
    <t>SCHIAVONE MICHELE</t>
  </si>
  <si>
    <t>SCIOLTI ANNUNZIO</t>
  </si>
  <si>
    <t>SICOLO LUCA</t>
  </si>
  <si>
    <t>SOCIETA' AGRICOLA APULIA CASTELLI S.S.</t>
  </si>
  <si>
    <t>AVISANNIO - S.R.L.</t>
  </si>
  <si>
    <t>AZIENDA AGRICOLA DI VINCENZO PUCELLA &amp; C. SOCIETA' SEMPLICE</t>
  </si>
  <si>
    <t>FISCARELLI GIUSEPPINA</t>
  </si>
  <si>
    <t>IALACCI ANGELO</t>
  </si>
  <si>
    <t>CASAMASSA DIEGO</t>
  </si>
  <si>
    <t>CUSANELLI MARIA CRISTINA</t>
  </si>
  <si>
    <t>CAA UNSIC - RAGUSA - 008</t>
  </si>
  <si>
    <t>AZZARO MARIA RITA</t>
  </si>
  <si>
    <t>CAA CAF AGRI - CATANIA - 223</t>
  </si>
  <si>
    <t>BARONE DI MICELI SOCIETA' AGRICOLA A R.L.</t>
  </si>
  <si>
    <t>CAA Confagricoltura - CATANIA - 005</t>
  </si>
  <si>
    <t>CASTORINA ANNA</t>
  </si>
  <si>
    <t>F.A.T. DI SERAFICA ANDREA MARIA E C. SRL SOC. AGRICOLA</t>
  </si>
  <si>
    <t>FALLICA GRETA</t>
  </si>
  <si>
    <t>MONTAGNO BOZZONE ROBERTO</t>
  </si>
  <si>
    <t>MOTTA SALVATORE JOSE</t>
  </si>
  <si>
    <t>RAMO D'ARIA SOCIETA' SEMPLICE AGRICOLA DI MAUGERI A. E C.</t>
  </si>
  <si>
    <t>FICHERA FRANCESCO ANTONINO</t>
  </si>
  <si>
    <t>MONTAGNO GIUSEPPE</t>
  </si>
  <si>
    <t>SCIRE' BANCHITTA GIUSEPPINA</t>
  </si>
  <si>
    <t>TURRISI GIUSEPPE</t>
  </si>
  <si>
    <t>SOLLECITO GIOVANNA</t>
  </si>
  <si>
    <t>SORANNO MICHELE</t>
  </si>
  <si>
    <t>TOTARO BERARDINO</t>
  </si>
  <si>
    <t>TRIGGIANI PASQUALE</t>
  </si>
  <si>
    <t>VAIRA MICHELE</t>
  </si>
  <si>
    <t>VAIRA VINCENZO</t>
  </si>
  <si>
    <t>CAA UNSIC - FOGGIA - 005</t>
  </si>
  <si>
    <t>VARANO SOCIETA' SEMPLICE AGRICOLA</t>
  </si>
  <si>
    <t>CAA INTESA - BARI - 400</t>
  </si>
  <si>
    <t>VALLARELLA MICHELE</t>
  </si>
  <si>
    <t>VENDOLA ROSANNA</t>
  </si>
  <si>
    <t>VIVOLI FEDERICA</t>
  </si>
  <si>
    <t>VOLPE GIOVANNA</t>
  </si>
  <si>
    <t>ASPLANATO MAURIZIO</t>
  </si>
  <si>
    <t>CAA Coldiretti - LA SPEZIA - 001</t>
  </si>
  <si>
    <t>TERRIBILI ENZO</t>
  </si>
  <si>
    <t>DE ANGELIS MARIO</t>
  </si>
  <si>
    <t>DE PALMA SIMONE</t>
  </si>
  <si>
    <t>DI MARIA FRANCA</t>
  </si>
  <si>
    <t>DI PAOLA ANTONELLA</t>
  </si>
  <si>
    <t>MASSERIA SCORCOLA DI VITO ANTONIO GIULIANO E C. S.S.</t>
  </si>
  <si>
    <t>AGEA.ASR.2025.1073182</t>
  </si>
  <si>
    <t>FORTE DOMENICO</t>
  </si>
  <si>
    <t>CAA AIC SERVICES - BENEVENTO - 001</t>
  </si>
  <si>
    <t>FORTE GIANNINO</t>
  </si>
  <si>
    <t>FRATELLI D'ARRISSO SOCIETA' AGRICOLA SEMPLICE</t>
  </si>
  <si>
    <t>FUSCO DOMENICANGELO</t>
  </si>
  <si>
    <t>GENITO ALFONSO</t>
  </si>
  <si>
    <t>GUARNIERI MICHELINA</t>
  </si>
  <si>
    <t>GUERRERA MICHELE ROBERTO</t>
  </si>
  <si>
    <t>CAA CIA - BENEVENTO - 009</t>
  </si>
  <si>
    <t>IAQUINTO DOMENICO</t>
  </si>
  <si>
    <t>CAA AIC SERVICES - BENEVENTO - 002</t>
  </si>
  <si>
    <t>IDG SRL SOCIETA' AGRICOLA</t>
  </si>
  <si>
    <t>CAA Coldiretti - BENEVENTO - 030</t>
  </si>
  <si>
    <t>MOGAVERO ENRICO</t>
  </si>
  <si>
    <t>PAPICI MARIA VALENTINA BIANCA</t>
  </si>
  <si>
    <t>PARENTE GIANNI</t>
  </si>
  <si>
    <t>PARENTE ROSANNA</t>
  </si>
  <si>
    <t>PASQUALE ANTONIO</t>
  </si>
  <si>
    <t>ROSSETTI MARIA LIBERA</t>
  </si>
  <si>
    <t>CAA Coldiretti - BENEVENTO - 111</t>
  </si>
  <si>
    <t>RUBERTO NICOLA</t>
  </si>
  <si>
    <t>SPINA ANTONIO</t>
  </si>
  <si>
    <t>TORRILLO GABRIELE</t>
  </si>
  <si>
    <t>TRANFAGLIA EMILIO</t>
  </si>
  <si>
    <t>TROTTA TIZIANA</t>
  </si>
  <si>
    <t>CHAMPION GIANNI</t>
  </si>
  <si>
    <t>GASPARD MIRANDA NELLY</t>
  </si>
  <si>
    <t>JEANTET BRUNO</t>
  </si>
  <si>
    <t>BICCINI FABIO</t>
  </si>
  <si>
    <t>AGEA.ASR.2025.1039200</t>
  </si>
  <si>
    <t>A.M.C. S.S. SOCIETA' SEMPLICE AGRICOLA</t>
  </si>
  <si>
    <t>B.AGRI SOCIETA' AGRICOLA SEMPLICE</t>
  </si>
  <si>
    <t>CESARE CARMELINA</t>
  </si>
  <si>
    <t>AGEA.ASR.2025.1043336</t>
  </si>
  <si>
    <t>CAA Coldiretti - POTENZA - 001</t>
  </si>
  <si>
    <t>BASSO ANTONIO</t>
  </si>
  <si>
    <t>BELLUSCIO MARIA</t>
  </si>
  <si>
    <t>CORDISCO MILENA</t>
  </si>
  <si>
    <t>DI CARLO ROCCO</t>
  </si>
  <si>
    <t>CAA LiberiAgricoltori - POTENZA - 004</t>
  </si>
  <si>
    <t>DI DOMENICO LORENZO GIUSEPPE</t>
  </si>
  <si>
    <t>L'ETELA DU BERDZI SOCIETA' SEMPLICE AGRICOLA</t>
  </si>
  <si>
    <t>RIDOLFI DINO</t>
  </si>
  <si>
    <t>AGEA.ASR.2025.1038025</t>
  </si>
  <si>
    <t>AGEA.ASR.2025.1070341</t>
  </si>
  <si>
    <t>BERTHOD ROSALBA</t>
  </si>
  <si>
    <t>PETITJACQUES DIEGO</t>
  </si>
  <si>
    <t>CAUTERO DANIELA</t>
  </si>
  <si>
    <t>AGEA.ASR.2025.1071961</t>
  </si>
  <si>
    <t>COLAGROSSI ROMINA</t>
  </si>
  <si>
    <t>MARSILI LIDIA</t>
  </si>
  <si>
    <t>AGEA.ASR.2025.1084570</t>
  </si>
  <si>
    <t>CAA ALPA - CALTANISSETTA - 001</t>
  </si>
  <si>
    <t>PALUMBO SALVATORE</t>
  </si>
  <si>
    <t>AGEA.ASR.2025.1033632</t>
  </si>
  <si>
    <t>AZIENDA AGRICOLA PALAZZONE DI DUBINI LOCATELLI S.S. - SOCIETA' AGRICOL</t>
  </si>
  <si>
    <t>AGEA.ASR.2025.1047873</t>
  </si>
  <si>
    <t>AGEA.ASR.2025.1087187</t>
  </si>
  <si>
    <t>AGRIFIO' SOCIETA' SEMPLICE AGRICOLA</t>
  </si>
  <si>
    <t>AZIENDA AGRICOLA DEL GRILLO SOCIETA' SEMPLICE AGRICOLA</t>
  </si>
  <si>
    <t>CAA Coldiretti - TRAPANI - 001</t>
  </si>
  <si>
    <t>BAMBINA GIOVANNI</t>
  </si>
  <si>
    <t>SALVATORE RINA</t>
  </si>
  <si>
    <t>CAA INTESA - BRINDISI - 100</t>
  </si>
  <si>
    <t>SCARCIGLIA COSIMO</t>
  </si>
  <si>
    <t>SOCIETA' AGRICOLA F.LLI DI BELLO DI DI BELLO MARCELLO S.A.S.</t>
  </si>
  <si>
    <t>SOCIETA' AGRICOLA MASSERIA FOGGIAGRANDE DI LAERA PASQUALE &amp; MILENA S.S</t>
  </si>
  <si>
    <t>CAA CAF AGRI - BRINDISI - 221</t>
  </si>
  <si>
    <t>SOCIETA' COOPERATIVA LA PETROSA</t>
  </si>
  <si>
    <t>VAIRA DOMENICO</t>
  </si>
  <si>
    <t>CAA Coldiretti - GENOVA - 006</t>
  </si>
  <si>
    <t>BRAGOLI SANDRO</t>
  </si>
  <si>
    <t>CAA Degli Agricoltori - LA SPEZIA - 101</t>
  </si>
  <si>
    <t>SPENA GIOVANNI</t>
  </si>
  <si>
    <t>DI MEO GIUSEPPE</t>
  </si>
  <si>
    <t>BARBARITO ANGELICA</t>
  </si>
  <si>
    <t>LE GRAVINE DI GIULIANO VITO ANTONIO E C.-SOC.AGR.SEMPLICE</t>
  </si>
  <si>
    <t>LAUDONIO GIORGIO</t>
  </si>
  <si>
    <t>ZOLLO ALESSIO</t>
  </si>
  <si>
    <t>MERCURIO ASSUNTINA</t>
  </si>
  <si>
    <t>PACIFICO MATTEO</t>
  </si>
  <si>
    <t>PARADISO GIOVANNI</t>
  </si>
  <si>
    <t>ZILLANTE ASSUNTA</t>
  </si>
  <si>
    <t>CONSOL EDI</t>
  </si>
  <si>
    <t>CAA Coldiretti - AOSTA - 002</t>
  </si>
  <si>
    <t>GARD ADRIANA</t>
  </si>
  <si>
    <t>GUALA WILLIAM</t>
  </si>
  <si>
    <t>D. E D. SOCIETA' SEMPLICE</t>
  </si>
  <si>
    <t>INSTITUT AGRICOLE REGIONAL</t>
  </si>
  <si>
    <t>LETTRY GUIDO</t>
  </si>
  <si>
    <t>CAPALBI ANNA LUCIA</t>
  </si>
  <si>
    <t>CAVUOTI ROCCO</t>
  </si>
  <si>
    <t>CAVUOTI ROSETTA</t>
  </si>
  <si>
    <t>CURCIO ROCCO</t>
  </si>
  <si>
    <t>DE TRANA GIOVANNI</t>
  </si>
  <si>
    <t>DI CORLETO VINCENZINA</t>
  </si>
  <si>
    <t>DI PASQUALE ROCCO</t>
  </si>
  <si>
    <t>EREDI DI DE FRANCHI OTTORINO</t>
  </si>
  <si>
    <t>CAA CIA - POTENZA - 007</t>
  </si>
  <si>
    <t>FLORE SIMONE</t>
  </si>
  <si>
    <t>CAA UNICAA - POTENZA - 008</t>
  </si>
  <si>
    <t>GRILLO ANNETTA</t>
  </si>
  <si>
    <t>LANZA PASQUALE</t>
  </si>
  <si>
    <t>LENGE ANNA</t>
  </si>
  <si>
    <t>MAIMONE FLAVIA</t>
  </si>
  <si>
    <t>MECCA RAFFAELE</t>
  </si>
  <si>
    <t>MOSCA MARIA FILOMENA</t>
  </si>
  <si>
    <t>NIGRO EMILIA</t>
  </si>
  <si>
    <t>PERRONE TEODORA</t>
  </si>
  <si>
    <t>TOTARO ROSA</t>
  </si>
  <si>
    <t>VODOLA MARIA LUCIA</t>
  </si>
  <si>
    <t>ZOTTA MARIA CHIARA</t>
  </si>
  <si>
    <t>PALAZZO SALVATORE</t>
  </si>
  <si>
    <t>PANDOLFO FILIPPO</t>
  </si>
  <si>
    <t>PIETRAFESA ROCCO</t>
  </si>
  <si>
    <t>SARLI ROCCO LUIGI</t>
  </si>
  <si>
    <t>STATUTO CINZIA</t>
  </si>
  <si>
    <t>CAA Coldiretti - POTENZA - 023</t>
  </si>
  <si>
    <t>VARALLA MATTIA MARIA</t>
  </si>
  <si>
    <t>CAA UNICAA - POTENZA - 011</t>
  </si>
  <si>
    <t>VICINO ANTONIO</t>
  </si>
  <si>
    <t>ZAMPINO ALESSANDRO</t>
  </si>
  <si>
    <t>CAPORILLI MARIA TERESA</t>
  </si>
  <si>
    <t>AZIENDA AGRICOLA BISSON SOCIETA' SEMPLICE AGRICOLA</t>
  </si>
  <si>
    <t>BARBIERI ANDREA</t>
  </si>
  <si>
    <t>CRISTOFORETTI CHIARA</t>
  </si>
  <si>
    <t>GERBORE EMILIA GIULIA</t>
  </si>
  <si>
    <t>MUS ROBERTO</t>
  </si>
  <si>
    <t>GIROD ALFREDO</t>
  </si>
  <si>
    <t>MOIN ROBERTO</t>
  </si>
  <si>
    <t>THE QUENDOZ SOCIETA' SEMPLICE AGRICOLA</t>
  </si>
  <si>
    <t>VILLAZ LUCA</t>
  </si>
  <si>
    <t>VESCOZ AURORA MARIA</t>
  </si>
  <si>
    <t>MARCOZ LEANDRO</t>
  </si>
  <si>
    <t>MOUSSANET LUCA</t>
  </si>
  <si>
    <t>ROUX SANDRO</t>
  </si>
  <si>
    <t>SOC.AGR.GRAND-PRE' DI BIELLER MARIA CRISTINA &amp; C. S.S."</t>
  </si>
  <si>
    <t>SQUINOBAL GIUSEPPE</t>
  </si>
  <si>
    <t>VICQUERY SANDRA</t>
  </si>
  <si>
    <t>DARI MIRKO</t>
  </si>
  <si>
    <t>DE LUCA MARCO</t>
  </si>
  <si>
    <t>GIANNETTI AUGUSTA ADELAIDE</t>
  </si>
  <si>
    <t>LOZZI SILVANO</t>
  </si>
  <si>
    <t>ORLANDI ARGENTINA</t>
  </si>
  <si>
    <t>PANATTA TIZIANO</t>
  </si>
  <si>
    <t>PANUNZI DONATELLA</t>
  </si>
  <si>
    <t>SAUIE - S.R.L. IN LIQUIDAZIONE</t>
  </si>
  <si>
    <t>TESTA PIETRO</t>
  </si>
  <si>
    <t>TRIVELLI LUIGI</t>
  </si>
  <si>
    <t>BRANCA LUIGI</t>
  </si>
  <si>
    <t>FALCONERI CORRADO</t>
  </si>
  <si>
    <t>MAGRO PAOLO</t>
  </si>
  <si>
    <t>MANGIAMELI ALBERTO</t>
  </si>
  <si>
    <t>CAA Coldiretti - SIRACUSA - 004</t>
  </si>
  <si>
    <t>PRODUTTORI AGRICOLI VALLE S. DAMIANO SOCIETA' SEMPLICE AGRICOLA</t>
  </si>
  <si>
    <t>CAA Coldiretti - SIRACUSA - 001</t>
  </si>
  <si>
    <t>RICUPERO PAOLO</t>
  </si>
  <si>
    <t>ZOCCO ANTONINO</t>
  </si>
  <si>
    <t>VALENTI CORINNE</t>
  </si>
  <si>
    <t>VENEZIANO MASSIMO</t>
  </si>
  <si>
    <t>VERGA GIANCARLO</t>
  </si>
  <si>
    <t>ACCIAIO MARIA SALVATRICE</t>
  </si>
  <si>
    <t>CAA CIA - CALTANISSETTA - 014</t>
  </si>
  <si>
    <t>MASTROBUONO ETREA IRIDE</t>
  </si>
  <si>
    <t>CAA CAF AGRI - ENNA - 223</t>
  </si>
  <si>
    <t>LANZARONE DANIELE</t>
  </si>
  <si>
    <t>SELVAGGIO ROCCO</t>
  </si>
  <si>
    <t>STRAZZANTE GINO</t>
  </si>
  <si>
    <t>CAA Coldiretti - TERNI - 005</t>
  </si>
  <si>
    <t>MERLI MARIO</t>
  </si>
  <si>
    <t>DE CAROLIS MATTEO</t>
  </si>
  <si>
    <t>SAVORETTI INES</t>
  </si>
  <si>
    <t>INTROCASO ANTONIO</t>
  </si>
  <si>
    <t>SOCIETE' AGRICOLE LA SARIEULA DI MACHET RINO &amp; C. S.S.</t>
  </si>
  <si>
    <t>MAROTTOLI DOMENICO</t>
  </si>
  <si>
    <t>MASSERIA LALLA SOCIETA' AGRICOLA SEMPLICE</t>
  </si>
  <si>
    <t>SARLI MARGHERITA</t>
  </si>
  <si>
    <t>SOCIETA' AGRICOLA FATTORIA CARBONE</t>
  </si>
  <si>
    <t>CAA AIC SERVICES - POTENZA - 001</t>
  </si>
  <si>
    <t>ZOTTA GIUSEPPE</t>
  </si>
  <si>
    <t>BRUNET CAMILLO</t>
  </si>
  <si>
    <t>CHABLOZ FELICINO</t>
  </si>
  <si>
    <t>COGNEIN SANDRO</t>
  </si>
  <si>
    <t>DELLEA ERMINIO</t>
  </si>
  <si>
    <t>VIRLET LETIZIA MARIA</t>
  </si>
  <si>
    <t>JUGLAIR DANILO</t>
  </si>
  <si>
    <t>MARCOZ GILBERTO</t>
  </si>
  <si>
    <t>MARGUERETTAZ GUIDO</t>
  </si>
  <si>
    <t>SOCIETA' AGRICOLA PERETTO S.S.</t>
  </si>
  <si>
    <t>FELICI SONIA</t>
  </si>
  <si>
    <t>MARTELLA AMERICA</t>
  </si>
  <si>
    <t>ORLANDI DANIELE</t>
  </si>
  <si>
    <t>PALMIERI ANTONELLO</t>
  </si>
  <si>
    <t>RAIMONDI CLAUDIO</t>
  </si>
  <si>
    <t>SIMONELLA ANTONELLA</t>
  </si>
  <si>
    <t>BRANCIFORTI GIANLUCA</t>
  </si>
  <si>
    <t>CAA CIA - TERNI - 004</t>
  </si>
  <si>
    <t>COLTIVATORIDIDEE DI BERNARDINI &amp; PALAZZETTI SOCIETA' SEMPLICE AGRICOLA</t>
  </si>
  <si>
    <t>PANETTI BERNARDINO</t>
  </si>
  <si>
    <t>PAOLUCCI PATRIZIO</t>
  </si>
  <si>
    <t>AGEA.ASR.2024.0842191</t>
  </si>
  <si>
    <t>AGEA.ASR.2024.1033224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</si>
</sst>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on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1447"/>
  <sheetViews>
    <sheetView showGridLines="0" tabSelected="1" workbookViewId="0">
      <selection sqref="A1:XFD678"/>
    </sheetView>
  </sheetViews>
  <sheetFormatPr defaultRowHeight="14.5" x14ac:dyDescent="0.35"/>
  <cols>
    <col min="1" max="1" width="9.81640625" style="1" bestFit="1" customWidth="1"/>
    <col min="2" max="2" width="11.08984375" style="1" bestFit="1" customWidth="1"/>
    <col min="3" max="3" width="7.7265625" style="1" bestFit="1" customWidth="1"/>
    <col min="4" max="4" width="20.36328125" style="1" bestFit="1" customWidth="1"/>
    <col min="5" max="5" width="26.08984375" style="1" bestFit="1" customWidth="1"/>
    <col min="6" max="6" width="27.08984375" style="1" bestFit="1" customWidth="1"/>
    <col min="7" max="7" width="26.08984375" style="1" bestFit="1" customWidth="1"/>
    <col min="8" max="8" width="27.54296875" style="1" bestFit="1" customWidth="1"/>
    <col min="9" max="9" width="5.36328125" style="1" bestFit="1" customWidth="1"/>
    <col min="10" max="10" width="8.1796875" style="1" bestFit="1" customWidth="1"/>
    <col min="11" max="11" width="16" style="1" bestFit="1" customWidth="1"/>
    <col min="12" max="12" width="10.7265625" style="1" bestFit="1" customWidth="1"/>
    <col min="13" max="13" width="5.26953125" style="1" bestFit="1" customWidth="1"/>
    <col min="14" max="14" width="2.81640625" style="1" bestFit="1" customWidth="1"/>
    <col min="15" max="15" width="34.90625" style="1" bestFit="1" customWidth="1"/>
    <col min="16" max="16" width="11.54296875" style="1" bestFit="1" customWidth="1"/>
    <col min="17" max="17" width="11.81640625" style="1" bestFit="1" customWidth="1"/>
    <col min="18" max="18" width="14.453125" style="1" bestFit="1" customWidth="1"/>
    <col min="19" max="19" width="10.26953125" style="1" bestFit="1" customWidth="1"/>
    <col min="20" max="20" width="11.1796875" style="1" bestFit="1" customWidth="1"/>
    <col min="21" max="21" width="12.81640625" style="1" bestFit="1" customWidth="1"/>
    <col min="22" max="22" width="11.54296875" style="1" bestFit="1" customWidth="1"/>
    <col min="23" max="23" width="15.453125" style="1" bestFit="1" customWidth="1"/>
    <col min="24" max="25" width="17.08984375" style="1" bestFit="1" customWidth="1"/>
    <col min="26" max="16384" width="8.7265625" style="1"/>
  </cols>
  <sheetData>
    <row r="1" spans="1:25" x14ac:dyDescent="0.3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</row>
    <row r="2" spans="1:25" x14ac:dyDescent="0.3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</row>
    <row r="3" spans="1:25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</row>
    <row r="4" spans="1:25" hidden="1" x14ac:dyDescent="0.35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30</v>
      </c>
      <c r="H4" s="3" t="s">
        <v>32</v>
      </c>
      <c r="I4" s="3">
        <v>2024</v>
      </c>
      <c r="J4" s="3" t="str">
        <f>CONCATENATE("44811436052")</f>
        <v>44811436052</v>
      </c>
      <c r="K4" s="3" t="s">
        <v>33</v>
      </c>
      <c r="L4" s="3" t="str">
        <f t="shared" ref="L4:L67" si="0">CONCATENATE("")</f>
        <v/>
      </c>
      <c r="M4" s="3" t="str">
        <f>CONCATENATE("SRA24")</f>
        <v>SRA24</v>
      </c>
      <c r="N4" s="3" t="str">
        <f>CONCATENATE("BNVRFL83E59D643U")</f>
        <v>BNVRFL83E59D643U</v>
      </c>
      <c r="O4" s="3" t="s">
        <v>34</v>
      </c>
      <c r="P4" s="3" t="s">
        <v>35</v>
      </c>
      <c r="Q4" s="3" t="s">
        <v>36</v>
      </c>
      <c r="R4" s="4">
        <v>45916</v>
      </c>
      <c r="S4" s="3" t="s">
        <v>37</v>
      </c>
      <c r="T4" s="3" t="s">
        <v>38</v>
      </c>
      <c r="U4" s="3" t="s">
        <v>39</v>
      </c>
      <c r="V4" s="5">
        <v>12526.03</v>
      </c>
      <c r="W4" s="5">
        <v>6325.65</v>
      </c>
      <c r="X4" s="5">
        <v>4340.2700000000004</v>
      </c>
      <c r="Y4" s="5">
        <v>1860.11</v>
      </c>
    </row>
    <row r="5" spans="1:25" hidden="1" x14ac:dyDescent="0.35">
      <c r="A5" s="3" t="s">
        <v>26</v>
      </c>
      <c r="B5" s="3" t="s">
        <v>27</v>
      </c>
      <c r="C5" s="3" t="s">
        <v>40</v>
      </c>
      <c r="D5" s="3" t="s">
        <v>41</v>
      </c>
      <c r="E5" s="3" t="s">
        <v>42</v>
      </c>
      <c r="F5" s="3" t="s">
        <v>43</v>
      </c>
      <c r="G5" s="3" t="s">
        <v>42</v>
      </c>
      <c r="H5" s="3" t="s">
        <v>44</v>
      </c>
      <c r="I5" s="3">
        <v>2023</v>
      </c>
      <c r="J5" s="3" t="str">
        <f>CONCATENATE("34810043066")</f>
        <v>34810043066</v>
      </c>
      <c r="K5" s="3" t="s">
        <v>33</v>
      </c>
      <c r="L5" s="3" t="str">
        <f t="shared" si="0"/>
        <v/>
      </c>
      <c r="M5" s="3" t="str">
        <f>CONCATENATE("SRA29")</f>
        <v>SRA29</v>
      </c>
      <c r="N5" s="3" t="str">
        <f>CONCATENATE("DNTSFN72S20H282H")</f>
        <v>DNTSFN72S20H282H</v>
      </c>
      <c r="O5" s="3" t="s">
        <v>45</v>
      </c>
      <c r="P5" s="3" t="s">
        <v>35</v>
      </c>
      <c r="Q5" s="3" t="s">
        <v>46</v>
      </c>
      <c r="R5" s="4">
        <v>45644</v>
      </c>
      <c r="S5" s="3" t="s">
        <v>37</v>
      </c>
      <c r="T5" s="3" t="s">
        <v>38</v>
      </c>
      <c r="U5" s="3" t="s">
        <v>39</v>
      </c>
      <c r="V5" s="5">
        <v>1497.64</v>
      </c>
      <c r="W5" s="3">
        <v>609.54</v>
      </c>
      <c r="X5" s="3">
        <v>621.66999999999996</v>
      </c>
      <c r="Y5" s="3">
        <v>266.43</v>
      </c>
    </row>
    <row r="6" spans="1:25" hidden="1" x14ac:dyDescent="0.35">
      <c r="A6" s="3" t="s">
        <v>26</v>
      </c>
      <c r="B6" s="3" t="s">
        <v>27</v>
      </c>
      <c r="C6" s="3" t="s">
        <v>40</v>
      </c>
      <c r="D6" s="3" t="s">
        <v>41</v>
      </c>
      <c r="E6" s="3" t="s">
        <v>47</v>
      </c>
      <c r="F6" s="3" t="s">
        <v>43</v>
      </c>
      <c r="G6" s="3" t="s">
        <v>47</v>
      </c>
      <c r="H6" s="3" t="s">
        <v>48</v>
      </c>
      <c r="I6" s="3">
        <v>2024</v>
      </c>
      <c r="J6" s="3" t="str">
        <f>CONCATENATE("44820236311")</f>
        <v>44820236311</v>
      </c>
      <c r="K6" s="3" t="s">
        <v>33</v>
      </c>
      <c r="L6" s="3" t="str">
        <f t="shared" si="0"/>
        <v/>
      </c>
      <c r="M6" s="3" t="str">
        <f>CONCATENATE("SRB01")</f>
        <v>SRB01</v>
      </c>
      <c r="N6" s="3" t="str">
        <f>CONCATENATE("SRRNNA65A54G500V")</f>
        <v>SRRNNA65A54G500V</v>
      </c>
      <c r="O6" s="3" t="s">
        <v>49</v>
      </c>
      <c r="P6" s="3" t="s">
        <v>50</v>
      </c>
      <c r="Q6" s="3"/>
      <c r="R6" s="4">
        <v>45824</v>
      </c>
      <c r="S6" s="3" t="s">
        <v>37</v>
      </c>
      <c r="T6" s="3" t="s">
        <v>38</v>
      </c>
      <c r="U6" s="3" t="s">
        <v>39</v>
      </c>
      <c r="V6" s="3">
        <v>65.760000000000005</v>
      </c>
      <c r="W6" s="3">
        <v>26.76</v>
      </c>
      <c r="X6" s="3">
        <v>27.3</v>
      </c>
      <c r="Y6" s="3">
        <v>11.7</v>
      </c>
    </row>
    <row r="7" spans="1:25" hidden="1" x14ac:dyDescent="0.35">
      <c r="A7" s="3" t="s">
        <v>26</v>
      </c>
      <c r="B7" s="3" t="s">
        <v>27</v>
      </c>
      <c r="C7" s="3" t="s">
        <v>40</v>
      </c>
      <c r="D7" s="3" t="s">
        <v>51</v>
      </c>
      <c r="E7" s="3" t="s">
        <v>52</v>
      </c>
      <c r="F7" s="3" t="s">
        <v>51</v>
      </c>
      <c r="G7" s="3" t="s">
        <v>52</v>
      </c>
      <c r="H7" s="3" t="s">
        <v>44</v>
      </c>
      <c r="I7" s="3">
        <v>2024</v>
      </c>
      <c r="J7" s="3" t="str">
        <f>CONCATENATE("44820116349")</f>
        <v>44820116349</v>
      </c>
      <c r="K7" s="3" t="s">
        <v>33</v>
      </c>
      <c r="L7" s="3" t="str">
        <f t="shared" si="0"/>
        <v/>
      </c>
      <c r="M7" s="3" t="str">
        <f>CONCATENATE("SRB01")</f>
        <v>SRB01</v>
      </c>
      <c r="N7" s="3" t="str">
        <f>CONCATENATE("PNFCSR50B21I499S")</f>
        <v>PNFCSR50B21I499S</v>
      </c>
      <c r="O7" s="3" t="s">
        <v>53</v>
      </c>
      <c r="P7" s="3" t="s">
        <v>35</v>
      </c>
      <c r="Q7" s="3" t="s">
        <v>54</v>
      </c>
      <c r="R7" s="4">
        <v>45801</v>
      </c>
      <c r="S7" s="3" t="s">
        <v>37</v>
      </c>
      <c r="T7" s="3" t="s">
        <v>38</v>
      </c>
      <c r="U7" s="3" t="s">
        <v>39</v>
      </c>
      <c r="V7" s="3">
        <v>30.21</v>
      </c>
      <c r="W7" s="3">
        <v>12.3</v>
      </c>
      <c r="X7" s="3">
        <v>12.54</v>
      </c>
      <c r="Y7" s="3">
        <v>5.37</v>
      </c>
    </row>
    <row r="8" spans="1:25" hidden="1" x14ac:dyDescent="0.35">
      <c r="A8" s="3" t="s">
        <v>26</v>
      </c>
      <c r="B8" s="3" t="s">
        <v>27</v>
      </c>
      <c r="C8" s="3" t="s">
        <v>40</v>
      </c>
      <c r="D8" s="3" t="s">
        <v>55</v>
      </c>
      <c r="E8" s="3" t="s">
        <v>56</v>
      </c>
      <c r="F8" s="3" t="s">
        <v>57</v>
      </c>
      <c r="G8" s="3" t="s">
        <v>56</v>
      </c>
      <c r="H8" s="3" t="s">
        <v>58</v>
      </c>
      <c r="I8" s="3">
        <v>2024</v>
      </c>
      <c r="J8" s="3" t="str">
        <f>CONCATENATE("44810988061")</f>
        <v>44810988061</v>
      </c>
      <c r="K8" s="3" t="s">
        <v>33</v>
      </c>
      <c r="L8" s="3" t="str">
        <f t="shared" si="0"/>
        <v/>
      </c>
      <c r="M8" s="3" t="str">
        <f>CONCATENATE("SRA29")</f>
        <v>SRA29</v>
      </c>
      <c r="N8" s="3" t="str">
        <f>CONCATENATE("PRGGNN61D16C988H")</f>
        <v>PRGGNN61D16C988H</v>
      </c>
      <c r="O8" s="3" t="s">
        <v>59</v>
      </c>
      <c r="P8" s="3" t="s">
        <v>35</v>
      </c>
      <c r="Q8" s="3" t="s">
        <v>60</v>
      </c>
      <c r="R8" s="4">
        <v>45818</v>
      </c>
      <c r="S8" s="3" t="s">
        <v>37</v>
      </c>
      <c r="T8" s="3" t="s">
        <v>38</v>
      </c>
      <c r="U8" s="3" t="s">
        <v>39</v>
      </c>
      <c r="V8" s="5">
        <v>4885.79</v>
      </c>
      <c r="W8" s="5">
        <v>1988.52</v>
      </c>
      <c r="X8" s="5">
        <v>2028.09</v>
      </c>
      <c r="Y8" s="3">
        <v>869.18</v>
      </c>
    </row>
    <row r="9" spans="1:25" hidden="1" x14ac:dyDescent="0.35">
      <c r="A9" s="3" t="s">
        <v>26</v>
      </c>
      <c r="B9" s="3" t="s">
        <v>27</v>
      </c>
      <c r="C9" s="3" t="s">
        <v>40</v>
      </c>
      <c r="D9" s="3" t="s">
        <v>61</v>
      </c>
      <c r="E9" s="3" t="s">
        <v>62</v>
      </c>
      <c r="F9" s="3" t="s">
        <v>63</v>
      </c>
      <c r="G9" s="3" t="s">
        <v>62</v>
      </c>
      <c r="H9" s="3" t="s">
        <v>64</v>
      </c>
      <c r="I9" s="3">
        <v>2024</v>
      </c>
      <c r="J9" s="3" t="str">
        <f>CONCATENATE("44811116555")</f>
        <v>44811116555</v>
      </c>
      <c r="K9" s="3" t="s">
        <v>33</v>
      </c>
      <c r="L9" s="3" t="str">
        <f t="shared" si="0"/>
        <v/>
      </c>
      <c r="M9" s="3" t="str">
        <f>CONCATENATE("SRA03")</f>
        <v>SRA03</v>
      </c>
      <c r="N9" s="3" t="str">
        <f>CONCATENATE("11943121001")</f>
        <v>11943121001</v>
      </c>
      <c r="O9" s="3" t="s">
        <v>65</v>
      </c>
      <c r="P9" s="3" t="s">
        <v>35</v>
      </c>
      <c r="Q9" s="3" t="s">
        <v>66</v>
      </c>
      <c r="R9" s="4">
        <v>45933</v>
      </c>
      <c r="S9" s="3" t="s">
        <v>37</v>
      </c>
      <c r="T9" s="3" t="s">
        <v>38</v>
      </c>
      <c r="U9" s="3" t="s">
        <v>39</v>
      </c>
      <c r="V9" s="5">
        <v>1897.15</v>
      </c>
      <c r="W9" s="3">
        <v>772.14</v>
      </c>
      <c r="X9" s="3">
        <v>787.51</v>
      </c>
      <c r="Y9" s="3">
        <v>337.5</v>
      </c>
    </row>
    <row r="10" spans="1:25" hidden="1" x14ac:dyDescent="0.35">
      <c r="A10" s="3" t="s">
        <v>26</v>
      </c>
      <c r="B10" s="3" t="s">
        <v>27</v>
      </c>
      <c r="C10" s="3" t="s">
        <v>40</v>
      </c>
      <c r="D10" s="3" t="s">
        <v>41</v>
      </c>
      <c r="E10" s="3" t="s">
        <v>67</v>
      </c>
      <c r="F10" s="3" t="s">
        <v>43</v>
      </c>
      <c r="G10" s="3" t="s">
        <v>67</v>
      </c>
      <c r="H10" s="3" t="s">
        <v>44</v>
      </c>
      <c r="I10" s="3">
        <v>2024</v>
      </c>
      <c r="J10" s="3" t="str">
        <f>CONCATENATE("44820569562")</f>
        <v>44820569562</v>
      </c>
      <c r="K10" s="3" t="s">
        <v>33</v>
      </c>
      <c r="L10" s="3" t="str">
        <f t="shared" si="0"/>
        <v/>
      </c>
      <c r="M10" s="3" t="str">
        <f>CONCATENATE("SRB01")</f>
        <v>SRB01</v>
      </c>
      <c r="N10" s="3" t="str">
        <f>CONCATENATE("NCHTTN87S51Z140C")</f>
        <v>NCHTTN87S51Z140C</v>
      </c>
      <c r="O10" s="3" t="s">
        <v>68</v>
      </c>
      <c r="P10" s="3" t="s">
        <v>35</v>
      </c>
      <c r="Q10" s="3" t="s">
        <v>54</v>
      </c>
      <c r="R10" s="4">
        <v>45801</v>
      </c>
      <c r="S10" s="3" t="s">
        <v>37</v>
      </c>
      <c r="T10" s="3" t="s">
        <v>38</v>
      </c>
      <c r="U10" s="3" t="s">
        <v>39</v>
      </c>
      <c r="V10" s="3">
        <v>8.61</v>
      </c>
      <c r="W10" s="3">
        <v>3.5</v>
      </c>
      <c r="X10" s="3">
        <v>3.57</v>
      </c>
      <c r="Y10" s="3">
        <v>1.54</v>
      </c>
    </row>
    <row r="11" spans="1:25" hidden="1" x14ac:dyDescent="0.35">
      <c r="A11" s="3" t="s">
        <v>26</v>
      </c>
      <c r="B11" s="3" t="s">
        <v>27</v>
      </c>
      <c r="C11" s="3" t="s">
        <v>28</v>
      </c>
      <c r="D11" s="3" t="s">
        <v>69</v>
      </c>
      <c r="E11" s="3" t="s">
        <v>70</v>
      </c>
      <c r="F11" s="3" t="s">
        <v>71</v>
      </c>
      <c r="G11" s="3" t="s">
        <v>70</v>
      </c>
      <c r="H11" s="3" t="s">
        <v>72</v>
      </c>
      <c r="I11" s="3">
        <v>2024</v>
      </c>
      <c r="J11" s="3" t="str">
        <f>CONCATENATE("44810351765")</f>
        <v>44810351765</v>
      </c>
      <c r="K11" s="3" t="s">
        <v>33</v>
      </c>
      <c r="L11" s="3" t="str">
        <f t="shared" si="0"/>
        <v/>
      </c>
      <c r="M11" s="3" t="str">
        <f>CONCATENATE("SRA29")</f>
        <v>SRA29</v>
      </c>
      <c r="N11" s="3" t="str">
        <f>CONCATENATE("CSMMRA80B59A662C")</f>
        <v>CSMMRA80B59A662C</v>
      </c>
      <c r="O11" s="3" t="s">
        <v>73</v>
      </c>
      <c r="P11" s="3" t="s">
        <v>35</v>
      </c>
      <c r="Q11" s="3" t="s">
        <v>74</v>
      </c>
      <c r="R11" s="4">
        <v>45793</v>
      </c>
      <c r="S11" s="3" t="s">
        <v>37</v>
      </c>
      <c r="T11" s="3" t="s">
        <v>38</v>
      </c>
      <c r="U11" s="3" t="s">
        <v>39</v>
      </c>
      <c r="V11" s="3">
        <v>722.96</v>
      </c>
      <c r="W11" s="3">
        <v>365.09</v>
      </c>
      <c r="X11" s="3">
        <v>250.51</v>
      </c>
      <c r="Y11" s="3">
        <v>107.36</v>
      </c>
    </row>
    <row r="12" spans="1:25" hidden="1" x14ac:dyDescent="0.35">
      <c r="A12" s="3" t="s">
        <v>26</v>
      </c>
      <c r="B12" s="3" t="s">
        <v>27</v>
      </c>
      <c r="C12" s="3" t="s">
        <v>40</v>
      </c>
      <c r="D12" s="3" t="s">
        <v>75</v>
      </c>
      <c r="E12" s="3" t="s">
        <v>76</v>
      </c>
      <c r="F12" s="3" t="s">
        <v>77</v>
      </c>
      <c r="G12" s="3" t="s">
        <v>76</v>
      </c>
      <c r="H12" s="3" t="s">
        <v>64</v>
      </c>
      <c r="I12" s="3">
        <v>2024</v>
      </c>
      <c r="J12" s="3" t="str">
        <f>CONCATENATE("44810115723")</f>
        <v>44810115723</v>
      </c>
      <c r="K12" s="3" t="s">
        <v>33</v>
      </c>
      <c r="L12" s="3" t="str">
        <f t="shared" si="0"/>
        <v/>
      </c>
      <c r="M12" s="3" t="str">
        <f>CONCATENATE("SRA30")</f>
        <v>SRA30</v>
      </c>
      <c r="N12" s="3" t="str">
        <f>CONCATENATE("05012550587")</f>
        <v>05012550587</v>
      </c>
      <c r="O12" s="3" t="s">
        <v>78</v>
      </c>
      <c r="P12" s="3" t="s">
        <v>35</v>
      </c>
      <c r="Q12" s="3" t="s">
        <v>79</v>
      </c>
      <c r="R12" s="4">
        <v>45933</v>
      </c>
      <c r="S12" s="3" t="s">
        <v>37</v>
      </c>
      <c r="T12" s="3" t="s">
        <v>38</v>
      </c>
      <c r="U12" s="3" t="s">
        <v>39</v>
      </c>
      <c r="V12" s="5">
        <v>8475</v>
      </c>
      <c r="W12" s="5">
        <v>3449.33</v>
      </c>
      <c r="X12" s="5">
        <v>3517.97</v>
      </c>
      <c r="Y12" s="5">
        <v>1507.7</v>
      </c>
    </row>
    <row r="13" spans="1:25" hidden="1" x14ac:dyDescent="0.35">
      <c r="A13" s="3" t="s">
        <v>26</v>
      </c>
      <c r="B13" s="3" t="s">
        <v>27</v>
      </c>
      <c r="C13" s="3" t="s">
        <v>80</v>
      </c>
      <c r="D13" s="3" t="s">
        <v>41</v>
      </c>
      <c r="E13" s="3" t="s">
        <v>81</v>
      </c>
      <c r="F13" s="3" t="s">
        <v>43</v>
      </c>
      <c r="G13" s="3" t="s">
        <v>81</v>
      </c>
      <c r="H13" s="3" t="s">
        <v>82</v>
      </c>
      <c r="I13" s="3">
        <v>2024</v>
      </c>
      <c r="J13" s="3" t="str">
        <f>CONCATENATE("44810374627")</f>
        <v>44810374627</v>
      </c>
      <c r="K13" s="3" t="s">
        <v>33</v>
      </c>
      <c r="L13" s="3" t="str">
        <f t="shared" si="0"/>
        <v/>
      </c>
      <c r="M13" s="3" t="str">
        <f>CONCATENATE("SRA25")</f>
        <v>SRA25</v>
      </c>
      <c r="N13" s="3" t="str">
        <f>CONCATENATE("01362480087")</f>
        <v>01362480087</v>
      </c>
      <c r="O13" s="3" t="s">
        <v>83</v>
      </c>
      <c r="P13" s="3" t="s">
        <v>35</v>
      </c>
      <c r="Q13" s="3" t="s">
        <v>84</v>
      </c>
      <c r="R13" s="4">
        <v>45932</v>
      </c>
      <c r="S13" s="3" t="s">
        <v>37</v>
      </c>
      <c r="T13" s="3" t="s">
        <v>38</v>
      </c>
      <c r="U13" s="3" t="s">
        <v>39</v>
      </c>
      <c r="V13" s="5">
        <v>2344.29</v>
      </c>
      <c r="W13" s="3">
        <v>954.13</v>
      </c>
      <c r="X13" s="3">
        <v>973.11</v>
      </c>
      <c r="Y13" s="3">
        <v>417.05</v>
      </c>
    </row>
    <row r="14" spans="1:25" hidden="1" x14ac:dyDescent="0.35">
      <c r="A14" s="3" t="s">
        <v>26</v>
      </c>
      <c r="B14" s="3" t="s">
        <v>27</v>
      </c>
      <c r="C14" s="3" t="s">
        <v>40</v>
      </c>
      <c r="D14" s="3" t="s">
        <v>41</v>
      </c>
      <c r="E14" s="3" t="s">
        <v>67</v>
      </c>
      <c r="F14" s="3" t="s">
        <v>85</v>
      </c>
      <c r="G14" s="3" t="s">
        <v>86</v>
      </c>
      <c r="H14" s="3" t="s">
        <v>44</v>
      </c>
      <c r="I14" s="3">
        <v>2024</v>
      </c>
      <c r="J14" s="3" t="str">
        <f>CONCATENATE("44820074621")</f>
        <v>44820074621</v>
      </c>
      <c r="K14" s="3" t="s">
        <v>33</v>
      </c>
      <c r="L14" s="3" t="str">
        <f t="shared" si="0"/>
        <v/>
      </c>
      <c r="M14" s="3" t="str">
        <f>CONCATENATE("SRB01")</f>
        <v>SRB01</v>
      </c>
      <c r="N14" s="3" t="str">
        <f>CONCATENATE("GVNNGL76D59H282U")</f>
        <v>GVNNGL76D59H282U</v>
      </c>
      <c r="O14" s="3" t="s">
        <v>87</v>
      </c>
      <c r="P14" s="3" t="s">
        <v>50</v>
      </c>
      <c r="Q14" s="3"/>
      <c r="R14" s="4">
        <v>45705</v>
      </c>
      <c r="S14" s="3" t="s">
        <v>37</v>
      </c>
      <c r="T14" s="3" t="s">
        <v>38</v>
      </c>
      <c r="U14" s="3" t="s">
        <v>39</v>
      </c>
      <c r="V14" s="3">
        <v>682.95</v>
      </c>
      <c r="W14" s="3">
        <v>277.95999999999998</v>
      </c>
      <c r="X14" s="3">
        <v>283.49</v>
      </c>
      <c r="Y14" s="3">
        <v>121.5</v>
      </c>
    </row>
    <row r="15" spans="1:25" hidden="1" x14ac:dyDescent="0.35">
      <c r="A15" s="3" t="s">
        <v>26</v>
      </c>
      <c r="B15" s="3" t="s">
        <v>27</v>
      </c>
      <c r="C15" s="3" t="s">
        <v>28</v>
      </c>
      <c r="D15" s="3" t="s">
        <v>41</v>
      </c>
      <c r="E15" s="3" t="s">
        <v>88</v>
      </c>
      <c r="F15" s="3" t="s">
        <v>43</v>
      </c>
      <c r="G15" s="3" t="s">
        <v>88</v>
      </c>
      <c r="H15" s="3" t="s">
        <v>32</v>
      </c>
      <c r="I15" s="3">
        <v>2024</v>
      </c>
      <c r="J15" s="3" t="str">
        <f>CONCATENATE("44810984003")</f>
        <v>44810984003</v>
      </c>
      <c r="K15" s="3" t="s">
        <v>33</v>
      </c>
      <c r="L15" s="3" t="str">
        <f t="shared" si="0"/>
        <v/>
      </c>
      <c r="M15" s="3" t="str">
        <f>CONCATENATE("SRA24")</f>
        <v>SRA24</v>
      </c>
      <c r="N15" s="3" t="str">
        <f>CONCATENATE("04125580714")</f>
        <v>04125580714</v>
      </c>
      <c r="O15" s="3" t="s">
        <v>89</v>
      </c>
      <c r="P15" s="3" t="s">
        <v>35</v>
      </c>
      <c r="Q15" s="3" t="s">
        <v>36</v>
      </c>
      <c r="R15" s="4">
        <v>45916</v>
      </c>
      <c r="S15" s="3" t="s">
        <v>37</v>
      </c>
      <c r="T15" s="3" t="s">
        <v>38</v>
      </c>
      <c r="U15" s="3" t="s">
        <v>39</v>
      </c>
      <c r="V15" s="5">
        <v>13536.29</v>
      </c>
      <c r="W15" s="5">
        <v>6835.83</v>
      </c>
      <c r="X15" s="5">
        <v>4690.32</v>
      </c>
      <c r="Y15" s="5">
        <v>2010.14</v>
      </c>
    </row>
    <row r="16" spans="1:25" hidden="1" x14ac:dyDescent="0.35">
      <c r="A16" s="3" t="s">
        <v>26</v>
      </c>
      <c r="B16" s="3" t="s">
        <v>27</v>
      </c>
      <c r="C16" s="3" t="s">
        <v>90</v>
      </c>
      <c r="D16" s="3" t="s">
        <v>29</v>
      </c>
      <c r="E16" s="3" t="s">
        <v>91</v>
      </c>
      <c r="F16" s="3" t="s">
        <v>31</v>
      </c>
      <c r="G16" s="3" t="s">
        <v>91</v>
      </c>
      <c r="H16" s="3" t="s">
        <v>92</v>
      </c>
      <c r="I16" s="3">
        <v>2024</v>
      </c>
      <c r="J16" s="3" t="str">
        <f>CONCATENATE("44810274173")</f>
        <v>44810274173</v>
      </c>
      <c r="K16" s="3" t="s">
        <v>33</v>
      </c>
      <c r="L16" s="3" t="str">
        <f t="shared" si="0"/>
        <v/>
      </c>
      <c r="M16" s="3" t="str">
        <f>CONCATENATE("SRA30")</f>
        <v>SRA30</v>
      </c>
      <c r="N16" s="3" t="str">
        <f>CONCATENATE("NSRFNC93T41I754Y")</f>
        <v>NSRFNC93T41I754Y</v>
      </c>
      <c r="O16" s="3" t="s">
        <v>93</v>
      </c>
      <c r="P16" s="3" t="s">
        <v>35</v>
      </c>
      <c r="Q16" s="3" t="s">
        <v>94</v>
      </c>
      <c r="R16" s="4">
        <v>45926</v>
      </c>
      <c r="S16" s="3" t="s">
        <v>37</v>
      </c>
      <c r="T16" s="3" t="s">
        <v>38</v>
      </c>
      <c r="U16" s="3" t="s">
        <v>39</v>
      </c>
      <c r="V16" s="5">
        <v>1532</v>
      </c>
      <c r="W16" s="3">
        <v>773.66</v>
      </c>
      <c r="X16" s="3">
        <v>530.84</v>
      </c>
      <c r="Y16" s="3">
        <v>227.5</v>
      </c>
    </row>
    <row r="17" spans="1:25" hidden="1" x14ac:dyDescent="0.35">
      <c r="A17" s="3" t="s">
        <v>26</v>
      </c>
      <c r="B17" s="3" t="s">
        <v>27</v>
      </c>
      <c r="C17" s="3" t="s">
        <v>90</v>
      </c>
      <c r="D17" s="3" t="s">
        <v>41</v>
      </c>
      <c r="E17" s="3" t="s">
        <v>95</v>
      </c>
      <c r="F17" s="3" t="s">
        <v>43</v>
      </c>
      <c r="G17" s="3" t="s">
        <v>95</v>
      </c>
      <c r="H17" s="3" t="s">
        <v>96</v>
      </c>
      <c r="I17" s="3">
        <v>2024</v>
      </c>
      <c r="J17" s="3" t="str">
        <f>CONCATENATE("44810954477")</f>
        <v>44810954477</v>
      </c>
      <c r="K17" s="3" t="s">
        <v>33</v>
      </c>
      <c r="L17" s="3" t="str">
        <f t="shared" si="0"/>
        <v/>
      </c>
      <c r="M17" s="3" t="str">
        <f>CONCATENATE("SRA30")</f>
        <v>SRA30</v>
      </c>
      <c r="N17" s="3" t="str">
        <f>CONCATENATE("CTTSVT86M20G273A")</f>
        <v>CTTSVT86M20G273A</v>
      </c>
      <c r="O17" s="3" t="s">
        <v>97</v>
      </c>
      <c r="P17" s="3" t="s">
        <v>35</v>
      </c>
      <c r="Q17" s="3" t="s">
        <v>98</v>
      </c>
      <c r="R17" s="4">
        <v>45926</v>
      </c>
      <c r="S17" s="3" t="s">
        <v>37</v>
      </c>
      <c r="T17" s="3" t="s">
        <v>38</v>
      </c>
      <c r="U17" s="3" t="s">
        <v>39</v>
      </c>
      <c r="V17" s="5">
        <v>2625.21</v>
      </c>
      <c r="W17" s="5">
        <v>1325.73</v>
      </c>
      <c r="X17" s="3">
        <v>909.64</v>
      </c>
      <c r="Y17" s="3">
        <v>389.84</v>
      </c>
    </row>
    <row r="18" spans="1:25" hidden="1" x14ac:dyDescent="0.35">
      <c r="A18" s="3" t="s">
        <v>26</v>
      </c>
      <c r="B18" s="3" t="s">
        <v>27</v>
      </c>
      <c r="C18" s="3" t="s">
        <v>90</v>
      </c>
      <c r="D18" s="3" t="s">
        <v>99</v>
      </c>
      <c r="E18" s="3" t="s">
        <v>100</v>
      </c>
      <c r="F18" s="3" t="s">
        <v>101</v>
      </c>
      <c r="G18" s="3" t="s">
        <v>100</v>
      </c>
      <c r="H18" s="3" t="s">
        <v>102</v>
      </c>
      <c r="I18" s="3">
        <v>2024</v>
      </c>
      <c r="J18" s="3" t="str">
        <f>CONCATENATE("44820012860")</f>
        <v>44820012860</v>
      </c>
      <c r="K18" s="3" t="s">
        <v>33</v>
      </c>
      <c r="L18" s="3" t="str">
        <f t="shared" si="0"/>
        <v/>
      </c>
      <c r="M18" s="3" t="str">
        <f>CONCATENATE("SRB02")</f>
        <v>SRB02</v>
      </c>
      <c r="N18" s="3" t="str">
        <f>CONCATENATE("DQTVCN67B06F258R")</f>
        <v>DQTVCN67B06F258R</v>
      </c>
      <c r="O18" s="3" t="s">
        <v>103</v>
      </c>
      <c r="P18" s="3" t="s">
        <v>35</v>
      </c>
      <c r="Q18" s="3" t="s">
        <v>104</v>
      </c>
      <c r="R18" s="4">
        <v>45931</v>
      </c>
      <c r="S18" s="3" t="s">
        <v>37</v>
      </c>
      <c r="T18" s="3" t="s">
        <v>38</v>
      </c>
      <c r="U18" s="3" t="s">
        <v>39</v>
      </c>
      <c r="V18" s="5">
        <v>2765.11</v>
      </c>
      <c r="W18" s="5">
        <v>1396.38</v>
      </c>
      <c r="X18" s="3">
        <v>958.11</v>
      </c>
      <c r="Y18" s="3">
        <v>410.62</v>
      </c>
    </row>
    <row r="19" spans="1:25" hidden="1" x14ac:dyDescent="0.35">
      <c r="A19" s="3" t="s">
        <v>26</v>
      </c>
      <c r="B19" s="3" t="s">
        <v>27</v>
      </c>
      <c r="C19" s="3" t="s">
        <v>90</v>
      </c>
      <c r="D19" s="3" t="s">
        <v>51</v>
      </c>
      <c r="E19" s="3" t="s">
        <v>105</v>
      </c>
      <c r="F19" s="3" t="s">
        <v>51</v>
      </c>
      <c r="G19" s="3" t="s">
        <v>105</v>
      </c>
      <c r="H19" s="3" t="s">
        <v>96</v>
      </c>
      <c r="I19" s="3">
        <v>2024</v>
      </c>
      <c r="J19" s="3" t="str">
        <f>CONCATENATE("44811044245")</f>
        <v>44811044245</v>
      </c>
      <c r="K19" s="3" t="s">
        <v>33</v>
      </c>
      <c r="L19" s="3" t="str">
        <f t="shared" si="0"/>
        <v/>
      </c>
      <c r="M19" s="3" t="str">
        <f>CONCATENATE("SRA30")</f>
        <v>SRA30</v>
      </c>
      <c r="N19" s="3" t="str">
        <f>CONCATENATE("FRRNNN99C09G273J")</f>
        <v>FRRNNN99C09G273J</v>
      </c>
      <c r="O19" s="3" t="s">
        <v>106</v>
      </c>
      <c r="P19" s="3" t="s">
        <v>35</v>
      </c>
      <c r="Q19" s="3" t="s">
        <v>98</v>
      </c>
      <c r="R19" s="4">
        <v>45926</v>
      </c>
      <c r="S19" s="3" t="s">
        <v>37</v>
      </c>
      <c r="T19" s="3" t="s">
        <v>38</v>
      </c>
      <c r="U19" s="3" t="s">
        <v>39</v>
      </c>
      <c r="V19" s="5">
        <v>4080</v>
      </c>
      <c r="W19" s="5">
        <v>2060.4</v>
      </c>
      <c r="X19" s="5">
        <v>1413.72</v>
      </c>
      <c r="Y19" s="3">
        <v>605.88</v>
      </c>
    </row>
    <row r="20" spans="1:25" hidden="1" x14ac:dyDescent="0.35">
      <c r="A20" s="3" t="s">
        <v>26</v>
      </c>
      <c r="B20" s="3" t="s">
        <v>27</v>
      </c>
      <c r="C20" s="3" t="s">
        <v>90</v>
      </c>
      <c r="D20" s="3" t="s">
        <v>107</v>
      </c>
      <c r="E20" s="3" t="s">
        <v>108</v>
      </c>
      <c r="F20" s="3" t="s">
        <v>71</v>
      </c>
      <c r="G20" s="3" t="s">
        <v>109</v>
      </c>
      <c r="H20" s="3" t="s">
        <v>96</v>
      </c>
      <c r="I20" s="3">
        <v>2024</v>
      </c>
      <c r="J20" s="3" t="str">
        <f>CONCATENATE("44810991396")</f>
        <v>44810991396</v>
      </c>
      <c r="K20" s="3" t="s">
        <v>33</v>
      </c>
      <c r="L20" s="3" t="str">
        <f t="shared" si="0"/>
        <v/>
      </c>
      <c r="M20" s="3" t="str">
        <f>CONCATENATE("SRA30")</f>
        <v>SRA30</v>
      </c>
      <c r="N20" s="3" t="str">
        <f>CONCATENATE("05038240825")</f>
        <v>05038240825</v>
      </c>
      <c r="O20" s="3" t="s">
        <v>110</v>
      </c>
      <c r="P20" s="3" t="s">
        <v>35</v>
      </c>
      <c r="Q20" s="3" t="s">
        <v>98</v>
      </c>
      <c r="R20" s="4">
        <v>45926</v>
      </c>
      <c r="S20" s="3" t="s">
        <v>37</v>
      </c>
      <c r="T20" s="3" t="s">
        <v>38</v>
      </c>
      <c r="U20" s="3" t="s">
        <v>39</v>
      </c>
      <c r="V20" s="5">
        <v>3400</v>
      </c>
      <c r="W20" s="5">
        <v>1717</v>
      </c>
      <c r="X20" s="5">
        <v>1178.0999999999999</v>
      </c>
      <c r="Y20" s="3">
        <v>504.9</v>
      </c>
    </row>
    <row r="21" spans="1:25" hidden="1" x14ac:dyDescent="0.35">
      <c r="A21" s="3" t="s">
        <v>26</v>
      </c>
      <c r="B21" s="3" t="s">
        <v>27</v>
      </c>
      <c r="C21" s="3" t="s">
        <v>40</v>
      </c>
      <c r="D21" s="3" t="s">
        <v>51</v>
      </c>
      <c r="E21" s="3" t="s">
        <v>52</v>
      </c>
      <c r="F21" s="3" t="s">
        <v>51</v>
      </c>
      <c r="G21" s="3" t="s">
        <v>52</v>
      </c>
      <c r="H21" s="3" t="s">
        <v>64</v>
      </c>
      <c r="I21" s="3">
        <v>2024</v>
      </c>
      <c r="J21" s="3" t="str">
        <f>CONCATENATE("44811230760")</f>
        <v>44811230760</v>
      </c>
      <c r="K21" s="3" t="s">
        <v>33</v>
      </c>
      <c r="L21" s="3" t="str">
        <f t="shared" si="0"/>
        <v/>
      </c>
      <c r="M21" s="3" t="str">
        <f>CONCATENATE("SRA03")</f>
        <v>SRA03</v>
      </c>
      <c r="N21" s="3" t="str">
        <f>CONCATENATE("CLBSFN70C59E812H")</f>
        <v>CLBSFN70C59E812H</v>
      </c>
      <c r="O21" s="3" t="s">
        <v>111</v>
      </c>
      <c r="P21" s="3" t="s">
        <v>35</v>
      </c>
      <c r="Q21" s="3" t="s">
        <v>66</v>
      </c>
      <c r="R21" s="4">
        <v>45933</v>
      </c>
      <c r="S21" s="3" t="s">
        <v>37</v>
      </c>
      <c r="T21" s="3" t="s">
        <v>38</v>
      </c>
      <c r="U21" s="3" t="s">
        <v>39</v>
      </c>
      <c r="V21" s="5">
        <v>2214.15</v>
      </c>
      <c r="W21" s="3">
        <v>901.16</v>
      </c>
      <c r="X21" s="3">
        <v>919.09</v>
      </c>
      <c r="Y21" s="3">
        <v>393.9</v>
      </c>
    </row>
    <row r="22" spans="1:25" hidden="1" x14ac:dyDescent="0.35">
      <c r="A22" s="3" t="s">
        <v>26</v>
      </c>
      <c r="B22" s="3" t="s">
        <v>27</v>
      </c>
      <c r="C22" s="3" t="s">
        <v>40</v>
      </c>
      <c r="D22" s="3" t="s">
        <v>29</v>
      </c>
      <c r="E22" s="3" t="s">
        <v>112</v>
      </c>
      <c r="F22" s="3" t="s">
        <v>31</v>
      </c>
      <c r="G22" s="3" t="s">
        <v>112</v>
      </c>
      <c r="H22" s="3" t="s">
        <v>44</v>
      </c>
      <c r="I22" s="3">
        <v>2024</v>
      </c>
      <c r="J22" s="3" t="str">
        <f>CONCATENATE("44811100625")</f>
        <v>44811100625</v>
      </c>
      <c r="K22" s="3" t="s">
        <v>33</v>
      </c>
      <c r="L22" s="3" t="str">
        <f t="shared" si="0"/>
        <v/>
      </c>
      <c r="M22" s="3" t="str">
        <f>CONCATENATE("SRA03")</f>
        <v>SRA03</v>
      </c>
      <c r="N22" s="3" t="str">
        <f>CONCATENATE("00123200578")</f>
        <v>00123200578</v>
      </c>
      <c r="O22" s="3" t="s">
        <v>113</v>
      </c>
      <c r="P22" s="3" t="s">
        <v>35</v>
      </c>
      <c r="Q22" s="3" t="s">
        <v>66</v>
      </c>
      <c r="R22" s="4">
        <v>45933</v>
      </c>
      <c r="S22" s="3" t="s">
        <v>37</v>
      </c>
      <c r="T22" s="3" t="s">
        <v>38</v>
      </c>
      <c r="U22" s="3" t="s">
        <v>39</v>
      </c>
      <c r="V22" s="5">
        <v>26244.84</v>
      </c>
      <c r="W22" s="5">
        <v>10681.65</v>
      </c>
      <c r="X22" s="5">
        <v>10894.23</v>
      </c>
      <c r="Y22" s="5">
        <v>4668.96</v>
      </c>
    </row>
    <row r="23" spans="1:25" hidden="1" x14ac:dyDescent="0.35">
      <c r="A23" s="3" t="s">
        <v>26</v>
      </c>
      <c r="B23" s="3" t="s">
        <v>27</v>
      </c>
      <c r="C23" s="3" t="s">
        <v>40</v>
      </c>
      <c r="D23" s="3" t="s">
        <v>107</v>
      </c>
      <c r="E23" s="3" t="s">
        <v>114</v>
      </c>
      <c r="F23" s="3" t="s">
        <v>115</v>
      </c>
      <c r="G23" s="3" t="s">
        <v>114</v>
      </c>
      <c r="H23" s="3" t="s">
        <v>116</v>
      </c>
      <c r="I23" s="3">
        <v>2024</v>
      </c>
      <c r="J23" s="3" t="str">
        <f>CONCATENATE("44810262145")</f>
        <v>44810262145</v>
      </c>
      <c r="K23" s="3" t="s">
        <v>33</v>
      </c>
      <c r="L23" s="3" t="str">
        <f t="shared" si="0"/>
        <v/>
      </c>
      <c r="M23" s="3" t="str">
        <f t="shared" ref="M23:M30" si="1">CONCATENATE("SRA30")</f>
        <v>SRA30</v>
      </c>
      <c r="N23" s="3" t="str">
        <f>CONCATENATE("03206430591")</f>
        <v>03206430591</v>
      </c>
      <c r="O23" s="3" t="s">
        <v>117</v>
      </c>
      <c r="P23" s="3" t="s">
        <v>35</v>
      </c>
      <c r="Q23" s="3" t="s">
        <v>79</v>
      </c>
      <c r="R23" s="4">
        <v>45933</v>
      </c>
      <c r="S23" s="3" t="s">
        <v>37</v>
      </c>
      <c r="T23" s="3" t="s">
        <v>38</v>
      </c>
      <c r="U23" s="3" t="s">
        <v>39</v>
      </c>
      <c r="V23" s="5">
        <v>51557.599999999999</v>
      </c>
      <c r="W23" s="5">
        <v>20983.94</v>
      </c>
      <c r="X23" s="5">
        <v>21401.56</v>
      </c>
      <c r="Y23" s="5">
        <v>9172.1</v>
      </c>
    </row>
    <row r="24" spans="1:25" ht="49.5" hidden="1" x14ac:dyDescent="0.35">
      <c r="A24" s="3" t="s">
        <v>26</v>
      </c>
      <c r="B24" s="3" t="s">
        <v>27</v>
      </c>
      <c r="C24" s="3" t="s">
        <v>40</v>
      </c>
      <c r="D24" s="3" t="s">
        <v>99</v>
      </c>
      <c r="E24" s="3" t="s">
        <v>118</v>
      </c>
      <c r="F24" s="3" t="s">
        <v>119</v>
      </c>
      <c r="G24" s="3" t="s">
        <v>120</v>
      </c>
      <c r="H24" s="3" t="s">
        <v>116</v>
      </c>
      <c r="I24" s="3">
        <v>2024</v>
      </c>
      <c r="J24" s="3" t="str">
        <f>CONCATENATE("44810463792")</f>
        <v>44810463792</v>
      </c>
      <c r="K24" s="3" t="s">
        <v>33</v>
      </c>
      <c r="L24" s="3" t="str">
        <f t="shared" si="0"/>
        <v/>
      </c>
      <c r="M24" s="3" t="str">
        <f t="shared" si="1"/>
        <v>SRA30</v>
      </c>
      <c r="N24" s="3" t="str">
        <f>CONCATENATE("FDERMN65T08I712B")</f>
        <v>FDERMN65T08I712B</v>
      </c>
      <c r="O24" s="3" t="s">
        <v>121</v>
      </c>
      <c r="P24" s="3" t="s">
        <v>35</v>
      </c>
      <c r="Q24" s="3" t="s">
        <v>79</v>
      </c>
      <c r="R24" s="4">
        <v>45933</v>
      </c>
      <c r="S24" s="3" t="s">
        <v>37</v>
      </c>
      <c r="T24" s="3" t="s">
        <v>38</v>
      </c>
      <c r="U24" s="3" t="s">
        <v>39</v>
      </c>
      <c r="V24" s="5">
        <v>15266</v>
      </c>
      <c r="W24" s="5">
        <v>6213.26</v>
      </c>
      <c r="X24" s="5">
        <v>6336.92</v>
      </c>
      <c r="Y24" s="5">
        <v>2715.82</v>
      </c>
    </row>
    <row r="25" spans="1:25" ht="41.5" hidden="1" x14ac:dyDescent="0.35">
      <c r="A25" s="3" t="s">
        <v>26</v>
      </c>
      <c r="B25" s="3" t="s">
        <v>27</v>
      </c>
      <c r="C25" s="3" t="s">
        <v>40</v>
      </c>
      <c r="D25" s="3" t="s">
        <v>41</v>
      </c>
      <c r="E25" s="3" t="s">
        <v>122</v>
      </c>
      <c r="F25" s="3" t="s">
        <v>43</v>
      </c>
      <c r="G25" s="3" t="s">
        <v>122</v>
      </c>
      <c r="H25" s="3" t="s">
        <v>116</v>
      </c>
      <c r="I25" s="3">
        <v>2024</v>
      </c>
      <c r="J25" s="3" t="str">
        <f>CONCATENATE("44810050144")</f>
        <v>44810050144</v>
      </c>
      <c r="K25" s="3" t="s">
        <v>33</v>
      </c>
      <c r="L25" s="3" t="str">
        <f t="shared" si="0"/>
        <v/>
      </c>
      <c r="M25" s="3" t="str">
        <f t="shared" si="1"/>
        <v>SRA30</v>
      </c>
      <c r="N25" s="3" t="str">
        <f>CONCATENATE("FRINGL50S11I712P")</f>
        <v>FRINGL50S11I712P</v>
      </c>
      <c r="O25" s="3" t="s">
        <v>123</v>
      </c>
      <c r="P25" s="3" t="s">
        <v>35</v>
      </c>
      <c r="Q25" s="3" t="s">
        <v>79</v>
      </c>
      <c r="R25" s="4">
        <v>45933</v>
      </c>
      <c r="S25" s="3" t="s">
        <v>37</v>
      </c>
      <c r="T25" s="3" t="s">
        <v>38</v>
      </c>
      <c r="U25" s="3" t="s">
        <v>39</v>
      </c>
      <c r="V25" s="5">
        <v>10583.45</v>
      </c>
      <c r="W25" s="5">
        <v>4307.46</v>
      </c>
      <c r="X25" s="5">
        <v>4393.1899999999996</v>
      </c>
      <c r="Y25" s="5">
        <v>1882.8</v>
      </c>
    </row>
    <row r="26" spans="1:25" ht="41.5" hidden="1" x14ac:dyDescent="0.35">
      <c r="A26" s="3" t="s">
        <v>26</v>
      </c>
      <c r="B26" s="3" t="s">
        <v>27</v>
      </c>
      <c r="C26" s="3" t="s">
        <v>40</v>
      </c>
      <c r="D26" s="3" t="s">
        <v>41</v>
      </c>
      <c r="E26" s="3" t="s">
        <v>122</v>
      </c>
      <c r="F26" s="3" t="s">
        <v>43</v>
      </c>
      <c r="G26" s="3" t="s">
        <v>122</v>
      </c>
      <c r="H26" s="3" t="s">
        <v>116</v>
      </c>
      <c r="I26" s="3">
        <v>2024</v>
      </c>
      <c r="J26" s="3" t="str">
        <f>CONCATENATE("44810079804")</f>
        <v>44810079804</v>
      </c>
      <c r="K26" s="3" t="s">
        <v>33</v>
      </c>
      <c r="L26" s="3" t="str">
        <f t="shared" si="0"/>
        <v/>
      </c>
      <c r="M26" s="3" t="str">
        <f t="shared" si="1"/>
        <v>SRA30</v>
      </c>
      <c r="N26" s="3" t="str">
        <f>CONCATENATE("MRSLNI75A13E472M")</f>
        <v>MRSLNI75A13E472M</v>
      </c>
      <c r="O26" s="3" t="s">
        <v>124</v>
      </c>
      <c r="P26" s="3" t="s">
        <v>35</v>
      </c>
      <c r="Q26" s="3" t="s">
        <v>79</v>
      </c>
      <c r="R26" s="4">
        <v>45933</v>
      </c>
      <c r="S26" s="3" t="s">
        <v>37</v>
      </c>
      <c r="T26" s="3" t="s">
        <v>38</v>
      </c>
      <c r="U26" s="3" t="s">
        <v>39</v>
      </c>
      <c r="V26" s="5">
        <v>14040</v>
      </c>
      <c r="W26" s="5">
        <v>5714.28</v>
      </c>
      <c r="X26" s="5">
        <v>5828</v>
      </c>
      <c r="Y26" s="5">
        <v>2497.7199999999998</v>
      </c>
    </row>
    <row r="27" spans="1:25" ht="41.5" hidden="1" x14ac:dyDescent="0.35">
      <c r="A27" s="3" t="s">
        <v>26</v>
      </c>
      <c r="B27" s="3" t="s">
        <v>27</v>
      </c>
      <c r="C27" s="3" t="s">
        <v>40</v>
      </c>
      <c r="D27" s="3" t="s">
        <v>41</v>
      </c>
      <c r="E27" s="3" t="s">
        <v>125</v>
      </c>
      <c r="F27" s="3" t="s">
        <v>43</v>
      </c>
      <c r="G27" s="3" t="s">
        <v>125</v>
      </c>
      <c r="H27" s="3" t="s">
        <v>116</v>
      </c>
      <c r="I27" s="3">
        <v>2024</v>
      </c>
      <c r="J27" s="3" t="str">
        <f>CONCATENATE("44810323442")</f>
        <v>44810323442</v>
      </c>
      <c r="K27" s="3" t="s">
        <v>33</v>
      </c>
      <c r="L27" s="3" t="str">
        <f t="shared" si="0"/>
        <v/>
      </c>
      <c r="M27" s="3" t="str">
        <f t="shared" si="1"/>
        <v>SRA30</v>
      </c>
      <c r="N27" s="3" t="str">
        <f>CONCATENATE("MNCGPP98C10D662V")</f>
        <v>MNCGPP98C10D662V</v>
      </c>
      <c r="O27" s="3" t="s">
        <v>126</v>
      </c>
      <c r="P27" s="3" t="s">
        <v>35</v>
      </c>
      <c r="Q27" s="3" t="s">
        <v>79</v>
      </c>
      <c r="R27" s="4">
        <v>45933</v>
      </c>
      <c r="S27" s="3" t="s">
        <v>37</v>
      </c>
      <c r="T27" s="3" t="s">
        <v>38</v>
      </c>
      <c r="U27" s="3" t="s">
        <v>39</v>
      </c>
      <c r="V27" s="5">
        <v>6524</v>
      </c>
      <c r="W27" s="5">
        <v>2655.27</v>
      </c>
      <c r="X27" s="5">
        <v>2708.11</v>
      </c>
      <c r="Y27" s="5">
        <v>1160.6199999999999</v>
      </c>
    </row>
    <row r="28" spans="1:25" ht="41.5" hidden="1" x14ac:dyDescent="0.35">
      <c r="A28" s="3" t="s">
        <v>26</v>
      </c>
      <c r="B28" s="3" t="s">
        <v>27</v>
      </c>
      <c r="C28" s="3" t="s">
        <v>40</v>
      </c>
      <c r="D28" s="3" t="s">
        <v>41</v>
      </c>
      <c r="E28" s="3" t="s">
        <v>127</v>
      </c>
      <c r="F28" s="3" t="s">
        <v>43</v>
      </c>
      <c r="G28" s="3" t="s">
        <v>127</v>
      </c>
      <c r="H28" s="3" t="s">
        <v>116</v>
      </c>
      <c r="I28" s="3">
        <v>2024</v>
      </c>
      <c r="J28" s="3" t="str">
        <f>CONCATENATE("44810170306")</f>
        <v>44810170306</v>
      </c>
      <c r="K28" s="3" t="s">
        <v>33</v>
      </c>
      <c r="L28" s="3" t="str">
        <f t="shared" si="0"/>
        <v/>
      </c>
      <c r="M28" s="3" t="str">
        <f t="shared" si="1"/>
        <v>SRA30</v>
      </c>
      <c r="N28" s="3" t="str">
        <f>CONCATENATE("SCCRRT64C01H444M")</f>
        <v>SCCRRT64C01H444M</v>
      </c>
      <c r="O28" s="3" t="s">
        <v>128</v>
      </c>
      <c r="P28" s="3" t="s">
        <v>35</v>
      </c>
      <c r="Q28" s="3" t="s">
        <v>79</v>
      </c>
      <c r="R28" s="4">
        <v>45933</v>
      </c>
      <c r="S28" s="3" t="s">
        <v>37</v>
      </c>
      <c r="T28" s="3" t="s">
        <v>38</v>
      </c>
      <c r="U28" s="3" t="s">
        <v>39</v>
      </c>
      <c r="V28" s="5">
        <v>14007</v>
      </c>
      <c r="W28" s="5">
        <v>5700.85</v>
      </c>
      <c r="X28" s="5">
        <v>5814.31</v>
      </c>
      <c r="Y28" s="5">
        <v>2491.84</v>
      </c>
    </row>
    <row r="29" spans="1:25" ht="25.5" hidden="1" x14ac:dyDescent="0.35">
      <c r="A29" s="3" t="s">
        <v>26</v>
      </c>
      <c r="B29" s="3" t="s">
        <v>27</v>
      </c>
      <c r="C29" s="3" t="s">
        <v>40</v>
      </c>
      <c r="D29" s="3" t="s">
        <v>41</v>
      </c>
      <c r="E29" s="3" t="s">
        <v>122</v>
      </c>
      <c r="F29" s="3" t="s">
        <v>43</v>
      </c>
      <c r="G29" s="3" t="s">
        <v>122</v>
      </c>
      <c r="H29" s="3" t="s">
        <v>116</v>
      </c>
      <c r="I29" s="3">
        <v>2024</v>
      </c>
      <c r="J29" s="3" t="str">
        <f>CONCATENATE("44810099042")</f>
        <v>44810099042</v>
      </c>
      <c r="K29" s="3" t="s">
        <v>33</v>
      </c>
      <c r="L29" s="3" t="str">
        <f t="shared" si="0"/>
        <v/>
      </c>
      <c r="M29" s="3" t="str">
        <f t="shared" si="1"/>
        <v>SRA30</v>
      </c>
      <c r="N29" s="3" t="str">
        <f>CONCATENATE("02074650595")</f>
        <v>02074650595</v>
      </c>
      <c r="O29" s="3" t="s">
        <v>129</v>
      </c>
      <c r="P29" s="3" t="s">
        <v>35</v>
      </c>
      <c r="Q29" s="3" t="s">
        <v>79</v>
      </c>
      <c r="R29" s="4">
        <v>45933</v>
      </c>
      <c r="S29" s="3" t="s">
        <v>37</v>
      </c>
      <c r="T29" s="3" t="s">
        <v>38</v>
      </c>
      <c r="U29" s="3" t="s">
        <v>39</v>
      </c>
      <c r="V29" s="5">
        <v>14490</v>
      </c>
      <c r="W29" s="5">
        <v>5897.43</v>
      </c>
      <c r="X29" s="5">
        <v>6014.8</v>
      </c>
      <c r="Y29" s="5">
        <v>2577.77</v>
      </c>
    </row>
    <row r="30" spans="1:25" ht="41.5" hidden="1" x14ac:dyDescent="0.35">
      <c r="A30" s="3" t="s">
        <v>26</v>
      </c>
      <c r="B30" s="3" t="s">
        <v>27</v>
      </c>
      <c r="C30" s="3" t="s">
        <v>40</v>
      </c>
      <c r="D30" s="3" t="s">
        <v>41</v>
      </c>
      <c r="E30" s="3" t="s">
        <v>130</v>
      </c>
      <c r="F30" s="3" t="s">
        <v>43</v>
      </c>
      <c r="G30" s="3" t="s">
        <v>130</v>
      </c>
      <c r="H30" s="3" t="s">
        <v>64</v>
      </c>
      <c r="I30" s="3">
        <v>2024</v>
      </c>
      <c r="J30" s="3" t="str">
        <f>CONCATENATE("44811099140")</f>
        <v>44811099140</v>
      </c>
      <c r="K30" s="3" t="s">
        <v>33</v>
      </c>
      <c r="L30" s="3" t="str">
        <f t="shared" si="0"/>
        <v/>
      </c>
      <c r="M30" s="3" t="str">
        <f t="shared" si="1"/>
        <v>SRA30</v>
      </c>
      <c r="N30" s="3" t="str">
        <f>CONCATENATE("TSTSFN69R71I158F")</f>
        <v>TSTSFN69R71I158F</v>
      </c>
      <c r="O30" s="3" t="s">
        <v>131</v>
      </c>
      <c r="P30" s="3" t="s">
        <v>35</v>
      </c>
      <c r="Q30" s="3" t="s">
        <v>79</v>
      </c>
      <c r="R30" s="4">
        <v>45933</v>
      </c>
      <c r="S30" s="3" t="s">
        <v>37</v>
      </c>
      <c r="T30" s="3" t="s">
        <v>38</v>
      </c>
      <c r="U30" s="3" t="s">
        <v>39</v>
      </c>
      <c r="V30" s="5">
        <v>10160.77</v>
      </c>
      <c r="W30" s="5">
        <v>4135.43</v>
      </c>
      <c r="X30" s="5">
        <v>4217.74</v>
      </c>
      <c r="Y30" s="5">
        <v>1807.6</v>
      </c>
    </row>
    <row r="31" spans="1:25" ht="41.5" x14ac:dyDescent="0.35">
      <c r="A31" s="3" t="s">
        <v>26</v>
      </c>
      <c r="B31" s="3" t="s">
        <v>27</v>
      </c>
      <c r="C31" s="3" t="s">
        <v>132</v>
      </c>
      <c r="D31" s="3" t="s">
        <v>61</v>
      </c>
      <c r="E31" s="3" t="s">
        <v>133</v>
      </c>
      <c r="F31" s="3" t="s">
        <v>63</v>
      </c>
      <c r="G31" s="3" t="s">
        <v>133</v>
      </c>
      <c r="H31" s="3" t="s">
        <v>134</v>
      </c>
      <c r="I31" s="3">
        <v>2024</v>
      </c>
      <c r="J31" s="3" t="str">
        <f>CONCATENATE("44811153236")</f>
        <v>44811153236</v>
      </c>
      <c r="K31" s="3" t="s">
        <v>33</v>
      </c>
      <c r="L31" s="3" t="str">
        <f t="shared" si="0"/>
        <v/>
      </c>
      <c r="M31" s="3" t="str">
        <f>CONCATENATE("SRA01")</f>
        <v>SRA01</v>
      </c>
      <c r="N31" s="3" t="str">
        <f>CONCATENATE("BRTFBA62L13I285V")</f>
        <v>BRTFBA62L13I285V</v>
      </c>
      <c r="O31" s="3" t="s">
        <v>135</v>
      </c>
      <c r="P31" s="3" t="s">
        <v>35</v>
      </c>
      <c r="Q31" s="3" t="s">
        <v>136</v>
      </c>
      <c r="R31" s="4">
        <v>45919</v>
      </c>
      <c r="S31" s="3" t="s">
        <v>37</v>
      </c>
      <c r="T31" s="3" t="s">
        <v>38</v>
      </c>
      <c r="U31" s="3" t="s">
        <v>39</v>
      </c>
      <c r="V31" s="5">
        <v>8407.01</v>
      </c>
      <c r="W31" s="5">
        <v>3572.98</v>
      </c>
      <c r="X31" s="5">
        <v>3383.82</v>
      </c>
      <c r="Y31" s="5">
        <v>1450.21</v>
      </c>
    </row>
    <row r="32" spans="1:25" ht="49.5" hidden="1" x14ac:dyDescent="0.35">
      <c r="A32" s="3" t="s">
        <v>26</v>
      </c>
      <c r="B32" s="3" t="s">
        <v>27</v>
      </c>
      <c r="C32" s="3" t="s">
        <v>40</v>
      </c>
      <c r="D32" s="3" t="s">
        <v>137</v>
      </c>
      <c r="E32" s="3" t="s">
        <v>138</v>
      </c>
      <c r="F32" s="3" t="s">
        <v>139</v>
      </c>
      <c r="G32" s="3" t="s">
        <v>138</v>
      </c>
      <c r="H32" s="3" t="s">
        <v>64</v>
      </c>
      <c r="I32" s="3">
        <v>2024</v>
      </c>
      <c r="J32" s="3" t="str">
        <f>CONCATENATE("44811428356")</f>
        <v>44811428356</v>
      </c>
      <c r="K32" s="3" t="s">
        <v>33</v>
      </c>
      <c r="L32" s="3" t="str">
        <f t="shared" si="0"/>
        <v/>
      </c>
      <c r="M32" s="3" t="str">
        <f>CONCATENATE("SRA03")</f>
        <v>SRA03</v>
      </c>
      <c r="N32" s="3" t="str">
        <f>CONCATENATE("FLZMSM50D19H501P")</f>
        <v>FLZMSM50D19H501P</v>
      </c>
      <c r="O32" s="3" t="s">
        <v>140</v>
      </c>
      <c r="P32" s="3" t="s">
        <v>35</v>
      </c>
      <c r="Q32" s="3" t="s">
        <v>66</v>
      </c>
      <c r="R32" s="4">
        <v>45933</v>
      </c>
      <c r="S32" s="3" t="s">
        <v>37</v>
      </c>
      <c r="T32" s="3" t="s">
        <v>38</v>
      </c>
      <c r="U32" s="3" t="s">
        <v>39</v>
      </c>
      <c r="V32" s="5">
        <v>15735.26</v>
      </c>
      <c r="W32" s="5">
        <v>6404.25</v>
      </c>
      <c r="X32" s="5">
        <v>6531.71</v>
      </c>
      <c r="Y32" s="5">
        <v>2799.3</v>
      </c>
    </row>
    <row r="33" spans="1:25" ht="25.5" hidden="1" x14ac:dyDescent="0.35">
      <c r="A33" s="3" t="s">
        <v>26</v>
      </c>
      <c r="B33" s="3" t="s">
        <v>27</v>
      </c>
      <c r="C33" s="3" t="s">
        <v>40</v>
      </c>
      <c r="D33" s="3" t="s">
        <v>29</v>
      </c>
      <c r="E33" s="3" t="s">
        <v>141</v>
      </c>
      <c r="F33" s="3" t="s">
        <v>31</v>
      </c>
      <c r="G33" s="3" t="s">
        <v>141</v>
      </c>
      <c r="H33" s="3" t="s">
        <v>64</v>
      </c>
      <c r="I33" s="3">
        <v>2024</v>
      </c>
      <c r="J33" s="3" t="str">
        <f>CONCATENATE("44810548766")</f>
        <v>44810548766</v>
      </c>
      <c r="K33" s="3" t="s">
        <v>33</v>
      </c>
      <c r="L33" s="3" t="str">
        <f t="shared" si="0"/>
        <v/>
      </c>
      <c r="M33" s="3" t="str">
        <f>CONCATENATE("SRA03")</f>
        <v>SRA03</v>
      </c>
      <c r="N33" s="3" t="str">
        <f>CONCATENATE("80053850584")</f>
        <v>80053850584</v>
      </c>
      <c r="O33" s="3" t="s">
        <v>142</v>
      </c>
      <c r="P33" s="3" t="s">
        <v>35</v>
      </c>
      <c r="Q33" s="3" t="s">
        <v>66</v>
      </c>
      <c r="R33" s="4">
        <v>45933</v>
      </c>
      <c r="S33" s="3" t="s">
        <v>37</v>
      </c>
      <c r="T33" s="3" t="s">
        <v>38</v>
      </c>
      <c r="U33" s="3" t="s">
        <v>39</v>
      </c>
      <c r="V33" s="5">
        <v>30547.31</v>
      </c>
      <c r="W33" s="5">
        <v>12432.76</v>
      </c>
      <c r="X33" s="5">
        <v>12680.19</v>
      </c>
      <c r="Y33" s="5">
        <v>5434.36</v>
      </c>
    </row>
    <row r="34" spans="1:25" ht="41.5" hidden="1" x14ac:dyDescent="0.35">
      <c r="A34" s="3" t="s">
        <v>26</v>
      </c>
      <c r="B34" s="3" t="s">
        <v>27</v>
      </c>
      <c r="C34" s="3" t="s">
        <v>40</v>
      </c>
      <c r="D34" s="3" t="s">
        <v>41</v>
      </c>
      <c r="E34" s="3" t="s">
        <v>143</v>
      </c>
      <c r="F34" s="3" t="s">
        <v>43</v>
      </c>
      <c r="G34" s="3" t="s">
        <v>143</v>
      </c>
      <c r="H34" s="3" t="s">
        <v>64</v>
      </c>
      <c r="I34" s="3">
        <v>2024</v>
      </c>
      <c r="J34" s="3" t="str">
        <f>CONCATENATE("44810684397")</f>
        <v>44810684397</v>
      </c>
      <c r="K34" s="3" t="s">
        <v>33</v>
      </c>
      <c r="L34" s="3" t="str">
        <f t="shared" si="0"/>
        <v/>
      </c>
      <c r="M34" s="3" t="str">
        <f>CONCATENATE("SRA30")</f>
        <v>SRA30</v>
      </c>
      <c r="N34" s="3" t="str">
        <f>CONCATENATE("SCNLSN98S65H501U")</f>
        <v>SCNLSN98S65H501U</v>
      </c>
      <c r="O34" s="3" t="s">
        <v>144</v>
      </c>
      <c r="P34" s="3" t="s">
        <v>35</v>
      </c>
      <c r="Q34" s="3" t="s">
        <v>79</v>
      </c>
      <c r="R34" s="4">
        <v>45933</v>
      </c>
      <c r="S34" s="3" t="s">
        <v>37</v>
      </c>
      <c r="T34" s="3" t="s">
        <v>38</v>
      </c>
      <c r="U34" s="3" t="s">
        <v>39</v>
      </c>
      <c r="V34" s="5">
        <v>5600</v>
      </c>
      <c r="W34" s="5">
        <v>2279.1999999999998</v>
      </c>
      <c r="X34" s="5">
        <v>2324.56</v>
      </c>
      <c r="Y34" s="3">
        <v>996.24</v>
      </c>
    </row>
    <row r="35" spans="1:25" ht="49.5" hidden="1" x14ac:dyDescent="0.35">
      <c r="A35" s="3" t="s">
        <v>26</v>
      </c>
      <c r="B35" s="3" t="s">
        <v>27</v>
      </c>
      <c r="C35" s="3" t="s">
        <v>80</v>
      </c>
      <c r="D35" s="3" t="s">
        <v>41</v>
      </c>
      <c r="E35" s="3" t="s">
        <v>145</v>
      </c>
      <c r="F35" s="3" t="s">
        <v>43</v>
      </c>
      <c r="G35" s="3" t="s">
        <v>145</v>
      </c>
      <c r="H35" s="3" t="s">
        <v>82</v>
      </c>
      <c r="I35" s="3">
        <v>2024</v>
      </c>
      <c r="J35" s="3" t="str">
        <f>CONCATENATE("44811301934")</f>
        <v>44811301934</v>
      </c>
      <c r="K35" s="3" t="s">
        <v>33</v>
      </c>
      <c r="L35" s="3" t="str">
        <f t="shared" si="0"/>
        <v/>
      </c>
      <c r="M35" s="3" t="str">
        <f>CONCATENATE("SRA25")</f>
        <v>SRA25</v>
      </c>
      <c r="N35" s="3" t="str">
        <f>CONCATENATE("MRTPTR00B14D969B")</f>
        <v>MRTPTR00B14D969B</v>
      </c>
      <c r="O35" s="3" t="s">
        <v>146</v>
      </c>
      <c r="P35" s="3" t="s">
        <v>35</v>
      </c>
      <c r="Q35" s="3" t="s">
        <v>84</v>
      </c>
      <c r="R35" s="4">
        <v>45932</v>
      </c>
      <c r="S35" s="3" t="s">
        <v>37</v>
      </c>
      <c r="T35" s="3" t="s">
        <v>38</v>
      </c>
      <c r="U35" s="3" t="s">
        <v>39</v>
      </c>
      <c r="V35" s="3">
        <v>875.47</v>
      </c>
      <c r="W35" s="3">
        <v>356.32</v>
      </c>
      <c r="X35" s="3">
        <v>363.41</v>
      </c>
      <c r="Y35" s="3">
        <v>155.74</v>
      </c>
    </row>
    <row r="36" spans="1:25" ht="49.5" hidden="1" x14ac:dyDescent="0.35">
      <c r="A36" s="3" t="s">
        <v>26</v>
      </c>
      <c r="B36" s="3" t="s">
        <v>27</v>
      </c>
      <c r="C36" s="3" t="s">
        <v>80</v>
      </c>
      <c r="D36" s="3" t="s">
        <v>41</v>
      </c>
      <c r="E36" s="3" t="s">
        <v>145</v>
      </c>
      <c r="F36" s="3" t="s">
        <v>43</v>
      </c>
      <c r="G36" s="3" t="s">
        <v>145</v>
      </c>
      <c r="H36" s="3" t="s">
        <v>82</v>
      </c>
      <c r="I36" s="3">
        <v>2024</v>
      </c>
      <c r="J36" s="3" t="str">
        <f>CONCATENATE("44811301918")</f>
        <v>44811301918</v>
      </c>
      <c r="K36" s="3" t="s">
        <v>33</v>
      </c>
      <c r="L36" s="3" t="str">
        <f t="shared" si="0"/>
        <v/>
      </c>
      <c r="M36" s="3" t="str">
        <f>CONCATENATE("SRA05")</f>
        <v>SRA05</v>
      </c>
      <c r="N36" s="3" t="str">
        <f>CONCATENATE("MRTPTR00B14D969B")</f>
        <v>MRTPTR00B14D969B</v>
      </c>
      <c r="O36" s="3" t="s">
        <v>146</v>
      </c>
      <c r="P36" s="3" t="s">
        <v>35</v>
      </c>
      <c r="Q36" s="3" t="s">
        <v>147</v>
      </c>
      <c r="R36" s="4">
        <v>45932</v>
      </c>
      <c r="S36" s="3" t="s">
        <v>37</v>
      </c>
      <c r="T36" s="3" t="s">
        <v>38</v>
      </c>
      <c r="U36" s="3" t="s">
        <v>39</v>
      </c>
      <c r="V36" s="3">
        <v>372.18</v>
      </c>
      <c r="W36" s="3">
        <v>151.47999999999999</v>
      </c>
      <c r="X36" s="3">
        <v>154.49</v>
      </c>
      <c r="Y36" s="3">
        <v>66.209999999999994</v>
      </c>
    </row>
    <row r="37" spans="1:25" ht="25.5" hidden="1" x14ac:dyDescent="0.35">
      <c r="A37" s="3" t="s">
        <v>26</v>
      </c>
      <c r="B37" s="3" t="s">
        <v>27</v>
      </c>
      <c r="C37" s="3" t="s">
        <v>80</v>
      </c>
      <c r="D37" s="3" t="s">
        <v>137</v>
      </c>
      <c r="E37" s="3" t="s">
        <v>148</v>
      </c>
      <c r="F37" s="3" t="s">
        <v>139</v>
      </c>
      <c r="G37" s="3" t="s">
        <v>148</v>
      </c>
      <c r="H37" s="3" t="s">
        <v>82</v>
      </c>
      <c r="I37" s="3">
        <v>2024</v>
      </c>
      <c r="J37" s="3" t="str">
        <f>CONCATENATE("44811283710")</f>
        <v>44811283710</v>
      </c>
      <c r="K37" s="3" t="s">
        <v>33</v>
      </c>
      <c r="L37" s="3" t="str">
        <f t="shared" si="0"/>
        <v/>
      </c>
      <c r="M37" s="3" t="str">
        <f>CONCATENATE("SRA25")</f>
        <v>SRA25</v>
      </c>
      <c r="N37" s="3" t="str">
        <f>CONCATENATE("01789920095")</f>
        <v>01789920095</v>
      </c>
      <c r="O37" s="3" t="s">
        <v>149</v>
      </c>
      <c r="P37" s="3" t="s">
        <v>35</v>
      </c>
      <c r="Q37" s="3" t="s">
        <v>84</v>
      </c>
      <c r="R37" s="4">
        <v>45932</v>
      </c>
      <c r="S37" s="3" t="s">
        <v>37</v>
      </c>
      <c r="T37" s="3" t="s">
        <v>38</v>
      </c>
      <c r="U37" s="3" t="s">
        <v>39</v>
      </c>
      <c r="V37" s="5">
        <v>8584.4500000000007</v>
      </c>
      <c r="W37" s="5">
        <v>3493.87</v>
      </c>
      <c r="X37" s="5">
        <v>3563.41</v>
      </c>
      <c r="Y37" s="5">
        <v>1527.17</v>
      </c>
    </row>
    <row r="38" spans="1:25" ht="41.5" x14ac:dyDescent="0.35">
      <c r="A38" s="3" t="s">
        <v>26</v>
      </c>
      <c r="B38" s="3" t="s">
        <v>27</v>
      </c>
      <c r="C38" s="3" t="s">
        <v>132</v>
      </c>
      <c r="D38" s="3" t="s">
        <v>61</v>
      </c>
      <c r="E38" s="3" t="s">
        <v>150</v>
      </c>
      <c r="F38" s="3" t="s">
        <v>63</v>
      </c>
      <c r="G38" s="3" t="s">
        <v>150</v>
      </c>
      <c r="H38" s="3" t="s">
        <v>134</v>
      </c>
      <c r="I38" s="3">
        <v>2024</v>
      </c>
      <c r="J38" s="3" t="str">
        <f>CONCATENATE("44810658805")</f>
        <v>44810658805</v>
      </c>
      <c r="K38" s="3" t="s">
        <v>33</v>
      </c>
      <c r="L38" s="3" t="str">
        <f t="shared" si="0"/>
        <v/>
      </c>
      <c r="M38" s="3" t="str">
        <f>CONCATENATE("SRA01")</f>
        <v>SRA01</v>
      </c>
      <c r="N38" s="3" t="str">
        <f>CONCATENATE("LVEDVD84L17G479I")</f>
        <v>LVEDVD84L17G479I</v>
      </c>
      <c r="O38" s="3" t="s">
        <v>151</v>
      </c>
      <c r="P38" s="3" t="s">
        <v>35</v>
      </c>
      <c r="Q38" s="3" t="s">
        <v>136</v>
      </c>
      <c r="R38" s="4">
        <v>45919</v>
      </c>
      <c r="S38" s="3" t="s">
        <v>37</v>
      </c>
      <c r="T38" s="3" t="s">
        <v>38</v>
      </c>
      <c r="U38" s="3" t="s">
        <v>39</v>
      </c>
      <c r="V38" s="5">
        <v>3776.72</v>
      </c>
      <c r="W38" s="5">
        <v>1605.11</v>
      </c>
      <c r="X38" s="5">
        <v>1520.13</v>
      </c>
      <c r="Y38" s="3">
        <v>651.48</v>
      </c>
    </row>
    <row r="39" spans="1:25" ht="25.5" x14ac:dyDescent="0.35">
      <c r="A39" s="3" t="s">
        <v>26</v>
      </c>
      <c r="B39" s="3" t="s">
        <v>27</v>
      </c>
      <c r="C39" s="3" t="s">
        <v>132</v>
      </c>
      <c r="D39" s="3" t="s">
        <v>41</v>
      </c>
      <c r="E39" s="3" t="s">
        <v>152</v>
      </c>
      <c r="F39" s="3" t="s">
        <v>43</v>
      </c>
      <c r="G39" s="3" t="s">
        <v>152</v>
      </c>
      <c r="H39" s="3" t="s">
        <v>153</v>
      </c>
      <c r="I39" s="3">
        <v>2024</v>
      </c>
      <c r="J39" s="3" t="str">
        <f>CONCATENATE("44810355857")</f>
        <v>44810355857</v>
      </c>
      <c r="K39" s="3" t="s">
        <v>33</v>
      </c>
      <c r="L39" s="3" t="str">
        <f t="shared" si="0"/>
        <v/>
      </c>
      <c r="M39" s="3" t="str">
        <f>CONCATENATE("SRA01")</f>
        <v>SRA01</v>
      </c>
      <c r="N39" s="3" t="str">
        <f>CONCATENATE("02005870437")</f>
        <v>02005870437</v>
      </c>
      <c r="O39" s="3" t="s">
        <v>154</v>
      </c>
      <c r="P39" s="3" t="s">
        <v>35</v>
      </c>
      <c r="Q39" s="3" t="s">
        <v>136</v>
      </c>
      <c r="R39" s="4">
        <v>45919</v>
      </c>
      <c r="S39" s="3" t="s">
        <v>37</v>
      </c>
      <c r="T39" s="3" t="s">
        <v>38</v>
      </c>
      <c r="U39" s="3" t="s">
        <v>39</v>
      </c>
      <c r="V39" s="5">
        <v>10299.16</v>
      </c>
      <c r="W39" s="5">
        <v>4377.1400000000003</v>
      </c>
      <c r="X39" s="5">
        <v>4145.41</v>
      </c>
      <c r="Y39" s="5">
        <v>1776.61</v>
      </c>
    </row>
    <row r="40" spans="1:25" ht="25.5" hidden="1" x14ac:dyDescent="0.35">
      <c r="A40" s="3" t="s">
        <v>26</v>
      </c>
      <c r="B40" s="3" t="s">
        <v>27</v>
      </c>
      <c r="C40" s="3" t="s">
        <v>28</v>
      </c>
      <c r="D40" s="3" t="s">
        <v>29</v>
      </c>
      <c r="E40" s="3" t="s">
        <v>155</v>
      </c>
      <c r="F40" s="3" t="s">
        <v>31</v>
      </c>
      <c r="G40" s="3" t="s">
        <v>155</v>
      </c>
      <c r="H40" s="3" t="s">
        <v>156</v>
      </c>
      <c r="I40" s="3">
        <v>2024</v>
      </c>
      <c r="J40" s="3" t="str">
        <f>CONCATENATE("44810741619")</f>
        <v>44810741619</v>
      </c>
      <c r="K40" s="3" t="s">
        <v>33</v>
      </c>
      <c r="L40" s="3" t="str">
        <f t="shared" si="0"/>
        <v/>
      </c>
      <c r="M40" s="3" t="str">
        <f>CONCATENATE("SRA24")</f>
        <v>SRA24</v>
      </c>
      <c r="N40" s="3" t="str">
        <f>CONCATENATE("02470690740")</f>
        <v>02470690740</v>
      </c>
      <c r="O40" s="3" t="s">
        <v>157</v>
      </c>
      <c r="P40" s="3" t="s">
        <v>35</v>
      </c>
      <c r="Q40" s="3" t="s">
        <v>36</v>
      </c>
      <c r="R40" s="4">
        <v>45916</v>
      </c>
      <c r="S40" s="3" t="s">
        <v>37</v>
      </c>
      <c r="T40" s="3" t="s">
        <v>38</v>
      </c>
      <c r="U40" s="3" t="s">
        <v>39</v>
      </c>
      <c r="V40" s="5">
        <v>4597.17</v>
      </c>
      <c r="W40" s="5">
        <v>2321.5700000000002</v>
      </c>
      <c r="X40" s="5">
        <v>1592.92</v>
      </c>
      <c r="Y40" s="3">
        <v>682.68</v>
      </c>
    </row>
    <row r="41" spans="1:25" ht="41.5" hidden="1" x14ac:dyDescent="0.35">
      <c r="A41" s="3" t="s">
        <v>26</v>
      </c>
      <c r="B41" s="3" t="s">
        <v>27</v>
      </c>
      <c r="C41" s="3" t="s">
        <v>28</v>
      </c>
      <c r="D41" s="3" t="s">
        <v>29</v>
      </c>
      <c r="E41" s="3" t="s">
        <v>30</v>
      </c>
      <c r="F41" s="3" t="s">
        <v>31</v>
      </c>
      <c r="G41" s="3" t="s">
        <v>30</v>
      </c>
      <c r="H41" s="3" t="s">
        <v>32</v>
      </c>
      <c r="I41" s="3">
        <v>2024</v>
      </c>
      <c r="J41" s="3" t="str">
        <f>CONCATENATE("44811159332")</f>
        <v>44811159332</v>
      </c>
      <c r="K41" s="3" t="s">
        <v>33</v>
      </c>
      <c r="L41" s="3" t="str">
        <f t="shared" si="0"/>
        <v/>
      </c>
      <c r="M41" s="3" t="str">
        <f>CONCATENATE("SRA24")</f>
        <v>SRA24</v>
      </c>
      <c r="N41" s="3" t="str">
        <f>CONCATENATE("MNCGPP75D24D643Z")</f>
        <v>MNCGPP75D24D643Z</v>
      </c>
      <c r="O41" s="3" t="s">
        <v>158</v>
      </c>
      <c r="P41" s="3" t="s">
        <v>35</v>
      </c>
      <c r="Q41" s="3" t="s">
        <v>36</v>
      </c>
      <c r="R41" s="4">
        <v>45916</v>
      </c>
      <c r="S41" s="3" t="s">
        <v>37</v>
      </c>
      <c r="T41" s="3" t="s">
        <v>38</v>
      </c>
      <c r="U41" s="3" t="s">
        <v>39</v>
      </c>
      <c r="V41" s="5">
        <v>11358.37</v>
      </c>
      <c r="W41" s="5">
        <v>5735.98</v>
      </c>
      <c r="X41" s="5">
        <v>3935.68</v>
      </c>
      <c r="Y41" s="5">
        <v>1686.71</v>
      </c>
    </row>
    <row r="42" spans="1:25" ht="25.5" hidden="1" x14ac:dyDescent="0.35">
      <c r="A42" s="3" t="s">
        <v>26</v>
      </c>
      <c r="B42" s="3" t="s">
        <v>27</v>
      </c>
      <c r="C42" s="3" t="s">
        <v>28</v>
      </c>
      <c r="D42" s="3" t="s">
        <v>29</v>
      </c>
      <c r="E42" s="3" t="s">
        <v>159</v>
      </c>
      <c r="F42" s="3" t="s">
        <v>31</v>
      </c>
      <c r="G42" s="3" t="s">
        <v>159</v>
      </c>
      <c r="H42" s="3" t="s">
        <v>32</v>
      </c>
      <c r="I42" s="3">
        <v>2024</v>
      </c>
      <c r="J42" s="3" t="str">
        <f>CONCATENATE("44810972321")</f>
        <v>44810972321</v>
      </c>
      <c r="K42" s="3" t="s">
        <v>33</v>
      </c>
      <c r="L42" s="3" t="str">
        <f t="shared" si="0"/>
        <v/>
      </c>
      <c r="M42" s="3" t="str">
        <f>CONCATENATE("SRA24")</f>
        <v>SRA24</v>
      </c>
      <c r="N42" s="3" t="str">
        <f>CONCATENATE("04375910710")</f>
        <v>04375910710</v>
      </c>
      <c r="O42" s="3" t="s">
        <v>160</v>
      </c>
      <c r="P42" s="3" t="s">
        <v>35</v>
      </c>
      <c r="Q42" s="3" t="s">
        <v>36</v>
      </c>
      <c r="R42" s="4">
        <v>45916</v>
      </c>
      <c r="S42" s="3" t="s">
        <v>37</v>
      </c>
      <c r="T42" s="3" t="s">
        <v>38</v>
      </c>
      <c r="U42" s="3" t="s">
        <v>39</v>
      </c>
      <c r="V42" s="5">
        <v>16147.29</v>
      </c>
      <c r="W42" s="5">
        <v>8154.38</v>
      </c>
      <c r="X42" s="5">
        <v>5595.04</v>
      </c>
      <c r="Y42" s="5">
        <v>2397.87</v>
      </c>
    </row>
    <row r="43" spans="1:25" ht="41.5" hidden="1" x14ac:dyDescent="0.35">
      <c r="A43" s="3" t="s">
        <v>26</v>
      </c>
      <c r="B43" s="3" t="s">
        <v>27</v>
      </c>
      <c r="C43" s="3" t="s">
        <v>28</v>
      </c>
      <c r="D43" s="3" t="s">
        <v>51</v>
      </c>
      <c r="E43" s="3" t="s">
        <v>161</v>
      </c>
      <c r="F43" s="3" t="s">
        <v>51</v>
      </c>
      <c r="G43" s="3" t="s">
        <v>161</v>
      </c>
      <c r="H43" s="3" t="s">
        <v>72</v>
      </c>
      <c r="I43" s="3">
        <v>2024</v>
      </c>
      <c r="J43" s="3" t="str">
        <f>CONCATENATE("44820468963")</f>
        <v>44820468963</v>
      </c>
      <c r="K43" s="3" t="s">
        <v>33</v>
      </c>
      <c r="L43" s="3" t="str">
        <f t="shared" si="0"/>
        <v/>
      </c>
      <c r="M43" s="3" t="str">
        <f>CONCATENATE("SRB02")</f>
        <v>SRB02</v>
      </c>
      <c r="N43" s="3" t="str">
        <f>CONCATENATE("NTTNTN82C14H096F")</f>
        <v>NTTNTN82C14H096F</v>
      </c>
      <c r="O43" s="3" t="s">
        <v>162</v>
      </c>
      <c r="P43" s="3" t="s">
        <v>35</v>
      </c>
      <c r="Q43" s="3" t="s">
        <v>163</v>
      </c>
      <c r="R43" s="4">
        <v>45916</v>
      </c>
      <c r="S43" s="3" t="s">
        <v>37</v>
      </c>
      <c r="T43" s="3" t="s">
        <v>38</v>
      </c>
      <c r="U43" s="3" t="s">
        <v>39</v>
      </c>
      <c r="V43" s="5">
        <v>3401.77</v>
      </c>
      <c r="W43" s="5">
        <v>1717.89</v>
      </c>
      <c r="X43" s="5">
        <v>1178.71</v>
      </c>
      <c r="Y43" s="3">
        <v>505.17</v>
      </c>
    </row>
    <row r="44" spans="1:25" ht="41.5" hidden="1" x14ac:dyDescent="0.35">
      <c r="A44" s="3" t="s">
        <v>26</v>
      </c>
      <c r="B44" s="3" t="s">
        <v>27</v>
      </c>
      <c r="C44" s="3" t="s">
        <v>28</v>
      </c>
      <c r="D44" s="3" t="s">
        <v>164</v>
      </c>
      <c r="E44" s="3" t="s">
        <v>165</v>
      </c>
      <c r="F44" s="3" t="s">
        <v>166</v>
      </c>
      <c r="G44" s="3" t="s">
        <v>165</v>
      </c>
      <c r="H44" s="3" t="s">
        <v>72</v>
      </c>
      <c r="I44" s="3">
        <v>2024</v>
      </c>
      <c r="J44" s="3" t="str">
        <f>CONCATENATE("44820547576")</f>
        <v>44820547576</v>
      </c>
      <c r="K44" s="3" t="s">
        <v>33</v>
      </c>
      <c r="L44" s="3" t="str">
        <f t="shared" si="0"/>
        <v/>
      </c>
      <c r="M44" s="3" t="str">
        <f>CONCATENATE("SRB02")</f>
        <v>SRB02</v>
      </c>
      <c r="N44" s="3" t="str">
        <f>CONCATENATE("NTTFNC67E04H096W")</f>
        <v>NTTFNC67E04H096W</v>
      </c>
      <c r="O44" s="3" t="s">
        <v>167</v>
      </c>
      <c r="P44" s="3" t="s">
        <v>35</v>
      </c>
      <c r="Q44" s="3" t="s">
        <v>163</v>
      </c>
      <c r="R44" s="4">
        <v>45916</v>
      </c>
      <c r="S44" s="3" t="s">
        <v>37</v>
      </c>
      <c r="T44" s="3" t="s">
        <v>38</v>
      </c>
      <c r="U44" s="3" t="s">
        <v>39</v>
      </c>
      <c r="V44" s="5">
        <v>2450.4499999999998</v>
      </c>
      <c r="W44" s="5">
        <v>1237.48</v>
      </c>
      <c r="X44" s="3">
        <v>849.08</v>
      </c>
      <c r="Y44" s="3">
        <v>363.89</v>
      </c>
    </row>
    <row r="45" spans="1:25" ht="49.5" hidden="1" x14ac:dyDescent="0.35">
      <c r="A45" s="3" t="s">
        <v>26</v>
      </c>
      <c r="B45" s="3" t="s">
        <v>27</v>
      </c>
      <c r="C45" s="3" t="s">
        <v>28</v>
      </c>
      <c r="D45" s="3" t="s">
        <v>41</v>
      </c>
      <c r="E45" s="3" t="s">
        <v>168</v>
      </c>
      <c r="F45" s="3" t="s">
        <v>43</v>
      </c>
      <c r="G45" s="3" t="s">
        <v>168</v>
      </c>
      <c r="H45" s="3" t="s">
        <v>32</v>
      </c>
      <c r="I45" s="3">
        <v>2024</v>
      </c>
      <c r="J45" s="3" t="str">
        <f>CONCATENATE("44820476503")</f>
        <v>44820476503</v>
      </c>
      <c r="K45" s="3" t="s">
        <v>33</v>
      </c>
      <c r="L45" s="3" t="str">
        <f t="shared" si="0"/>
        <v/>
      </c>
      <c r="M45" s="3" t="str">
        <f>CONCATENATE("SRB02")</f>
        <v>SRB02</v>
      </c>
      <c r="N45" s="3" t="str">
        <f>CONCATENATE("QRQMHL69M16A150D")</f>
        <v>QRQMHL69M16A150D</v>
      </c>
      <c r="O45" s="3" t="s">
        <v>169</v>
      </c>
      <c r="P45" s="3" t="s">
        <v>35</v>
      </c>
      <c r="Q45" s="3" t="s">
        <v>163</v>
      </c>
      <c r="R45" s="4">
        <v>45916</v>
      </c>
      <c r="S45" s="3" t="s">
        <v>37</v>
      </c>
      <c r="T45" s="3" t="s">
        <v>38</v>
      </c>
      <c r="U45" s="3" t="s">
        <v>39</v>
      </c>
      <c r="V45" s="5">
        <v>2648.52</v>
      </c>
      <c r="W45" s="5">
        <v>1337.5</v>
      </c>
      <c r="X45" s="3">
        <v>917.71</v>
      </c>
      <c r="Y45" s="3">
        <v>393.31</v>
      </c>
    </row>
    <row r="46" spans="1:25" ht="25.5" hidden="1" x14ac:dyDescent="0.35">
      <c r="A46" s="3" t="s">
        <v>26</v>
      </c>
      <c r="B46" s="3" t="s">
        <v>27</v>
      </c>
      <c r="C46" s="3" t="s">
        <v>28</v>
      </c>
      <c r="D46" s="3" t="s">
        <v>164</v>
      </c>
      <c r="E46" s="3" t="s">
        <v>165</v>
      </c>
      <c r="F46" s="3" t="s">
        <v>166</v>
      </c>
      <c r="G46" s="3" t="s">
        <v>165</v>
      </c>
      <c r="H46" s="3" t="s">
        <v>72</v>
      </c>
      <c r="I46" s="3">
        <v>2024</v>
      </c>
      <c r="J46" s="3" t="str">
        <f>CONCATENATE("44820636049")</f>
        <v>44820636049</v>
      </c>
      <c r="K46" s="3" t="s">
        <v>33</v>
      </c>
      <c r="L46" s="3" t="str">
        <f t="shared" si="0"/>
        <v/>
      </c>
      <c r="M46" s="3" t="str">
        <f>CONCATENATE("SRB02")</f>
        <v>SRB02</v>
      </c>
      <c r="N46" s="3" t="str">
        <f>CONCATENATE("07789780728")</f>
        <v>07789780728</v>
      </c>
      <c r="O46" s="3" t="s">
        <v>170</v>
      </c>
      <c r="P46" s="3" t="s">
        <v>35</v>
      </c>
      <c r="Q46" s="3" t="s">
        <v>163</v>
      </c>
      <c r="R46" s="4">
        <v>45916</v>
      </c>
      <c r="S46" s="3" t="s">
        <v>37</v>
      </c>
      <c r="T46" s="3" t="s">
        <v>38</v>
      </c>
      <c r="U46" s="3" t="s">
        <v>39</v>
      </c>
      <c r="V46" s="5">
        <v>3882.92</v>
      </c>
      <c r="W46" s="5">
        <v>1960.87</v>
      </c>
      <c r="X46" s="5">
        <v>1345.43</v>
      </c>
      <c r="Y46" s="3">
        <v>576.62</v>
      </c>
    </row>
    <row r="47" spans="1:25" ht="41.5" hidden="1" x14ac:dyDescent="0.35">
      <c r="A47" s="3" t="s">
        <v>26</v>
      </c>
      <c r="B47" s="3" t="s">
        <v>27</v>
      </c>
      <c r="C47" s="3" t="s">
        <v>28</v>
      </c>
      <c r="D47" s="3" t="s">
        <v>41</v>
      </c>
      <c r="E47" s="3" t="s">
        <v>171</v>
      </c>
      <c r="F47" s="3" t="s">
        <v>43</v>
      </c>
      <c r="G47" s="3" t="s">
        <v>171</v>
      </c>
      <c r="H47" s="3" t="s">
        <v>32</v>
      </c>
      <c r="I47" s="3">
        <v>2024</v>
      </c>
      <c r="J47" s="3" t="str">
        <f>CONCATENATE("44810965259")</f>
        <v>44810965259</v>
      </c>
      <c r="K47" s="3" t="s">
        <v>33</v>
      </c>
      <c r="L47" s="3" t="str">
        <f t="shared" si="0"/>
        <v/>
      </c>
      <c r="M47" s="3" t="str">
        <f t="shared" ref="M47:M55" si="2">CONCATENATE("SRA01")</f>
        <v>SRA01</v>
      </c>
      <c r="N47" s="3" t="str">
        <f>CONCATENATE("CVLNCL68P13A669F")</f>
        <v>CVLNCL68P13A669F</v>
      </c>
      <c r="O47" s="3" t="s">
        <v>172</v>
      </c>
      <c r="P47" s="3" t="s">
        <v>35</v>
      </c>
      <c r="Q47" s="3" t="s">
        <v>173</v>
      </c>
      <c r="R47" s="4">
        <v>45916</v>
      </c>
      <c r="S47" s="3" t="s">
        <v>37</v>
      </c>
      <c r="T47" s="3" t="s">
        <v>38</v>
      </c>
      <c r="U47" s="3" t="s">
        <v>39</v>
      </c>
      <c r="V47" s="5">
        <v>12677.03</v>
      </c>
      <c r="W47" s="5">
        <v>6401.9</v>
      </c>
      <c r="X47" s="5">
        <v>4392.59</v>
      </c>
      <c r="Y47" s="5">
        <v>1882.54</v>
      </c>
    </row>
    <row r="48" spans="1:25" ht="49.5" hidden="1" x14ac:dyDescent="0.35">
      <c r="A48" s="3" t="s">
        <v>26</v>
      </c>
      <c r="B48" s="3" t="s">
        <v>27</v>
      </c>
      <c r="C48" s="3" t="s">
        <v>28</v>
      </c>
      <c r="D48" s="3" t="s">
        <v>41</v>
      </c>
      <c r="E48" s="3" t="s">
        <v>174</v>
      </c>
      <c r="F48" s="3" t="s">
        <v>43</v>
      </c>
      <c r="G48" s="3" t="s">
        <v>174</v>
      </c>
      <c r="H48" s="3" t="s">
        <v>32</v>
      </c>
      <c r="I48" s="3">
        <v>2024</v>
      </c>
      <c r="J48" s="3" t="str">
        <f>CONCATENATE("44810675353")</f>
        <v>44810675353</v>
      </c>
      <c r="K48" s="3" t="s">
        <v>33</v>
      </c>
      <c r="L48" s="3" t="str">
        <f t="shared" si="0"/>
        <v/>
      </c>
      <c r="M48" s="3" t="str">
        <f t="shared" si="2"/>
        <v>SRA01</v>
      </c>
      <c r="N48" s="3" t="str">
        <f>CONCATENATE("GTASVT77B24D643Q")</f>
        <v>GTASVT77B24D643Q</v>
      </c>
      <c r="O48" s="3" t="s">
        <v>175</v>
      </c>
      <c r="P48" s="3" t="s">
        <v>35</v>
      </c>
      <c r="Q48" s="3" t="s">
        <v>173</v>
      </c>
      <c r="R48" s="4">
        <v>45916</v>
      </c>
      <c r="S48" s="3" t="s">
        <v>37</v>
      </c>
      <c r="T48" s="3" t="s">
        <v>38</v>
      </c>
      <c r="U48" s="3" t="s">
        <v>39</v>
      </c>
      <c r="V48" s="5">
        <v>2656.25</v>
      </c>
      <c r="W48" s="5">
        <v>1341.41</v>
      </c>
      <c r="X48" s="3">
        <v>920.39</v>
      </c>
      <c r="Y48" s="3">
        <v>394.45</v>
      </c>
    </row>
    <row r="49" spans="1:25" ht="41.5" hidden="1" x14ac:dyDescent="0.35">
      <c r="A49" s="3" t="s">
        <v>26</v>
      </c>
      <c r="B49" s="3" t="s">
        <v>27</v>
      </c>
      <c r="C49" s="3" t="s">
        <v>28</v>
      </c>
      <c r="D49" s="3" t="s">
        <v>107</v>
      </c>
      <c r="E49" s="3" t="s">
        <v>176</v>
      </c>
      <c r="F49" s="3" t="s">
        <v>71</v>
      </c>
      <c r="G49" s="3" t="s">
        <v>177</v>
      </c>
      <c r="H49" s="3" t="s">
        <v>72</v>
      </c>
      <c r="I49" s="3">
        <v>2024</v>
      </c>
      <c r="J49" s="3" t="str">
        <f>CONCATENATE("44810731099")</f>
        <v>44810731099</v>
      </c>
      <c r="K49" s="3" t="s">
        <v>33</v>
      </c>
      <c r="L49" s="3" t="str">
        <f t="shared" si="0"/>
        <v/>
      </c>
      <c r="M49" s="3" t="str">
        <f t="shared" si="2"/>
        <v>SRA01</v>
      </c>
      <c r="N49" s="3" t="str">
        <f>CONCATENATE("LEOFNC78D11C983N")</f>
        <v>LEOFNC78D11C983N</v>
      </c>
      <c r="O49" s="3" t="s">
        <v>178</v>
      </c>
      <c r="P49" s="3" t="s">
        <v>35</v>
      </c>
      <c r="Q49" s="3" t="s">
        <v>173</v>
      </c>
      <c r="R49" s="4">
        <v>45916</v>
      </c>
      <c r="S49" s="3" t="s">
        <v>37</v>
      </c>
      <c r="T49" s="3" t="s">
        <v>38</v>
      </c>
      <c r="U49" s="3" t="s">
        <v>39</v>
      </c>
      <c r="V49" s="5">
        <v>8467.83</v>
      </c>
      <c r="W49" s="5">
        <v>4276.25</v>
      </c>
      <c r="X49" s="5">
        <v>2934.1</v>
      </c>
      <c r="Y49" s="5">
        <v>1257.48</v>
      </c>
    </row>
    <row r="50" spans="1:25" ht="41.5" hidden="1" x14ac:dyDescent="0.35">
      <c r="A50" s="3" t="s">
        <v>26</v>
      </c>
      <c r="B50" s="3" t="s">
        <v>27</v>
      </c>
      <c r="C50" s="3" t="s">
        <v>28</v>
      </c>
      <c r="D50" s="3" t="s">
        <v>107</v>
      </c>
      <c r="E50" s="3" t="s">
        <v>176</v>
      </c>
      <c r="F50" s="3" t="s">
        <v>115</v>
      </c>
      <c r="G50" s="3" t="s">
        <v>176</v>
      </c>
      <c r="H50" s="3" t="s">
        <v>72</v>
      </c>
      <c r="I50" s="3">
        <v>2024</v>
      </c>
      <c r="J50" s="3" t="str">
        <f>CONCATENATE("44810920478")</f>
        <v>44810920478</v>
      </c>
      <c r="K50" s="3" t="s">
        <v>33</v>
      </c>
      <c r="L50" s="3" t="str">
        <f t="shared" si="0"/>
        <v/>
      </c>
      <c r="M50" s="3" t="str">
        <f t="shared" si="2"/>
        <v>SRA01</v>
      </c>
      <c r="N50" s="3" t="str">
        <f>CONCATENATE("LRSFNC72L20A285I")</f>
        <v>LRSFNC72L20A285I</v>
      </c>
      <c r="O50" s="3" t="s">
        <v>179</v>
      </c>
      <c r="P50" s="3" t="s">
        <v>35</v>
      </c>
      <c r="Q50" s="3" t="s">
        <v>173</v>
      </c>
      <c r="R50" s="4">
        <v>45916</v>
      </c>
      <c r="S50" s="3" t="s">
        <v>37</v>
      </c>
      <c r="T50" s="3" t="s">
        <v>38</v>
      </c>
      <c r="U50" s="3" t="s">
        <v>39</v>
      </c>
      <c r="V50" s="5">
        <v>10450.75</v>
      </c>
      <c r="W50" s="5">
        <v>5277.63</v>
      </c>
      <c r="X50" s="5">
        <v>3621.18</v>
      </c>
      <c r="Y50" s="5">
        <v>1551.94</v>
      </c>
    </row>
    <row r="51" spans="1:25" ht="41.5" hidden="1" x14ac:dyDescent="0.35">
      <c r="A51" s="3" t="s">
        <v>26</v>
      </c>
      <c r="B51" s="3" t="s">
        <v>27</v>
      </c>
      <c r="C51" s="3" t="s">
        <v>28</v>
      </c>
      <c r="D51" s="3" t="s">
        <v>180</v>
      </c>
      <c r="E51" s="3" t="s">
        <v>181</v>
      </c>
      <c r="F51" s="3" t="s">
        <v>85</v>
      </c>
      <c r="G51" s="3" t="s">
        <v>181</v>
      </c>
      <c r="H51" s="3" t="s">
        <v>32</v>
      </c>
      <c r="I51" s="3">
        <v>2024</v>
      </c>
      <c r="J51" s="3" t="str">
        <f>CONCATENATE("44811163854")</f>
        <v>44811163854</v>
      </c>
      <c r="K51" s="3" t="s">
        <v>33</v>
      </c>
      <c r="L51" s="3" t="str">
        <f t="shared" si="0"/>
        <v/>
      </c>
      <c r="M51" s="3" t="str">
        <f t="shared" si="2"/>
        <v>SRA01</v>
      </c>
      <c r="N51" s="3" t="str">
        <f>CONCATENATE("MRRGPP81R12C514W")</f>
        <v>MRRGPP81R12C514W</v>
      </c>
      <c r="O51" s="3" t="s">
        <v>182</v>
      </c>
      <c r="P51" s="3" t="s">
        <v>35</v>
      </c>
      <c r="Q51" s="3" t="s">
        <v>173</v>
      </c>
      <c r="R51" s="4">
        <v>45916</v>
      </c>
      <c r="S51" s="3" t="s">
        <v>37</v>
      </c>
      <c r="T51" s="3" t="s">
        <v>38</v>
      </c>
      <c r="U51" s="3" t="s">
        <v>39</v>
      </c>
      <c r="V51" s="5">
        <v>2736.1</v>
      </c>
      <c r="W51" s="5">
        <v>1381.73</v>
      </c>
      <c r="X51" s="3">
        <v>948.06</v>
      </c>
      <c r="Y51" s="3">
        <v>406.31</v>
      </c>
    </row>
    <row r="52" spans="1:25" ht="25.5" hidden="1" x14ac:dyDescent="0.35">
      <c r="A52" s="3" t="s">
        <v>26</v>
      </c>
      <c r="B52" s="3" t="s">
        <v>27</v>
      </c>
      <c r="C52" s="3" t="s">
        <v>28</v>
      </c>
      <c r="D52" s="3" t="s">
        <v>41</v>
      </c>
      <c r="E52" s="3" t="s">
        <v>183</v>
      </c>
      <c r="F52" s="3" t="s">
        <v>43</v>
      </c>
      <c r="G52" s="3" t="s">
        <v>183</v>
      </c>
      <c r="H52" s="3" t="s">
        <v>72</v>
      </c>
      <c r="I52" s="3">
        <v>2024</v>
      </c>
      <c r="J52" s="3" t="str">
        <f>CONCATENATE("44811086246")</f>
        <v>44811086246</v>
      </c>
      <c r="K52" s="3" t="s">
        <v>33</v>
      </c>
      <c r="L52" s="3" t="str">
        <f t="shared" si="0"/>
        <v/>
      </c>
      <c r="M52" s="3" t="str">
        <f t="shared" si="2"/>
        <v>SRA01</v>
      </c>
      <c r="N52" s="3" t="str">
        <f>CONCATENATE("08186220722")</f>
        <v>08186220722</v>
      </c>
      <c r="O52" s="3" t="s">
        <v>184</v>
      </c>
      <c r="P52" s="3" t="s">
        <v>35</v>
      </c>
      <c r="Q52" s="3" t="s">
        <v>173</v>
      </c>
      <c r="R52" s="4">
        <v>45916</v>
      </c>
      <c r="S52" s="3" t="s">
        <v>37</v>
      </c>
      <c r="T52" s="3" t="s">
        <v>38</v>
      </c>
      <c r="U52" s="3" t="s">
        <v>39</v>
      </c>
      <c r="V52" s="5">
        <v>6252.83</v>
      </c>
      <c r="W52" s="5">
        <v>3157.68</v>
      </c>
      <c r="X52" s="5">
        <v>2166.61</v>
      </c>
      <c r="Y52" s="3">
        <v>928.54</v>
      </c>
    </row>
    <row r="53" spans="1:25" ht="49.5" hidden="1" x14ac:dyDescent="0.35">
      <c r="A53" s="3" t="s">
        <v>26</v>
      </c>
      <c r="B53" s="3" t="s">
        <v>27</v>
      </c>
      <c r="C53" s="3" t="s">
        <v>28</v>
      </c>
      <c r="D53" s="3" t="s">
        <v>75</v>
      </c>
      <c r="E53" s="3" t="s">
        <v>185</v>
      </c>
      <c r="F53" s="3" t="s">
        <v>77</v>
      </c>
      <c r="G53" s="3" t="s">
        <v>185</v>
      </c>
      <c r="H53" s="3" t="s">
        <v>72</v>
      </c>
      <c r="I53" s="3">
        <v>2024</v>
      </c>
      <c r="J53" s="3" t="str">
        <f>CONCATENATE("44811006665")</f>
        <v>44811006665</v>
      </c>
      <c r="K53" s="3" t="s">
        <v>33</v>
      </c>
      <c r="L53" s="3" t="str">
        <f t="shared" si="0"/>
        <v/>
      </c>
      <c r="M53" s="3" t="str">
        <f t="shared" si="2"/>
        <v>SRA01</v>
      </c>
      <c r="N53" s="3" t="str">
        <f>CONCATENATE("PVNMRA65D44H643H")</f>
        <v>PVNMRA65D44H643H</v>
      </c>
      <c r="O53" s="3" t="s">
        <v>186</v>
      </c>
      <c r="P53" s="3" t="s">
        <v>35</v>
      </c>
      <c r="Q53" s="3" t="s">
        <v>173</v>
      </c>
      <c r="R53" s="4">
        <v>45916</v>
      </c>
      <c r="S53" s="3" t="s">
        <v>37</v>
      </c>
      <c r="T53" s="3" t="s">
        <v>38</v>
      </c>
      <c r="U53" s="3" t="s">
        <v>39</v>
      </c>
      <c r="V53" s="5">
        <v>4748.67</v>
      </c>
      <c r="W53" s="5">
        <v>2398.08</v>
      </c>
      <c r="X53" s="5">
        <v>1645.41</v>
      </c>
      <c r="Y53" s="3">
        <v>705.18</v>
      </c>
    </row>
    <row r="54" spans="1:25" ht="41.5" hidden="1" x14ac:dyDescent="0.35">
      <c r="A54" s="3" t="s">
        <v>26</v>
      </c>
      <c r="B54" s="3" t="s">
        <v>27</v>
      </c>
      <c r="C54" s="3" t="s">
        <v>28</v>
      </c>
      <c r="D54" s="3" t="s">
        <v>29</v>
      </c>
      <c r="E54" s="3" t="s">
        <v>30</v>
      </c>
      <c r="F54" s="3" t="s">
        <v>31</v>
      </c>
      <c r="G54" s="3" t="s">
        <v>30</v>
      </c>
      <c r="H54" s="3" t="s">
        <v>72</v>
      </c>
      <c r="I54" s="3">
        <v>2024</v>
      </c>
      <c r="J54" s="3" t="str">
        <f>CONCATENATE("44810973865")</f>
        <v>44810973865</v>
      </c>
      <c r="K54" s="3" t="s">
        <v>33</v>
      </c>
      <c r="L54" s="3" t="str">
        <f t="shared" si="0"/>
        <v/>
      </c>
      <c r="M54" s="3" t="str">
        <f t="shared" si="2"/>
        <v>SRA01</v>
      </c>
      <c r="N54" s="3" t="str">
        <f>CONCATENATE("RCCFNC78E12A669U")</f>
        <v>RCCFNC78E12A669U</v>
      </c>
      <c r="O54" s="3" t="s">
        <v>187</v>
      </c>
      <c r="P54" s="3" t="s">
        <v>35</v>
      </c>
      <c r="Q54" s="3" t="s">
        <v>173</v>
      </c>
      <c r="R54" s="4">
        <v>45916</v>
      </c>
      <c r="S54" s="3" t="s">
        <v>37</v>
      </c>
      <c r="T54" s="3" t="s">
        <v>38</v>
      </c>
      <c r="U54" s="3" t="s">
        <v>39</v>
      </c>
      <c r="V54" s="5">
        <v>3280.09</v>
      </c>
      <c r="W54" s="5">
        <v>1656.45</v>
      </c>
      <c r="X54" s="5">
        <v>1136.55</v>
      </c>
      <c r="Y54" s="3">
        <v>487.09</v>
      </c>
    </row>
    <row r="55" spans="1:25" ht="41.5" hidden="1" x14ac:dyDescent="0.35">
      <c r="A55" s="3" t="s">
        <v>26</v>
      </c>
      <c r="B55" s="3" t="s">
        <v>27</v>
      </c>
      <c r="C55" s="3" t="s">
        <v>28</v>
      </c>
      <c r="D55" s="3" t="s">
        <v>69</v>
      </c>
      <c r="E55" s="3" t="s">
        <v>70</v>
      </c>
      <c r="F55" s="3" t="s">
        <v>71</v>
      </c>
      <c r="G55" s="3" t="s">
        <v>70</v>
      </c>
      <c r="H55" s="3" t="s">
        <v>72</v>
      </c>
      <c r="I55" s="3">
        <v>2024</v>
      </c>
      <c r="J55" s="3" t="str">
        <f>CONCATENATE("44811214277")</f>
        <v>44811214277</v>
      </c>
      <c r="K55" s="3" t="s">
        <v>33</v>
      </c>
      <c r="L55" s="3" t="str">
        <f t="shared" si="0"/>
        <v/>
      </c>
      <c r="M55" s="3" t="str">
        <f t="shared" si="2"/>
        <v>SRA01</v>
      </c>
      <c r="N55" s="3" t="str">
        <f>CONCATENATE("SFRPQL67S27A669W")</f>
        <v>SFRPQL67S27A669W</v>
      </c>
      <c r="O55" s="3" t="s">
        <v>188</v>
      </c>
      <c r="P55" s="3" t="s">
        <v>35</v>
      </c>
      <c r="Q55" s="3" t="s">
        <v>173</v>
      </c>
      <c r="R55" s="4">
        <v>45916</v>
      </c>
      <c r="S55" s="3" t="s">
        <v>37</v>
      </c>
      <c r="T55" s="3" t="s">
        <v>38</v>
      </c>
      <c r="U55" s="3" t="s">
        <v>39</v>
      </c>
      <c r="V55" s="5">
        <v>10462.17</v>
      </c>
      <c r="W55" s="5">
        <v>5283.4</v>
      </c>
      <c r="X55" s="5">
        <v>3625.14</v>
      </c>
      <c r="Y55" s="5">
        <v>1553.63</v>
      </c>
    </row>
    <row r="56" spans="1:25" ht="41.5" hidden="1" x14ac:dyDescent="0.35">
      <c r="A56" s="3" t="s">
        <v>26</v>
      </c>
      <c r="B56" s="3" t="s">
        <v>27</v>
      </c>
      <c r="C56" s="3" t="s">
        <v>90</v>
      </c>
      <c r="D56" s="3" t="s">
        <v>51</v>
      </c>
      <c r="E56" s="3" t="s">
        <v>105</v>
      </c>
      <c r="F56" s="3" t="s">
        <v>51</v>
      </c>
      <c r="G56" s="3" t="s">
        <v>105</v>
      </c>
      <c r="H56" s="3" t="s">
        <v>96</v>
      </c>
      <c r="I56" s="3">
        <v>2024</v>
      </c>
      <c r="J56" s="3" t="str">
        <f>CONCATENATE("44811261377")</f>
        <v>44811261377</v>
      </c>
      <c r="K56" s="3" t="s">
        <v>33</v>
      </c>
      <c r="L56" s="3" t="str">
        <f t="shared" si="0"/>
        <v/>
      </c>
      <c r="M56" s="3" t="str">
        <f>CONCATENATE("SRA30")</f>
        <v>SRA30</v>
      </c>
      <c r="N56" s="3" t="str">
        <f>CONCATENATE("BRRSDR52H58F184P")</f>
        <v>BRRSDR52H58F184P</v>
      </c>
      <c r="O56" s="3" t="s">
        <v>189</v>
      </c>
      <c r="P56" s="3" t="s">
        <v>35</v>
      </c>
      <c r="Q56" s="3" t="s">
        <v>98</v>
      </c>
      <c r="R56" s="4">
        <v>45926</v>
      </c>
      <c r="S56" s="3" t="s">
        <v>37</v>
      </c>
      <c r="T56" s="3" t="s">
        <v>38</v>
      </c>
      <c r="U56" s="3" t="s">
        <v>39</v>
      </c>
      <c r="V56" s="5">
        <v>3850.95</v>
      </c>
      <c r="W56" s="5">
        <v>1944.73</v>
      </c>
      <c r="X56" s="5">
        <v>1334.35</v>
      </c>
      <c r="Y56" s="3">
        <v>571.87</v>
      </c>
    </row>
    <row r="57" spans="1:25" ht="49.5" hidden="1" x14ac:dyDescent="0.35">
      <c r="A57" s="3" t="s">
        <v>26</v>
      </c>
      <c r="B57" s="3" t="s">
        <v>27</v>
      </c>
      <c r="C57" s="3" t="s">
        <v>28</v>
      </c>
      <c r="D57" s="3" t="s">
        <v>29</v>
      </c>
      <c r="E57" s="3" t="s">
        <v>190</v>
      </c>
      <c r="F57" s="3" t="s">
        <v>31</v>
      </c>
      <c r="G57" s="3" t="s">
        <v>190</v>
      </c>
      <c r="H57" s="3" t="s">
        <v>32</v>
      </c>
      <c r="I57" s="3">
        <v>2024</v>
      </c>
      <c r="J57" s="3" t="str">
        <f>CONCATENATE("44811111010")</f>
        <v>44811111010</v>
      </c>
      <c r="K57" s="3" t="s">
        <v>33</v>
      </c>
      <c r="L57" s="3" t="str">
        <f t="shared" si="0"/>
        <v/>
      </c>
      <c r="M57" s="3" t="str">
        <f t="shared" ref="M57:M65" si="3">CONCATENATE("SRA03")</f>
        <v>SRA03</v>
      </c>
      <c r="N57" s="3" t="str">
        <f>CONCATENATE("CPNMDN68E02D269O")</f>
        <v>CPNMDN68E02D269O</v>
      </c>
      <c r="O57" s="3" t="s">
        <v>191</v>
      </c>
      <c r="P57" s="3" t="s">
        <v>35</v>
      </c>
      <c r="Q57" s="3" t="s">
        <v>192</v>
      </c>
      <c r="R57" s="4">
        <v>45916</v>
      </c>
      <c r="S57" s="3" t="s">
        <v>37</v>
      </c>
      <c r="T57" s="3" t="s">
        <v>38</v>
      </c>
      <c r="U57" s="3" t="s">
        <v>39</v>
      </c>
      <c r="V57" s="5">
        <v>9769.7000000000007</v>
      </c>
      <c r="W57" s="5">
        <v>4933.7</v>
      </c>
      <c r="X57" s="5">
        <v>3385.2</v>
      </c>
      <c r="Y57" s="5">
        <v>1450.8</v>
      </c>
    </row>
    <row r="58" spans="1:25" ht="41.5" hidden="1" x14ac:dyDescent="0.35">
      <c r="A58" s="3" t="s">
        <v>26</v>
      </c>
      <c r="B58" s="3" t="s">
        <v>27</v>
      </c>
      <c r="C58" s="3" t="s">
        <v>28</v>
      </c>
      <c r="D58" s="3" t="s">
        <v>41</v>
      </c>
      <c r="E58" s="3" t="s">
        <v>183</v>
      </c>
      <c r="F58" s="3" t="s">
        <v>101</v>
      </c>
      <c r="G58" s="3" t="s">
        <v>193</v>
      </c>
      <c r="H58" s="3" t="s">
        <v>72</v>
      </c>
      <c r="I58" s="3">
        <v>2024</v>
      </c>
      <c r="J58" s="3" t="str">
        <f>CONCATENATE("44810880425")</f>
        <v>44810880425</v>
      </c>
      <c r="K58" s="3" t="s">
        <v>33</v>
      </c>
      <c r="L58" s="3" t="str">
        <f t="shared" si="0"/>
        <v/>
      </c>
      <c r="M58" s="3" t="str">
        <f t="shared" si="3"/>
        <v>SRA03</v>
      </c>
      <c r="N58" s="3" t="str">
        <f>CONCATENATE("CSLCRN67S67A225X")</f>
        <v>CSLCRN67S67A225X</v>
      </c>
      <c r="O58" s="3" t="s">
        <v>194</v>
      </c>
      <c r="P58" s="3" t="s">
        <v>35</v>
      </c>
      <c r="Q58" s="3" t="s">
        <v>192</v>
      </c>
      <c r="R58" s="4">
        <v>45916</v>
      </c>
      <c r="S58" s="3" t="s">
        <v>37</v>
      </c>
      <c r="T58" s="3" t="s">
        <v>38</v>
      </c>
      <c r="U58" s="3" t="s">
        <v>39</v>
      </c>
      <c r="V58" s="3">
        <v>3</v>
      </c>
      <c r="W58" s="3">
        <v>1.52</v>
      </c>
      <c r="X58" s="3">
        <v>1.04</v>
      </c>
      <c r="Y58" s="3">
        <v>0.44</v>
      </c>
    </row>
    <row r="59" spans="1:25" ht="41.5" hidden="1" x14ac:dyDescent="0.35">
      <c r="A59" s="3" t="s">
        <v>26</v>
      </c>
      <c r="B59" s="3" t="s">
        <v>27</v>
      </c>
      <c r="C59" s="3" t="s">
        <v>28</v>
      </c>
      <c r="D59" s="3" t="s">
        <v>41</v>
      </c>
      <c r="E59" s="3" t="s">
        <v>195</v>
      </c>
      <c r="F59" s="3" t="s">
        <v>43</v>
      </c>
      <c r="G59" s="3" t="s">
        <v>195</v>
      </c>
      <c r="H59" s="3" t="s">
        <v>72</v>
      </c>
      <c r="I59" s="3">
        <v>2024</v>
      </c>
      <c r="J59" s="3" t="str">
        <f>CONCATENATE("44811094190")</f>
        <v>44811094190</v>
      </c>
      <c r="K59" s="3" t="s">
        <v>33</v>
      </c>
      <c r="L59" s="3" t="str">
        <f t="shared" si="0"/>
        <v/>
      </c>
      <c r="M59" s="3" t="str">
        <f t="shared" si="3"/>
        <v>SRA03</v>
      </c>
      <c r="N59" s="3" t="str">
        <f>CONCATENATE("DFNFNC50T66A225X")</f>
        <v>DFNFNC50T66A225X</v>
      </c>
      <c r="O59" s="3" t="s">
        <v>196</v>
      </c>
      <c r="P59" s="3" t="s">
        <v>35</v>
      </c>
      <c r="Q59" s="3" t="s">
        <v>192</v>
      </c>
      <c r="R59" s="4">
        <v>45916</v>
      </c>
      <c r="S59" s="3" t="s">
        <v>37</v>
      </c>
      <c r="T59" s="3" t="s">
        <v>38</v>
      </c>
      <c r="U59" s="3" t="s">
        <v>39</v>
      </c>
      <c r="V59" s="5">
        <v>11238.49</v>
      </c>
      <c r="W59" s="5">
        <v>5675.44</v>
      </c>
      <c r="X59" s="5">
        <v>3894.14</v>
      </c>
      <c r="Y59" s="5">
        <v>1668.91</v>
      </c>
    </row>
    <row r="60" spans="1:25" ht="41.5" hidden="1" x14ac:dyDescent="0.35">
      <c r="A60" s="3" t="s">
        <v>26</v>
      </c>
      <c r="B60" s="3" t="s">
        <v>27</v>
      </c>
      <c r="C60" s="3" t="s">
        <v>28</v>
      </c>
      <c r="D60" s="3" t="s">
        <v>41</v>
      </c>
      <c r="E60" s="3" t="s">
        <v>197</v>
      </c>
      <c r="F60" s="3" t="s">
        <v>43</v>
      </c>
      <c r="G60" s="3" t="s">
        <v>197</v>
      </c>
      <c r="H60" s="3" t="s">
        <v>32</v>
      </c>
      <c r="I60" s="3">
        <v>2024</v>
      </c>
      <c r="J60" s="3" t="str">
        <f>CONCATENATE("44810268803")</f>
        <v>44810268803</v>
      </c>
      <c r="K60" s="3" t="s">
        <v>33</v>
      </c>
      <c r="L60" s="3" t="str">
        <f t="shared" si="0"/>
        <v/>
      </c>
      <c r="M60" s="3" t="str">
        <f t="shared" si="3"/>
        <v>SRA03</v>
      </c>
      <c r="N60" s="3" t="str">
        <f>CONCATENATE("MSTNLN72L63D643P")</f>
        <v>MSTNLN72L63D643P</v>
      </c>
      <c r="O60" s="3" t="s">
        <v>198</v>
      </c>
      <c r="P60" s="3" t="s">
        <v>35</v>
      </c>
      <c r="Q60" s="3" t="s">
        <v>192</v>
      </c>
      <c r="R60" s="4">
        <v>45916</v>
      </c>
      <c r="S60" s="3" t="s">
        <v>37</v>
      </c>
      <c r="T60" s="3" t="s">
        <v>38</v>
      </c>
      <c r="U60" s="3" t="s">
        <v>39</v>
      </c>
      <c r="V60" s="5">
        <v>2502.5100000000002</v>
      </c>
      <c r="W60" s="5">
        <v>1263.77</v>
      </c>
      <c r="X60" s="3">
        <v>867.12</v>
      </c>
      <c r="Y60" s="3">
        <v>371.62</v>
      </c>
    </row>
    <row r="61" spans="1:25" ht="41.5" hidden="1" x14ac:dyDescent="0.35">
      <c r="A61" s="3" t="s">
        <v>26</v>
      </c>
      <c r="B61" s="3" t="s">
        <v>27</v>
      </c>
      <c r="C61" s="3" t="s">
        <v>28</v>
      </c>
      <c r="D61" s="3" t="s">
        <v>29</v>
      </c>
      <c r="E61" s="3" t="s">
        <v>199</v>
      </c>
      <c r="F61" s="3" t="s">
        <v>31</v>
      </c>
      <c r="G61" s="3" t="s">
        <v>199</v>
      </c>
      <c r="H61" s="3" t="s">
        <v>72</v>
      </c>
      <c r="I61" s="3">
        <v>2024</v>
      </c>
      <c r="J61" s="3" t="str">
        <f>CONCATENATE("44810755544")</f>
        <v>44810755544</v>
      </c>
      <c r="K61" s="3" t="s">
        <v>33</v>
      </c>
      <c r="L61" s="3" t="str">
        <f t="shared" si="0"/>
        <v/>
      </c>
      <c r="M61" s="3" t="str">
        <f t="shared" si="3"/>
        <v>SRA03</v>
      </c>
      <c r="N61" s="3" t="str">
        <f>CONCATENATE("PLLSVT69A29E155F")</f>
        <v>PLLSVT69A29E155F</v>
      </c>
      <c r="O61" s="3" t="s">
        <v>200</v>
      </c>
      <c r="P61" s="3" t="s">
        <v>35</v>
      </c>
      <c r="Q61" s="3" t="s">
        <v>192</v>
      </c>
      <c r="R61" s="4">
        <v>45916</v>
      </c>
      <c r="S61" s="3" t="s">
        <v>37</v>
      </c>
      <c r="T61" s="3" t="s">
        <v>38</v>
      </c>
      <c r="U61" s="3" t="s">
        <v>39</v>
      </c>
      <c r="V61" s="5">
        <v>15908.96</v>
      </c>
      <c r="W61" s="5">
        <v>8034.02</v>
      </c>
      <c r="X61" s="5">
        <v>5512.45</v>
      </c>
      <c r="Y61" s="5">
        <v>2362.4899999999998</v>
      </c>
    </row>
    <row r="62" spans="1:25" ht="41.5" hidden="1" x14ac:dyDescent="0.35">
      <c r="A62" s="3" t="s">
        <v>26</v>
      </c>
      <c r="B62" s="3" t="s">
        <v>27</v>
      </c>
      <c r="C62" s="3" t="s">
        <v>28</v>
      </c>
      <c r="D62" s="3" t="s">
        <v>61</v>
      </c>
      <c r="E62" s="3" t="s">
        <v>201</v>
      </c>
      <c r="F62" s="3" t="s">
        <v>63</v>
      </c>
      <c r="G62" s="3" t="s">
        <v>201</v>
      </c>
      <c r="H62" s="3" t="s">
        <v>72</v>
      </c>
      <c r="I62" s="3">
        <v>2024</v>
      </c>
      <c r="J62" s="3" t="str">
        <f>CONCATENATE("44811258548")</f>
        <v>44811258548</v>
      </c>
      <c r="K62" s="3" t="s">
        <v>33</v>
      </c>
      <c r="L62" s="3" t="str">
        <f t="shared" si="0"/>
        <v/>
      </c>
      <c r="M62" s="3" t="str">
        <f t="shared" si="3"/>
        <v>SRA03</v>
      </c>
      <c r="N62" s="3" t="str">
        <f>CONCATENATE("PNTVMR85L44I330Q")</f>
        <v>PNTVMR85L44I330Q</v>
      </c>
      <c r="O62" s="3" t="s">
        <v>202</v>
      </c>
      <c r="P62" s="3" t="s">
        <v>35</v>
      </c>
      <c r="Q62" s="3" t="s">
        <v>192</v>
      </c>
      <c r="R62" s="4">
        <v>45916</v>
      </c>
      <c r="S62" s="3" t="s">
        <v>37</v>
      </c>
      <c r="T62" s="3" t="s">
        <v>38</v>
      </c>
      <c r="U62" s="3" t="s">
        <v>39</v>
      </c>
      <c r="V62" s="5">
        <v>4028.15</v>
      </c>
      <c r="W62" s="5">
        <v>2034.22</v>
      </c>
      <c r="X62" s="5">
        <v>1395.75</v>
      </c>
      <c r="Y62" s="3">
        <v>598.17999999999995</v>
      </c>
    </row>
    <row r="63" spans="1:25" ht="41.5" hidden="1" x14ac:dyDescent="0.35">
      <c r="A63" s="3" t="s">
        <v>26</v>
      </c>
      <c r="B63" s="3" t="s">
        <v>27</v>
      </c>
      <c r="C63" s="3" t="s">
        <v>28</v>
      </c>
      <c r="D63" s="3" t="s">
        <v>29</v>
      </c>
      <c r="E63" s="3" t="s">
        <v>203</v>
      </c>
      <c r="F63" s="3" t="s">
        <v>31</v>
      </c>
      <c r="G63" s="3" t="s">
        <v>203</v>
      </c>
      <c r="H63" s="3" t="s">
        <v>32</v>
      </c>
      <c r="I63" s="3">
        <v>2024</v>
      </c>
      <c r="J63" s="3" t="str">
        <f>CONCATENATE("44811920238")</f>
        <v>44811920238</v>
      </c>
      <c r="K63" s="3" t="s">
        <v>33</v>
      </c>
      <c r="L63" s="3" t="str">
        <f t="shared" si="0"/>
        <v/>
      </c>
      <c r="M63" s="3" t="str">
        <f t="shared" si="3"/>
        <v>SRA03</v>
      </c>
      <c r="N63" s="3" t="str">
        <f>CONCATENATE("FRTGCR51B19E885W")</f>
        <v>FRTGCR51B19E885W</v>
      </c>
      <c r="O63" s="3" t="s">
        <v>204</v>
      </c>
      <c r="P63" s="3" t="s">
        <v>35</v>
      </c>
      <c r="Q63" s="3" t="s">
        <v>192</v>
      </c>
      <c r="R63" s="4">
        <v>45916</v>
      </c>
      <c r="S63" s="3" t="s">
        <v>37</v>
      </c>
      <c r="T63" s="3" t="s">
        <v>38</v>
      </c>
      <c r="U63" s="3" t="s">
        <v>39</v>
      </c>
      <c r="V63" s="5">
        <v>13623.13</v>
      </c>
      <c r="W63" s="5">
        <v>6879.68</v>
      </c>
      <c r="X63" s="5">
        <v>4720.41</v>
      </c>
      <c r="Y63" s="5">
        <v>2023.04</v>
      </c>
    </row>
    <row r="64" spans="1:25" ht="41.5" hidden="1" x14ac:dyDescent="0.35">
      <c r="A64" s="3" t="s">
        <v>26</v>
      </c>
      <c r="B64" s="3" t="s">
        <v>27</v>
      </c>
      <c r="C64" s="3" t="s">
        <v>28</v>
      </c>
      <c r="D64" s="3" t="s">
        <v>29</v>
      </c>
      <c r="E64" s="3" t="s">
        <v>190</v>
      </c>
      <c r="F64" s="3" t="s">
        <v>31</v>
      </c>
      <c r="G64" s="3" t="s">
        <v>190</v>
      </c>
      <c r="H64" s="3" t="s">
        <v>32</v>
      </c>
      <c r="I64" s="3">
        <v>2024</v>
      </c>
      <c r="J64" s="3" t="str">
        <f>CONCATENATE("44811273406")</f>
        <v>44811273406</v>
      </c>
      <c r="K64" s="3" t="s">
        <v>33</v>
      </c>
      <c r="L64" s="3" t="str">
        <f t="shared" si="0"/>
        <v/>
      </c>
      <c r="M64" s="3" t="str">
        <f t="shared" si="3"/>
        <v>SRA03</v>
      </c>
      <c r="N64" s="3" t="str">
        <f>CONCATENATE("NTLLSN89R71D643V")</f>
        <v>NTLLSN89R71D643V</v>
      </c>
      <c r="O64" s="3" t="s">
        <v>205</v>
      </c>
      <c r="P64" s="3" t="s">
        <v>35</v>
      </c>
      <c r="Q64" s="3" t="s">
        <v>192</v>
      </c>
      <c r="R64" s="4">
        <v>45916</v>
      </c>
      <c r="S64" s="3" t="s">
        <v>37</v>
      </c>
      <c r="T64" s="3" t="s">
        <v>38</v>
      </c>
      <c r="U64" s="3" t="s">
        <v>39</v>
      </c>
      <c r="V64" s="3">
        <v>257.08999999999997</v>
      </c>
      <c r="W64" s="3">
        <v>129.83000000000001</v>
      </c>
      <c r="X64" s="3">
        <v>89.08</v>
      </c>
      <c r="Y64" s="3">
        <v>38.18</v>
      </c>
    </row>
    <row r="65" spans="1:25" ht="41.5" hidden="1" x14ac:dyDescent="0.35">
      <c r="A65" s="3" t="s">
        <v>26</v>
      </c>
      <c r="B65" s="3" t="s">
        <v>27</v>
      </c>
      <c r="C65" s="3" t="s">
        <v>28</v>
      </c>
      <c r="D65" s="3" t="s">
        <v>41</v>
      </c>
      <c r="E65" s="3" t="s">
        <v>195</v>
      </c>
      <c r="F65" s="3" t="s">
        <v>43</v>
      </c>
      <c r="G65" s="3" t="s">
        <v>195</v>
      </c>
      <c r="H65" s="3" t="s">
        <v>72</v>
      </c>
      <c r="I65" s="3">
        <v>2024</v>
      </c>
      <c r="J65" s="3" t="str">
        <f>CONCATENATE("44810725596")</f>
        <v>44810725596</v>
      </c>
      <c r="K65" s="3" t="s">
        <v>33</v>
      </c>
      <c r="L65" s="3" t="str">
        <f t="shared" si="0"/>
        <v/>
      </c>
      <c r="M65" s="3" t="str">
        <f t="shared" si="3"/>
        <v>SRA03</v>
      </c>
      <c r="N65" s="3" t="str">
        <f>CONCATENATE("TRGMRA67H52A225F")</f>
        <v>TRGMRA67H52A225F</v>
      </c>
      <c r="O65" s="3" t="s">
        <v>206</v>
      </c>
      <c r="P65" s="3" t="s">
        <v>35</v>
      </c>
      <c r="Q65" s="3" t="s">
        <v>192</v>
      </c>
      <c r="R65" s="4">
        <v>45916</v>
      </c>
      <c r="S65" s="3" t="s">
        <v>37</v>
      </c>
      <c r="T65" s="3" t="s">
        <v>38</v>
      </c>
      <c r="U65" s="3" t="s">
        <v>39</v>
      </c>
      <c r="V65" s="5">
        <v>1133.47</v>
      </c>
      <c r="W65" s="3">
        <v>572.4</v>
      </c>
      <c r="X65" s="3">
        <v>392.75</v>
      </c>
      <c r="Y65" s="3">
        <v>168.32</v>
      </c>
    </row>
    <row r="66" spans="1:25" ht="41.5" hidden="1" x14ac:dyDescent="0.35">
      <c r="A66" s="3" t="s">
        <v>26</v>
      </c>
      <c r="B66" s="3" t="s">
        <v>27</v>
      </c>
      <c r="C66" s="3" t="s">
        <v>90</v>
      </c>
      <c r="D66" s="3" t="s">
        <v>61</v>
      </c>
      <c r="E66" s="3" t="s">
        <v>207</v>
      </c>
      <c r="F66" s="3" t="s">
        <v>63</v>
      </c>
      <c r="G66" s="3" t="s">
        <v>207</v>
      </c>
      <c r="H66" s="3" t="s">
        <v>208</v>
      </c>
      <c r="I66" s="3">
        <v>2024</v>
      </c>
      <c r="J66" s="3" t="str">
        <f>CONCATENATE("44820062717")</f>
        <v>44820062717</v>
      </c>
      <c r="K66" s="3" t="s">
        <v>33</v>
      </c>
      <c r="L66" s="3" t="str">
        <f t="shared" si="0"/>
        <v/>
      </c>
      <c r="M66" s="3" t="str">
        <f>CONCATENATE("SRB01")</f>
        <v>SRB01</v>
      </c>
      <c r="N66" s="3" t="str">
        <f>CONCATENATE("GLNNNN37A58C480V")</f>
        <v>GLNNNN37A58C480V</v>
      </c>
      <c r="O66" s="3" t="s">
        <v>209</v>
      </c>
      <c r="P66" s="3" t="s">
        <v>35</v>
      </c>
      <c r="Q66" s="3" t="s">
        <v>210</v>
      </c>
      <c r="R66" s="4">
        <v>45915</v>
      </c>
      <c r="S66" s="3" t="s">
        <v>37</v>
      </c>
      <c r="T66" s="3" t="s">
        <v>38</v>
      </c>
      <c r="U66" s="3" t="s">
        <v>39</v>
      </c>
      <c r="V66" s="5">
        <v>5021.79</v>
      </c>
      <c r="W66" s="5">
        <v>2536</v>
      </c>
      <c r="X66" s="5">
        <v>1740.05</v>
      </c>
      <c r="Y66" s="3">
        <v>745.74</v>
      </c>
    </row>
    <row r="67" spans="1:25" ht="41.5" hidden="1" x14ac:dyDescent="0.35">
      <c r="A67" s="3" t="s">
        <v>26</v>
      </c>
      <c r="B67" s="3" t="s">
        <v>27</v>
      </c>
      <c r="C67" s="3" t="s">
        <v>90</v>
      </c>
      <c r="D67" s="3" t="s">
        <v>61</v>
      </c>
      <c r="E67" s="3" t="s">
        <v>211</v>
      </c>
      <c r="F67" s="3" t="s">
        <v>63</v>
      </c>
      <c r="G67" s="3" t="s">
        <v>211</v>
      </c>
      <c r="H67" s="3" t="s">
        <v>212</v>
      </c>
      <c r="I67" s="3">
        <v>2024</v>
      </c>
      <c r="J67" s="3" t="str">
        <f>CONCATENATE("44820373981")</f>
        <v>44820373981</v>
      </c>
      <c r="K67" s="3" t="s">
        <v>33</v>
      </c>
      <c r="L67" s="3" t="str">
        <f t="shared" si="0"/>
        <v/>
      </c>
      <c r="M67" s="3" t="str">
        <f>CONCATENATE("SRB02")</f>
        <v>SRB02</v>
      </c>
      <c r="N67" s="3" t="str">
        <f>CONCATENATE("NNFBBR83A64B429F")</f>
        <v>NNFBBR83A64B429F</v>
      </c>
      <c r="O67" s="3" t="s">
        <v>213</v>
      </c>
      <c r="P67" s="3" t="s">
        <v>35</v>
      </c>
      <c r="Q67" s="3" t="s">
        <v>214</v>
      </c>
      <c r="R67" s="4">
        <v>45931</v>
      </c>
      <c r="S67" s="3" t="s">
        <v>37</v>
      </c>
      <c r="T67" s="3" t="s">
        <v>38</v>
      </c>
      <c r="U67" s="3" t="s">
        <v>39</v>
      </c>
      <c r="V67" s="5">
        <v>7063.85</v>
      </c>
      <c r="W67" s="5">
        <v>3567.24</v>
      </c>
      <c r="X67" s="5">
        <v>2447.62</v>
      </c>
      <c r="Y67" s="5">
        <v>1048.99</v>
      </c>
    </row>
    <row r="68" spans="1:25" ht="41.5" hidden="1" x14ac:dyDescent="0.35">
      <c r="A68" s="3" t="s">
        <v>26</v>
      </c>
      <c r="B68" s="3" t="s">
        <v>27</v>
      </c>
      <c r="C68" s="3" t="s">
        <v>90</v>
      </c>
      <c r="D68" s="3" t="s">
        <v>215</v>
      </c>
      <c r="E68" s="3" t="s">
        <v>216</v>
      </c>
      <c r="F68" s="3" t="s">
        <v>217</v>
      </c>
      <c r="G68" s="3" t="s">
        <v>216</v>
      </c>
      <c r="H68" s="3" t="s">
        <v>218</v>
      </c>
      <c r="I68" s="3">
        <v>2024</v>
      </c>
      <c r="J68" s="3" t="str">
        <f>CONCATENATE("44820167110")</f>
        <v>44820167110</v>
      </c>
      <c r="K68" s="3" t="s">
        <v>33</v>
      </c>
      <c r="L68" s="3" t="str">
        <f t="shared" ref="L68:L131" si="4">CONCATENATE("")</f>
        <v/>
      </c>
      <c r="M68" s="3" t="str">
        <f>CONCATENATE("SRB01")</f>
        <v>SRB01</v>
      </c>
      <c r="N68" s="3" t="str">
        <f>CONCATENATE("RMLSST44E01L308C")</f>
        <v>RMLSST44E01L308C</v>
      </c>
      <c r="O68" s="3" t="s">
        <v>219</v>
      </c>
      <c r="P68" s="3" t="s">
        <v>35</v>
      </c>
      <c r="Q68" s="3" t="s">
        <v>220</v>
      </c>
      <c r="R68" s="4">
        <v>45931</v>
      </c>
      <c r="S68" s="3" t="s">
        <v>37</v>
      </c>
      <c r="T68" s="3" t="s">
        <v>38</v>
      </c>
      <c r="U68" s="3" t="s">
        <v>39</v>
      </c>
      <c r="V68" s="5">
        <v>4266.93</v>
      </c>
      <c r="W68" s="5">
        <v>2154.8000000000002</v>
      </c>
      <c r="X68" s="5">
        <v>1478.49</v>
      </c>
      <c r="Y68" s="3">
        <v>633.64</v>
      </c>
    </row>
    <row r="69" spans="1:25" ht="25.5" hidden="1" x14ac:dyDescent="0.35">
      <c r="A69" s="3" t="s">
        <v>26</v>
      </c>
      <c r="B69" s="3" t="s">
        <v>27</v>
      </c>
      <c r="C69" s="3" t="s">
        <v>90</v>
      </c>
      <c r="D69" s="3" t="s">
        <v>51</v>
      </c>
      <c r="E69" s="3" t="s">
        <v>221</v>
      </c>
      <c r="F69" s="3" t="s">
        <v>166</v>
      </c>
      <c r="G69" s="3" t="s">
        <v>222</v>
      </c>
      <c r="H69" s="3" t="s">
        <v>218</v>
      </c>
      <c r="I69" s="3">
        <v>2024</v>
      </c>
      <c r="J69" s="3" t="str">
        <f>CONCATENATE("44820264446")</f>
        <v>44820264446</v>
      </c>
      <c r="K69" s="3" t="s">
        <v>33</v>
      </c>
      <c r="L69" s="3" t="str">
        <f t="shared" si="4"/>
        <v/>
      </c>
      <c r="M69" s="3" t="str">
        <f>CONCATENATE("SRB01")</f>
        <v>SRB01</v>
      </c>
      <c r="N69" s="3" t="str">
        <f>CONCATENATE("03298950837")</f>
        <v>03298950837</v>
      </c>
      <c r="O69" s="3" t="s">
        <v>223</v>
      </c>
      <c r="P69" s="3" t="s">
        <v>35</v>
      </c>
      <c r="Q69" s="3" t="s">
        <v>220</v>
      </c>
      <c r="R69" s="4">
        <v>45931</v>
      </c>
      <c r="S69" s="3" t="s">
        <v>37</v>
      </c>
      <c r="T69" s="3" t="s">
        <v>38</v>
      </c>
      <c r="U69" s="3" t="s">
        <v>39</v>
      </c>
      <c r="V69" s="5">
        <v>11408.65</v>
      </c>
      <c r="W69" s="5">
        <v>5761.37</v>
      </c>
      <c r="X69" s="5">
        <v>3953.1</v>
      </c>
      <c r="Y69" s="5">
        <v>1694.18</v>
      </c>
    </row>
    <row r="70" spans="1:25" ht="41.5" hidden="1" x14ac:dyDescent="0.35">
      <c r="A70" s="3" t="s">
        <v>26</v>
      </c>
      <c r="B70" s="3" t="s">
        <v>27</v>
      </c>
      <c r="C70" s="3" t="s">
        <v>90</v>
      </c>
      <c r="D70" s="3" t="s">
        <v>41</v>
      </c>
      <c r="E70" s="3" t="s">
        <v>224</v>
      </c>
      <c r="F70" s="3" t="s">
        <v>43</v>
      </c>
      <c r="G70" s="3" t="s">
        <v>224</v>
      </c>
      <c r="H70" s="3" t="s">
        <v>218</v>
      </c>
      <c r="I70" s="3">
        <v>2024</v>
      </c>
      <c r="J70" s="3" t="str">
        <f>CONCATENATE("44820115374")</f>
        <v>44820115374</v>
      </c>
      <c r="K70" s="3" t="s">
        <v>33</v>
      </c>
      <c r="L70" s="3" t="str">
        <f t="shared" si="4"/>
        <v/>
      </c>
      <c r="M70" s="3" t="str">
        <f>CONCATENATE("SRB01")</f>
        <v>SRB01</v>
      </c>
      <c r="N70" s="3" t="str">
        <f>CONCATENATE("CNNGPP60E14F359E")</f>
        <v>CNNGPP60E14F359E</v>
      </c>
      <c r="O70" s="3" t="s">
        <v>225</v>
      </c>
      <c r="P70" s="3" t="s">
        <v>35</v>
      </c>
      <c r="Q70" s="3" t="s">
        <v>220</v>
      </c>
      <c r="R70" s="4">
        <v>45931</v>
      </c>
      <c r="S70" s="3" t="s">
        <v>37</v>
      </c>
      <c r="T70" s="3" t="s">
        <v>38</v>
      </c>
      <c r="U70" s="3" t="s">
        <v>39</v>
      </c>
      <c r="V70" s="5">
        <v>15688.56</v>
      </c>
      <c r="W70" s="5">
        <v>7922.72</v>
      </c>
      <c r="X70" s="5">
        <v>5436.09</v>
      </c>
      <c r="Y70" s="5">
        <v>2329.75</v>
      </c>
    </row>
    <row r="71" spans="1:25" ht="41.5" hidden="1" x14ac:dyDescent="0.35">
      <c r="A71" s="3" t="s">
        <v>26</v>
      </c>
      <c r="B71" s="3" t="s">
        <v>27</v>
      </c>
      <c r="C71" s="3" t="s">
        <v>90</v>
      </c>
      <c r="D71" s="3" t="s">
        <v>51</v>
      </c>
      <c r="E71" s="3" t="s">
        <v>226</v>
      </c>
      <c r="F71" s="3" t="s">
        <v>51</v>
      </c>
      <c r="G71" s="3" t="s">
        <v>226</v>
      </c>
      <c r="H71" s="3" t="s">
        <v>92</v>
      </c>
      <c r="I71" s="3">
        <v>2024</v>
      </c>
      <c r="J71" s="3" t="str">
        <f>CONCATENATE("44811188075")</f>
        <v>44811188075</v>
      </c>
      <c r="K71" s="3" t="s">
        <v>33</v>
      </c>
      <c r="L71" s="3" t="str">
        <f t="shared" si="4"/>
        <v/>
      </c>
      <c r="M71" s="3" t="str">
        <f t="shared" ref="M71:M96" si="5">CONCATENATE("SRA30")</f>
        <v>SRA30</v>
      </c>
      <c r="N71" s="3" t="str">
        <f>CONCATENATE("CVTGRG66M11F258E")</f>
        <v>CVTGRG66M11F258E</v>
      </c>
      <c r="O71" s="3" t="s">
        <v>227</v>
      </c>
      <c r="P71" s="3" t="s">
        <v>35</v>
      </c>
      <c r="Q71" s="3" t="s">
        <v>94</v>
      </c>
      <c r="R71" s="4">
        <v>45926</v>
      </c>
      <c r="S71" s="3" t="s">
        <v>37</v>
      </c>
      <c r="T71" s="3" t="s">
        <v>38</v>
      </c>
      <c r="U71" s="3" t="s">
        <v>39</v>
      </c>
      <c r="V71" s="5">
        <v>7146.38</v>
      </c>
      <c r="W71" s="5">
        <v>3608.92</v>
      </c>
      <c r="X71" s="5">
        <v>2476.2199999999998</v>
      </c>
      <c r="Y71" s="5">
        <v>1061.24</v>
      </c>
    </row>
    <row r="72" spans="1:25" ht="41.5" hidden="1" x14ac:dyDescent="0.35">
      <c r="A72" s="3" t="s">
        <v>26</v>
      </c>
      <c r="B72" s="3" t="s">
        <v>27</v>
      </c>
      <c r="C72" s="3" t="s">
        <v>90</v>
      </c>
      <c r="D72" s="3" t="s">
        <v>228</v>
      </c>
      <c r="E72" s="3" t="s">
        <v>229</v>
      </c>
      <c r="F72" s="3" t="s">
        <v>230</v>
      </c>
      <c r="G72" s="3" t="s">
        <v>229</v>
      </c>
      <c r="H72" s="3" t="s">
        <v>102</v>
      </c>
      <c r="I72" s="3">
        <v>2024</v>
      </c>
      <c r="J72" s="3" t="str">
        <f>CONCATENATE("44810438364")</f>
        <v>44810438364</v>
      </c>
      <c r="K72" s="3" t="s">
        <v>33</v>
      </c>
      <c r="L72" s="3" t="str">
        <f t="shared" si="4"/>
        <v/>
      </c>
      <c r="M72" s="3" t="str">
        <f t="shared" si="5"/>
        <v>SRA30</v>
      </c>
      <c r="N72" s="3" t="str">
        <f>CONCATENATE("MNTNLT79A62F258X")</f>
        <v>MNTNLT79A62F258X</v>
      </c>
      <c r="O72" s="3" t="s">
        <v>231</v>
      </c>
      <c r="P72" s="3" t="s">
        <v>35</v>
      </c>
      <c r="Q72" s="3" t="s">
        <v>232</v>
      </c>
      <c r="R72" s="4">
        <v>45926</v>
      </c>
      <c r="S72" s="3" t="s">
        <v>37</v>
      </c>
      <c r="T72" s="3" t="s">
        <v>38</v>
      </c>
      <c r="U72" s="3" t="s">
        <v>39</v>
      </c>
      <c r="V72" s="5">
        <v>5067.3</v>
      </c>
      <c r="W72" s="5">
        <v>2558.9899999999998</v>
      </c>
      <c r="X72" s="5">
        <v>1755.82</v>
      </c>
      <c r="Y72" s="3">
        <v>752.49</v>
      </c>
    </row>
    <row r="73" spans="1:25" ht="41.5" hidden="1" x14ac:dyDescent="0.35">
      <c r="A73" s="3" t="s">
        <v>26</v>
      </c>
      <c r="B73" s="3" t="s">
        <v>27</v>
      </c>
      <c r="C73" s="3" t="s">
        <v>90</v>
      </c>
      <c r="D73" s="3" t="s">
        <v>51</v>
      </c>
      <c r="E73" s="3" t="s">
        <v>226</v>
      </c>
      <c r="F73" s="3" t="s">
        <v>51</v>
      </c>
      <c r="G73" s="3" t="s">
        <v>226</v>
      </c>
      <c r="H73" s="3" t="s">
        <v>92</v>
      </c>
      <c r="I73" s="3">
        <v>2024</v>
      </c>
      <c r="J73" s="3" t="str">
        <f>CONCATENATE("44811219912")</f>
        <v>44811219912</v>
      </c>
      <c r="K73" s="3" t="s">
        <v>33</v>
      </c>
      <c r="L73" s="3" t="str">
        <f t="shared" si="4"/>
        <v/>
      </c>
      <c r="M73" s="3" t="str">
        <f t="shared" si="5"/>
        <v>SRA30</v>
      </c>
      <c r="N73" s="3" t="str">
        <f>CONCATENATE("PRAGPP56P25I785Y")</f>
        <v>PRAGPP56P25I785Y</v>
      </c>
      <c r="O73" s="3" t="s">
        <v>233</v>
      </c>
      <c r="P73" s="3" t="s">
        <v>35</v>
      </c>
      <c r="Q73" s="3" t="s">
        <v>94</v>
      </c>
      <c r="R73" s="4">
        <v>45926</v>
      </c>
      <c r="S73" s="3" t="s">
        <v>37</v>
      </c>
      <c r="T73" s="3" t="s">
        <v>38</v>
      </c>
      <c r="U73" s="3" t="s">
        <v>39</v>
      </c>
      <c r="V73" s="5">
        <v>11509.68</v>
      </c>
      <c r="W73" s="5">
        <v>5812.39</v>
      </c>
      <c r="X73" s="5">
        <v>3988.1</v>
      </c>
      <c r="Y73" s="5">
        <v>1709.19</v>
      </c>
    </row>
    <row r="74" spans="1:25" ht="25.5" hidden="1" x14ac:dyDescent="0.35">
      <c r="A74" s="3" t="s">
        <v>26</v>
      </c>
      <c r="B74" s="3" t="s">
        <v>27</v>
      </c>
      <c r="C74" s="3" t="s">
        <v>90</v>
      </c>
      <c r="D74" s="3" t="s">
        <v>234</v>
      </c>
      <c r="E74" s="3" t="s">
        <v>235</v>
      </c>
      <c r="F74" s="3" t="s">
        <v>119</v>
      </c>
      <c r="G74" s="3" t="s">
        <v>235</v>
      </c>
      <c r="H74" s="3" t="s">
        <v>92</v>
      </c>
      <c r="I74" s="3">
        <v>2024</v>
      </c>
      <c r="J74" s="3" t="str">
        <f>CONCATENATE("44810933265")</f>
        <v>44810933265</v>
      </c>
      <c r="K74" s="3" t="s">
        <v>33</v>
      </c>
      <c r="L74" s="3" t="str">
        <f t="shared" si="4"/>
        <v/>
      </c>
      <c r="M74" s="3" t="str">
        <f t="shared" si="5"/>
        <v>SRA30</v>
      </c>
      <c r="N74" s="3" t="str">
        <f>CONCATENATE("01732530892")</f>
        <v>01732530892</v>
      </c>
      <c r="O74" s="3" t="s">
        <v>236</v>
      </c>
      <c r="P74" s="3" t="s">
        <v>35</v>
      </c>
      <c r="Q74" s="3" t="s">
        <v>94</v>
      </c>
      <c r="R74" s="4">
        <v>45926</v>
      </c>
      <c r="S74" s="3" t="s">
        <v>37</v>
      </c>
      <c r="T74" s="3" t="s">
        <v>38</v>
      </c>
      <c r="U74" s="3" t="s">
        <v>39</v>
      </c>
      <c r="V74" s="5">
        <v>5987.91</v>
      </c>
      <c r="W74" s="5">
        <v>3023.89</v>
      </c>
      <c r="X74" s="5">
        <v>2074.81</v>
      </c>
      <c r="Y74" s="3">
        <v>889.21</v>
      </c>
    </row>
    <row r="75" spans="1:25" ht="41.5" hidden="1" x14ac:dyDescent="0.35">
      <c r="A75" s="3" t="s">
        <v>26</v>
      </c>
      <c r="B75" s="3" t="s">
        <v>27</v>
      </c>
      <c r="C75" s="3" t="s">
        <v>90</v>
      </c>
      <c r="D75" s="3" t="s">
        <v>234</v>
      </c>
      <c r="E75" s="3" t="s">
        <v>235</v>
      </c>
      <c r="F75" s="3" t="s">
        <v>119</v>
      </c>
      <c r="G75" s="3" t="s">
        <v>235</v>
      </c>
      <c r="H75" s="3" t="s">
        <v>92</v>
      </c>
      <c r="I75" s="3">
        <v>2024</v>
      </c>
      <c r="J75" s="3" t="str">
        <f>CONCATENATE("44810945707")</f>
        <v>44810945707</v>
      </c>
      <c r="K75" s="3" t="s">
        <v>33</v>
      </c>
      <c r="L75" s="3" t="str">
        <f t="shared" si="4"/>
        <v/>
      </c>
      <c r="M75" s="3" t="str">
        <f t="shared" si="5"/>
        <v>SRA30</v>
      </c>
      <c r="N75" s="3" t="str">
        <f>CONCATENATE("VNCSVT94C30E532E")</f>
        <v>VNCSVT94C30E532E</v>
      </c>
      <c r="O75" s="3" t="s">
        <v>237</v>
      </c>
      <c r="P75" s="3" t="s">
        <v>35</v>
      </c>
      <c r="Q75" s="3" t="s">
        <v>94</v>
      </c>
      <c r="R75" s="4">
        <v>45926</v>
      </c>
      <c r="S75" s="3" t="s">
        <v>37</v>
      </c>
      <c r="T75" s="3" t="s">
        <v>38</v>
      </c>
      <c r="U75" s="3" t="s">
        <v>39</v>
      </c>
      <c r="V75" s="5">
        <v>4692.22</v>
      </c>
      <c r="W75" s="5">
        <v>2369.5700000000002</v>
      </c>
      <c r="X75" s="5">
        <v>1625.85</v>
      </c>
      <c r="Y75" s="3">
        <v>696.8</v>
      </c>
    </row>
    <row r="76" spans="1:25" ht="41.5" hidden="1" x14ac:dyDescent="0.35">
      <c r="A76" s="3" t="s">
        <v>26</v>
      </c>
      <c r="B76" s="3" t="s">
        <v>27</v>
      </c>
      <c r="C76" s="3" t="s">
        <v>90</v>
      </c>
      <c r="D76" s="3" t="s">
        <v>41</v>
      </c>
      <c r="E76" s="3" t="s">
        <v>238</v>
      </c>
      <c r="F76" s="3" t="s">
        <v>43</v>
      </c>
      <c r="G76" s="3" t="s">
        <v>238</v>
      </c>
      <c r="H76" s="3" t="s">
        <v>92</v>
      </c>
      <c r="I76" s="3">
        <v>2024</v>
      </c>
      <c r="J76" s="3" t="str">
        <f>CONCATENATE("44811038650")</f>
        <v>44811038650</v>
      </c>
      <c r="K76" s="3" t="s">
        <v>33</v>
      </c>
      <c r="L76" s="3" t="str">
        <f t="shared" si="4"/>
        <v/>
      </c>
      <c r="M76" s="3" t="str">
        <f t="shared" si="5"/>
        <v>SRA30</v>
      </c>
      <c r="N76" s="3" t="str">
        <f>CONCATENATE("BLLPLA65D27G267K")</f>
        <v>BLLPLA65D27G267K</v>
      </c>
      <c r="O76" s="3" t="s">
        <v>239</v>
      </c>
      <c r="P76" s="3" t="s">
        <v>35</v>
      </c>
      <c r="Q76" s="3" t="s">
        <v>94</v>
      </c>
      <c r="R76" s="4">
        <v>45926</v>
      </c>
      <c r="S76" s="3" t="s">
        <v>37</v>
      </c>
      <c r="T76" s="3" t="s">
        <v>38</v>
      </c>
      <c r="U76" s="3" t="s">
        <v>39</v>
      </c>
      <c r="V76" s="5">
        <v>3298</v>
      </c>
      <c r="W76" s="5">
        <v>1665.49</v>
      </c>
      <c r="X76" s="5">
        <v>1142.76</v>
      </c>
      <c r="Y76" s="3">
        <v>489.75</v>
      </c>
    </row>
    <row r="77" spans="1:25" ht="33.5" hidden="1" x14ac:dyDescent="0.35">
      <c r="A77" s="3" t="s">
        <v>26</v>
      </c>
      <c r="B77" s="3" t="s">
        <v>27</v>
      </c>
      <c r="C77" s="3" t="s">
        <v>90</v>
      </c>
      <c r="D77" s="3" t="s">
        <v>61</v>
      </c>
      <c r="E77" s="3" t="s">
        <v>240</v>
      </c>
      <c r="F77" s="3" t="s">
        <v>63</v>
      </c>
      <c r="G77" s="3" t="s">
        <v>240</v>
      </c>
      <c r="H77" s="3" t="s">
        <v>92</v>
      </c>
      <c r="I77" s="3">
        <v>2024</v>
      </c>
      <c r="J77" s="3" t="str">
        <f>CONCATENATE("44810709178")</f>
        <v>44810709178</v>
      </c>
      <c r="K77" s="3" t="s">
        <v>33</v>
      </c>
      <c r="L77" s="3" t="str">
        <f t="shared" si="4"/>
        <v/>
      </c>
      <c r="M77" s="3" t="str">
        <f t="shared" si="5"/>
        <v>SRA30</v>
      </c>
      <c r="N77" s="3" t="str">
        <f>CONCATENATE("CLLSST53P20L308Y")</f>
        <v>CLLSST53P20L308Y</v>
      </c>
      <c r="O77" s="3" t="s">
        <v>241</v>
      </c>
      <c r="P77" s="3" t="s">
        <v>35</v>
      </c>
      <c r="Q77" s="3" t="s">
        <v>94</v>
      </c>
      <c r="R77" s="4">
        <v>45926</v>
      </c>
      <c r="S77" s="3" t="s">
        <v>37</v>
      </c>
      <c r="T77" s="3" t="s">
        <v>38</v>
      </c>
      <c r="U77" s="3" t="s">
        <v>39</v>
      </c>
      <c r="V77" s="5">
        <v>6035.34</v>
      </c>
      <c r="W77" s="5">
        <v>3047.85</v>
      </c>
      <c r="X77" s="5">
        <v>2091.25</v>
      </c>
      <c r="Y77" s="3">
        <v>896.24</v>
      </c>
    </row>
    <row r="78" spans="1:25" ht="41.5" hidden="1" x14ac:dyDescent="0.35">
      <c r="A78" s="3" t="s">
        <v>26</v>
      </c>
      <c r="B78" s="3" t="s">
        <v>27</v>
      </c>
      <c r="C78" s="3" t="s">
        <v>90</v>
      </c>
      <c r="D78" s="3" t="s">
        <v>107</v>
      </c>
      <c r="E78" s="3" t="s">
        <v>242</v>
      </c>
      <c r="F78" s="3" t="s">
        <v>115</v>
      </c>
      <c r="G78" s="3" t="s">
        <v>242</v>
      </c>
      <c r="H78" s="3" t="s">
        <v>92</v>
      </c>
      <c r="I78" s="3">
        <v>2024</v>
      </c>
      <c r="J78" s="3" t="str">
        <f>CONCATENATE("44810562676")</f>
        <v>44810562676</v>
      </c>
      <c r="K78" s="3" t="s">
        <v>33</v>
      </c>
      <c r="L78" s="3" t="str">
        <f t="shared" si="4"/>
        <v/>
      </c>
      <c r="M78" s="3" t="str">
        <f t="shared" si="5"/>
        <v>SRA30</v>
      </c>
      <c r="N78" s="3" t="str">
        <f>CONCATENATE("CNTTZN90E59B202Y")</f>
        <v>CNTTZN90E59B202Y</v>
      </c>
      <c r="O78" s="3" t="s">
        <v>243</v>
      </c>
      <c r="P78" s="3" t="s">
        <v>35</v>
      </c>
      <c r="Q78" s="3" t="s">
        <v>94</v>
      </c>
      <c r="R78" s="4">
        <v>45926</v>
      </c>
      <c r="S78" s="3" t="s">
        <v>37</v>
      </c>
      <c r="T78" s="3" t="s">
        <v>38</v>
      </c>
      <c r="U78" s="3" t="s">
        <v>39</v>
      </c>
      <c r="V78" s="5">
        <v>5222</v>
      </c>
      <c r="W78" s="5">
        <v>2637.11</v>
      </c>
      <c r="X78" s="5">
        <v>1809.42</v>
      </c>
      <c r="Y78" s="3">
        <v>775.47</v>
      </c>
    </row>
    <row r="79" spans="1:25" ht="25.5" hidden="1" x14ac:dyDescent="0.35">
      <c r="A79" s="3" t="s">
        <v>26</v>
      </c>
      <c r="B79" s="3" t="s">
        <v>27</v>
      </c>
      <c r="C79" s="3" t="s">
        <v>90</v>
      </c>
      <c r="D79" s="3" t="s">
        <v>51</v>
      </c>
      <c r="E79" s="3" t="s">
        <v>244</v>
      </c>
      <c r="F79" s="3" t="s">
        <v>51</v>
      </c>
      <c r="G79" s="3" t="s">
        <v>244</v>
      </c>
      <c r="H79" s="3" t="s">
        <v>92</v>
      </c>
      <c r="I79" s="3">
        <v>2024</v>
      </c>
      <c r="J79" s="3" t="str">
        <f>CONCATENATE("44811316791")</f>
        <v>44811316791</v>
      </c>
      <c r="K79" s="3" t="s">
        <v>33</v>
      </c>
      <c r="L79" s="3" t="str">
        <f t="shared" si="4"/>
        <v/>
      </c>
      <c r="M79" s="3" t="str">
        <f t="shared" si="5"/>
        <v>SRA30</v>
      </c>
      <c r="N79" s="3" t="str">
        <f>CONCATENATE("01157700889")</f>
        <v>01157700889</v>
      </c>
      <c r="O79" s="3" t="s">
        <v>245</v>
      </c>
      <c r="P79" s="3" t="s">
        <v>35</v>
      </c>
      <c r="Q79" s="3" t="s">
        <v>94</v>
      </c>
      <c r="R79" s="4">
        <v>45926</v>
      </c>
      <c r="S79" s="3" t="s">
        <v>37</v>
      </c>
      <c r="T79" s="3" t="s">
        <v>38</v>
      </c>
      <c r="U79" s="3" t="s">
        <v>39</v>
      </c>
      <c r="V79" s="5">
        <v>7097.3</v>
      </c>
      <c r="W79" s="5">
        <v>3584.14</v>
      </c>
      <c r="X79" s="5">
        <v>2459.21</v>
      </c>
      <c r="Y79" s="5">
        <v>1053.95</v>
      </c>
    </row>
    <row r="80" spans="1:25" ht="49.5" hidden="1" x14ac:dyDescent="0.35">
      <c r="A80" s="3" t="s">
        <v>26</v>
      </c>
      <c r="B80" s="3" t="s">
        <v>27</v>
      </c>
      <c r="C80" s="3" t="s">
        <v>90</v>
      </c>
      <c r="D80" s="3" t="s">
        <v>228</v>
      </c>
      <c r="E80" s="3" t="s">
        <v>246</v>
      </c>
      <c r="F80" s="3" t="s">
        <v>230</v>
      </c>
      <c r="G80" s="3" t="s">
        <v>246</v>
      </c>
      <c r="H80" s="3" t="s">
        <v>92</v>
      </c>
      <c r="I80" s="3">
        <v>2024</v>
      </c>
      <c r="J80" s="3" t="str">
        <f>CONCATENATE("44810605731")</f>
        <v>44810605731</v>
      </c>
      <c r="K80" s="3" t="s">
        <v>33</v>
      </c>
      <c r="L80" s="3" t="str">
        <f t="shared" si="4"/>
        <v/>
      </c>
      <c r="M80" s="3" t="str">
        <f t="shared" si="5"/>
        <v>SRA30</v>
      </c>
      <c r="N80" s="3" t="str">
        <f>CONCATENATE("MRNSVT60S16H151B")</f>
        <v>MRNSVT60S16H151B</v>
      </c>
      <c r="O80" s="3" t="s">
        <v>247</v>
      </c>
      <c r="P80" s="3" t="s">
        <v>35</v>
      </c>
      <c r="Q80" s="3" t="s">
        <v>94</v>
      </c>
      <c r="R80" s="4">
        <v>45926</v>
      </c>
      <c r="S80" s="3" t="s">
        <v>37</v>
      </c>
      <c r="T80" s="3" t="s">
        <v>38</v>
      </c>
      <c r="U80" s="3" t="s">
        <v>39</v>
      </c>
      <c r="V80" s="5">
        <v>5128.58</v>
      </c>
      <c r="W80" s="5">
        <v>2589.9299999999998</v>
      </c>
      <c r="X80" s="5">
        <v>1777.05</v>
      </c>
      <c r="Y80" s="3">
        <v>761.6</v>
      </c>
    </row>
    <row r="81" spans="1:25" ht="41.5" hidden="1" x14ac:dyDescent="0.35">
      <c r="A81" s="3" t="s">
        <v>26</v>
      </c>
      <c r="B81" s="3" t="s">
        <v>27</v>
      </c>
      <c r="C81" s="3" t="s">
        <v>90</v>
      </c>
      <c r="D81" s="3" t="s">
        <v>29</v>
      </c>
      <c r="E81" s="3" t="s">
        <v>248</v>
      </c>
      <c r="F81" s="3" t="s">
        <v>31</v>
      </c>
      <c r="G81" s="3" t="s">
        <v>248</v>
      </c>
      <c r="H81" s="3" t="s">
        <v>92</v>
      </c>
      <c r="I81" s="3">
        <v>2024</v>
      </c>
      <c r="J81" s="3" t="str">
        <f>CONCATENATE("44810490308")</f>
        <v>44810490308</v>
      </c>
      <c r="K81" s="3" t="s">
        <v>33</v>
      </c>
      <c r="L81" s="3" t="str">
        <f t="shared" si="4"/>
        <v/>
      </c>
      <c r="M81" s="3" t="str">
        <f t="shared" si="5"/>
        <v>SRA30</v>
      </c>
      <c r="N81" s="3" t="str">
        <f>CONCATENATE("FDCLVR75S41I754G")</f>
        <v>FDCLVR75S41I754G</v>
      </c>
      <c r="O81" s="3" t="s">
        <v>249</v>
      </c>
      <c r="P81" s="3" t="s">
        <v>35</v>
      </c>
      <c r="Q81" s="3" t="s">
        <v>94</v>
      </c>
      <c r="R81" s="4">
        <v>45926</v>
      </c>
      <c r="S81" s="3" t="s">
        <v>37</v>
      </c>
      <c r="T81" s="3" t="s">
        <v>38</v>
      </c>
      <c r="U81" s="3" t="s">
        <v>39</v>
      </c>
      <c r="V81" s="5">
        <v>5100</v>
      </c>
      <c r="W81" s="5">
        <v>2575.5</v>
      </c>
      <c r="X81" s="5">
        <v>1767.15</v>
      </c>
      <c r="Y81" s="3">
        <v>757.35</v>
      </c>
    </row>
    <row r="82" spans="1:25" ht="41.5" hidden="1" x14ac:dyDescent="0.35">
      <c r="A82" s="3" t="s">
        <v>26</v>
      </c>
      <c r="B82" s="3" t="s">
        <v>27</v>
      </c>
      <c r="C82" s="3" t="s">
        <v>90</v>
      </c>
      <c r="D82" s="3" t="s">
        <v>29</v>
      </c>
      <c r="E82" s="3" t="s">
        <v>248</v>
      </c>
      <c r="F82" s="3" t="s">
        <v>31</v>
      </c>
      <c r="G82" s="3" t="s">
        <v>248</v>
      </c>
      <c r="H82" s="3" t="s">
        <v>92</v>
      </c>
      <c r="I82" s="3">
        <v>2024</v>
      </c>
      <c r="J82" s="3" t="str">
        <f>CONCATENATE("44811497385")</f>
        <v>44811497385</v>
      </c>
      <c r="K82" s="3" t="s">
        <v>33</v>
      </c>
      <c r="L82" s="3" t="str">
        <f t="shared" si="4"/>
        <v/>
      </c>
      <c r="M82" s="3" t="str">
        <f t="shared" si="5"/>
        <v>SRA30</v>
      </c>
      <c r="N82" s="3" t="str">
        <f>CONCATENATE("MNCVCN66E03G267Q")</f>
        <v>MNCVCN66E03G267Q</v>
      </c>
      <c r="O82" s="3" t="s">
        <v>250</v>
      </c>
      <c r="P82" s="3" t="s">
        <v>35</v>
      </c>
      <c r="Q82" s="3" t="s">
        <v>94</v>
      </c>
      <c r="R82" s="4">
        <v>45926</v>
      </c>
      <c r="S82" s="3" t="s">
        <v>37</v>
      </c>
      <c r="T82" s="3" t="s">
        <v>38</v>
      </c>
      <c r="U82" s="3" t="s">
        <v>39</v>
      </c>
      <c r="V82" s="5">
        <v>4284</v>
      </c>
      <c r="W82" s="5">
        <v>2163.42</v>
      </c>
      <c r="X82" s="5">
        <v>1484.41</v>
      </c>
      <c r="Y82" s="3">
        <v>636.16999999999996</v>
      </c>
    </row>
    <row r="83" spans="1:25" ht="41.5" hidden="1" x14ac:dyDescent="0.35">
      <c r="A83" s="3" t="s">
        <v>26</v>
      </c>
      <c r="B83" s="3" t="s">
        <v>27</v>
      </c>
      <c r="C83" s="3" t="s">
        <v>90</v>
      </c>
      <c r="D83" s="3" t="s">
        <v>61</v>
      </c>
      <c r="E83" s="3" t="s">
        <v>251</v>
      </c>
      <c r="F83" s="3" t="s">
        <v>63</v>
      </c>
      <c r="G83" s="3" t="s">
        <v>251</v>
      </c>
      <c r="H83" s="3" t="s">
        <v>92</v>
      </c>
      <c r="I83" s="3">
        <v>2024</v>
      </c>
      <c r="J83" s="3" t="str">
        <f>CONCATENATE("44810118115")</f>
        <v>44810118115</v>
      </c>
      <c r="K83" s="3" t="s">
        <v>33</v>
      </c>
      <c r="L83" s="3" t="str">
        <f t="shared" si="4"/>
        <v/>
      </c>
      <c r="M83" s="3" t="str">
        <f t="shared" si="5"/>
        <v>SRA30</v>
      </c>
      <c r="N83" s="3" t="str">
        <f>CONCATENATE("MNTFNC84S01E532C")</f>
        <v>MNTFNC84S01E532C</v>
      </c>
      <c r="O83" s="3" t="s">
        <v>252</v>
      </c>
      <c r="P83" s="3" t="s">
        <v>35</v>
      </c>
      <c r="Q83" s="3" t="s">
        <v>94</v>
      </c>
      <c r="R83" s="4">
        <v>45926</v>
      </c>
      <c r="S83" s="3" t="s">
        <v>37</v>
      </c>
      <c r="T83" s="3" t="s">
        <v>38</v>
      </c>
      <c r="U83" s="3" t="s">
        <v>39</v>
      </c>
      <c r="V83" s="5">
        <v>3854.47</v>
      </c>
      <c r="W83" s="5">
        <v>1946.51</v>
      </c>
      <c r="X83" s="5">
        <v>1335.57</v>
      </c>
      <c r="Y83" s="3">
        <v>572.39</v>
      </c>
    </row>
    <row r="84" spans="1:25" ht="49.5" hidden="1" x14ac:dyDescent="0.35">
      <c r="A84" s="3" t="s">
        <v>26</v>
      </c>
      <c r="B84" s="3" t="s">
        <v>27</v>
      </c>
      <c r="C84" s="3" t="s">
        <v>90</v>
      </c>
      <c r="D84" s="3" t="s">
        <v>29</v>
      </c>
      <c r="E84" s="3" t="s">
        <v>91</v>
      </c>
      <c r="F84" s="3" t="s">
        <v>31</v>
      </c>
      <c r="G84" s="3" t="s">
        <v>91</v>
      </c>
      <c r="H84" s="3" t="s">
        <v>92</v>
      </c>
      <c r="I84" s="3">
        <v>2024</v>
      </c>
      <c r="J84" s="3" t="str">
        <f>CONCATENATE("44810760460")</f>
        <v>44810760460</v>
      </c>
      <c r="K84" s="3" t="s">
        <v>33</v>
      </c>
      <c r="L84" s="3" t="str">
        <f t="shared" si="4"/>
        <v/>
      </c>
      <c r="M84" s="3" t="str">
        <f t="shared" si="5"/>
        <v>SRA30</v>
      </c>
      <c r="N84" s="3" t="str">
        <f>CONCATENATE("PRSMRM01E48H163O")</f>
        <v>PRSMRM01E48H163O</v>
      </c>
      <c r="O84" s="3" t="s">
        <v>253</v>
      </c>
      <c r="P84" s="3" t="s">
        <v>35</v>
      </c>
      <c r="Q84" s="3" t="s">
        <v>94</v>
      </c>
      <c r="R84" s="4">
        <v>45926</v>
      </c>
      <c r="S84" s="3" t="s">
        <v>37</v>
      </c>
      <c r="T84" s="3" t="s">
        <v>38</v>
      </c>
      <c r="U84" s="3" t="s">
        <v>39</v>
      </c>
      <c r="V84" s="5">
        <v>5329.5</v>
      </c>
      <c r="W84" s="5">
        <v>2691.4</v>
      </c>
      <c r="X84" s="5">
        <v>1846.67</v>
      </c>
      <c r="Y84" s="3">
        <v>791.43</v>
      </c>
    </row>
    <row r="85" spans="1:25" ht="41.5" hidden="1" x14ac:dyDescent="0.35">
      <c r="A85" s="3" t="s">
        <v>26</v>
      </c>
      <c r="B85" s="3" t="s">
        <v>27</v>
      </c>
      <c r="C85" s="3" t="s">
        <v>90</v>
      </c>
      <c r="D85" s="3" t="s">
        <v>254</v>
      </c>
      <c r="E85" s="3" t="s">
        <v>255</v>
      </c>
      <c r="F85" s="3" t="s">
        <v>256</v>
      </c>
      <c r="G85" s="3" t="s">
        <v>255</v>
      </c>
      <c r="H85" s="3" t="s">
        <v>96</v>
      </c>
      <c r="I85" s="3">
        <v>2024</v>
      </c>
      <c r="J85" s="3" t="str">
        <f>CONCATENATE("44810680874")</f>
        <v>44810680874</v>
      </c>
      <c r="K85" s="3" t="s">
        <v>33</v>
      </c>
      <c r="L85" s="3" t="str">
        <f t="shared" si="4"/>
        <v/>
      </c>
      <c r="M85" s="3" t="str">
        <f t="shared" si="5"/>
        <v>SRA30</v>
      </c>
      <c r="N85" s="3" t="str">
        <f>CONCATENATE("VLSGNN73C58G543V")</f>
        <v>VLSGNN73C58G543V</v>
      </c>
      <c r="O85" s="3" t="s">
        <v>257</v>
      </c>
      <c r="P85" s="3" t="s">
        <v>35</v>
      </c>
      <c r="Q85" s="3" t="s">
        <v>98</v>
      </c>
      <c r="R85" s="4">
        <v>45926</v>
      </c>
      <c r="S85" s="3" t="s">
        <v>37</v>
      </c>
      <c r="T85" s="3" t="s">
        <v>38</v>
      </c>
      <c r="U85" s="3" t="s">
        <v>39</v>
      </c>
      <c r="V85" s="5">
        <v>3816.47</v>
      </c>
      <c r="W85" s="5">
        <v>1927.32</v>
      </c>
      <c r="X85" s="5">
        <v>1322.41</v>
      </c>
      <c r="Y85" s="3">
        <v>566.74</v>
      </c>
    </row>
    <row r="86" spans="1:25" ht="49.5" hidden="1" x14ac:dyDescent="0.35">
      <c r="A86" s="3" t="s">
        <v>26</v>
      </c>
      <c r="B86" s="3" t="s">
        <v>27</v>
      </c>
      <c r="C86" s="3" t="s">
        <v>90</v>
      </c>
      <c r="D86" s="3" t="s">
        <v>180</v>
      </c>
      <c r="E86" s="3" t="s">
        <v>258</v>
      </c>
      <c r="F86" s="3" t="s">
        <v>85</v>
      </c>
      <c r="G86" s="3" t="s">
        <v>258</v>
      </c>
      <c r="H86" s="3" t="s">
        <v>96</v>
      </c>
      <c r="I86" s="3">
        <v>2024</v>
      </c>
      <c r="J86" s="3" t="str">
        <f>CONCATENATE("44810971620")</f>
        <v>44810971620</v>
      </c>
      <c r="K86" s="3" t="s">
        <v>33</v>
      </c>
      <c r="L86" s="3" t="str">
        <f t="shared" si="4"/>
        <v/>
      </c>
      <c r="M86" s="3" t="str">
        <f t="shared" si="5"/>
        <v>SRA30</v>
      </c>
      <c r="N86" s="3" t="str">
        <f>CONCATENATE("RTANTN49A09A202O")</f>
        <v>RTANTN49A09A202O</v>
      </c>
      <c r="O86" s="3" t="s">
        <v>259</v>
      </c>
      <c r="P86" s="3" t="s">
        <v>35</v>
      </c>
      <c r="Q86" s="3" t="s">
        <v>98</v>
      </c>
      <c r="R86" s="4">
        <v>45926</v>
      </c>
      <c r="S86" s="3" t="s">
        <v>37</v>
      </c>
      <c r="T86" s="3" t="s">
        <v>38</v>
      </c>
      <c r="U86" s="3" t="s">
        <v>39</v>
      </c>
      <c r="V86" s="5">
        <v>3533.46</v>
      </c>
      <c r="W86" s="5">
        <v>1784.4</v>
      </c>
      <c r="X86" s="5">
        <v>1224.3399999999999</v>
      </c>
      <c r="Y86" s="3">
        <v>524.72</v>
      </c>
    </row>
    <row r="87" spans="1:25" ht="41.5" hidden="1" x14ac:dyDescent="0.35">
      <c r="A87" s="3" t="s">
        <v>26</v>
      </c>
      <c r="B87" s="3" t="s">
        <v>27</v>
      </c>
      <c r="C87" s="3" t="s">
        <v>90</v>
      </c>
      <c r="D87" s="3" t="s">
        <v>41</v>
      </c>
      <c r="E87" s="3" t="s">
        <v>260</v>
      </c>
      <c r="F87" s="3" t="s">
        <v>43</v>
      </c>
      <c r="G87" s="3" t="s">
        <v>260</v>
      </c>
      <c r="H87" s="3" t="s">
        <v>96</v>
      </c>
      <c r="I87" s="3">
        <v>2024</v>
      </c>
      <c r="J87" s="3" t="str">
        <f>CONCATENATE("44810850980")</f>
        <v>44810850980</v>
      </c>
      <c r="K87" s="3" t="s">
        <v>33</v>
      </c>
      <c r="L87" s="3" t="str">
        <f t="shared" si="4"/>
        <v/>
      </c>
      <c r="M87" s="3" t="str">
        <f t="shared" si="5"/>
        <v>SRA30</v>
      </c>
      <c r="N87" s="3" t="str">
        <f>CONCATENATE("RCRGPP67D64E055F")</f>
        <v>RCRGPP67D64E055F</v>
      </c>
      <c r="O87" s="3" t="s">
        <v>261</v>
      </c>
      <c r="P87" s="3" t="s">
        <v>35</v>
      </c>
      <c r="Q87" s="3" t="s">
        <v>98</v>
      </c>
      <c r="R87" s="4">
        <v>45926</v>
      </c>
      <c r="S87" s="3" t="s">
        <v>37</v>
      </c>
      <c r="T87" s="3" t="s">
        <v>38</v>
      </c>
      <c r="U87" s="3" t="s">
        <v>39</v>
      </c>
      <c r="V87" s="5">
        <v>1860.65</v>
      </c>
      <c r="W87" s="3">
        <v>939.63</v>
      </c>
      <c r="X87" s="3">
        <v>644.72</v>
      </c>
      <c r="Y87" s="3">
        <v>276.3</v>
      </c>
    </row>
    <row r="88" spans="1:25" ht="41.5" hidden="1" x14ac:dyDescent="0.35">
      <c r="A88" s="3" t="s">
        <v>26</v>
      </c>
      <c r="B88" s="3" t="s">
        <v>27</v>
      </c>
      <c r="C88" s="3" t="s">
        <v>90</v>
      </c>
      <c r="D88" s="3" t="s">
        <v>41</v>
      </c>
      <c r="E88" s="3" t="s">
        <v>262</v>
      </c>
      <c r="F88" s="3" t="s">
        <v>43</v>
      </c>
      <c r="G88" s="3" t="s">
        <v>262</v>
      </c>
      <c r="H88" s="3" t="s">
        <v>96</v>
      </c>
      <c r="I88" s="3">
        <v>2024</v>
      </c>
      <c r="J88" s="3" t="str">
        <f>CONCATENATE("44810935146")</f>
        <v>44810935146</v>
      </c>
      <c r="K88" s="3" t="s">
        <v>33</v>
      </c>
      <c r="L88" s="3" t="str">
        <f t="shared" si="4"/>
        <v/>
      </c>
      <c r="M88" s="3" t="str">
        <f t="shared" si="5"/>
        <v>SRA30</v>
      </c>
      <c r="N88" s="3" t="str">
        <f>CONCATENATE("CLNFNC54P52E023D")</f>
        <v>CLNFNC54P52E023D</v>
      </c>
      <c r="O88" s="3" t="s">
        <v>263</v>
      </c>
      <c r="P88" s="3" t="s">
        <v>35</v>
      </c>
      <c r="Q88" s="3" t="s">
        <v>98</v>
      </c>
      <c r="R88" s="4">
        <v>45926</v>
      </c>
      <c r="S88" s="3" t="s">
        <v>37</v>
      </c>
      <c r="T88" s="3" t="s">
        <v>38</v>
      </c>
      <c r="U88" s="3" t="s">
        <v>39</v>
      </c>
      <c r="V88" s="5">
        <v>2890</v>
      </c>
      <c r="W88" s="5">
        <v>1459.45</v>
      </c>
      <c r="X88" s="5">
        <v>1001.39</v>
      </c>
      <c r="Y88" s="3">
        <v>429.16</v>
      </c>
    </row>
    <row r="89" spans="1:25" ht="41.5" hidden="1" x14ac:dyDescent="0.35">
      <c r="A89" s="3" t="s">
        <v>26</v>
      </c>
      <c r="B89" s="3" t="s">
        <v>27</v>
      </c>
      <c r="C89" s="3" t="s">
        <v>90</v>
      </c>
      <c r="D89" s="3" t="s">
        <v>41</v>
      </c>
      <c r="E89" s="3" t="s">
        <v>264</v>
      </c>
      <c r="F89" s="3" t="s">
        <v>43</v>
      </c>
      <c r="G89" s="3" t="s">
        <v>264</v>
      </c>
      <c r="H89" s="3" t="s">
        <v>96</v>
      </c>
      <c r="I89" s="3">
        <v>2024</v>
      </c>
      <c r="J89" s="3" t="str">
        <f>CONCATENATE("44810614733")</f>
        <v>44810614733</v>
      </c>
      <c r="K89" s="3" t="s">
        <v>33</v>
      </c>
      <c r="L89" s="3" t="str">
        <f t="shared" si="4"/>
        <v/>
      </c>
      <c r="M89" s="3" t="str">
        <f t="shared" si="5"/>
        <v>SRA30</v>
      </c>
      <c r="N89" s="3" t="str">
        <f>CONCATENATE("BRBGFT87T03G273X")</f>
        <v>BRBGFT87T03G273X</v>
      </c>
      <c r="O89" s="3" t="s">
        <v>265</v>
      </c>
      <c r="P89" s="3" t="s">
        <v>35</v>
      </c>
      <c r="Q89" s="3" t="s">
        <v>98</v>
      </c>
      <c r="R89" s="4">
        <v>45926</v>
      </c>
      <c r="S89" s="3" t="s">
        <v>37</v>
      </c>
      <c r="T89" s="3" t="s">
        <v>38</v>
      </c>
      <c r="U89" s="3" t="s">
        <v>39</v>
      </c>
      <c r="V89" s="5">
        <v>3668.24</v>
      </c>
      <c r="W89" s="5">
        <v>1852.46</v>
      </c>
      <c r="X89" s="5">
        <v>1271.05</v>
      </c>
      <c r="Y89" s="3">
        <v>544.73</v>
      </c>
    </row>
    <row r="90" spans="1:25" ht="49.5" hidden="1" x14ac:dyDescent="0.35">
      <c r="A90" s="3" t="s">
        <v>26</v>
      </c>
      <c r="B90" s="3" t="s">
        <v>27</v>
      </c>
      <c r="C90" s="3" t="s">
        <v>90</v>
      </c>
      <c r="D90" s="3" t="s">
        <v>41</v>
      </c>
      <c r="E90" s="3" t="s">
        <v>264</v>
      </c>
      <c r="F90" s="3" t="s">
        <v>43</v>
      </c>
      <c r="G90" s="3" t="s">
        <v>264</v>
      </c>
      <c r="H90" s="3" t="s">
        <v>96</v>
      </c>
      <c r="I90" s="3">
        <v>2024</v>
      </c>
      <c r="J90" s="3" t="str">
        <f>CONCATENATE("44810414936")</f>
        <v>44810414936</v>
      </c>
      <c r="K90" s="3" t="s">
        <v>33</v>
      </c>
      <c r="L90" s="3" t="str">
        <f t="shared" si="4"/>
        <v/>
      </c>
      <c r="M90" s="3" t="str">
        <f t="shared" si="5"/>
        <v>SRA30</v>
      </c>
      <c r="N90" s="3" t="str">
        <f>CONCATENATE("BCNBDT89D25G273U")</f>
        <v>BCNBDT89D25G273U</v>
      </c>
      <c r="O90" s="3" t="s">
        <v>266</v>
      </c>
      <c r="P90" s="3" t="s">
        <v>35</v>
      </c>
      <c r="Q90" s="3" t="s">
        <v>98</v>
      </c>
      <c r="R90" s="4">
        <v>45926</v>
      </c>
      <c r="S90" s="3" t="s">
        <v>37</v>
      </c>
      <c r="T90" s="3" t="s">
        <v>38</v>
      </c>
      <c r="U90" s="3" t="s">
        <v>39</v>
      </c>
      <c r="V90" s="5">
        <v>8721</v>
      </c>
      <c r="W90" s="5">
        <v>4404.1099999999997</v>
      </c>
      <c r="X90" s="5">
        <v>3021.83</v>
      </c>
      <c r="Y90" s="5">
        <v>1295.06</v>
      </c>
    </row>
    <row r="91" spans="1:25" ht="41.5" hidden="1" x14ac:dyDescent="0.35">
      <c r="A91" s="3" t="s">
        <v>26</v>
      </c>
      <c r="B91" s="3" t="s">
        <v>27</v>
      </c>
      <c r="C91" s="3" t="s">
        <v>90</v>
      </c>
      <c r="D91" s="3" t="s">
        <v>41</v>
      </c>
      <c r="E91" s="3" t="s">
        <v>264</v>
      </c>
      <c r="F91" s="3" t="s">
        <v>43</v>
      </c>
      <c r="G91" s="3" t="s">
        <v>264</v>
      </c>
      <c r="H91" s="3" t="s">
        <v>96</v>
      </c>
      <c r="I91" s="3">
        <v>2024</v>
      </c>
      <c r="J91" s="3" t="str">
        <f>CONCATENATE("44810794626")</f>
        <v>44810794626</v>
      </c>
      <c r="K91" s="3" t="s">
        <v>33</v>
      </c>
      <c r="L91" s="3" t="str">
        <f t="shared" si="4"/>
        <v/>
      </c>
      <c r="M91" s="3" t="str">
        <f t="shared" si="5"/>
        <v>SRA30</v>
      </c>
      <c r="N91" s="3" t="str">
        <f>CONCATENATE("BLLGPR76B03G273S")</f>
        <v>BLLGPR76B03G273S</v>
      </c>
      <c r="O91" s="3" t="s">
        <v>267</v>
      </c>
      <c r="P91" s="3" t="s">
        <v>35</v>
      </c>
      <c r="Q91" s="3" t="s">
        <v>98</v>
      </c>
      <c r="R91" s="4">
        <v>45926</v>
      </c>
      <c r="S91" s="3" t="s">
        <v>37</v>
      </c>
      <c r="T91" s="3" t="s">
        <v>38</v>
      </c>
      <c r="U91" s="3" t="s">
        <v>39</v>
      </c>
      <c r="V91" s="5">
        <v>3944</v>
      </c>
      <c r="W91" s="5">
        <v>1991.72</v>
      </c>
      <c r="X91" s="5">
        <v>1366.6</v>
      </c>
      <c r="Y91" s="3">
        <v>585.67999999999995</v>
      </c>
    </row>
    <row r="92" spans="1:25" ht="41.5" hidden="1" x14ac:dyDescent="0.35">
      <c r="A92" s="3" t="s">
        <v>26</v>
      </c>
      <c r="B92" s="3" t="s">
        <v>27</v>
      </c>
      <c r="C92" s="3" t="s">
        <v>90</v>
      </c>
      <c r="D92" s="3" t="s">
        <v>41</v>
      </c>
      <c r="E92" s="3" t="s">
        <v>264</v>
      </c>
      <c r="F92" s="3" t="s">
        <v>43</v>
      </c>
      <c r="G92" s="3" t="s">
        <v>264</v>
      </c>
      <c r="H92" s="3" t="s">
        <v>96</v>
      </c>
      <c r="I92" s="3">
        <v>2024</v>
      </c>
      <c r="J92" s="3" t="str">
        <f>CONCATENATE("44810305704")</f>
        <v>44810305704</v>
      </c>
      <c r="K92" s="3" t="s">
        <v>33</v>
      </c>
      <c r="L92" s="3" t="str">
        <f t="shared" si="4"/>
        <v/>
      </c>
      <c r="M92" s="3" t="str">
        <f t="shared" si="5"/>
        <v>SRA30</v>
      </c>
      <c r="N92" s="3" t="str">
        <f>CONCATENATE("MRCGPP37H17F377T")</f>
        <v>MRCGPP37H17F377T</v>
      </c>
      <c r="O92" s="3" t="s">
        <v>268</v>
      </c>
      <c r="P92" s="3" t="s">
        <v>35</v>
      </c>
      <c r="Q92" s="3" t="s">
        <v>98</v>
      </c>
      <c r="R92" s="4">
        <v>45926</v>
      </c>
      <c r="S92" s="3" t="s">
        <v>37</v>
      </c>
      <c r="T92" s="3" t="s">
        <v>38</v>
      </c>
      <c r="U92" s="3" t="s">
        <v>39</v>
      </c>
      <c r="V92" s="5">
        <v>7625</v>
      </c>
      <c r="W92" s="5">
        <v>3850.63</v>
      </c>
      <c r="X92" s="5">
        <v>2642.06</v>
      </c>
      <c r="Y92" s="5">
        <v>1132.31</v>
      </c>
    </row>
    <row r="93" spans="1:25" ht="41.5" hidden="1" x14ac:dyDescent="0.35">
      <c r="A93" s="3" t="s">
        <v>26</v>
      </c>
      <c r="B93" s="3" t="s">
        <v>27</v>
      </c>
      <c r="C93" s="3" t="s">
        <v>90</v>
      </c>
      <c r="D93" s="3" t="s">
        <v>51</v>
      </c>
      <c r="E93" s="3" t="s">
        <v>105</v>
      </c>
      <c r="F93" s="3" t="s">
        <v>51</v>
      </c>
      <c r="G93" s="3" t="s">
        <v>105</v>
      </c>
      <c r="H93" s="3" t="s">
        <v>96</v>
      </c>
      <c r="I93" s="3">
        <v>2024</v>
      </c>
      <c r="J93" s="3" t="str">
        <f>CONCATENATE("44811024817")</f>
        <v>44811024817</v>
      </c>
      <c r="K93" s="3" t="s">
        <v>33</v>
      </c>
      <c r="L93" s="3" t="str">
        <f t="shared" si="4"/>
        <v/>
      </c>
      <c r="M93" s="3" t="str">
        <f t="shared" si="5"/>
        <v>SRA30</v>
      </c>
      <c r="N93" s="3" t="str">
        <f>CONCATENATE("CNGGSI81D56G273B")</f>
        <v>CNGGSI81D56G273B</v>
      </c>
      <c r="O93" s="3" t="s">
        <v>269</v>
      </c>
      <c r="P93" s="3" t="s">
        <v>35</v>
      </c>
      <c r="Q93" s="3" t="s">
        <v>98</v>
      </c>
      <c r="R93" s="4">
        <v>45926</v>
      </c>
      <c r="S93" s="3" t="s">
        <v>37</v>
      </c>
      <c r="T93" s="3" t="s">
        <v>38</v>
      </c>
      <c r="U93" s="3" t="s">
        <v>39</v>
      </c>
      <c r="V93" s="5">
        <v>5032</v>
      </c>
      <c r="W93" s="5">
        <v>2541.16</v>
      </c>
      <c r="X93" s="5">
        <v>1743.59</v>
      </c>
      <c r="Y93" s="3">
        <v>747.25</v>
      </c>
    </row>
    <row r="94" spans="1:25" ht="41.5" hidden="1" x14ac:dyDescent="0.35">
      <c r="A94" s="3" t="s">
        <v>26</v>
      </c>
      <c r="B94" s="3" t="s">
        <v>27</v>
      </c>
      <c r="C94" s="3" t="s">
        <v>90</v>
      </c>
      <c r="D94" s="3" t="s">
        <v>41</v>
      </c>
      <c r="E94" s="3" t="s">
        <v>270</v>
      </c>
      <c r="F94" s="3" t="s">
        <v>43</v>
      </c>
      <c r="G94" s="3" t="s">
        <v>270</v>
      </c>
      <c r="H94" s="3" t="s">
        <v>96</v>
      </c>
      <c r="I94" s="3">
        <v>2024</v>
      </c>
      <c r="J94" s="3" t="str">
        <f>CONCATENATE("44810386928")</f>
        <v>44810386928</v>
      </c>
      <c r="K94" s="3" t="s">
        <v>33</v>
      </c>
      <c r="L94" s="3" t="str">
        <f t="shared" si="4"/>
        <v/>
      </c>
      <c r="M94" s="3" t="str">
        <f t="shared" si="5"/>
        <v>SRA30</v>
      </c>
      <c r="N94" s="3" t="str">
        <f>CONCATENATE("CRRGPP74B27D009P")</f>
        <v>CRRGPP74B27D009P</v>
      </c>
      <c r="O94" s="3" t="s">
        <v>271</v>
      </c>
      <c r="P94" s="3" t="s">
        <v>35</v>
      </c>
      <c r="Q94" s="3" t="s">
        <v>98</v>
      </c>
      <c r="R94" s="4">
        <v>45926</v>
      </c>
      <c r="S94" s="3" t="s">
        <v>37</v>
      </c>
      <c r="T94" s="3" t="s">
        <v>38</v>
      </c>
      <c r="U94" s="3" t="s">
        <v>39</v>
      </c>
      <c r="V94" s="5">
        <v>3332.34</v>
      </c>
      <c r="W94" s="5">
        <v>1682.83</v>
      </c>
      <c r="X94" s="5">
        <v>1154.6600000000001</v>
      </c>
      <c r="Y94" s="3">
        <v>494.85</v>
      </c>
    </row>
    <row r="95" spans="1:25" ht="41.5" hidden="1" x14ac:dyDescent="0.35">
      <c r="A95" s="3" t="s">
        <v>26</v>
      </c>
      <c r="B95" s="3" t="s">
        <v>27</v>
      </c>
      <c r="C95" s="3" t="s">
        <v>90</v>
      </c>
      <c r="D95" s="3" t="s">
        <v>61</v>
      </c>
      <c r="E95" s="3" t="s">
        <v>272</v>
      </c>
      <c r="F95" s="3" t="s">
        <v>63</v>
      </c>
      <c r="G95" s="3" t="s">
        <v>272</v>
      </c>
      <c r="H95" s="3" t="s">
        <v>96</v>
      </c>
      <c r="I95" s="3">
        <v>2024</v>
      </c>
      <c r="J95" s="3" t="str">
        <f>CONCATENATE("44810443976")</f>
        <v>44810443976</v>
      </c>
      <c r="K95" s="3" t="s">
        <v>33</v>
      </c>
      <c r="L95" s="3" t="str">
        <f t="shared" si="4"/>
        <v/>
      </c>
      <c r="M95" s="3" t="str">
        <f t="shared" si="5"/>
        <v>SRA30</v>
      </c>
      <c r="N95" s="3" t="str">
        <f>CONCATENATE("CTLGPP70T58F553H")</f>
        <v>CTLGPP70T58F553H</v>
      </c>
      <c r="O95" s="3" t="s">
        <v>273</v>
      </c>
      <c r="P95" s="3" t="s">
        <v>35</v>
      </c>
      <c r="Q95" s="3" t="s">
        <v>98</v>
      </c>
      <c r="R95" s="4">
        <v>45926</v>
      </c>
      <c r="S95" s="3" t="s">
        <v>37</v>
      </c>
      <c r="T95" s="3" t="s">
        <v>38</v>
      </c>
      <c r="U95" s="3" t="s">
        <v>39</v>
      </c>
      <c r="V95" s="5">
        <v>2261</v>
      </c>
      <c r="W95" s="5">
        <v>1141.81</v>
      </c>
      <c r="X95" s="3">
        <v>783.44</v>
      </c>
      <c r="Y95" s="3">
        <v>335.75</v>
      </c>
    </row>
    <row r="96" spans="1:25" ht="41.5" hidden="1" x14ac:dyDescent="0.35">
      <c r="A96" s="3" t="s">
        <v>26</v>
      </c>
      <c r="B96" s="3" t="s">
        <v>27</v>
      </c>
      <c r="C96" s="3" t="s">
        <v>90</v>
      </c>
      <c r="D96" s="3" t="s">
        <v>61</v>
      </c>
      <c r="E96" s="3" t="s">
        <v>272</v>
      </c>
      <c r="F96" s="3" t="s">
        <v>63</v>
      </c>
      <c r="G96" s="3" t="s">
        <v>272</v>
      </c>
      <c r="H96" s="3" t="s">
        <v>96</v>
      </c>
      <c r="I96" s="3">
        <v>2024</v>
      </c>
      <c r="J96" s="3" t="str">
        <f>CONCATENATE("44810417574")</f>
        <v>44810417574</v>
      </c>
      <c r="K96" s="3" t="s">
        <v>33</v>
      </c>
      <c r="L96" s="3" t="str">
        <f t="shared" si="4"/>
        <v/>
      </c>
      <c r="M96" s="3" t="str">
        <f t="shared" si="5"/>
        <v>SRA30</v>
      </c>
      <c r="N96" s="3" t="str">
        <f>CONCATENATE("CVLTMS92P10L112A")</f>
        <v>CVLTMS92P10L112A</v>
      </c>
      <c r="O96" s="3" t="s">
        <v>274</v>
      </c>
      <c r="P96" s="3" t="s">
        <v>35</v>
      </c>
      <c r="Q96" s="3" t="s">
        <v>98</v>
      </c>
      <c r="R96" s="4">
        <v>45926</v>
      </c>
      <c r="S96" s="3" t="s">
        <v>37</v>
      </c>
      <c r="T96" s="3" t="s">
        <v>38</v>
      </c>
      <c r="U96" s="3" t="s">
        <v>39</v>
      </c>
      <c r="V96" s="5">
        <v>3419.38</v>
      </c>
      <c r="W96" s="5">
        <v>1726.79</v>
      </c>
      <c r="X96" s="5">
        <v>1184.82</v>
      </c>
      <c r="Y96" s="3">
        <v>507.77</v>
      </c>
    </row>
    <row r="97" spans="1:25" ht="25.5" hidden="1" x14ac:dyDescent="0.35">
      <c r="A97" s="3" t="s">
        <v>26</v>
      </c>
      <c r="B97" s="3" t="s">
        <v>27</v>
      </c>
      <c r="C97" s="3" t="s">
        <v>90</v>
      </c>
      <c r="D97" s="3" t="s">
        <v>29</v>
      </c>
      <c r="E97" s="3" t="s">
        <v>275</v>
      </c>
      <c r="F97" s="3" t="s">
        <v>31</v>
      </c>
      <c r="G97" s="3" t="s">
        <v>275</v>
      </c>
      <c r="H97" s="3" t="s">
        <v>102</v>
      </c>
      <c r="I97" s="3">
        <v>2024</v>
      </c>
      <c r="J97" s="3" t="str">
        <f>CONCATENATE("44820503504")</f>
        <v>44820503504</v>
      </c>
      <c r="K97" s="3" t="s">
        <v>33</v>
      </c>
      <c r="L97" s="3" t="str">
        <f t="shared" si="4"/>
        <v/>
      </c>
      <c r="M97" s="3" t="str">
        <f>CONCATENATE("SRB02")</f>
        <v>SRB02</v>
      </c>
      <c r="N97" s="3" t="str">
        <f>CONCATENATE("01116840883")</f>
        <v>01116840883</v>
      </c>
      <c r="O97" s="3" t="s">
        <v>276</v>
      </c>
      <c r="P97" s="3" t="s">
        <v>35</v>
      </c>
      <c r="Q97" s="3" t="s">
        <v>104</v>
      </c>
      <c r="R97" s="4">
        <v>45931</v>
      </c>
      <c r="S97" s="3" t="s">
        <v>37</v>
      </c>
      <c r="T97" s="3" t="s">
        <v>38</v>
      </c>
      <c r="U97" s="3" t="s">
        <v>39</v>
      </c>
      <c r="V97" s="5">
        <v>5416.65</v>
      </c>
      <c r="W97" s="5">
        <v>2735.41</v>
      </c>
      <c r="X97" s="5">
        <v>1876.87</v>
      </c>
      <c r="Y97" s="3">
        <v>804.37</v>
      </c>
    </row>
    <row r="98" spans="1:25" ht="41.5" hidden="1" x14ac:dyDescent="0.35">
      <c r="A98" s="3" t="s">
        <v>26</v>
      </c>
      <c r="B98" s="3" t="s">
        <v>27</v>
      </c>
      <c r="C98" s="3" t="s">
        <v>90</v>
      </c>
      <c r="D98" s="3" t="s">
        <v>29</v>
      </c>
      <c r="E98" s="3" t="s">
        <v>275</v>
      </c>
      <c r="F98" s="3" t="s">
        <v>31</v>
      </c>
      <c r="G98" s="3" t="s">
        <v>275</v>
      </c>
      <c r="H98" s="3" t="s">
        <v>102</v>
      </c>
      <c r="I98" s="3">
        <v>2024</v>
      </c>
      <c r="J98" s="3" t="str">
        <f>CONCATENATE("44820617379")</f>
        <v>44820617379</v>
      </c>
      <c r="K98" s="3" t="s">
        <v>33</v>
      </c>
      <c r="L98" s="3" t="str">
        <f t="shared" si="4"/>
        <v/>
      </c>
      <c r="M98" s="3" t="str">
        <f>CONCATENATE("SRB02")</f>
        <v>SRB02</v>
      </c>
      <c r="N98" s="3" t="str">
        <f>CONCATENATE("CVTVCN66S28F258L")</f>
        <v>CVTVCN66S28F258L</v>
      </c>
      <c r="O98" s="3" t="s">
        <v>277</v>
      </c>
      <c r="P98" s="3" t="s">
        <v>35</v>
      </c>
      <c r="Q98" s="3" t="s">
        <v>104</v>
      </c>
      <c r="R98" s="4">
        <v>45931</v>
      </c>
      <c r="S98" s="3" t="s">
        <v>37</v>
      </c>
      <c r="T98" s="3" t="s">
        <v>38</v>
      </c>
      <c r="U98" s="3" t="s">
        <v>39</v>
      </c>
      <c r="V98" s="3">
        <v>843.29</v>
      </c>
      <c r="W98" s="3">
        <v>425.86</v>
      </c>
      <c r="X98" s="3">
        <v>292.2</v>
      </c>
      <c r="Y98" s="3">
        <v>125.23</v>
      </c>
    </row>
    <row r="99" spans="1:25" ht="41.5" hidden="1" x14ac:dyDescent="0.35">
      <c r="A99" s="3" t="s">
        <v>26</v>
      </c>
      <c r="B99" s="3" t="s">
        <v>27</v>
      </c>
      <c r="C99" s="3" t="s">
        <v>90</v>
      </c>
      <c r="D99" s="3" t="s">
        <v>29</v>
      </c>
      <c r="E99" s="3" t="s">
        <v>275</v>
      </c>
      <c r="F99" s="3" t="s">
        <v>31</v>
      </c>
      <c r="G99" s="3" t="s">
        <v>275</v>
      </c>
      <c r="H99" s="3" t="s">
        <v>102</v>
      </c>
      <c r="I99" s="3">
        <v>2024</v>
      </c>
      <c r="J99" s="3" t="str">
        <f>CONCATENATE("44820624649")</f>
        <v>44820624649</v>
      </c>
      <c r="K99" s="3" t="s">
        <v>33</v>
      </c>
      <c r="L99" s="3" t="str">
        <f t="shared" si="4"/>
        <v/>
      </c>
      <c r="M99" s="3" t="str">
        <f>CONCATENATE("SRB02")</f>
        <v>SRB02</v>
      </c>
      <c r="N99" s="3" t="str">
        <f>CONCATENATE("NCSGRG68S08F258M")</f>
        <v>NCSGRG68S08F258M</v>
      </c>
      <c r="O99" s="3" t="s">
        <v>278</v>
      </c>
      <c r="P99" s="3" t="s">
        <v>35</v>
      </c>
      <c r="Q99" s="3" t="s">
        <v>104</v>
      </c>
      <c r="R99" s="4">
        <v>45931</v>
      </c>
      <c r="S99" s="3" t="s">
        <v>37</v>
      </c>
      <c r="T99" s="3" t="s">
        <v>38</v>
      </c>
      <c r="U99" s="3" t="s">
        <v>39</v>
      </c>
      <c r="V99" s="3">
        <v>548.16999999999996</v>
      </c>
      <c r="W99" s="3">
        <v>276.83</v>
      </c>
      <c r="X99" s="3">
        <v>189.94</v>
      </c>
      <c r="Y99" s="3">
        <v>81.400000000000006</v>
      </c>
    </row>
    <row r="100" spans="1:25" ht="41.5" hidden="1" x14ac:dyDescent="0.35">
      <c r="A100" s="3" t="s">
        <v>26</v>
      </c>
      <c r="B100" s="3" t="s">
        <v>27</v>
      </c>
      <c r="C100" s="3" t="s">
        <v>90</v>
      </c>
      <c r="D100" s="3" t="s">
        <v>29</v>
      </c>
      <c r="E100" s="3" t="s">
        <v>275</v>
      </c>
      <c r="F100" s="3" t="s">
        <v>31</v>
      </c>
      <c r="G100" s="3" t="s">
        <v>275</v>
      </c>
      <c r="H100" s="3" t="s">
        <v>102</v>
      </c>
      <c r="I100" s="3">
        <v>2024</v>
      </c>
      <c r="J100" s="3" t="str">
        <f>CONCATENATE("44820615613")</f>
        <v>44820615613</v>
      </c>
      <c r="K100" s="3" t="s">
        <v>33</v>
      </c>
      <c r="L100" s="3" t="str">
        <f t="shared" si="4"/>
        <v/>
      </c>
      <c r="M100" s="3" t="str">
        <f>CONCATENATE("SRB02")</f>
        <v>SRB02</v>
      </c>
      <c r="N100" s="3" t="str">
        <f>CONCATENATE("STRRSO60D66F258D")</f>
        <v>STRRSO60D66F258D</v>
      </c>
      <c r="O100" s="3" t="s">
        <v>279</v>
      </c>
      <c r="P100" s="3" t="s">
        <v>35</v>
      </c>
      <c r="Q100" s="3" t="s">
        <v>104</v>
      </c>
      <c r="R100" s="4">
        <v>45931</v>
      </c>
      <c r="S100" s="3" t="s">
        <v>37</v>
      </c>
      <c r="T100" s="3" t="s">
        <v>38</v>
      </c>
      <c r="U100" s="3" t="s">
        <v>39</v>
      </c>
      <c r="V100" s="3">
        <v>301.85000000000002</v>
      </c>
      <c r="W100" s="3">
        <v>152.43</v>
      </c>
      <c r="X100" s="3">
        <v>104.59</v>
      </c>
      <c r="Y100" s="3">
        <v>44.83</v>
      </c>
    </row>
    <row r="101" spans="1:25" ht="41.5" hidden="1" x14ac:dyDescent="0.35">
      <c r="A101" s="3" t="s">
        <v>26</v>
      </c>
      <c r="B101" s="3" t="s">
        <v>27</v>
      </c>
      <c r="C101" s="3" t="s">
        <v>90</v>
      </c>
      <c r="D101" s="3" t="s">
        <v>164</v>
      </c>
      <c r="E101" s="3" t="s">
        <v>280</v>
      </c>
      <c r="F101" s="3" t="s">
        <v>166</v>
      </c>
      <c r="G101" s="3" t="s">
        <v>280</v>
      </c>
      <c r="H101" s="3" t="s">
        <v>96</v>
      </c>
      <c r="I101" s="3">
        <v>2024</v>
      </c>
      <c r="J101" s="3" t="str">
        <f>CONCATENATE("44810118776")</f>
        <v>44810118776</v>
      </c>
      <c r="K101" s="3" t="s">
        <v>33</v>
      </c>
      <c r="L101" s="3" t="str">
        <f t="shared" si="4"/>
        <v/>
      </c>
      <c r="M101" s="3" t="str">
        <f t="shared" ref="M101:M122" si="6">CONCATENATE("SRA30")</f>
        <v>SRA30</v>
      </c>
      <c r="N101" s="3" t="str">
        <f>CONCATENATE("DNTNNN84A02G273E")</f>
        <v>DNTNNN84A02G273E</v>
      </c>
      <c r="O101" s="3" t="s">
        <v>281</v>
      </c>
      <c r="P101" s="3" t="s">
        <v>35</v>
      </c>
      <c r="Q101" s="3" t="s">
        <v>98</v>
      </c>
      <c r="R101" s="4">
        <v>45926</v>
      </c>
      <c r="S101" s="3" t="s">
        <v>37</v>
      </c>
      <c r="T101" s="3" t="s">
        <v>38</v>
      </c>
      <c r="U101" s="3" t="s">
        <v>39</v>
      </c>
      <c r="V101" s="5">
        <v>7651</v>
      </c>
      <c r="W101" s="5">
        <v>3863.76</v>
      </c>
      <c r="X101" s="5">
        <v>2651.07</v>
      </c>
      <c r="Y101" s="5">
        <v>1136.17</v>
      </c>
    </row>
    <row r="102" spans="1:25" ht="41.5" hidden="1" x14ac:dyDescent="0.35">
      <c r="A102" s="3" t="s">
        <v>26</v>
      </c>
      <c r="B102" s="3" t="s">
        <v>27</v>
      </c>
      <c r="C102" s="3" t="s">
        <v>90</v>
      </c>
      <c r="D102" s="3" t="s">
        <v>234</v>
      </c>
      <c r="E102" s="3" t="s">
        <v>282</v>
      </c>
      <c r="F102" s="3" t="s">
        <v>119</v>
      </c>
      <c r="G102" s="3" t="s">
        <v>282</v>
      </c>
      <c r="H102" s="3" t="s">
        <v>96</v>
      </c>
      <c r="I102" s="3">
        <v>2024</v>
      </c>
      <c r="J102" s="3" t="str">
        <f>CONCATENATE("44811516820")</f>
        <v>44811516820</v>
      </c>
      <c r="K102" s="3" t="s">
        <v>33</v>
      </c>
      <c r="L102" s="3" t="str">
        <f t="shared" si="4"/>
        <v/>
      </c>
      <c r="M102" s="3" t="str">
        <f t="shared" si="6"/>
        <v>SRA30</v>
      </c>
      <c r="N102" s="3" t="str">
        <f>CONCATENATE("DNICML71C48H070C")</f>
        <v>DNICML71C48H070C</v>
      </c>
      <c r="O102" s="3" t="s">
        <v>283</v>
      </c>
      <c r="P102" s="3" t="s">
        <v>35</v>
      </c>
      <c r="Q102" s="3" t="s">
        <v>98</v>
      </c>
      <c r="R102" s="4">
        <v>45926</v>
      </c>
      <c r="S102" s="3" t="s">
        <v>37</v>
      </c>
      <c r="T102" s="3" t="s">
        <v>38</v>
      </c>
      <c r="U102" s="3" t="s">
        <v>39</v>
      </c>
      <c r="V102" s="5">
        <v>3465.74</v>
      </c>
      <c r="W102" s="5">
        <v>1750.2</v>
      </c>
      <c r="X102" s="5">
        <v>1200.8800000000001</v>
      </c>
      <c r="Y102" s="3">
        <v>514.66</v>
      </c>
    </row>
    <row r="103" spans="1:25" ht="41.5" hidden="1" x14ac:dyDescent="0.35">
      <c r="A103" s="3" t="s">
        <v>26</v>
      </c>
      <c r="B103" s="3" t="s">
        <v>27</v>
      </c>
      <c r="C103" s="3" t="s">
        <v>90</v>
      </c>
      <c r="D103" s="3" t="s">
        <v>41</v>
      </c>
      <c r="E103" s="3" t="s">
        <v>284</v>
      </c>
      <c r="F103" s="3" t="s">
        <v>43</v>
      </c>
      <c r="G103" s="3" t="s">
        <v>284</v>
      </c>
      <c r="H103" s="3" t="s">
        <v>96</v>
      </c>
      <c r="I103" s="3">
        <v>2024</v>
      </c>
      <c r="J103" s="3" t="str">
        <f>CONCATENATE("44811169182")</f>
        <v>44811169182</v>
      </c>
      <c r="K103" s="3" t="s">
        <v>33</v>
      </c>
      <c r="L103" s="3" t="str">
        <f t="shared" si="4"/>
        <v/>
      </c>
      <c r="M103" s="3" t="str">
        <f t="shared" si="6"/>
        <v>SRA30</v>
      </c>
      <c r="N103" s="3" t="str">
        <f>CONCATENATE("FDECCT52P51F299K")</f>
        <v>FDECCT52P51F299K</v>
      </c>
      <c r="O103" s="3" t="s">
        <v>285</v>
      </c>
      <c r="P103" s="3" t="s">
        <v>35</v>
      </c>
      <c r="Q103" s="3" t="s">
        <v>98</v>
      </c>
      <c r="R103" s="4">
        <v>45926</v>
      </c>
      <c r="S103" s="3" t="s">
        <v>37</v>
      </c>
      <c r="T103" s="3" t="s">
        <v>38</v>
      </c>
      <c r="U103" s="3" t="s">
        <v>39</v>
      </c>
      <c r="V103" s="5">
        <v>4435.43</v>
      </c>
      <c r="W103" s="5">
        <v>2239.89</v>
      </c>
      <c r="X103" s="5">
        <v>1536.88</v>
      </c>
      <c r="Y103" s="3">
        <v>658.66</v>
      </c>
    </row>
    <row r="104" spans="1:25" ht="41.5" hidden="1" x14ac:dyDescent="0.35">
      <c r="A104" s="3" t="s">
        <v>26</v>
      </c>
      <c r="B104" s="3" t="s">
        <v>27</v>
      </c>
      <c r="C104" s="3" t="s">
        <v>90</v>
      </c>
      <c r="D104" s="3" t="s">
        <v>29</v>
      </c>
      <c r="E104" s="3" t="s">
        <v>286</v>
      </c>
      <c r="F104" s="3" t="s">
        <v>31</v>
      </c>
      <c r="G104" s="3" t="s">
        <v>286</v>
      </c>
      <c r="H104" s="3" t="s">
        <v>96</v>
      </c>
      <c r="I104" s="3">
        <v>2024</v>
      </c>
      <c r="J104" s="3" t="str">
        <f>CONCATENATE("44811268984")</f>
        <v>44811268984</v>
      </c>
      <c r="K104" s="3" t="s">
        <v>33</v>
      </c>
      <c r="L104" s="3" t="str">
        <f t="shared" si="4"/>
        <v/>
      </c>
      <c r="M104" s="3" t="str">
        <f t="shared" si="6"/>
        <v>SRA30</v>
      </c>
      <c r="N104" s="3" t="str">
        <f>CONCATENATE("FRRPTR69L14D009R")</f>
        <v>FRRPTR69L14D009R</v>
      </c>
      <c r="O104" s="3" t="s">
        <v>287</v>
      </c>
      <c r="P104" s="3" t="s">
        <v>35</v>
      </c>
      <c r="Q104" s="3" t="s">
        <v>98</v>
      </c>
      <c r="R104" s="4">
        <v>45926</v>
      </c>
      <c r="S104" s="3" t="s">
        <v>37</v>
      </c>
      <c r="T104" s="3" t="s">
        <v>38</v>
      </c>
      <c r="U104" s="3" t="s">
        <v>39</v>
      </c>
      <c r="V104" s="5">
        <v>11143.5</v>
      </c>
      <c r="W104" s="5">
        <v>5627.47</v>
      </c>
      <c r="X104" s="5">
        <v>3861.22</v>
      </c>
      <c r="Y104" s="5">
        <v>1654.81</v>
      </c>
    </row>
    <row r="105" spans="1:25" ht="41.5" hidden="1" x14ac:dyDescent="0.35">
      <c r="A105" s="3" t="s">
        <v>26</v>
      </c>
      <c r="B105" s="3" t="s">
        <v>27</v>
      </c>
      <c r="C105" s="3" t="s">
        <v>90</v>
      </c>
      <c r="D105" s="3" t="s">
        <v>29</v>
      </c>
      <c r="E105" s="3" t="s">
        <v>286</v>
      </c>
      <c r="F105" s="3" t="s">
        <v>31</v>
      </c>
      <c r="G105" s="3" t="s">
        <v>286</v>
      </c>
      <c r="H105" s="3" t="s">
        <v>96</v>
      </c>
      <c r="I105" s="3">
        <v>2024</v>
      </c>
      <c r="J105" s="3" t="str">
        <f>CONCATENATE("44810377190")</f>
        <v>44810377190</v>
      </c>
      <c r="K105" s="3" t="s">
        <v>33</v>
      </c>
      <c r="L105" s="3" t="str">
        <f t="shared" si="4"/>
        <v/>
      </c>
      <c r="M105" s="3" t="str">
        <f t="shared" si="6"/>
        <v>SRA30</v>
      </c>
      <c r="N105" s="3" t="str">
        <f>CONCATENATE("FLPLCU00P68G263M")</f>
        <v>FLPLCU00P68G263M</v>
      </c>
      <c r="O105" s="3" t="s">
        <v>288</v>
      </c>
      <c r="P105" s="3" t="s">
        <v>35</v>
      </c>
      <c r="Q105" s="3" t="s">
        <v>98</v>
      </c>
      <c r="R105" s="4">
        <v>45926</v>
      </c>
      <c r="S105" s="3" t="s">
        <v>37</v>
      </c>
      <c r="T105" s="3" t="s">
        <v>38</v>
      </c>
      <c r="U105" s="3" t="s">
        <v>39</v>
      </c>
      <c r="V105" s="5">
        <v>4624</v>
      </c>
      <c r="W105" s="5">
        <v>2335.12</v>
      </c>
      <c r="X105" s="5">
        <v>1602.22</v>
      </c>
      <c r="Y105" s="3">
        <v>686.66</v>
      </c>
    </row>
    <row r="106" spans="1:25" ht="41.5" hidden="1" x14ac:dyDescent="0.35">
      <c r="A106" s="3" t="s">
        <v>26</v>
      </c>
      <c r="B106" s="3" t="s">
        <v>27</v>
      </c>
      <c r="C106" s="3" t="s">
        <v>90</v>
      </c>
      <c r="D106" s="3" t="s">
        <v>29</v>
      </c>
      <c r="E106" s="3" t="s">
        <v>286</v>
      </c>
      <c r="F106" s="3" t="s">
        <v>31</v>
      </c>
      <c r="G106" s="3" t="s">
        <v>286</v>
      </c>
      <c r="H106" s="3" t="s">
        <v>96</v>
      </c>
      <c r="I106" s="3">
        <v>2024</v>
      </c>
      <c r="J106" s="3" t="str">
        <f>CONCATENATE("44810422772")</f>
        <v>44810422772</v>
      </c>
      <c r="K106" s="3" t="s">
        <v>33</v>
      </c>
      <c r="L106" s="3" t="str">
        <f t="shared" si="4"/>
        <v/>
      </c>
      <c r="M106" s="3" t="str">
        <f t="shared" si="6"/>
        <v>SRA30</v>
      </c>
      <c r="N106" s="3" t="str">
        <f>CONCATENATE("FLPPLA75M30G263K")</f>
        <v>FLPPLA75M30G263K</v>
      </c>
      <c r="O106" s="3" t="s">
        <v>289</v>
      </c>
      <c r="P106" s="3" t="s">
        <v>35</v>
      </c>
      <c r="Q106" s="3" t="s">
        <v>98</v>
      </c>
      <c r="R106" s="4">
        <v>45926</v>
      </c>
      <c r="S106" s="3" t="s">
        <v>37</v>
      </c>
      <c r="T106" s="3" t="s">
        <v>38</v>
      </c>
      <c r="U106" s="3" t="s">
        <v>39</v>
      </c>
      <c r="V106" s="5">
        <v>5398.5</v>
      </c>
      <c r="W106" s="5">
        <v>2726.24</v>
      </c>
      <c r="X106" s="5">
        <v>1870.58</v>
      </c>
      <c r="Y106" s="3">
        <v>801.68</v>
      </c>
    </row>
    <row r="107" spans="1:25" ht="41.5" hidden="1" x14ac:dyDescent="0.35">
      <c r="A107" s="3" t="s">
        <v>26</v>
      </c>
      <c r="B107" s="3" t="s">
        <v>27</v>
      </c>
      <c r="C107" s="3" t="s">
        <v>90</v>
      </c>
      <c r="D107" s="3" t="s">
        <v>61</v>
      </c>
      <c r="E107" s="3" t="s">
        <v>290</v>
      </c>
      <c r="F107" s="3" t="s">
        <v>63</v>
      </c>
      <c r="G107" s="3" t="s">
        <v>290</v>
      </c>
      <c r="H107" s="3" t="s">
        <v>96</v>
      </c>
      <c r="I107" s="3">
        <v>2024</v>
      </c>
      <c r="J107" s="3" t="str">
        <f>CONCATENATE("44811148053")</f>
        <v>44811148053</v>
      </c>
      <c r="K107" s="3" t="s">
        <v>33</v>
      </c>
      <c r="L107" s="3" t="str">
        <f t="shared" si="4"/>
        <v/>
      </c>
      <c r="M107" s="3" t="str">
        <f t="shared" si="6"/>
        <v>SRA30</v>
      </c>
      <c r="N107" s="3" t="str">
        <f>CONCATENATE("FLSLCU76C51C342T")</f>
        <v>FLSLCU76C51C342T</v>
      </c>
      <c r="O107" s="3" t="s">
        <v>291</v>
      </c>
      <c r="P107" s="3" t="s">
        <v>35</v>
      </c>
      <c r="Q107" s="3" t="s">
        <v>98</v>
      </c>
      <c r="R107" s="4">
        <v>45926</v>
      </c>
      <c r="S107" s="3" t="s">
        <v>37</v>
      </c>
      <c r="T107" s="3" t="s">
        <v>38</v>
      </c>
      <c r="U107" s="3" t="s">
        <v>39</v>
      </c>
      <c r="V107" s="5">
        <v>5076.79</v>
      </c>
      <c r="W107" s="5">
        <v>2563.7800000000002</v>
      </c>
      <c r="X107" s="5">
        <v>1759.11</v>
      </c>
      <c r="Y107" s="3">
        <v>753.9</v>
      </c>
    </row>
    <row r="108" spans="1:25" ht="49.5" hidden="1" x14ac:dyDescent="0.35">
      <c r="A108" s="3" t="s">
        <v>26</v>
      </c>
      <c r="B108" s="3" t="s">
        <v>27</v>
      </c>
      <c r="C108" s="3" t="s">
        <v>90</v>
      </c>
      <c r="D108" s="3" t="s">
        <v>29</v>
      </c>
      <c r="E108" s="3" t="s">
        <v>292</v>
      </c>
      <c r="F108" s="3" t="s">
        <v>31</v>
      </c>
      <c r="G108" s="3" t="s">
        <v>292</v>
      </c>
      <c r="H108" s="3" t="s">
        <v>96</v>
      </c>
      <c r="I108" s="3">
        <v>2024</v>
      </c>
      <c r="J108" s="3" t="str">
        <f>CONCATENATE("44810842235")</f>
        <v>44810842235</v>
      </c>
      <c r="K108" s="3" t="s">
        <v>33</v>
      </c>
      <c r="L108" s="3" t="str">
        <f t="shared" si="4"/>
        <v/>
      </c>
      <c r="M108" s="3" t="str">
        <f t="shared" si="6"/>
        <v>SRA30</v>
      </c>
      <c r="N108" s="3" t="str">
        <f>CONCATENATE("GRNNNN74B20B430G")</f>
        <v>GRNNNN74B20B430G</v>
      </c>
      <c r="O108" s="3" t="s">
        <v>293</v>
      </c>
      <c r="P108" s="3" t="s">
        <v>35</v>
      </c>
      <c r="Q108" s="3" t="s">
        <v>98</v>
      </c>
      <c r="R108" s="4">
        <v>45926</v>
      </c>
      <c r="S108" s="3" t="s">
        <v>37</v>
      </c>
      <c r="T108" s="3" t="s">
        <v>38</v>
      </c>
      <c r="U108" s="3" t="s">
        <v>39</v>
      </c>
      <c r="V108" s="5">
        <v>4575</v>
      </c>
      <c r="W108" s="5">
        <v>2310.38</v>
      </c>
      <c r="X108" s="5">
        <v>1585.24</v>
      </c>
      <c r="Y108" s="3">
        <v>679.38</v>
      </c>
    </row>
    <row r="109" spans="1:25" ht="41.5" hidden="1" x14ac:dyDescent="0.35">
      <c r="A109" s="3" t="s">
        <v>26</v>
      </c>
      <c r="B109" s="3" t="s">
        <v>27</v>
      </c>
      <c r="C109" s="3" t="s">
        <v>90</v>
      </c>
      <c r="D109" s="3" t="s">
        <v>75</v>
      </c>
      <c r="E109" s="3" t="s">
        <v>294</v>
      </c>
      <c r="F109" s="3" t="s">
        <v>77</v>
      </c>
      <c r="G109" s="3" t="s">
        <v>294</v>
      </c>
      <c r="H109" s="3" t="s">
        <v>96</v>
      </c>
      <c r="I109" s="3">
        <v>2024</v>
      </c>
      <c r="J109" s="3" t="str">
        <f>CONCATENATE("44810582294")</f>
        <v>44810582294</v>
      </c>
      <c r="K109" s="3" t="s">
        <v>33</v>
      </c>
      <c r="L109" s="3" t="str">
        <f t="shared" si="4"/>
        <v/>
      </c>
      <c r="M109" s="3" t="str">
        <f t="shared" si="6"/>
        <v>SRA30</v>
      </c>
      <c r="N109" s="3" t="str">
        <f>CONCATENATE("GRCPQL94C19I356A")</f>
        <v>GRCPQL94C19I356A</v>
      </c>
      <c r="O109" s="3" t="s">
        <v>295</v>
      </c>
      <c r="P109" s="3" t="s">
        <v>35</v>
      </c>
      <c r="Q109" s="3" t="s">
        <v>98</v>
      </c>
      <c r="R109" s="4">
        <v>45926</v>
      </c>
      <c r="S109" s="3" t="s">
        <v>37</v>
      </c>
      <c r="T109" s="3" t="s">
        <v>38</v>
      </c>
      <c r="U109" s="3" t="s">
        <v>39</v>
      </c>
      <c r="V109" s="5">
        <v>3518.72</v>
      </c>
      <c r="W109" s="5">
        <v>1776.95</v>
      </c>
      <c r="X109" s="5">
        <v>1219.24</v>
      </c>
      <c r="Y109" s="3">
        <v>522.53</v>
      </c>
    </row>
    <row r="110" spans="1:25" ht="41.5" hidden="1" x14ac:dyDescent="0.35">
      <c r="A110" s="3" t="s">
        <v>26</v>
      </c>
      <c r="B110" s="3" t="s">
        <v>27</v>
      </c>
      <c r="C110" s="3" t="s">
        <v>90</v>
      </c>
      <c r="D110" s="3" t="s">
        <v>29</v>
      </c>
      <c r="E110" s="3" t="s">
        <v>286</v>
      </c>
      <c r="F110" s="3" t="s">
        <v>31</v>
      </c>
      <c r="G110" s="3" t="s">
        <v>286</v>
      </c>
      <c r="H110" s="3" t="s">
        <v>96</v>
      </c>
      <c r="I110" s="3">
        <v>2024</v>
      </c>
      <c r="J110" s="3" t="str">
        <f>CONCATENATE("44810406247")</f>
        <v>44810406247</v>
      </c>
      <c r="K110" s="3" t="s">
        <v>33</v>
      </c>
      <c r="L110" s="3" t="str">
        <f t="shared" si="4"/>
        <v/>
      </c>
      <c r="M110" s="3" t="str">
        <f t="shared" si="6"/>
        <v>SRA30</v>
      </c>
      <c r="N110" s="3" t="str">
        <f>CONCATENATE("GGLSVT02E10G263G")</f>
        <v>GGLSVT02E10G263G</v>
      </c>
      <c r="O110" s="3" t="s">
        <v>296</v>
      </c>
      <c r="P110" s="3" t="s">
        <v>35</v>
      </c>
      <c r="Q110" s="3" t="s">
        <v>98</v>
      </c>
      <c r="R110" s="4">
        <v>45926</v>
      </c>
      <c r="S110" s="3" t="s">
        <v>37</v>
      </c>
      <c r="T110" s="3" t="s">
        <v>38</v>
      </c>
      <c r="U110" s="3" t="s">
        <v>39</v>
      </c>
      <c r="V110" s="5">
        <v>3990</v>
      </c>
      <c r="W110" s="5">
        <v>2014.95</v>
      </c>
      <c r="X110" s="5">
        <v>1382.54</v>
      </c>
      <c r="Y110" s="3">
        <v>592.51</v>
      </c>
    </row>
    <row r="111" spans="1:25" ht="41.5" hidden="1" x14ac:dyDescent="0.35">
      <c r="A111" s="3" t="s">
        <v>26</v>
      </c>
      <c r="B111" s="3" t="s">
        <v>27</v>
      </c>
      <c r="C111" s="3" t="s">
        <v>90</v>
      </c>
      <c r="D111" s="3" t="s">
        <v>41</v>
      </c>
      <c r="E111" s="3" t="s">
        <v>260</v>
      </c>
      <c r="F111" s="3" t="s">
        <v>43</v>
      </c>
      <c r="G111" s="3" t="s">
        <v>260</v>
      </c>
      <c r="H111" s="3" t="s">
        <v>96</v>
      </c>
      <c r="I111" s="3">
        <v>2024</v>
      </c>
      <c r="J111" s="3" t="str">
        <f>CONCATENATE("44810321768")</f>
        <v>44810321768</v>
      </c>
      <c r="K111" s="3" t="s">
        <v>33</v>
      </c>
      <c r="L111" s="3" t="str">
        <f t="shared" si="4"/>
        <v/>
      </c>
      <c r="M111" s="3" t="str">
        <f t="shared" si="6"/>
        <v>SRA30</v>
      </c>
      <c r="N111" s="3" t="str">
        <f>CONCATENATE("NNZSVT75D17D009T")</f>
        <v>NNZSVT75D17D009T</v>
      </c>
      <c r="O111" s="3" t="s">
        <v>297</v>
      </c>
      <c r="P111" s="3" t="s">
        <v>35</v>
      </c>
      <c r="Q111" s="3" t="s">
        <v>98</v>
      </c>
      <c r="R111" s="4">
        <v>45926</v>
      </c>
      <c r="S111" s="3" t="s">
        <v>37</v>
      </c>
      <c r="T111" s="3" t="s">
        <v>38</v>
      </c>
      <c r="U111" s="3" t="s">
        <v>39</v>
      </c>
      <c r="V111" s="5">
        <v>6375</v>
      </c>
      <c r="W111" s="5">
        <v>3219.38</v>
      </c>
      <c r="X111" s="5">
        <v>2208.94</v>
      </c>
      <c r="Y111" s="3">
        <v>946.68</v>
      </c>
    </row>
    <row r="112" spans="1:25" ht="41.5" hidden="1" x14ac:dyDescent="0.35">
      <c r="A112" s="3" t="s">
        <v>26</v>
      </c>
      <c r="B112" s="3" t="s">
        <v>27</v>
      </c>
      <c r="C112" s="3" t="s">
        <v>90</v>
      </c>
      <c r="D112" s="3" t="s">
        <v>41</v>
      </c>
      <c r="E112" s="3" t="s">
        <v>262</v>
      </c>
      <c r="F112" s="3" t="s">
        <v>43</v>
      </c>
      <c r="G112" s="3" t="s">
        <v>262</v>
      </c>
      <c r="H112" s="3" t="s">
        <v>96</v>
      </c>
      <c r="I112" s="3">
        <v>2024</v>
      </c>
      <c r="J112" s="3" t="str">
        <f>CONCATENATE("44810134500")</f>
        <v>44810134500</v>
      </c>
      <c r="K112" s="3" t="s">
        <v>33</v>
      </c>
      <c r="L112" s="3" t="str">
        <f t="shared" si="4"/>
        <v/>
      </c>
      <c r="M112" s="3" t="str">
        <f t="shared" si="6"/>
        <v>SRA30</v>
      </c>
      <c r="N112" s="3" t="str">
        <f>CONCATENATE("LLAFNC75E21G263W")</f>
        <v>LLAFNC75E21G263W</v>
      </c>
      <c r="O112" s="3" t="s">
        <v>298</v>
      </c>
      <c r="P112" s="3" t="s">
        <v>35</v>
      </c>
      <c r="Q112" s="3" t="s">
        <v>98</v>
      </c>
      <c r="R112" s="4">
        <v>45926</v>
      </c>
      <c r="S112" s="3" t="s">
        <v>37</v>
      </c>
      <c r="T112" s="3" t="s">
        <v>38</v>
      </c>
      <c r="U112" s="3" t="s">
        <v>39</v>
      </c>
      <c r="V112" s="5">
        <v>3761.1</v>
      </c>
      <c r="W112" s="5">
        <v>1899.36</v>
      </c>
      <c r="X112" s="5">
        <v>1303.22</v>
      </c>
      <c r="Y112" s="3">
        <v>558.52</v>
      </c>
    </row>
    <row r="113" spans="1:25" ht="41.5" hidden="1" x14ac:dyDescent="0.35">
      <c r="A113" s="3" t="s">
        <v>26</v>
      </c>
      <c r="B113" s="3" t="s">
        <v>27</v>
      </c>
      <c r="C113" s="3" t="s">
        <v>90</v>
      </c>
      <c r="D113" s="3" t="s">
        <v>41</v>
      </c>
      <c r="E113" s="3" t="s">
        <v>270</v>
      </c>
      <c r="F113" s="3" t="s">
        <v>43</v>
      </c>
      <c r="G113" s="3" t="s">
        <v>270</v>
      </c>
      <c r="H113" s="3" t="s">
        <v>96</v>
      </c>
      <c r="I113" s="3">
        <v>2024</v>
      </c>
      <c r="J113" s="3" t="str">
        <f>CONCATENATE("44810979169")</f>
        <v>44810979169</v>
      </c>
      <c r="K113" s="3" t="s">
        <v>33</v>
      </c>
      <c r="L113" s="3" t="str">
        <f t="shared" si="4"/>
        <v/>
      </c>
      <c r="M113" s="3" t="str">
        <f t="shared" si="6"/>
        <v>SRA30</v>
      </c>
      <c r="N113" s="3" t="str">
        <f>CONCATENATE("LNZLLC79B03D009L")</f>
        <v>LNZLLC79B03D009L</v>
      </c>
      <c r="O113" s="3" t="s">
        <v>299</v>
      </c>
      <c r="P113" s="3" t="s">
        <v>35</v>
      </c>
      <c r="Q113" s="3" t="s">
        <v>98</v>
      </c>
      <c r="R113" s="4">
        <v>45926</v>
      </c>
      <c r="S113" s="3" t="s">
        <v>37</v>
      </c>
      <c r="T113" s="3" t="s">
        <v>38</v>
      </c>
      <c r="U113" s="3" t="s">
        <v>39</v>
      </c>
      <c r="V113" s="5">
        <v>3196</v>
      </c>
      <c r="W113" s="5">
        <v>1613.98</v>
      </c>
      <c r="X113" s="5">
        <v>1107.4100000000001</v>
      </c>
      <c r="Y113" s="3">
        <v>474.61</v>
      </c>
    </row>
    <row r="114" spans="1:25" ht="49.5" hidden="1" x14ac:dyDescent="0.35">
      <c r="A114" s="3" t="s">
        <v>26</v>
      </c>
      <c r="B114" s="3" t="s">
        <v>27</v>
      </c>
      <c r="C114" s="3" t="s">
        <v>90</v>
      </c>
      <c r="D114" s="3" t="s">
        <v>29</v>
      </c>
      <c r="E114" s="3" t="s">
        <v>286</v>
      </c>
      <c r="F114" s="3" t="s">
        <v>31</v>
      </c>
      <c r="G114" s="3" t="s">
        <v>286</v>
      </c>
      <c r="H114" s="3" t="s">
        <v>96</v>
      </c>
      <c r="I114" s="3">
        <v>2024</v>
      </c>
      <c r="J114" s="3" t="str">
        <f>CONCATENATE("44810598894")</f>
        <v>44810598894</v>
      </c>
      <c r="K114" s="3" t="s">
        <v>33</v>
      </c>
      <c r="L114" s="3" t="str">
        <f t="shared" si="4"/>
        <v/>
      </c>
      <c r="M114" s="3" t="str">
        <f t="shared" si="6"/>
        <v>SRA30</v>
      </c>
      <c r="N114" s="3" t="str">
        <f>CONCATENATE("MRNFNC87L22G263N")</f>
        <v>MRNFNC87L22G263N</v>
      </c>
      <c r="O114" s="3" t="s">
        <v>300</v>
      </c>
      <c r="P114" s="3" t="s">
        <v>35</v>
      </c>
      <c r="Q114" s="3" t="s">
        <v>98</v>
      </c>
      <c r="R114" s="4">
        <v>45926</v>
      </c>
      <c r="S114" s="3" t="s">
        <v>37</v>
      </c>
      <c r="T114" s="3" t="s">
        <v>38</v>
      </c>
      <c r="U114" s="3" t="s">
        <v>39</v>
      </c>
      <c r="V114" s="5">
        <v>4282.2</v>
      </c>
      <c r="W114" s="5">
        <v>2162.5100000000002</v>
      </c>
      <c r="X114" s="5">
        <v>1483.78</v>
      </c>
      <c r="Y114" s="3">
        <v>635.91</v>
      </c>
    </row>
    <row r="115" spans="1:25" ht="41.5" hidden="1" x14ac:dyDescent="0.35">
      <c r="A115" s="3" t="s">
        <v>26</v>
      </c>
      <c r="B115" s="3" t="s">
        <v>27</v>
      </c>
      <c r="C115" s="3" t="s">
        <v>90</v>
      </c>
      <c r="D115" s="3" t="s">
        <v>41</v>
      </c>
      <c r="E115" s="3" t="s">
        <v>95</v>
      </c>
      <c r="F115" s="3" t="s">
        <v>43</v>
      </c>
      <c r="G115" s="3" t="s">
        <v>95</v>
      </c>
      <c r="H115" s="3" t="s">
        <v>96</v>
      </c>
      <c r="I115" s="3">
        <v>2024</v>
      </c>
      <c r="J115" s="3" t="str">
        <f>CONCATENATE("44810902500")</f>
        <v>44810902500</v>
      </c>
      <c r="K115" s="3" t="s">
        <v>33</v>
      </c>
      <c r="L115" s="3" t="str">
        <f t="shared" si="4"/>
        <v/>
      </c>
      <c r="M115" s="3" t="str">
        <f t="shared" si="6"/>
        <v>SRA30</v>
      </c>
      <c r="N115" s="3" t="str">
        <f>CONCATENATE("MZZMNT63L56C708P")</f>
        <v>MZZMNT63L56C708P</v>
      </c>
      <c r="O115" s="3" t="s">
        <v>301</v>
      </c>
      <c r="P115" s="3" t="s">
        <v>35</v>
      </c>
      <c r="Q115" s="3" t="s">
        <v>98</v>
      </c>
      <c r="R115" s="4">
        <v>45926</v>
      </c>
      <c r="S115" s="3" t="s">
        <v>37</v>
      </c>
      <c r="T115" s="3" t="s">
        <v>38</v>
      </c>
      <c r="U115" s="3" t="s">
        <v>39</v>
      </c>
      <c r="V115" s="5">
        <v>1428</v>
      </c>
      <c r="W115" s="3">
        <v>721.14</v>
      </c>
      <c r="X115" s="3">
        <v>494.8</v>
      </c>
      <c r="Y115" s="3">
        <v>212.06</v>
      </c>
    </row>
    <row r="116" spans="1:25" ht="41.5" hidden="1" x14ac:dyDescent="0.35">
      <c r="A116" s="3" t="s">
        <v>26</v>
      </c>
      <c r="B116" s="3" t="s">
        <v>27</v>
      </c>
      <c r="C116" s="3" t="s">
        <v>90</v>
      </c>
      <c r="D116" s="3" t="s">
        <v>41</v>
      </c>
      <c r="E116" s="3" t="s">
        <v>264</v>
      </c>
      <c r="F116" s="3" t="s">
        <v>43</v>
      </c>
      <c r="G116" s="3" t="s">
        <v>264</v>
      </c>
      <c r="H116" s="3" t="s">
        <v>96</v>
      </c>
      <c r="I116" s="3">
        <v>2024</v>
      </c>
      <c r="J116" s="3" t="str">
        <f>CONCATENATE("44810379774")</f>
        <v>44810379774</v>
      </c>
      <c r="K116" s="3" t="s">
        <v>33</v>
      </c>
      <c r="L116" s="3" t="str">
        <f t="shared" si="4"/>
        <v/>
      </c>
      <c r="M116" s="3" t="str">
        <f t="shared" si="6"/>
        <v>SRA30</v>
      </c>
      <c r="N116" s="3" t="str">
        <f>CONCATENATE("MCLGPP01P22G273H")</f>
        <v>MCLGPP01P22G273H</v>
      </c>
      <c r="O116" s="3" t="s">
        <v>302</v>
      </c>
      <c r="P116" s="3" t="s">
        <v>35</v>
      </c>
      <c r="Q116" s="3" t="s">
        <v>98</v>
      </c>
      <c r="R116" s="4">
        <v>45926</v>
      </c>
      <c r="S116" s="3" t="s">
        <v>37</v>
      </c>
      <c r="T116" s="3" t="s">
        <v>38</v>
      </c>
      <c r="U116" s="3" t="s">
        <v>39</v>
      </c>
      <c r="V116" s="5">
        <v>2040</v>
      </c>
      <c r="W116" s="5">
        <v>1030.2</v>
      </c>
      <c r="X116" s="3">
        <v>706.86</v>
      </c>
      <c r="Y116" s="3">
        <v>302.94</v>
      </c>
    </row>
    <row r="117" spans="1:25" ht="41.5" hidden="1" x14ac:dyDescent="0.35">
      <c r="A117" s="3" t="s">
        <v>26</v>
      </c>
      <c r="B117" s="3" t="s">
        <v>27</v>
      </c>
      <c r="C117" s="3" t="s">
        <v>90</v>
      </c>
      <c r="D117" s="3" t="s">
        <v>234</v>
      </c>
      <c r="E117" s="3" t="s">
        <v>282</v>
      </c>
      <c r="F117" s="3" t="s">
        <v>119</v>
      </c>
      <c r="G117" s="3" t="s">
        <v>282</v>
      </c>
      <c r="H117" s="3" t="s">
        <v>96</v>
      </c>
      <c r="I117" s="3">
        <v>2024</v>
      </c>
      <c r="J117" s="3" t="str">
        <f>CONCATENATE("44810982759")</f>
        <v>44810982759</v>
      </c>
      <c r="K117" s="3" t="s">
        <v>33</v>
      </c>
      <c r="L117" s="3" t="str">
        <f t="shared" si="4"/>
        <v/>
      </c>
      <c r="M117" s="3" t="str">
        <f t="shared" si="6"/>
        <v>SRA30</v>
      </c>
      <c r="N117" s="3" t="str">
        <f>CONCATENATE("MGLFPP68P41H070T")</f>
        <v>MGLFPP68P41H070T</v>
      </c>
      <c r="O117" s="3" t="s">
        <v>303</v>
      </c>
      <c r="P117" s="3" t="s">
        <v>35</v>
      </c>
      <c r="Q117" s="3" t="s">
        <v>98</v>
      </c>
      <c r="R117" s="4">
        <v>45926</v>
      </c>
      <c r="S117" s="3" t="s">
        <v>37</v>
      </c>
      <c r="T117" s="3" t="s">
        <v>38</v>
      </c>
      <c r="U117" s="3" t="s">
        <v>39</v>
      </c>
      <c r="V117" s="5">
        <v>4668.41</v>
      </c>
      <c r="W117" s="5">
        <v>2357.5500000000002</v>
      </c>
      <c r="X117" s="5">
        <v>1617.6</v>
      </c>
      <c r="Y117" s="3">
        <v>693.26</v>
      </c>
    </row>
    <row r="118" spans="1:25" ht="41.5" hidden="1" x14ac:dyDescent="0.35">
      <c r="A118" s="3" t="s">
        <v>26</v>
      </c>
      <c r="B118" s="3" t="s">
        <v>27</v>
      </c>
      <c r="C118" s="3" t="s">
        <v>90</v>
      </c>
      <c r="D118" s="3" t="s">
        <v>69</v>
      </c>
      <c r="E118" s="3" t="s">
        <v>109</v>
      </c>
      <c r="F118" s="3" t="s">
        <v>71</v>
      </c>
      <c r="G118" s="3" t="s">
        <v>109</v>
      </c>
      <c r="H118" s="3" t="s">
        <v>96</v>
      </c>
      <c r="I118" s="3">
        <v>2024</v>
      </c>
      <c r="J118" s="3" t="str">
        <f>CONCATENATE("44811162187")</f>
        <v>44811162187</v>
      </c>
      <c r="K118" s="3" t="s">
        <v>33</v>
      </c>
      <c r="L118" s="3" t="str">
        <f t="shared" si="4"/>
        <v/>
      </c>
      <c r="M118" s="3" t="str">
        <f t="shared" si="6"/>
        <v>SRA30</v>
      </c>
      <c r="N118" s="3" t="str">
        <f>CONCATENATE("MGLVCN00L17G273L")</f>
        <v>MGLVCN00L17G273L</v>
      </c>
      <c r="O118" s="3" t="s">
        <v>304</v>
      </c>
      <c r="P118" s="3" t="s">
        <v>35</v>
      </c>
      <c r="Q118" s="3" t="s">
        <v>98</v>
      </c>
      <c r="R118" s="4">
        <v>45926</v>
      </c>
      <c r="S118" s="3" t="s">
        <v>37</v>
      </c>
      <c r="T118" s="3" t="s">
        <v>38</v>
      </c>
      <c r="U118" s="3" t="s">
        <v>39</v>
      </c>
      <c r="V118" s="5">
        <v>4452.3</v>
      </c>
      <c r="W118" s="5">
        <v>2248.41</v>
      </c>
      <c r="X118" s="5">
        <v>1542.72</v>
      </c>
      <c r="Y118" s="3">
        <v>661.17</v>
      </c>
    </row>
    <row r="119" spans="1:25" ht="25.5" hidden="1" x14ac:dyDescent="0.35">
      <c r="A119" s="3" t="s">
        <v>26</v>
      </c>
      <c r="B119" s="3" t="s">
        <v>27</v>
      </c>
      <c r="C119" s="3" t="s">
        <v>90</v>
      </c>
      <c r="D119" s="3" t="s">
        <v>29</v>
      </c>
      <c r="E119" s="3" t="s">
        <v>292</v>
      </c>
      <c r="F119" s="3" t="s">
        <v>31</v>
      </c>
      <c r="G119" s="3" t="s">
        <v>292</v>
      </c>
      <c r="H119" s="3" t="s">
        <v>96</v>
      </c>
      <c r="I119" s="3">
        <v>2024</v>
      </c>
      <c r="J119" s="3" t="str">
        <f>CONCATENATE("44811051109")</f>
        <v>44811051109</v>
      </c>
      <c r="K119" s="3" t="s">
        <v>33</v>
      </c>
      <c r="L119" s="3" t="str">
        <f t="shared" si="4"/>
        <v/>
      </c>
      <c r="M119" s="3" t="str">
        <f t="shared" si="6"/>
        <v>SRA30</v>
      </c>
      <c r="N119" s="3" t="str">
        <f>CONCATENATE("06894310827")</f>
        <v>06894310827</v>
      </c>
      <c r="O119" s="3" t="s">
        <v>305</v>
      </c>
      <c r="P119" s="3" t="s">
        <v>35</v>
      </c>
      <c r="Q119" s="3" t="s">
        <v>98</v>
      </c>
      <c r="R119" s="4">
        <v>45926</v>
      </c>
      <c r="S119" s="3" t="s">
        <v>37</v>
      </c>
      <c r="T119" s="3" t="s">
        <v>38</v>
      </c>
      <c r="U119" s="3" t="s">
        <v>39</v>
      </c>
      <c r="V119" s="5">
        <v>3060</v>
      </c>
      <c r="W119" s="5">
        <v>1545.3</v>
      </c>
      <c r="X119" s="5">
        <v>1060.29</v>
      </c>
      <c r="Y119" s="3">
        <v>454.41</v>
      </c>
    </row>
    <row r="120" spans="1:25" ht="41.5" hidden="1" x14ac:dyDescent="0.35">
      <c r="A120" s="3" t="s">
        <v>26</v>
      </c>
      <c r="B120" s="3" t="s">
        <v>27</v>
      </c>
      <c r="C120" s="3" t="s">
        <v>90</v>
      </c>
      <c r="D120" s="3" t="s">
        <v>55</v>
      </c>
      <c r="E120" s="3" t="s">
        <v>306</v>
      </c>
      <c r="F120" s="3" t="s">
        <v>85</v>
      </c>
      <c r="G120" s="3" t="s">
        <v>258</v>
      </c>
      <c r="H120" s="3" t="s">
        <v>96</v>
      </c>
      <c r="I120" s="3">
        <v>2024</v>
      </c>
      <c r="J120" s="3" t="str">
        <f>CONCATENATE("44810572451")</f>
        <v>44810572451</v>
      </c>
      <c r="K120" s="3" t="s">
        <v>33</v>
      </c>
      <c r="L120" s="3" t="str">
        <f t="shared" si="4"/>
        <v/>
      </c>
      <c r="M120" s="3" t="str">
        <f t="shared" si="6"/>
        <v>SRA30</v>
      </c>
      <c r="N120" s="3" t="str">
        <f>CONCATENATE("PNTDTU76H59Z129Z")</f>
        <v>PNTDTU76H59Z129Z</v>
      </c>
      <c r="O120" s="3" t="s">
        <v>307</v>
      </c>
      <c r="P120" s="3" t="s">
        <v>35</v>
      </c>
      <c r="Q120" s="3" t="s">
        <v>98</v>
      </c>
      <c r="R120" s="4">
        <v>45926</v>
      </c>
      <c r="S120" s="3" t="s">
        <v>37</v>
      </c>
      <c r="T120" s="3" t="s">
        <v>38</v>
      </c>
      <c r="U120" s="3" t="s">
        <v>39</v>
      </c>
      <c r="V120" s="5">
        <v>1649</v>
      </c>
      <c r="W120" s="3">
        <v>832.75</v>
      </c>
      <c r="X120" s="3">
        <v>571.38</v>
      </c>
      <c r="Y120" s="3">
        <v>244.87</v>
      </c>
    </row>
    <row r="121" spans="1:25" ht="49.5" hidden="1" x14ac:dyDescent="0.35">
      <c r="A121" s="3" t="s">
        <v>26</v>
      </c>
      <c r="B121" s="3" t="s">
        <v>27</v>
      </c>
      <c r="C121" s="3" t="s">
        <v>90</v>
      </c>
      <c r="D121" s="3" t="s">
        <v>75</v>
      </c>
      <c r="E121" s="3" t="s">
        <v>294</v>
      </c>
      <c r="F121" s="3" t="s">
        <v>77</v>
      </c>
      <c r="G121" s="3" t="s">
        <v>294</v>
      </c>
      <c r="H121" s="3" t="s">
        <v>96</v>
      </c>
      <c r="I121" s="3">
        <v>2024</v>
      </c>
      <c r="J121" s="3" t="str">
        <f>CONCATENATE("44810388320")</f>
        <v>44810388320</v>
      </c>
      <c r="K121" s="3" t="s">
        <v>33</v>
      </c>
      <c r="L121" s="3" t="str">
        <f t="shared" si="4"/>
        <v/>
      </c>
      <c r="M121" s="3" t="str">
        <f t="shared" si="6"/>
        <v>SRA30</v>
      </c>
      <c r="N121" s="3" t="str">
        <f>CONCATENATE("PRTGPP86R54G273A")</f>
        <v>PRTGPP86R54G273A</v>
      </c>
      <c r="O121" s="3" t="s">
        <v>308</v>
      </c>
      <c r="P121" s="3" t="s">
        <v>35</v>
      </c>
      <c r="Q121" s="3" t="s">
        <v>98</v>
      </c>
      <c r="R121" s="4">
        <v>45926</v>
      </c>
      <c r="S121" s="3" t="s">
        <v>37</v>
      </c>
      <c r="T121" s="3" t="s">
        <v>38</v>
      </c>
      <c r="U121" s="3" t="s">
        <v>39</v>
      </c>
      <c r="V121" s="5">
        <v>2731.77</v>
      </c>
      <c r="W121" s="5">
        <v>1379.54</v>
      </c>
      <c r="X121" s="3">
        <v>946.56</v>
      </c>
      <c r="Y121" s="3">
        <v>405.67</v>
      </c>
    </row>
    <row r="122" spans="1:25" ht="49.5" hidden="1" x14ac:dyDescent="0.35">
      <c r="A122" s="3" t="s">
        <v>26</v>
      </c>
      <c r="B122" s="3" t="s">
        <v>27</v>
      </c>
      <c r="C122" s="3" t="s">
        <v>90</v>
      </c>
      <c r="D122" s="3" t="s">
        <v>234</v>
      </c>
      <c r="E122" s="3" t="s">
        <v>282</v>
      </c>
      <c r="F122" s="3" t="s">
        <v>119</v>
      </c>
      <c r="G122" s="3" t="s">
        <v>282</v>
      </c>
      <c r="H122" s="3" t="s">
        <v>96</v>
      </c>
      <c r="I122" s="3">
        <v>2024</v>
      </c>
      <c r="J122" s="3" t="str">
        <f>CONCATENATE("44810982619")</f>
        <v>44810982619</v>
      </c>
      <c r="K122" s="3" t="s">
        <v>33</v>
      </c>
      <c r="L122" s="3" t="str">
        <f t="shared" si="4"/>
        <v/>
      </c>
      <c r="M122" s="3" t="str">
        <f t="shared" si="6"/>
        <v>SRA30</v>
      </c>
      <c r="N122" s="3" t="str">
        <f>CONCATENATE("SNTCML68H09D009A")</f>
        <v>SNTCML68H09D009A</v>
      </c>
      <c r="O122" s="3" t="s">
        <v>309</v>
      </c>
      <c r="P122" s="3" t="s">
        <v>35</v>
      </c>
      <c r="Q122" s="3" t="s">
        <v>98</v>
      </c>
      <c r="R122" s="4">
        <v>45926</v>
      </c>
      <c r="S122" s="3" t="s">
        <v>37</v>
      </c>
      <c r="T122" s="3" t="s">
        <v>38</v>
      </c>
      <c r="U122" s="3" t="s">
        <v>39</v>
      </c>
      <c r="V122" s="5">
        <v>3215.57</v>
      </c>
      <c r="W122" s="5">
        <v>1623.86</v>
      </c>
      <c r="X122" s="5">
        <v>1114.2</v>
      </c>
      <c r="Y122" s="3">
        <v>477.51</v>
      </c>
    </row>
    <row r="123" spans="1:25" ht="41.5" hidden="1" x14ac:dyDescent="0.35">
      <c r="A123" s="3" t="s">
        <v>26</v>
      </c>
      <c r="B123" s="3" t="s">
        <v>27</v>
      </c>
      <c r="C123" s="3" t="s">
        <v>90</v>
      </c>
      <c r="D123" s="3" t="s">
        <v>41</v>
      </c>
      <c r="E123" s="3" t="s">
        <v>310</v>
      </c>
      <c r="F123" s="3" t="s">
        <v>43</v>
      </c>
      <c r="G123" s="3" t="s">
        <v>310</v>
      </c>
      <c r="H123" s="3" t="s">
        <v>311</v>
      </c>
      <c r="I123" s="3">
        <v>2024</v>
      </c>
      <c r="J123" s="3" t="str">
        <f>CONCATENATE("44810167856")</f>
        <v>44810167856</v>
      </c>
      <c r="K123" s="3" t="s">
        <v>33</v>
      </c>
      <c r="L123" s="3" t="str">
        <f t="shared" si="4"/>
        <v/>
      </c>
      <c r="M123" s="3" t="str">
        <f>CONCATENATE("SRA29")</f>
        <v>SRA29</v>
      </c>
      <c r="N123" s="3" t="str">
        <f>CONCATENATE("QLNGPP45P22B427K")</f>
        <v>QLNGPP45P22B427K</v>
      </c>
      <c r="O123" s="3" t="s">
        <v>312</v>
      </c>
      <c r="P123" s="3" t="s">
        <v>35</v>
      </c>
      <c r="Q123" s="3" t="s">
        <v>313</v>
      </c>
      <c r="R123" s="4">
        <v>45915</v>
      </c>
      <c r="S123" s="3" t="s">
        <v>37</v>
      </c>
      <c r="T123" s="3" t="s">
        <v>38</v>
      </c>
      <c r="U123" s="3" t="s">
        <v>39</v>
      </c>
      <c r="V123" s="5">
        <v>1161.9000000000001</v>
      </c>
      <c r="W123" s="3">
        <v>586.76</v>
      </c>
      <c r="X123" s="3">
        <v>402.6</v>
      </c>
      <c r="Y123" s="3">
        <v>172.54</v>
      </c>
    </row>
    <row r="124" spans="1:25" ht="41.5" hidden="1" x14ac:dyDescent="0.35">
      <c r="A124" s="3" t="s">
        <v>26</v>
      </c>
      <c r="B124" s="3" t="s">
        <v>27</v>
      </c>
      <c r="C124" s="3" t="s">
        <v>90</v>
      </c>
      <c r="D124" s="3" t="s">
        <v>164</v>
      </c>
      <c r="E124" s="3" t="s">
        <v>222</v>
      </c>
      <c r="F124" s="3" t="s">
        <v>166</v>
      </c>
      <c r="G124" s="3" t="s">
        <v>222</v>
      </c>
      <c r="H124" s="3" t="s">
        <v>311</v>
      </c>
      <c r="I124" s="3">
        <v>2024</v>
      </c>
      <c r="J124" s="3" t="str">
        <f>CONCATENATE("44810690295")</f>
        <v>44810690295</v>
      </c>
      <c r="K124" s="3" t="s">
        <v>33</v>
      </c>
      <c r="L124" s="3" t="str">
        <f t="shared" si="4"/>
        <v/>
      </c>
      <c r="M124" s="3" t="str">
        <f>CONCATENATE("SRA29")</f>
        <v>SRA29</v>
      </c>
      <c r="N124" s="3" t="str">
        <f>CONCATENATE("FZZPTR55R25G767M")</f>
        <v>FZZPTR55R25G767M</v>
      </c>
      <c r="O124" s="3" t="s">
        <v>314</v>
      </c>
      <c r="P124" s="3" t="s">
        <v>35</v>
      </c>
      <c r="Q124" s="3" t="s">
        <v>313</v>
      </c>
      <c r="R124" s="4">
        <v>45915</v>
      </c>
      <c r="S124" s="3" t="s">
        <v>37</v>
      </c>
      <c r="T124" s="3" t="s">
        <v>38</v>
      </c>
      <c r="U124" s="3" t="s">
        <v>39</v>
      </c>
      <c r="V124" s="5">
        <v>8905.4599999999991</v>
      </c>
      <c r="W124" s="5">
        <v>4497.26</v>
      </c>
      <c r="X124" s="5">
        <v>3085.74</v>
      </c>
      <c r="Y124" s="5">
        <v>1322.46</v>
      </c>
    </row>
    <row r="125" spans="1:25" ht="41.5" hidden="1" x14ac:dyDescent="0.35">
      <c r="A125" s="3" t="s">
        <v>26</v>
      </c>
      <c r="B125" s="3" t="s">
        <v>27</v>
      </c>
      <c r="C125" s="3" t="s">
        <v>90</v>
      </c>
      <c r="D125" s="3" t="s">
        <v>51</v>
      </c>
      <c r="E125" s="3" t="s">
        <v>315</v>
      </c>
      <c r="F125" s="3" t="s">
        <v>51</v>
      </c>
      <c r="G125" s="3" t="s">
        <v>315</v>
      </c>
      <c r="H125" s="3" t="s">
        <v>311</v>
      </c>
      <c r="I125" s="3">
        <v>2024</v>
      </c>
      <c r="J125" s="3" t="str">
        <f>CONCATENATE("44810077568")</f>
        <v>44810077568</v>
      </c>
      <c r="K125" s="3" t="s">
        <v>33</v>
      </c>
      <c r="L125" s="3" t="str">
        <f t="shared" si="4"/>
        <v/>
      </c>
      <c r="M125" s="3" t="str">
        <f>CONCATENATE("SRA29")</f>
        <v>SRA29</v>
      </c>
      <c r="N125" s="3" t="str">
        <f>CONCATENATE("VNZGNN93E63I533G")</f>
        <v>VNZGNN93E63I533G</v>
      </c>
      <c r="O125" s="3" t="s">
        <v>316</v>
      </c>
      <c r="P125" s="3" t="s">
        <v>35</v>
      </c>
      <c r="Q125" s="3" t="s">
        <v>313</v>
      </c>
      <c r="R125" s="4">
        <v>45915</v>
      </c>
      <c r="S125" s="3" t="s">
        <v>37</v>
      </c>
      <c r="T125" s="3" t="s">
        <v>38</v>
      </c>
      <c r="U125" s="3" t="s">
        <v>39</v>
      </c>
      <c r="V125" s="5">
        <v>1920.59</v>
      </c>
      <c r="W125" s="3">
        <v>969.9</v>
      </c>
      <c r="X125" s="3">
        <v>665.48</v>
      </c>
      <c r="Y125" s="3">
        <v>285.20999999999998</v>
      </c>
    </row>
    <row r="126" spans="1:25" ht="41.5" hidden="1" x14ac:dyDescent="0.35">
      <c r="A126" s="3" t="s">
        <v>26</v>
      </c>
      <c r="B126" s="3" t="s">
        <v>27</v>
      </c>
      <c r="C126" s="3" t="s">
        <v>90</v>
      </c>
      <c r="D126" s="3" t="s">
        <v>41</v>
      </c>
      <c r="E126" s="3" t="s">
        <v>264</v>
      </c>
      <c r="F126" s="3" t="s">
        <v>43</v>
      </c>
      <c r="G126" s="3" t="s">
        <v>264</v>
      </c>
      <c r="H126" s="3" t="s">
        <v>96</v>
      </c>
      <c r="I126" s="3">
        <v>2024</v>
      </c>
      <c r="J126" s="3" t="str">
        <f>CONCATENATE("44810506301")</f>
        <v>44810506301</v>
      </c>
      <c r="K126" s="3" t="s">
        <v>33</v>
      </c>
      <c r="L126" s="3" t="str">
        <f t="shared" si="4"/>
        <v/>
      </c>
      <c r="M126" s="3" t="str">
        <f>CONCATENATE("SRA30")</f>
        <v>SRA30</v>
      </c>
      <c r="N126" s="3" t="str">
        <f>CONCATENATE("MSTVCN93S06G273J")</f>
        <v>MSTVCN93S06G273J</v>
      </c>
      <c r="O126" s="3" t="s">
        <v>317</v>
      </c>
      <c r="P126" s="3" t="s">
        <v>35</v>
      </c>
      <c r="Q126" s="3" t="s">
        <v>98</v>
      </c>
      <c r="R126" s="4">
        <v>45926</v>
      </c>
      <c r="S126" s="3" t="s">
        <v>37</v>
      </c>
      <c r="T126" s="3" t="s">
        <v>38</v>
      </c>
      <c r="U126" s="3" t="s">
        <v>39</v>
      </c>
      <c r="V126" s="5">
        <v>5856</v>
      </c>
      <c r="W126" s="5">
        <v>2957.28</v>
      </c>
      <c r="X126" s="5">
        <v>2029.1</v>
      </c>
      <c r="Y126" s="3">
        <v>869.62</v>
      </c>
    </row>
    <row r="127" spans="1:25" ht="41.5" hidden="1" x14ac:dyDescent="0.35">
      <c r="A127" s="3" t="s">
        <v>26</v>
      </c>
      <c r="B127" s="3" t="s">
        <v>27</v>
      </c>
      <c r="C127" s="3" t="s">
        <v>28</v>
      </c>
      <c r="D127" s="3" t="s">
        <v>41</v>
      </c>
      <c r="E127" s="3" t="s">
        <v>195</v>
      </c>
      <c r="F127" s="3" t="s">
        <v>43</v>
      </c>
      <c r="G127" s="3" t="s">
        <v>195</v>
      </c>
      <c r="H127" s="3" t="s">
        <v>72</v>
      </c>
      <c r="I127" s="3">
        <v>2024</v>
      </c>
      <c r="J127" s="3" t="str">
        <f>CONCATENATE("44820068201")</f>
        <v>44820068201</v>
      </c>
      <c r="K127" s="3" t="s">
        <v>33</v>
      </c>
      <c r="L127" s="3" t="str">
        <f t="shared" si="4"/>
        <v/>
      </c>
      <c r="M127" s="3" t="str">
        <f>CONCATENATE("SRB02")</f>
        <v>SRB02</v>
      </c>
      <c r="N127" s="3" t="str">
        <f>CONCATENATE("DBRGNI85T46A225X")</f>
        <v>DBRGNI85T46A225X</v>
      </c>
      <c r="O127" s="3" t="s">
        <v>318</v>
      </c>
      <c r="P127" s="3" t="s">
        <v>35</v>
      </c>
      <c r="Q127" s="3" t="s">
        <v>163</v>
      </c>
      <c r="R127" s="4">
        <v>45916</v>
      </c>
      <c r="S127" s="3" t="s">
        <v>37</v>
      </c>
      <c r="T127" s="3" t="s">
        <v>38</v>
      </c>
      <c r="U127" s="3" t="s">
        <v>39</v>
      </c>
      <c r="V127" s="5">
        <v>3016.82</v>
      </c>
      <c r="W127" s="5">
        <v>1523.49</v>
      </c>
      <c r="X127" s="5">
        <v>1045.33</v>
      </c>
      <c r="Y127" s="3">
        <v>448</v>
      </c>
    </row>
    <row r="128" spans="1:25" ht="41.5" hidden="1" x14ac:dyDescent="0.35">
      <c r="A128" s="3" t="s">
        <v>26</v>
      </c>
      <c r="B128" s="3" t="s">
        <v>27</v>
      </c>
      <c r="C128" s="3" t="s">
        <v>28</v>
      </c>
      <c r="D128" s="3" t="s">
        <v>41</v>
      </c>
      <c r="E128" s="3" t="s">
        <v>319</v>
      </c>
      <c r="F128" s="3" t="s">
        <v>43</v>
      </c>
      <c r="G128" s="3" t="s">
        <v>319</v>
      </c>
      <c r="H128" s="3" t="s">
        <v>72</v>
      </c>
      <c r="I128" s="3">
        <v>2024</v>
      </c>
      <c r="J128" s="3" t="str">
        <f>CONCATENATE("44820574059")</f>
        <v>44820574059</v>
      </c>
      <c r="K128" s="3" t="s">
        <v>33</v>
      </c>
      <c r="L128" s="3" t="str">
        <f t="shared" si="4"/>
        <v/>
      </c>
      <c r="M128" s="3" t="str">
        <f>CONCATENATE("SRB02")</f>
        <v>SRB02</v>
      </c>
      <c r="N128" s="3" t="str">
        <f>CONCATENATE("DNGFNC67E09F915Y")</f>
        <v>DNGFNC67E09F915Y</v>
      </c>
      <c r="O128" s="3" t="s">
        <v>320</v>
      </c>
      <c r="P128" s="3" t="s">
        <v>35</v>
      </c>
      <c r="Q128" s="3" t="s">
        <v>163</v>
      </c>
      <c r="R128" s="4">
        <v>45916</v>
      </c>
      <c r="S128" s="3" t="s">
        <v>37</v>
      </c>
      <c r="T128" s="3" t="s">
        <v>38</v>
      </c>
      <c r="U128" s="3" t="s">
        <v>39</v>
      </c>
      <c r="V128" s="5">
        <v>4183.37</v>
      </c>
      <c r="W128" s="5">
        <v>2112.6</v>
      </c>
      <c r="X128" s="5">
        <v>1449.54</v>
      </c>
      <c r="Y128" s="3">
        <v>621.23</v>
      </c>
    </row>
    <row r="129" spans="1:25" ht="25.5" hidden="1" x14ac:dyDescent="0.35">
      <c r="A129" s="3" t="s">
        <v>26</v>
      </c>
      <c r="B129" s="3" t="s">
        <v>27</v>
      </c>
      <c r="C129" s="3" t="s">
        <v>28</v>
      </c>
      <c r="D129" s="3" t="s">
        <v>41</v>
      </c>
      <c r="E129" s="3" t="s">
        <v>319</v>
      </c>
      <c r="F129" s="3" t="s">
        <v>43</v>
      </c>
      <c r="G129" s="3" t="s">
        <v>319</v>
      </c>
      <c r="H129" s="3" t="s">
        <v>72</v>
      </c>
      <c r="I129" s="3">
        <v>2024</v>
      </c>
      <c r="J129" s="3" t="str">
        <f>CONCATENATE("44820252524")</f>
        <v>44820252524</v>
      </c>
      <c r="K129" s="3" t="s">
        <v>33</v>
      </c>
      <c r="L129" s="3" t="str">
        <f t="shared" si="4"/>
        <v/>
      </c>
      <c r="M129" s="3" t="str">
        <f>CONCATENATE("SRB02")</f>
        <v>SRB02</v>
      </c>
      <c r="N129" s="3" t="str">
        <f>CONCATENATE("06351980724")</f>
        <v>06351980724</v>
      </c>
      <c r="O129" s="3" t="s">
        <v>321</v>
      </c>
      <c r="P129" s="3" t="s">
        <v>35</v>
      </c>
      <c r="Q129" s="3" t="s">
        <v>163</v>
      </c>
      <c r="R129" s="4">
        <v>45916</v>
      </c>
      <c r="S129" s="3" t="s">
        <v>37</v>
      </c>
      <c r="T129" s="3" t="s">
        <v>38</v>
      </c>
      <c r="U129" s="3" t="s">
        <v>39</v>
      </c>
      <c r="V129" s="5">
        <v>3753.64</v>
      </c>
      <c r="W129" s="5">
        <v>1895.59</v>
      </c>
      <c r="X129" s="5">
        <v>1300.6400000000001</v>
      </c>
      <c r="Y129" s="3">
        <v>557.41</v>
      </c>
    </row>
    <row r="130" spans="1:25" ht="41.5" hidden="1" x14ac:dyDescent="0.35">
      <c r="A130" s="3" t="s">
        <v>26</v>
      </c>
      <c r="B130" s="3" t="s">
        <v>27</v>
      </c>
      <c r="C130" s="3" t="s">
        <v>28</v>
      </c>
      <c r="D130" s="3" t="s">
        <v>61</v>
      </c>
      <c r="E130" s="3" t="s">
        <v>322</v>
      </c>
      <c r="F130" s="3" t="s">
        <v>63</v>
      </c>
      <c r="G130" s="3" t="s">
        <v>322</v>
      </c>
      <c r="H130" s="3" t="s">
        <v>72</v>
      </c>
      <c r="I130" s="3">
        <v>2024</v>
      </c>
      <c r="J130" s="3" t="str">
        <f>CONCATENATE("44811454659")</f>
        <v>44811454659</v>
      </c>
      <c r="K130" s="3" t="s">
        <v>33</v>
      </c>
      <c r="L130" s="3" t="str">
        <f t="shared" si="4"/>
        <v/>
      </c>
      <c r="M130" s="3" t="str">
        <f>CONCATENATE("SRA03")</f>
        <v>SRA03</v>
      </c>
      <c r="N130" s="3" t="str">
        <f>CONCATENATE("LFRNTN82A14A225F")</f>
        <v>LFRNTN82A14A225F</v>
      </c>
      <c r="O130" s="3" t="s">
        <v>323</v>
      </c>
      <c r="P130" s="3" t="s">
        <v>35</v>
      </c>
      <c r="Q130" s="3" t="s">
        <v>192</v>
      </c>
      <c r="R130" s="4">
        <v>45916</v>
      </c>
      <c r="S130" s="3" t="s">
        <v>37</v>
      </c>
      <c r="T130" s="3" t="s">
        <v>38</v>
      </c>
      <c r="U130" s="3" t="s">
        <v>39</v>
      </c>
      <c r="V130" s="5">
        <v>2493.06</v>
      </c>
      <c r="W130" s="5">
        <v>1259</v>
      </c>
      <c r="X130" s="3">
        <v>863.85</v>
      </c>
      <c r="Y130" s="3">
        <v>370.21</v>
      </c>
    </row>
    <row r="131" spans="1:25" ht="49.5" hidden="1" x14ac:dyDescent="0.35">
      <c r="A131" s="3" t="s">
        <v>26</v>
      </c>
      <c r="B131" s="3" t="s">
        <v>27</v>
      </c>
      <c r="C131" s="3" t="s">
        <v>28</v>
      </c>
      <c r="D131" s="3" t="s">
        <v>99</v>
      </c>
      <c r="E131" s="3" t="s">
        <v>324</v>
      </c>
      <c r="F131" s="3" t="s">
        <v>101</v>
      </c>
      <c r="G131" s="3" t="s">
        <v>324</v>
      </c>
      <c r="H131" s="3" t="s">
        <v>72</v>
      </c>
      <c r="I131" s="3">
        <v>2024</v>
      </c>
      <c r="J131" s="3" t="str">
        <f>CONCATENATE("44811069770")</f>
        <v>44811069770</v>
      </c>
      <c r="K131" s="3" t="s">
        <v>33</v>
      </c>
      <c r="L131" s="3" t="str">
        <f t="shared" si="4"/>
        <v/>
      </c>
      <c r="M131" s="3" t="str">
        <f>CONCATENATE("SRA01")</f>
        <v>SRA01</v>
      </c>
      <c r="N131" s="3" t="str">
        <f>CONCATENATE("LMCGPP74M59A669W")</f>
        <v>LMCGPP74M59A669W</v>
      </c>
      <c r="O131" s="3" t="s">
        <v>325</v>
      </c>
      <c r="P131" s="3" t="s">
        <v>35</v>
      </c>
      <c r="Q131" s="3" t="s">
        <v>173</v>
      </c>
      <c r="R131" s="4">
        <v>45916</v>
      </c>
      <c r="S131" s="3" t="s">
        <v>37</v>
      </c>
      <c r="T131" s="3" t="s">
        <v>38</v>
      </c>
      <c r="U131" s="3" t="s">
        <v>39</v>
      </c>
      <c r="V131" s="3">
        <v>688.22</v>
      </c>
      <c r="W131" s="3">
        <v>347.55</v>
      </c>
      <c r="X131" s="3">
        <v>238.47</v>
      </c>
      <c r="Y131" s="3">
        <v>102.2</v>
      </c>
    </row>
    <row r="132" spans="1:25" ht="41.5" hidden="1" x14ac:dyDescent="0.35">
      <c r="A132" s="3" t="s">
        <v>26</v>
      </c>
      <c r="B132" s="3" t="s">
        <v>27</v>
      </c>
      <c r="C132" s="3" t="s">
        <v>28</v>
      </c>
      <c r="D132" s="3" t="s">
        <v>107</v>
      </c>
      <c r="E132" s="3" t="s">
        <v>176</v>
      </c>
      <c r="F132" s="3" t="s">
        <v>71</v>
      </c>
      <c r="G132" s="3" t="s">
        <v>177</v>
      </c>
      <c r="H132" s="3" t="s">
        <v>72</v>
      </c>
      <c r="I132" s="3">
        <v>2024</v>
      </c>
      <c r="J132" s="3" t="str">
        <f>CONCATENATE("44810751774")</f>
        <v>44810751774</v>
      </c>
      <c r="K132" s="3" t="s">
        <v>33</v>
      </c>
      <c r="L132" s="3" t="str">
        <f t="shared" ref="L132:L195" si="7">CONCATENATE("")</f>
        <v/>
      </c>
      <c r="M132" s="3" t="str">
        <f>CONCATENATE("SRA01")</f>
        <v>SRA01</v>
      </c>
      <c r="N132" s="3" t="str">
        <f>CONCATENATE("LBSNTN86S05C983P")</f>
        <v>LBSNTN86S05C983P</v>
      </c>
      <c r="O132" s="3" t="s">
        <v>326</v>
      </c>
      <c r="P132" s="3" t="s">
        <v>35</v>
      </c>
      <c r="Q132" s="3" t="s">
        <v>173</v>
      </c>
      <c r="R132" s="4">
        <v>45916</v>
      </c>
      <c r="S132" s="3" t="s">
        <v>37</v>
      </c>
      <c r="T132" s="3" t="s">
        <v>38</v>
      </c>
      <c r="U132" s="3" t="s">
        <v>39</v>
      </c>
      <c r="V132" s="5">
        <v>9226.73</v>
      </c>
      <c r="W132" s="5">
        <v>4659.5</v>
      </c>
      <c r="X132" s="5">
        <v>3197.06</v>
      </c>
      <c r="Y132" s="5">
        <v>1370.17</v>
      </c>
    </row>
    <row r="133" spans="1:25" ht="41.5" hidden="1" x14ac:dyDescent="0.35">
      <c r="A133" s="3" t="s">
        <v>26</v>
      </c>
      <c r="B133" s="3" t="s">
        <v>27</v>
      </c>
      <c r="C133" s="3" t="s">
        <v>90</v>
      </c>
      <c r="D133" s="3" t="s">
        <v>41</v>
      </c>
      <c r="E133" s="3" t="s">
        <v>310</v>
      </c>
      <c r="F133" s="3" t="s">
        <v>43</v>
      </c>
      <c r="G133" s="3" t="s">
        <v>310</v>
      </c>
      <c r="H133" s="3" t="s">
        <v>311</v>
      </c>
      <c r="I133" s="3">
        <v>2024</v>
      </c>
      <c r="J133" s="3" t="str">
        <f>CONCATENATE("44820337283")</f>
        <v>44820337283</v>
      </c>
      <c r="K133" s="3" t="s">
        <v>33</v>
      </c>
      <c r="L133" s="3" t="str">
        <f t="shared" si="7"/>
        <v/>
      </c>
      <c r="M133" s="3" t="str">
        <f>CONCATENATE("SRB02")</f>
        <v>SRB02</v>
      </c>
      <c r="N133" s="3" t="str">
        <f>CONCATENATE("DMRSNT82T10I356A")</f>
        <v>DMRSNT82T10I356A</v>
      </c>
      <c r="O133" s="3" t="s">
        <v>327</v>
      </c>
      <c r="P133" s="3" t="s">
        <v>35</v>
      </c>
      <c r="Q133" s="3" t="s">
        <v>328</v>
      </c>
      <c r="R133" s="4">
        <v>45915</v>
      </c>
      <c r="S133" s="3" t="s">
        <v>37</v>
      </c>
      <c r="T133" s="3" t="s">
        <v>38</v>
      </c>
      <c r="U133" s="3" t="s">
        <v>39</v>
      </c>
      <c r="V133" s="5">
        <v>1915.41</v>
      </c>
      <c r="W133" s="3">
        <v>967.28</v>
      </c>
      <c r="X133" s="3">
        <v>663.69</v>
      </c>
      <c r="Y133" s="3">
        <v>284.44</v>
      </c>
    </row>
    <row r="134" spans="1:25" ht="41.5" hidden="1" x14ac:dyDescent="0.35">
      <c r="A134" s="3" t="s">
        <v>26</v>
      </c>
      <c r="B134" s="3" t="s">
        <v>27</v>
      </c>
      <c r="C134" s="3" t="s">
        <v>90</v>
      </c>
      <c r="D134" s="3" t="s">
        <v>234</v>
      </c>
      <c r="E134" s="3" t="s">
        <v>329</v>
      </c>
      <c r="F134" s="3" t="s">
        <v>119</v>
      </c>
      <c r="G134" s="3" t="s">
        <v>329</v>
      </c>
      <c r="H134" s="3" t="s">
        <v>208</v>
      </c>
      <c r="I134" s="3">
        <v>2024</v>
      </c>
      <c r="J134" s="3" t="str">
        <f>CONCATENATE("44820207593")</f>
        <v>44820207593</v>
      </c>
      <c r="K134" s="3" t="s">
        <v>33</v>
      </c>
      <c r="L134" s="3" t="str">
        <f t="shared" si="7"/>
        <v/>
      </c>
      <c r="M134" s="3" t="str">
        <f>CONCATENATE("SRB01")</f>
        <v>SRB01</v>
      </c>
      <c r="N134" s="3" t="str">
        <f>CONCATENATE("RVLVCN61D30F892H")</f>
        <v>RVLVCN61D30F892H</v>
      </c>
      <c r="O134" s="3" t="s">
        <v>330</v>
      </c>
      <c r="P134" s="3" t="s">
        <v>35</v>
      </c>
      <c r="Q134" s="3" t="s">
        <v>210</v>
      </c>
      <c r="R134" s="4">
        <v>45915</v>
      </c>
      <c r="S134" s="3" t="s">
        <v>37</v>
      </c>
      <c r="T134" s="3" t="s">
        <v>38</v>
      </c>
      <c r="U134" s="3" t="s">
        <v>39</v>
      </c>
      <c r="V134" s="5">
        <v>11849.77</v>
      </c>
      <c r="W134" s="5">
        <v>5984.13</v>
      </c>
      <c r="X134" s="5">
        <v>4105.95</v>
      </c>
      <c r="Y134" s="5">
        <v>1759.69</v>
      </c>
    </row>
    <row r="135" spans="1:25" ht="41.5" hidden="1" x14ac:dyDescent="0.35">
      <c r="A135" s="3" t="s">
        <v>26</v>
      </c>
      <c r="B135" s="3" t="s">
        <v>27</v>
      </c>
      <c r="C135" s="3" t="s">
        <v>90</v>
      </c>
      <c r="D135" s="3" t="s">
        <v>61</v>
      </c>
      <c r="E135" s="3" t="s">
        <v>207</v>
      </c>
      <c r="F135" s="3" t="s">
        <v>63</v>
      </c>
      <c r="G135" s="3" t="s">
        <v>207</v>
      </c>
      <c r="H135" s="3" t="s">
        <v>208</v>
      </c>
      <c r="I135" s="3">
        <v>2024</v>
      </c>
      <c r="J135" s="3" t="str">
        <f>CONCATENATE("44820086013")</f>
        <v>44820086013</v>
      </c>
      <c r="K135" s="3" t="s">
        <v>33</v>
      </c>
      <c r="L135" s="3" t="str">
        <f t="shared" si="7"/>
        <v/>
      </c>
      <c r="M135" s="3" t="str">
        <f>CONCATENATE("SRB01")</f>
        <v>SRB01</v>
      </c>
      <c r="N135" s="3" t="str">
        <f>CONCATENATE("SCLGRZ77C56L448T")</f>
        <v>SCLGRZ77C56L448T</v>
      </c>
      <c r="O135" s="3" t="s">
        <v>331</v>
      </c>
      <c r="P135" s="3" t="s">
        <v>35</v>
      </c>
      <c r="Q135" s="3" t="s">
        <v>210</v>
      </c>
      <c r="R135" s="4">
        <v>45915</v>
      </c>
      <c r="S135" s="3" t="s">
        <v>37</v>
      </c>
      <c r="T135" s="3" t="s">
        <v>38</v>
      </c>
      <c r="U135" s="3" t="s">
        <v>39</v>
      </c>
      <c r="V135" s="5">
        <v>11347.94</v>
      </c>
      <c r="W135" s="5">
        <v>5730.71</v>
      </c>
      <c r="X135" s="5">
        <v>3932.06</v>
      </c>
      <c r="Y135" s="5">
        <v>1685.17</v>
      </c>
    </row>
    <row r="136" spans="1:25" ht="41.5" hidden="1" x14ac:dyDescent="0.35">
      <c r="A136" s="3" t="s">
        <v>26</v>
      </c>
      <c r="B136" s="3" t="s">
        <v>27</v>
      </c>
      <c r="C136" s="3" t="s">
        <v>90</v>
      </c>
      <c r="D136" s="3" t="s">
        <v>41</v>
      </c>
      <c r="E136" s="3" t="s">
        <v>264</v>
      </c>
      <c r="F136" s="3" t="s">
        <v>43</v>
      </c>
      <c r="G136" s="3" t="s">
        <v>264</v>
      </c>
      <c r="H136" s="3" t="s">
        <v>96</v>
      </c>
      <c r="I136" s="3">
        <v>2024</v>
      </c>
      <c r="J136" s="3" t="str">
        <f>CONCATENATE("44810951515")</f>
        <v>44810951515</v>
      </c>
      <c r="K136" s="3" t="s">
        <v>33</v>
      </c>
      <c r="L136" s="3" t="str">
        <f t="shared" si="7"/>
        <v/>
      </c>
      <c r="M136" s="3" t="str">
        <f>CONCATENATE("SRA30")</f>
        <v>SRA30</v>
      </c>
      <c r="N136" s="3" t="str">
        <f>CONCATENATE("NGRGPP71E09G273B")</f>
        <v>NGRGPP71E09G273B</v>
      </c>
      <c r="O136" s="3" t="s">
        <v>332</v>
      </c>
      <c r="P136" s="3" t="s">
        <v>35</v>
      </c>
      <c r="Q136" s="3" t="s">
        <v>98</v>
      </c>
      <c r="R136" s="4">
        <v>45926</v>
      </c>
      <c r="S136" s="3" t="s">
        <v>37</v>
      </c>
      <c r="T136" s="3" t="s">
        <v>38</v>
      </c>
      <c r="U136" s="3" t="s">
        <v>39</v>
      </c>
      <c r="V136" s="5">
        <v>11089.8</v>
      </c>
      <c r="W136" s="5">
        <v>5600.35</v>
      </c>
      <c r="X136" s="5">
        <v>3842.62</v>
      </c>
      <c r="Y136" s="5">
        <v>1646.83</v>
      </c>
    </row>
    <row r="137" spans="1:25" ht="41.5" hidden="1" x14ac:dyDescent="0.35">
      <c r="A137" s="3" t="s">
        <v>26</v>
      </c>
      <c r="B137" s="3" t="s">
        <v>27</v>
      </c>
      <c r="C137" s="3" t="s">
        <v>90</v>
      </c>
      <c r="D137" s="3" t="s">
        <v>234</v>
      </c>
      <c r="E137" s="3" t="s">
        <v>282</v>
      </c>
      <c r="F137" s="3" t="s">
        <v>119</v>
      </c>
      <c r="G137" s="3" t="s">
        <v>282</v>
      </c>
      <c r="H137" s="3" t="s">
        <v>96</v>
      </c>
      <c r="I137" s="3">
        <v>2024</v>
      </c>
      <c r="J137" s="3" t="str">
        <f>CONCATENATE("44811116795")</f>
        <v>44811116795</v>
      </c>
      <c r="K137" s="3" t="s">
        <v>33</v>
      </c>
      <c r="L137" s="3" t="str">
        <f t="shared" si="7"/>
        <v/>
      </c>
      <c r="M137" s="3" t="str">
        <f>CONCATENATE("SRA30")</f>
        <v>SRA30</v>
      </c>
      <c r="N137" s="3" t="str">
        <f>CONCATENATE("MRRGPP64C55H070V")</f>
        <v>MRRGPP64C55H070V</v>
      </c>
      <c r="O137" s="3" t="s">
        <v>333</v>
      </c>
      <c r="P137" s="3" t="s">
        <v>35</v>
      </c>
      <c r="Q137" s="3" t="s">
        <v>98</v>
      </c>
      <c r="R137" s="4">
        <v>45926</v>
      </c>
      <c r="S137" s="3" t="s">
        <v>37</v>
      </c>
      <c r="T137" s="3" t="s">
        <v>38</v>
      </c>
      <c r="U137" s="3" t="s">
        <v>39</v>
      </c>
      <c r="V137" s="5">
        <v>5460</v>
      </c>
      <c r="W137" s="5">
        <v>2757.3</v>
      </c>
      <c r="X137" s="5">
        <v>1891.89</v>
      </c>
      <c r="Y137" s="3">
        <v>810.81</v>
      </c>
    </row>
    <row r="138" spans="1:25" ht="41.5" hidden="1" x14ac:dyDescent="0.35">
      <c r="A138" s="3" t="s">
        <v>26</v>
      </c>
      <c r="B138" s="3" t="s">
        <v>27</v>
      </c>
      <c r="C138" s="3" t="s">
        <v>90</v>
      </c>
      <c r="D138" s="3" t="s">
        <v>61</v>
      </c>
      <c r="E138" s="3" t="s">
        <v>334</v>
      </c>
      <c r="F138" s="3" t="s">
        <v>63</v>
      </c>
      <c r="G138" s="3" t="s">
        <v>334</v>
      </c>
      <c r="H138" s="3" t="s">
        <v>208</v>
      </c>
      <c r="I138" s="3">
        <v>2023</v>
      </c>
      <c r="J138" s="3" t="str">
        <f>CONCATENATE("34820664745")</f>
        <v>34820664745</v>
      </c>
      <c r="K138" s="3" t="s">
        <v>33</v>
      </c>
      <c r="L138" s="3" t="str">
        <f t="shared" si="7"/>
        <v/>
      </c>
      <c r="M138" s="3" t="str">
        <f>CONCATENATE("SRB01")</f>
        <v>SRB01</v>
      </c>
      <c r="N138" s="3" t="str">
        <f>CONCATENATE("TRMPLA74D49C342J")</f>
        <v>TRMPLA74D49C342J</v>
      </c>
      <c r="O138" s="3" t="s">
        <v>335</v>
      </c>
      <c r="P138" s="3" t="s">
        <v>35</v>
      </c>
      <c r="Q138" s="3" t="s">
        <v>210</v>
      </c>
      <c r="R138" s="4">
        <v>45915</v>
      </c>
      <c r="S138" s="3" t="s">
        <v>37</v>
      </c>
      <c r="T138" s="3" t="s">
        <v>38</v>
      </c>
      <c r="U138" s="3" t="s">
        <v>39</v>
      </c>
      <c r="V138" s="5">
        <v>4059.97</v>
      </c>
      <c r="W138" s="5">
        <v>2050.2800000000002</v>
      </c>
      <c r="X138" s="5">
        <v>1406.78</v>
      </c>
      <c r="Y138" s="3">
        <v>602.91</v>
      </c>
    </row>
    <row r="139" spans="1:25" ht="49.5" hidden="1" x14ac:dyDescent="0.35">
      <c r="A139" s="3" t="s">
        <v>26</v>
      </c>
      <c r="B139" s="3" t="s">
        <v>27</v>
      </c>
      <c r="C139" s="3" t="s">
        <v>90</v>
      </c>
      <c r="D139" s="3" t="s">
        <v>29</v>
      </c>
      <c r="E139" s="3" t="s">
        <v>91</v>
      </c>
      <c r="F139" s="3" t="s">
        <v>31</v>
      </c>
      <c r="G139" s="3" t="s">
        <v>91</v>
      </c>
      <c r="H139" s="3" t="s">
        <v>92</v>
      </c>
      <c r="I139" s="3">
        <v>2024</v>
      </c>
      <c r="J139" s="3" t="str">
        <f>CONCATENATE("44810274538")</f>
        <v>44810274538</v>
      </c>
      <c r="K139" s="3" t="s">
        <v>33</v>
      </c>
      <c r="L139" s="3" t="str">
        <f t="shared" si="7"/>
        <v/>
      </c>
      <c r="M139" s="3" t="str">
        <f t="shared" ref="M139:M168" si="8">CONCATENATE("SRA30")</f>
        <v>SRA30</v>
      </c>
      <c r="N139" s="3" t="str">
        <f>CONCATENATE("DDMSLV89E31B428M")</f>
        <v>DDMSLV89E31B428M</v>
      </c>
      <c r="O139" s="3" t="s">
        <v>336</v>
      </c>
      <c r="P139" s="3" t="s">
        <v>35</v>
      </c>
      <c r="Q139" s="3" t="s">
        <v>94</v>
      </c>
      <c r="R139" s="4">
        <v>45926</v>
      </c>
      <c r="S139" s="3" t="s">
        <v>37</v>
      </c>
      <c r="T139" s="3" t="s">
        <v>38</v>
      </c>
      <c r="U139" s="3" t="s">
        <v>39</v>
      </c>
      <c r="V139" s="5">
        <v>3451.35</v>
      </c>
      <c r="W139" s="5">
        <v>1742.93</v>
      </c>
      <c r="X139" s="5">
        <v>1195.8900000000001</v>
      </c>
      <c r="Y139" s="3">
        <v>512.53</v>
      </c>
    </row>
    <row r="140" spans="1:25" ht="41.5" hidden="1" x14ac:dyDescent="0.35">
      <c r="A140" s="3" t="s">
        <v>26</v>
      </c>
      <c r="B140" s="3" t="s">
        <v>27</v>
      </c>
      <c r="C140" s="3" t="s">
        <v>90</v>
      </c>
      <c r="D140" s="3" t="s">
        <v>164</v>
      </c>
      <c r="E140" s="3" t="s">
        <v>337</v>
      </c>
      <c r="F140" s="3" t="s">
        <v>166</v>
      </c>
      <c r="G140" s="3" t="s">
        <v>337</v>
      </c>
      <c r="H140" s="3" t="s">
        <v>92</v>
      </c>
      <c r="I140" s="3">
        <v>2024</v>
      </c>
      <c r="J140" s="3" t="str">
        <f>CONCATENATE("44811127206")</f>
        <v>44811127206</v>
      </c>
      <c r="K140" s="3" t="s">
        <v>33</v>
      </c>
      <c r="L140" s="3" t="str">
        <f t="shared" si="7"/>
        <v/>
      </c>
      <c r="M140" s="3" t="str">
        <f t="shared" si="8"/>
        <v>SRA30</v>
      </c>
      <c r="N140" s="3" t="str">
        <f>CONCATENATE("MTRPLA63E05I754N")</f>
        <v>MTRPLA63E05I754N</v>
      </c>
      <c r="O140" s="3" t="s">
        <v>338</v>
      </c>
      <c r="P140" s="3" t="s">
        <v>35</v>
      </c>
      <c r="Q140" s="3" t="s">
        <v>94</v>
      </c>
      <c r="R140" s="4">
        <v>45926</v>
      </c>
      <c r="S140" s="3" t="s">
        <v>37</v>
      </c>
      <c r="T140" s="3" t="s">
        <v>38</v>
      </c>
      <c r="U140" s="3" t="s">
        <v>39</v>
      </c>
      <c r="V140" s="5">
        <v>8283.7999999999993</v>
      </c>
      <c r="W140" s="5">
        <v>4183.32</v>
      </c>
      <c r="X140" s="5">
        <v>2870.34</v>
      </c>
      <c r="Y140" s="5">
        <v>1230.1400000000001</v>
      </c>
    </row>
    <row r="141" spans="1:25" ht="49.5" hidden="1" x14ac:dyDescent="0.35">
      <c r="A141" s="3" t="s">
        <v>26</v>
      </c>
      <c r="B141" s="3" t="s">
        <v>27</v>
      </c>
      <c r="C141" s="3" t="s">
        <v>90</v>
      </c>
      <c r="D141" s="3" t="s">
        <v>234</v>
      </c>
      <c r="E141" s="3" t="s">
        <v>235</v>
      </c>
      <c r="F141" s="3" t="s">
        <v>119</v>
      </c>
      <c r="G141" s="3" t="s">
        <v>235</v>
      </c>
      <c r="H141" s="3" t="s">
        <v>92</v>
      </c>
      <c r="I141" s="3">
        <v>2024</v>
      </c>
      <c r="J141" s="3" t="str">
        <f>CONCATENATE("44810935849")</f>
        <v>44810935849</v>
      </c>
      <c r="K141" s="3" t="s">
        <v>33</v>
      </c>
      <c r="L141" s="3" t="str">
        <f t="shared" si="7"/>
        <v/>
      </c>
      <c r="M141" s="3" t="str">
        <f t="shared" si="8"/>
        <v>SRA30</v>
      </c>
      <c r="N141" s="3" t="str">
        <f>CONCATENATE("GNCSVT60D22D540A")</f>
        <v>GNCSVT60D22D540A</v>
      </c>
      <c r="O141" s="3" t="s">
        <v>339</v>
      </c>
      <c r="P141" s="3" t="s">
        <v>35</v>
      </c>
      <c r="Q141" s="3" t="s">
        <v>94</v>
      </c>
      <c r="R141" s="4">
        <v>45926</v>
      </c>
      <c r="S141" s="3" t="s">
        <v>37</v>
      </c>
      <c r="T141" s="3" t="s">
        <v>38</v>
      </c>
      <c r="U141" s="3" t="s">
        <v>39</v>
      </c>
      <c r="V141" s="5">
        <v>3745.46</v>
      </c>
      <c r="W141" s="5">
        <v>1891.46</v>
      </c>
      <c r="X141" s="5">
        <v>1297.8</v>
      </c>
      <c r="Y141" s="3">
        <v>556.20000000000005</v>
      </c>
    </row>
    <row r="142" spans="1:25" ht="25.5" hidden="1" x14ac:dyDescent="0.35">
      <c r="A142" s="3" t="s">
        <v>26</v>
      </c>
      <c r="B142" s="3" t="s">
        <v>27</v>
      </c>
      <c r="C142" s="3" t="s">
        <v>90</v>
      </c>
      <c r="D142" s="3" t="s">
        <v>41</v>
      </c>
      <c r="E142" s="3" t="s">
        <v>264</v>
      </c>
      <c r="F142" s="3" t="s">
        <v>43</v>
      </c>
      <c r="G142" s="3" t="s">
        <v>264</v>
      </c>
      <c r="H142" s="3" t="s">
        <v>96</v>
      </c>
      <c r="I142" s="3">
        <v>2024</v>
      </c>
      <c r="J142" s="3" t="str">
        <f>CONCATENATE("44810571842")</f>
        <v>44810571842</v>
      </c>
      <c r="K142" s="3" t="s">
        <v>33</v>
      </c>
      <c r="L142" s="3" t="str">
        <f t="shared" si="7"/>
        <v/>
      </c>
      <c r="M142" s="3" t="str">
        <f t="shared" si="8"/>
        <v>SRA30</v>
      </c>
      <c r="N142" s="3" t="str">
        <f>CONCATENATE("03995030826")</f>
        <v>03995030826</v>
      </c>
      <c r="O142" s="3" t="s">
        <v>340</v>
      </c>
      <c r="P142" s="3" t="s">
        <v>35</v>
      </c>
      <c r="Q142" s="3" t="s">
        <v>98</v>
      </c>
      <c r="R142" s="4">
        <v>45926</v>
      </c>
      <c r="S142" s="3" t="s">
        <v>37</v>
      </c>
      <c r="T142" s="3" t="s">
        <v>38</v>
      </c>
      <c r="U142" s="3" t="s">
        <v>39</v>
      </c>
      <c r="V142" s="5">
        <v>6375</v>
      </c>
      <c r="W142" s="5">
        <v>3219.38</v>
      </c>
      <c r="X142" s="5">
        <v>2208.94</v>
      </c>
      <c r="Y142" s="3">
        <v>946.68</v>
      </c>
    </row>
    <row r="143" spans="1:25" ht="41.5" hidden="1" x14ac:dyDescent="0.35">
      <c r="A143" s="3" t="s">
        <v>26</v>
      </c>
      <c r="B143" s="3" t="s">
        <v>27</v>
      </c>
      <c r="C143" s="3" t="s">
        <v>90</v>
      </c>
      <c r="D143" s="3" t="s">
        <v>29</v>
      </c>
      <c r="E143" s="3" t="s">
        <v>341</v>
      </c>
      <c r="F143" s="3" t="s">
        <v>63</v>
      </c>
      <c r="G143" s="3" t="s">
        <v>342</v>
      </c>
      <c r="H143" s="3" t="s">
        <v>92</v>
      </c>
      <c r="I143" s="3">
        <v>2024</v>
      </c>
      <c r="J143" s="3" t="str">
        <f>CONCATENATE("44810575629")</f>
        <v>44810575629</v>
      </c>
      <c r="K143" s="3" t="s">
        <v>33</v>
      </c>
      <c r="L143" s="3" t="str">
        <f t="shared" si="7"/>
        <v/>
      </c>
      <c r="M143" s="3" t="str">
        <f t="shared" si="8"/>
        <v>SRA30</v>
      </c>
      <c r="N143" s="3" t="str">
        <f>CONCATENATE("GNSPLA78A26I754L")</f>
        <v>GNSPLA78A26I754L</v>
      </c>
      <c r="O143" s="3" t="s">
        <v>343</v>
      </c>
      <c r="P143" s="3" t="s">
        <v>35</v>
      </c>
      <c r="Q143" s="3" t="s">
        <v>94</v>
      </c>
      <c r="R143" s="4">
        <v>45926</v>
      </c>
      <c r="S143" s="3" t="s">
        <v>37</v>
      </c>
      <c r="T143" s="3" t="s">
        <v>38</v>
      </c>
      <c r="U143" s="3" t="s">
        <v>39</v>
      </c>
      <c r="V143" s="5">
        <v>3944</v>
      </c>
      <c r="W143" s="5">
        <v>1991.72</v>
      </c>
      <c r="X143" s="5">
        <v>1366.6</v>
      </c>
      <c r="Y143" s="3">
        <v>585.67999999999995</v>
      </c>
    </row>
    <row r="144" spans="1:25" ht="41.5" hidden="1" x14ac:dyDescent="0.35">
      <c r="A144" s="3" t="s">
        <v>26</v>
      </c>
      <c r="B144" s="3" t="s">
        <v>27</v>
      </c>
      <c r="C144" s="3" t="s">
        <v>90</v>
      </c>
      <c r="D144" s="3" t="s">
        <v>99</v>
      </c>
      <c r="E144" s="3" t="s">
        <v>344</v>
      </c>
      <c r="F144" s="3" t="s">
        <v>101</v>
      </c>
      <c r="G144" s="3" t="s">
        <v>344</v>
      </c>
      <c r="H144" s="3" t="s">
        <v>92</v>
      </c>
      <c r="I144" s="3">
        <v>2024</v>
      </c>
      <c r="J144" s="3" t="str">
        <f>CONCATENATE("44811264769")</f>
        <v>44811264769</v>
      </c>
      <c r="K144" s="3" t="s">
        <v>33</v>
      </c>
      <c r="L144" s="3" t="str">
        <f t="shared" si="7"/>
        <v/>
      </c>
      <c r="M144" s="3" t="str">
        <f t="shared" si="8"/>
        <v>SRA30</v>
      </c>
      <c r="N144" s="3" t="str">
        <f>CONCATENATE("GNFGPP59R19B603K")</f>
        <v>GNFGPP59R19B603K</v>
      </c>
      <c r="O144" s="3" t="s">
        <v>345</v>
      </c>
      <c r="P144" s="3" t="s">
        <v>35</v>
      </c>
      <c r="Q144" s="3" t="s">
        <v>94</v>
      </c>
      <c r="R144" s="4">
        <v>45926</v>
      </c>
      <c r="S144" s="3" t="s">
        <v>37</v>
      </c>
      <c r="T144" s="3" t="s">
        <v>38</v>
      </c>
      <c r="U144" s="3" t="s">
        <v>39</v>
      </c>
      <c r="V144" s="5">
        <v>2836.28</v>
      </c>
      <c r="W144" s="5">
        <v>1432.32</v>
      </c>
      <c r="X144" s="3">
        <v>982.77</v>
      </c>
      <c r="Y144" s="3">
        <v>421.19</v>
      </c>
    </row>
    <row r="145" spans="1:25" ht="41.5" hidden="1" x14ac:dyDescent="0.35">
      <c r="A145" s="3" t="s">
        <v>26</v>
      </c>
      <c r="B145" s="3" t="s">
        <v>27</v>
      </c>
      <c r="C145" s="3" t="s">
        <v>90</v>
      </c>
      <c r="D145" s="3" t="s">
        <v>51</v>
      </c>
      <c r="E145" s="3" t="s">
        <v>226</v>
      </c>
      <c r="F145" s="3" t="s">
        <v>51</v>
      </c>
      <c r="G145" s="3" t="s">
        <v>226</v>
      </c>
      <c r="H145" s="3" t="s">
        <v>92</v>
      </c>
      <c r="I145" s="3">
        <v>2024</v>
      </c>
      <c r="J145" s="3" t="str">
        <f>CONCATENATE("44811129723")</f>
        <v>44811129723</v>
      </c>
      <c r="K145" s="3" t="s">
        <v>33</v>
      </c>
      <c r="L145" s="3" t="str">
        <f t="shared" si="7"/>
        <v/>
      </c>
      <c r="M145" s="3" t="str">
        <f t="shared" si="8"/>
        <v>SRA30</v>
      </c>
      <c r="N145" s="3" t="str">
        <f>CONCATENATE("LTRGRG76B10H163S")</f>
        <v>LTRGRG76B10H163S</v>
      </c>
      <c r="O145" s="3" t="s">
        <v>346</v>
      </c>
      <c r="P145" s="3" t="s">
        <v>35</v>
      </c>
      <c r="Q145" s="3" t="s">
        <v>94</v>
      </c>
      <c r="R145" s="4">
        <v>45926</v>
      </c>
      <c r="S145" s="3" t="s">
        <v>37</v>
      </c>
      <c r="T145" s="3" t="s">
        <v>38</v>
      </c>
      <c r="U145" s="3" t="s">
        <v>39</v>
      </c>
      <c r="V145" s="5">
        <v>3681.1</v>
      </c>
      <c r="W145" s="5">
        <v>1858.96</v>
      </c>
      <c r="X145" s="5">
        <v>1275.5</v>
      </c>
      <c r="Y145" s="3">
        <v>546.64</v>
      </c>
    </row>
    <row r="146" spans="1:25" ht="25.5" hidden="1" x14ac:dyDescent="0.35">
      <c r="A146" s="3" t="s">
        <v>26</v>
      </c>
      <c r="B146" s="3" t="s">
        <v>27</v>
      </c>
      <c r="C146" s="3" t="s">
        <v>90</v>
      </c>
      <c r="D146" s="3" t="s">
        <v>29</v>
      </c>
      <c r="E146" s="3" t="s">
        <v>248</v>
      </c>
      <c r="F146" s="3" t="s">
        <v>31</v>
      </c>
      <c r="G146" s="3" t="s">
        <v>248</v>
      </c>
      <c r="H146" s="3" t="s">
        <v>92</v>
      </c>
      <c r="I146" s="3">
        <v>2024</v>
      </c>
      <c r="J146" s="3" t="str">
        <f>CONCATENATE("44811841301")</f>
        <v>44811841301</v>
      </c>
      <c r="K146" s="3" t="s">
        <v>33</v>
      </c>
      <c r="L146" s="3" t="str">
        <f t="shared" si="7"/>
        <v/>
      </c>
      <c r="M146" s="3" t="str">
        <f t="shared" si="8"/>
        <v>SRA30</v>
      </c>
      <c r="N146" s="3" t="str">
        <f>CONCATENATE("93079860891")</f>
        <v>93079860891</v>
      </c>
      <c r="O146" s="3" t="s">
        <v>347</v>
      </c>
      <c r="P146" s="3" t="s">
        <v>35</v>
      </c>
      <c r="Q146" s="3" t="s">
        <v>94</v>
      </c>
      <c r="R146" s="4">
        <v>45926</v>
      </c>
      <c r="S146" s="3" t="s">
        <v>37</v>
      </c>
      <c r="T146" s="3" t="s">
        <v>38</v>
      </c>
      <c r="U146" s="3" t="s">
        <v>39</v>
      </c>
      <c r="V146" s="5">
        <v>2572.44</v>
      </c>
      <c r="W146" s="5">
        <v>1299.08</v>
      </c>
      <c r="X146" s="3">
        <v>891.35</v>
      </c>
      <c r="Y146" s="3">
        <v>382.01</v>
      </c>
    </row>
    <row r="147" spans="1:25" ht="41.5" hidden="1" x14ac:dyDescent="0.35">
      <c r="A147" s="3" t="s">
        <v>26</v>
      </c>
      <c r="B147" s="3" t="s">
        <v>27</v>
      </c>
      <c r="C147" s="3" t="s">
        <v>90</v>
      </c>
      <c r="D147" s="3" t="s">
        <v>51</v>
      </c>
      <c r="E147" s="3" t="s">
        <v>226</v>
      </c>
      <c r="F147" s="3" t="s">
        <v>51</v>
      </c>
      <c r="G147" s="3" t="s">
        <v>226</v>
      </c>
      <c r="H147" s="3" t="s">
        <v>92</v>
      </c>
      <c r="I147" s="3">
        <v>2024</v>
      </c>
      <c r="J147" s="3" t="str">
        <f>CONCATENATE("44810604544")</f>
        <v>44810604544</v>
      </c>
      <c r="K147" s="3" t="s">
        <v>33</v>
      </c>
      <c r="L147" s="3" t="str">
        <f t="shared" si="7"/>
        <v/>
      </c>
      <c r="M147" s="3" t="str">
        <f t="shared" si="8"/>
        <v>SRA30</v>
      </c>
      <c r="N147" s="3" t="str">
        <f>CONCATENATE("LMNGPL88L27I754P")</f>
        <v>LMNGPL88L27I754P</v>
      </c>
      <c r="O147" s="3" t="s">
        <v>348</v>
      </c>
      <c r="P147" s="3" t="s">
        <v>35</v>
      </c>
      <c r="Q147" s="3" t="s">
        <v>94</v>
      </c>
      <c r="R147" s="4">
        <v>45926</v>
      </c>
      <c r="S147" s="3" t="s">
        <v>37</v>
      </c>
      <c r="T147" s="3" t="s">
        <v>38</v>
      </c>
      <c r="U147" s="3" t="s">
        <v>39</v>
      </c>
      <c r="V147" s="5">
        <v>10530.4</v>
      </c>
      <c r="W147" s="5">
        <v>5317.85</v>
      </c>
      <c r="X147" s="5">
        <v>3648.78</v>
      </c>
      <c r="Y147" s="5">
        <v>1563.77</v>
      </c>
    </row>
    <row r="148" spans="1:25" ht="41.5" hidden="1" x14ac:dyDescent="0.35">
      <c r="A148" s="3" t="s">
        <v>26</v>
      </c>
      <c r="B148" s="3" t="s">
        <v>27</v>
      </c>
      <c r="C148" s="3" t="s">
        <v>90</v>
      </c>
      <c r="D148" s="3" t="s">
        <v>29</v>
      </c>
      <c r="E148" s="3" t="s">
        <v>91</v>
      </c>
      <c r="F148" s="3" t="s">
        <v>31</v>
      </c>
      <c r="G148" s="3" t="s">
        <v>91</v>
      </c>
      <c r="H148" s="3" t="s">
        <v>92</v>
      </c>
      <c r="I148" s="3">
        <v>2024</v>
      </c>
      <c r="J148" s="3" t="str">
        <f>CONCATENATE("44810656296")</f>
        <v>44810656296</v>
      </c>
      <c r="K148" s="3" t="s">
        <v>33</v>
      </c>
      <c r="L148" s="3" t="str">
        <f t="shared" si="7"/>
        <v/>
      </c>
      <c r="M148" s="3" t="str">
        <f t="shared" si="8"/>
        <v>SRA30</v>
      </c>
      <c r="N148" s="3" t="str">
        <f>CONCATENATE("NLFMTT94R24H163X")</f>
        <v>NLFMTT94R24H163X</v>
      </c>
      <c r="O148" s="3" t="s">
        <v>349</v>
      </c>
      <c r="P148" s="3" t="s">
        <v>35</v>
      </c>
      <c r="Q148" s="3" t="s">
        <v>94</v>
      </c>
      <c r="R148" s="4">
        <v>45926</v>
      </c>
      <c r="S148" s="3" t="s">
        <v>37</v>
      </c>
      <c r="T148" s="3" t="s">
        <v>38</v>
      </c>
      <c r="U148" s="3" t="s">
        <v>39</v>
      </c>
      <c r="V148" s="5">
        <v>3133.1</v>
      </c>
      <c r="W148" s="5">
        <v>1582.22</v>
      </c>
      <c r="X148" s="5">
        <v>1085.6199999999999</v>
      </c>
      <c r="Y148" s="3">
        <v>465.26</v>
      </c>
    </row>
    <row r="149" spans="1:25" ht="41.5" hidden="1" x14ac:dyDescent="0.35">
      <c r="A149" s="3" t="s">
        <v>26</v>
      </c>
      <c r="B149" s="3" t="s">
        <v>27</v>
      </c>
      <c r="C149" s="3" t="s">
        <v>90</v>
      </c>
      <c r="D149" s="3" t="s">
        <v>99</v>
      </c>
      <c r="E149" s="3" t="s">
        <v>344</v>
      </c>
      <c r="F149" s="3" t="s">
        <v>101</v>
      </c>
      <c r="G149" s="3" t="s">
        <v>344</v>
      </c>
      <c r="H149" s="3" t="s">
        <v>92</v>
      </c>
      <c r="I149" s="3">
        <v>2024</v>
      </c>
      <c r="J149" s="3" t="str">
        <f>CONCATENATE("44810906485")</f>
        <v>44810906485</v>
      </c>
      <c r="K149" s="3" t="s">
        <v>33</v>
      </c>
      <c r="L149" s="3" t="str">
        <f t="shared" si="7"/>
        <v/>
      </c>
      <c r="M149" s="3" t="str">
        <f t="shared" si="8"/>
        <v>SRA30</v>
      </c>
      <c r="N149" s="3" t="str">
        <f>CONCATENATE("RSSSFO79S41I864L")</f>
        <v>RSSSFO79S41I864L</v>
      </c>
      <c r="O149" s="3" t="s">
        <v>350</v>
      </c>
      <c r="P149" s="3" t="s">
        <v>35</v>
      </c>
      <c r="Q149" s="3" t="s">
        <v>94</v>
      </c>
      <c r="R149" s="4">
        <v>45926</v>
      </c>
      <c r="S149" s="3" t="s">
        <v>37</v>
      </c>
      <c r="T149" s="3" t="s">
        <v>38</v>
      </c>
      <c r="U149" s="3" t="s">
        <v>39</v>
      </c>
      <c r="V149" s="5">
        <v>1443.86</v>
      </c>
      <c r="W149" s="3">
        <v>729.15</v>
      </c>
      <c r="X149" s="3">
        <v>500.3</v>
      </c>
      <c r="Y149" s="3">
        <v>214.41</v>
      </c>
    </row>
    <row r="150" spans="1:25" ht="41.5" hidden="1" x14ac:dyDescent="0.35">
      <c r="A150" s="3" t="s">
        <v>26</v>
      </c>
      <c r="B150" s="3" t="s">
        <v>27</v>
      </c>
      <c r="C150" s="3" t="s">
        <v>90</v>
      </c>
      <c r="D150" s="3" t="s">
        <v>51</v>
      </c>
      <c r="E150" s="3" t="s">
        <v>226</v>
      </c>
      <c r="F150" s="3" t="s">
        <v>51</v>
      </c>
      <c r="G150" s="3" t="s">
        <v>226</v>
      </c>
      <c r="H150" s="3" t="s">
        <v>92</v>
      </c>
      <c r="I150" s="3">
        <v>2024</v>
      </c>
      <c r="J150" s="3" t="str">
        <f>CONCATENATE("44810361715")</f>
        <v>44810361715</v>
      </c>
      <c r="K150" s="3" t="s">
        <v>33</v>
      </c>
      <c r="L150" s="3" t="str">
        <f t="shared" si="7"/>
        <v/>
      </c>
      <c r="M150" s="3" t="str">
        <f t="shared" si="8"/>
        <v>SRA30</v>
      </c>
      <c r="N150" s="3" t="str">
        <f>CONCATENATE("SCRPPL66A24D540B")</f>
        <v>SCRPPL66A24D540B</v>
      </c>
      <c r="O150" s="3" t="s">
        <v>351</v>
      </c>
      <c r="P150" s="3" t="s">
        <v>35</v>
      </c>
      <c r="Q150" s="3" t="s">
        <v>94</v>
      </c>
      <c r="R150" s="4">
        <v>45926</v>
      </c>
      <c r="S150" s="3" t="s">
        <v>37</v>
      </c>
      <c r="T150" s="3" t="s">
        <v>38</v>
      </c>
      <c r="U150" s="3" t="s">
        <v>39</v>
      </c>
      <c r="V150" s="5">
        <v>4254.0200000000004</v>
      </c>
      <c r="W150" s="5">
        <v>2148.2800000000002</v>
      </c>
      <c r="X150" s="5">
        <v>1474.02</v>
      </c>
      <c r="Y150" s="3">
        <v>631.72</v>
      </c>
    </row>
    <row r="151" spans="1:25" ht="41.5" hidden="1" x14ac:dyDescent="0.35">
      <c r="A151" s="3" t="s">
        <v>26</v>
      </c>
      <c r="B151" s="3" t="s">
        <v>27</v>
      </c>
      <c r="C151" s="3" t="s">
        <v>90</v>
      </c>
      <c r="D151" s="3" t="s">
        <v>164</v>
      </c>
      <c r="E151" s="3" t="s">
        <v>337</v>
      </c>
      <c r="F151" s="3" t="s">
        <v>166</v>
      </c>
      <c r="G151" s="3" t="s">
        <v>337</v>
      </c>
      <c r="H151" s="3" t="s">
        <v>92</v>
      </c>
      <c r="I151" s="3">
        <v>2024</v>
      </c>
      <c r="J151" s="3" t="str">
        <f>CONCATENATE("44811293305")</f>
        <v>44811293305</v>
      </c>
      <c r="K151" s="3" t="s">
        <v>33</v>
      </c>
      <c r="L151" s="3" t="str">
        <f t="shared" si="7"/>
        <v/>
      </c>
      <c r="M151" s="3" t="str">
        <f t="shared" si="8"/>
        <v>SRA30</v>
      </c>
      <c r="N151" s="3" t="str">
        <f>CONCATENATE("ZCCMNL83R12C351T")</f>
        <v>ZCCMNL83R12C351T</v>
      </c>
      <c r="O151" s="3" t="s">
        <v>352</v>
      </c>
      <c r="P151" s="3" t="s">
        <v>35</v>
      </c>
      <c r="Q151" s="3" t="s">
        <v>94</v>
      </c>
      <c r="R151" s="4">
        <v>45926</v>
      </c>
      <c r="S151" s="3" t="s">
        <v>37</v>
      </c>
      <c r="T151" s="3" t="s">
        <v>38</v>
      </c>
      <c r="U151" s="3" t="s">
        <v>39</v>
      </c>
      <c r="V151" s="5">
        <v>2728.24</v>
      </c>
      <c r="W151" s="5">
        <v>1377.76</v>
      </c>
      <c r="X151" s="3">
        <v>945.34</v>
      </c>
      <c r="Y151" s="3">
        <v>405.14</v>
      </c>
    </row>
    <row r="152" spans="1:25" ht="49.5" hidden="1" x14ac:dyDescent="0.35">
      <c r="A152" s="3" t="s">
        <v>26</v>
      </c>
      <c r="B152" s="3" t="s">
        <v>27</v>
      </c>
      <c r="C152" s="3" t="s">
        <v>90</v>
      </c>
      <c r="D152" s="3" t="s">
        <v>41</v>
      </c>
      <c r="E152" s="3" t="s">
        <v>264</v>
      </c>
      <c r="F152" s="3" t="s">
        <v>43</v>
      </c>
      <c r="G152" s="3" t="s">
        <v>264</v>
      </c>
      <c r="H152" s="3" t="s">
        <v>96</v>
      </c>
      <c r="I152" s="3">
        <v>2024</v>
      </c>
      <c r="J152" s="3" t="str">
        <f>CONCATENATE("44810089548")</f>
        <v>44810089548</v>
      </c>
      <c r="K152" s="3" t="s">
        <v>33</v>
      </c>
      <c r="L152" s="3" t="str">
        <f t="shared" si="7"/>
        <v/>
      </c>
      <c r="M152" s="3" t="str">
        <f t="shared" si="8"/>
        <v>SRA30</v>
      </c>
      <c r="N152" s="3" t="str">
        <f>CONCATENATE("CCMMRN85S42G273Y")</f>
        <v>CCMMRN85S42G273Y</v>
      </c>
      <c r="O152" s="3" t="s">
        <v>353</v>
      </c>
      <c r="P152" s="3" t="s">
        <v>35</v>
      </c>
      <c r="Q152" s="3" t="s">
        <v>98</v>
      </c>
      <c r="R152" s="4">
        <v>45926</v>
      </c>
      <c r="S152" s="3" t="s">
        <v>37</v>
      </c>
      <c r="T152" s="3" t="s">
        <v>38</v>
      </c>
      <c r="U152" s="3" t="s">
        <v>39</v>
      </c>
      <c r="V152" s="5">
        <v>1170.1199999999999</v>
      </c>
      <c r="W152" s="3">
        <v>590.91</v>
      </c>
      <c r="X152" s="3">
        <v>405.45</v>
      </c>
      <c r="Y152" s="3">
        <v>173.76</v>
      </c>
    </row>
    <row r="153" spans="1:25" ht="25.5" hidden="1" x14ac:dyDescent="0.35">
      <c r="A153" s="3" t="s">
        <v>26</v>
      </c>
      <c r="B153" s="3" t="s">
        <v>27</v>
      </c>
      <c r="C153" s="3" t="s">
        <v>90</v>
      </c>
      <c r="D153" s="3" t="s">
        <v>29</v>
      </c>
      <c r="E153" s="3" t="s">
        <v>286</v>
      </c>
      <c r="F153" s="3" t="s">
        <v>31</v>
      </c>
      <c r="G153" s="3" t="s">
        <v>286</v>
      </c>
      <c r="H153" s="3" t="s">
        <v>96</v>
      </c>
      <c r="I153" s="3">
        <v>2024</v>
      </c>
      <c r="J153" s="3" t="str">
        <f>CONCATENATE("44810812238")</f>
        <v>44810812238</v>
      </c>
      <c r="K153" s="3" t="s">
        <v>33</v>
      </c>
      <c r="L153" s="3" t="str">
        <f t="shared" si="7"/>
        <v/>
      </c>
      <c r="M153" s="3" t="str">
        <f t="shared" si="8"/>
        <v>SRA30</v>
      </c>
      <c r="N153" s="3" t="str">
        <f>CONCATENATE("06809190827")</f>
        <v>06809190827</v>
      </c>
      <c r="O153" s="3" t="s">
        <v>354</v>
      </c>
      <c r="P153" s="3" t="s">
        <v>35</v>
      </c>
      <c r="Q153" s="3" t="s">
        <v>98</v>
      </c>
      <c r="R153" s="4">
        <v>45926</v>
      </c>
      <c r="S153" s="3" t="s">
        <v>37</v>
      </c>
      <c r="T153" s="3" t="s">
        <v>38</v>
      </c>
      <c r="U153" s="3" t="s">
        <v>39</v>
      </c>
      <c r="V153" s="5">
        <v>4397.8999999999996</v>
      </c>
      <c r="W153" s="5">
        <v>2220.94</v>
      </c>
      <c r="X153" s="5">
        <v>1523.87</v>
      </c>
      <c r="Y153" s="3">
        <v>653.09</v>
      </c>
    </row>
    <row r="154" spans="1:25" ht="41.5" hidden="1" x14ac:dyDescent="0.35">
      <c r="A154" s="3" t="s">
        <v>26</v>
      </c>
      <c r="B154" s="3" t="s">
        <v>27</v>
      </c>
      <c r="C154" s="3" t="s">
        <v>90</v>
      </c>
      <c r="D154" s="3" t="s">
        <v>41</v>
      </c>
      <c r="E154" s="3" t="s">
        <v>260</v>
      </c>
      <c r="F154" s="3" t="s">
        <v>43</v>
      </c>
      <c r="G154" s="3" t="s">
        <v>260</v>
      </c>
      <c r="H154" s="3" t="s">
        <v>96</v>
      </c>
      <c r="I154" s="3">
        <v>2024</v>
      </c>
      <c r="J154" s="3" t="str">
        <f>CONCATENATE("44810840361")</f>
        <v>44810840361</v>
      </c>
      <c r="K154" s="3" t="s">
        <v>33</v>
      </c>
      <c r="L154" s="3" t="str">
        <f t="shared" si="7"/>
        <v/>
      </c>
      <c r="M154" s="3" t="str">
        <f t="shared" si="8"/>
        <v>SRA30</v>
      </c>
      <c r="N154" s="3" t="str">
        <f>CONCATENATE("RCRPTR77S27D009O")</f>
        <v>RCRPTR77S27D009O</v>
      </c>
      <c r="O154" s="3" t="s">
        <v>355</v>
      </c>
      <c r="P154" s="3" t="s">
        <v>35</v>
      </c>
      <c r="Q154" s="3" t="s">
        <v>98</v>
      </c>
      <c r="R154" s="4">
        <v>45926</v>
      </c>
      <c r="S154" s="3" t="s">
        <v>37</v>
      </c>
      <c r="T154" s="3" t="s">
        <v>38</v>
      </c>
      <c r="U154" s="3" t="s">
        <v>39</v>
      </c>
      <c r="V154" s="5">
        <v>4093.43</v>
      </c>
      <c r="W154" s="5">
        <v>2067.1799999999998</v>
      </c>
      <c r="X154" s="5">
        <v>1418.37</v>
      </c>
      <c r="Y154" s="3">
        <v>607.88</v>
      </c>
    </row>
    <row r="155" spans="1:25" ht="25.5" hidden="1" x14ac:dyDescent="0.35">
      <c r="A155" s="3" t="s">
        <v>26</v>
      </c>
      <c r="B155" s="3" t="s">
        <v>27</v>
      </c>
      <c r="C155" s="3" t="s">
        <v>90</v>
      </c>
      <c r="D155" s="3" t="s">
        <v>61</v>
      </c>
      <c r="E155" s="3" t="s">
        <v>272</v>
      </c>
      <c r="F155" s="3" t="s">
        <v>63</v>
      </c>
      <c r="G155" s="3" t="s">
        <v>272</v>
      </c>
      <c r="H155" s="3" t="s">
        <v>96</v>
      </c>
      <c r="I155" s="3">
        <v>2024</v>
      </c>
      <c r="J155" s="3" t="str">
        <f>CONCATENATE("44811064128")</f>
        <v>44811064128</v>
      </c>
      <c r="K155" s="3" t="s">
        <v>33</v>
      </c>
      <c r="L155" s="3" t="str">
        <f t="shared" si="7"/>
        <v/>
      </c>
      <c r="M155" s="3" t="str">
        <f t="shared" si="8"/>
        <v>SRA30</v>
      </c>
      <c r="N155" s="3" t="str">
        <f>CONCATENATE("06896710826")</f>
        <v>06896710826</v>
      </c>
      <c r="O155" s="3" t="s">
        <v>356</v>
      </c>
      <c r="P155" s="3" t="s">
        <v>35</v>
      </c>
      <c r="Q155" s="3" t="s">
        <v>98</v>
      </c>
      <c r="R155" s="4">
        <v>45926</v>
      </c>
      <c r="S155" s="3" t="s">
        <v>37</v>
      </c>
      <c r="T155" s="3" t="s">
        <v>38</v>
      </c>
      <c r="U155" s="3" t="s">
        <v>39</v>
      </c>
      <c r="V155" s="5">
        <v>3585.98</v>
      </c>
      <c r="W155" s="5">
        <v>1810.92</v>
      </c>
      <c r="X155" s="5">
        <v>1242.54</v>
      </c>
      <c r="Y155" s="3">
        <v>532.52</v>
      </c>
    </row>
    <row r="156" spans="1:25" ht="25.5" hidden="1" x14ac:dyDescent="0.35">
      <c r="A156" s="3" t="s">
        <v>26</v>
      </c>
      <c r="B156" s="3" t="s">
        <v>27</v>
      </c>
      <c r="C156" s="3" t="s">
        <v>90</v>
      </c>
      <c r="D156" s="3" t="s">
        <v>180</v>
      </c>
      <c r="E156" s="3" t="s">
        <v>258</v>
      </c>
      <c r="F156" s="3" t="s">
        <v>85</v>
      </c>
      <c r="G156" s="3" t="s">
        <v>258</v>
      </c>
      <c r="H156" s="3" t="s">
        <v>96</v>
      </c>
      <c r="I156" s="3">
        <v>2024</v>
      </c>
      <c r="J156" s="3" t="str">
        <f>CONCATENATE("44810370948")</f>
        <v>44810370948</v>
      </c>
      <c r="K156" s="3" t="s">
        <v>33</v>
      </c>
      <c r="L156" s="3" t="str">
        <f t="shared" si="7"/>
        <v/>
      </c>
      <c r="M156" s="3" t="str">
        <f t="shared" si="8"/>
        <v>SRA30</v>
      </c>
      <c r="N156" s="3" t="str">
        <f>CONCATENATE("06813310825")</f>
        <v>06813310825</v>
      </c>
      <c r="O156" s="3" t="s">
        <v>357</v>
      </c>
      <c r="P156" s="3" t="s">
        <v>35</v>
      </c>
      <c r="Q156" s="3" t="s">
        <v>98</v>
      </c>
      <c r="R156" s="4">
        <v>45926</v>
      </c>
      <c r="S156" s="3" t="s">
        <v>37</v>
      </c>
      <c r="T156" s="3" t="s">
        <v>38</v>
      </c>
      <c r="U156" s="3" t="s">
        <v>39</v>
      </c>
      <c r="V156" s="5">
        <v>6683.25</v>
      </c>
      <c r="W156" s="5">
        <v>3375.04</v>
      </c>
      <c r="X156" s="5">
        <v>2315.75</v>
      </c>
      <c r="Y156" s="3">
        <v>992.46</v>
      </c>
    </row>
    <row r="157" spans="1:25" ht="25.5" hidden="1" x14ac:dyDescent="0.35">
      <c r="A157" s="3" t="s">
        <v>26</v>
      </c>
      <c r="B157" s="3" t="s">
        <v>27</v>
      </c>
      <c r="C157" s="3" t="s">
        <v>90</v>
      </c>
      <c r="D157" s="3" t="s">
        <v>180</v>
      </c>
      <c r="E157" s="3" t="s">
        <v>258</v>
      </c>
      <c r="F157" s="3" t="s">
        <v>85</v>
      </c>
      <c r="G157" s="3" t="s">
        <v>258</v>
      </c>
      <c r="H157" s="3" t="s">
        <v>96</v>
      </c>
      <c r="I157" s="3">
        <v>2024</v>
      </c>
      <c r="J157" s="3" t="str">
        <f>CONCATENATE("44811189370")</f>
        <v>44811189370</v>
      </c>
      <c r="K157" s="3" t="s">
        <v>33</v>
      </c>
      <c r="L157" s="3" t="str">
        <f t="shared" si="7"/>
        <v/>
      </c>
      <c r="M157" s="3" t="str">
        <f t="shared" si="8"/>
        <v>SRA30</v>
      </c>
      <c r="N157" s="3" t="str">
        <f>CONCATENATE("06083850823")</f>
        <v>06083850823</v>
      </c>
      <c r="O157" s="3" t="s">
        <v>358</v>
      </c>
      <c r="P157" s="3" t="s">
        <v>35</v>
      </c>
      <c r="Q157" s="3" t="s">
        <v>98</v>
      </c>
      <c r="R157" s="4">
        <v>45926</v>
      </c>
      <c r="S157" s="3" t="s">
        <v>37</v>
      </c>
      <c r="T157" s="3" t="s">
        <v>38</v>
      </c>
      <c r="U157" s="3" t="s">
        <v>39</v>
      </c>
      <c r="V157" s="5">
        <v>3546.11</v>
      </c>
      <c r="W157" s="5">
        <v>1790.79</v>
      </c>
      <c r="X157" s="5">
        <v>1228.73</v>
      </c>
      <c r="Y157" s="3">
        <v>526.59</v>
      </c>
    </row>
    <row r="158" spans="1:25" ht="25.5" hidden="1" x14ac:dyDescent="0.35">
      <c r="A158" s="3" t="s">
        <v>26</v>
      </c>
      <c r="B158" s="3" t="s">
        <v>27</v>
      </c>
      <c r="C158" s="3" t="s">
        <v>90</v>
      </c>
      <c r="D158" s="3" t="s">
        <v>41</v>
      </c>
      <c r="E158" s="3" t="s">
        <v>264</v>
      </c>
      <c r="F158" s="3" t="s">
        <v>43</v>
      </c>
      <c r="G158" s="3" t="s">
        <v>264</v>
      </c>
      <c r="H158" s="3" t="s">
        <v>96</v>
      </c>
      <c r="I158" s="3">
        <v>2024</v>
      </c>
      <c r="J158" s="3" t="str">
        <f>CONCATENATE("44811411543")</f>
        <v>44811411543</v>
      </c>
      <c r="K158" s="3" t="s">
        <v>33</v>
      </c>
      <c r="L158" s="3" t="str">
        <f t="shared" si="7"/>
        <v/>
      </c>
      <c r="M158" s="3" t="str">
        <f t="shared" si="8"/>
        <v>SRA30</v>
      </c>
      <c r="N158" s="3" t="str">
        <f>CONCATENATE("06025930824")</f>
        <v>06025930824</v>
      </c>
      <c r="O158" s="3" t="s">
        <v>359</v>
      </c>
      <c r="P158" s="3" t="s">
        <v>35</v>
      </c>
      <c r="Q158" s="3" t="s">
        <v>98</v>
      </c>
      <c r="R158" s="4">
        <v>45926</v>
      </c>
      <c r="S158" s="3" t="s">
        <v>37</v>
      </c>
      <c r="T158" s="3" t="s">
        <v>38</v>
      </c>
      <c r="U158" s="3" t="s">
        <v>39</v>
      </c>
      <c r="V158" s="5">
        <v>9190</v>
      </c>
      <c r="W158" s="5">
        <v>4640.95</v>
      </c>
      <c r="X158" s="5">
        <v>3184.34</v>
      </c>
      <c r="Y158" s="5">
        <v>1364.71</v>
      </c>
    </row>
    <row r="159" spans="1:25" ht="41.5" hidden="1" x14ac:dyDescent="0.35">
      <c r="A159" s="3" t="s">
        <v>26</v>
      </c>
      <c r="B159" s="3" t="s">
        <v>27</v>
      </c>
      <c r="C159" s="3" t="s">
        <v>90</v>
      </c>
      <c r="D159" s="3" t="s">
        <v>69</v>
      </c>
      <c r="E159" s="3" t="s">
        <v>109</v>
      </c>
      <c r="F159" s="3" t="s">
        <v>71</v>
      </c>
      <c r="G159" s="3" t="s">
        <v>109</v>
      </c>
      <c r="H159" s="3" t="s">
        <v>96</v>
      </c>
      <c r="I159" s="3">
        <v>2024</v>
      </c>
      <c r="J159" s="3" t="str">
        <f>CONCATENATE("44810755346")</f>
        <v>44810755346</v>
      </c>
      <c r="K159" s="3" t="s">
        <v>33</v>
      </c>
      <c r="L159" s="3" t="str">
        <f t="shared" si="7"/>
        <v/>
      </c>
      <c r="M159" s="3" t="str">
        <f t="shared" si="8"/>
        <v>SRA30</v>
      </c>
      <c r="N159" s="3" t="str">
        <f>CONCATENATE("CRRGPP49M29C871L")</f>
        <v>CRRGPP49M29C871L</v>
      </c>
      <c r="O159" s="3" t="s">
        <v>360</v>
      </c>
      <c r="P159" s="3" t="s">
        <v>35</v>
      </c>
      <c r="Q159" s="3" t="s">
        <v>98</v>
      </c>
      <c r="R159" s="4">
        <v>45926</v>
      </c>
      <c r="S159" s="3" t="s">
        <v>37</v>
      </c>
      <c r="T159" s="3" t="s">
        <v>38</v>
      </c>
      <c r="U159" s="3" t="s">
        <v>39</v>
      </c>
      <c r="V159" s="5">
        <v>7814.73</v>
      </c>
      <c r="W159" s="5">
        <v>3946.44</v>
      </c>
      <c r="X159" s="5">
        <v>2707.8</v>
      </c>
      <c r="Y159" s="5">
        <v>1160.49</v>
      </c>
    </row>
    <row r="160" spans="1:25" ht="49.5" hidden="1" x14ac:dyDescent="0.35">
      <c r="A160" s="3" t="s">
        <v>26</v>
      </c>
      <c r="B160" s="3" t="s">
        <v>27</v>
      </c>
      <c r="C160" s="3" t="s">
        <v>90</v>
      </c>
      <c r="D160" s="3" t="s">
        <v>51</v>
      </c>
      <c r="E160" s="3" t="s">
        <v>361</v>
      </c>
      <c r="F160" s="3" t="s">
        <v>51</v>
      </c>
      <c r="G160" s="3" t="s">
        <v>361</v>
      </c>
      <c r="H160" s="3" t="s">
        <v>96</v>
      </c>
      <c r="I160" s="3">
        <v>2024</v>
      </c>
      <c r="J160" s="3" t="str">
        <f>CONCATENATE("44810784619")</f>
        <v>44810784619</v>
      </c>
      <c r="K160" s="3" t="s">
        <v>33</v>
      </c>
      <c r="L160" s="3" t="str">
        <f t="shared" si="7"/>
        <v/>
      </c>
      <c r="M160" s="3" t="str">
        <f t="shared" si="8"/>
        <v>SRA30</v>
      </c>
      <c r="N160" s="3" t="str">
        <f>CONCATENATE("DGRMNN46M71A882I")</f>
        <v>DGRMNN46M71A882I</v>
      </c>
      <c r="O160" s="3" t="s">
        <v>362</v>
      </c>
      <c r="P160" s="3" t="s">
        <v>35</v>
      </c>
      <c r="Q160" s="3" t="s">
        <v>98</v>
      </c>
      <c r="R160" s="4">
        <v>45926</v>
      </c>
      <c r="S160" s="3" t="s">
        <v>37</v>
      </c>
      <c r="T160" s="3" t="s">
        <v>38</v>
      </c>
      <c r="U160" s="3" t="s">
        <v>39</v>
      </c>
      <c r="V160" s="5">
        <v>4485.28</v>
      </c>
      <c r="W160" s="5">
        <v>2265.0700000000002</v>
      </c>
      <c r="X160" s="5">
        <v>1554.15</v>
      </c>
      <c r="Y160" s="3">
        <v>666.06</v>
      </c>
    </row>
    <row r="161" spans="1:25" ht="41.5" hidden="1" x14ac:dyDescent="0.35">
      <c r="A161" s="3" t="s">
        <v>26</v>
      </c>
      <c r="B161" s="3" t="s">
        <v>27</v>
      </c>
      <c r="C161" s="3" t="s">
        <v>90</v>
      </c>
      <c r="D161" s="3" t="s">
        <v>29</v>
      </c>
      <c r="E161" s="3" t="s">
        <v>286</v>
      </c>
      <c r="F161" s="3" t="s">
        <v>31</v>
      </c>
      <c r="G161" s="3" t="s">
        <v>286</v>
      </c>
      <c r="H161" s="3" t="s">
        <v>96</v>
      </c>
      <c r="I161" s="3">
        <v>2024</v>
      </c>
      <c r="J161" s="3" t="str">
        <f>CONCATENATE("44810233203")</f>
        <v>44810233203</v>
      </c>
      <c r="K161" s="3" t="s">
        <v>33</v>
      </c>
      <c r="L161" s="3" t="str">
        <f t="shared" si="7"/>
        <v/>
      </c>
      <c r="M161" s="3" t="str">
        <f t="shared" si="8"/>
        <v>SRA30</v>
      </c>
      <c r="N161" s="3" t="str">
        <f>CONCATENATE("BCCCGR74H08G263S")</f>
        <v>BCCCGR74H08G263S</v>
      </c>
      <c r="O161" s="3" t="s">
        <v>363</v>
      </c>
      <c r="P161" s="3" t="s">
        <v>35</v>
      </c>
      <c r="Q161" s="3" t="s">
        <v>98</v>
      </c>
      <c r="R161" s="4">
        <v>45926</v>
      </c>
      <c r="S161" s="3" t="s">
        <v>37</v>
      </c>
      <c r="T161" s="3" t="s">
        <v>38</v>
      </c>
      <c r="U161" s="3" t="s">
        <v>39</v>
      </c>
      <c r="V161" s="5">
        <v>6070</v>
      </c>
      <c r="W161" s="5">
        <v>3065.35</v>
      </c>
      <c r="X161" s="5">
        <v>2103.2600000000002</v>
      </c>
      <c r="Y161" s="3">
        <v>901.39</v>
      </c>
    </row>
    <row r="162" spans="1:25" ht="41.5" hidden="1" x14ac:dyDescent="0.35">
      <c r="A162" s="3" t="s">
        <v>26</v>
      </c>
      <c r="B162" s="3" t="s">
        <v>27</v>
      </c>
      <c r="C162" s="3" t="s">
        <v>90</v>
      </c>
      <c r="D162" s="3" t="s">
        <v>364</v>
      </c>
      <c r="E162" s="3" t="s">
        <v>365</v>
      </c>
      <c r="F162" s="3" t="s">
        <v>71</v>
      </c>
      <c r="G162" s="3" t="s">
        <v>109</v>
      </c>
      <c r="H162" s="3" t="s">
        <v>96</v>
      </c>
      <c r="I162" s="3">
        <v>2024</v>
      </c>
      <c r="J162" s="3" t="str">
        <f>CONCATENATE("44810164473")</f>
        <v>44810164473</v>
      </c>
      <c r="K162" s="3" t="s">
        <v>33</v>
      </c>
      <c r="L162" s="3" t="str">
        <f t="shared" si="7"/>
        <v/>
      </c>
      <c r="M162" s="3" t="str">
        <f t="shared" si="8"/>
        <v>SRA30</v>
      </c>
      <c r="N162" s="3" t="str">
        <f>CONCATENATE("DBLSTN93E67C421W")</f>
        <v>DBLSTN93E67C421W</v>
      </c>
      <c r="O162" s="3" t="s">
        <v>366</v>
      </c>
      <c r="P162" s="3" t="s">
        <v>35</v>
      </c>
      <c r="Q162" s="3" t="s">
        <v>98</v>
      </c>
      <c r="R162" s="4">
        <v>45926</v>
      </c>
      <c r="S162" s="3" t="s">
        <v>37</v>
      </c>
      <c r="T162" s="3" t="s">
        <v>38</v>
      </c>
      <c r="U162" s="3" t="s">
        <v>39</v>
      </c>
      <c r="V162" s="5">
        <v>4250</v>
      </c>
      <c r="W162" s="5">
        <v>2146.25</v>
      </c>
      <c r="X162" s="5">
        <v>1472.63</v>
      </c>
      <c r="Y162" s="3">
        <v>631.12</v>
      </c>
    </row>
    <row r="163" spans="1:25" ht="41.5" hidden="1" x14ac:dyDescent="0.35">
      <c r="A163" s="3" t="s">
        <v>26</v>
      </c>
      <c r="B163" s="3" t="s">
        <v>27</v>
      </c>
      <c r="C163" s="3" t="s">
        <v>90</v>
      </c>
      <c r="D163" s="3" t="s">
        <v>41</v>
      </c>
      <c r="E163" s="3" t="s">
        <v>262</v>
      </c>
      <c r="F163" s="3" t="s">
        <v>43</v>
      </c>
      <c r="G163" s="3" t="s">
        <v>262</v>
      </c>
      <c r="H163" s="3" t="s">
        <v>96</v>
      </c>
      <c r="I163" s="3">
        <v>2024</v>
      </c>
      <c r="J163" s="3" t="str">
        <f>CONCATENATE("44810896264")</f>
        <v>44810896264</v>
      </c>
      <c r="K163" s="3" t="s">
        <v>33</v>
      </c>
      <c r="L163" s="3" t="str">
        <f t="shared" si="7"/>
        <v/>
      </c>
      <c r="M163" s="3" t="str">
        <f t="shared" si="8"/>
        <v>SRA30</v>
      </c>
      <c r="N163" s="3" t="str">
        <f>CONCATENATE("BCCPTR48D19H070L")</f>
        <v>BCCPTR48D19H070L</v>
      </c>
      <c r="O163" s="3" t="s">
        <v>367</v>
      </c>
      <c r="P163" s="3" t="s">
        <v>35</v>
      </c>
      <c r="Q163" s="3" t="s">
        <v>98</v>
      </c>
      <c r="R163" s="4">
        <v>45926</v>
      </c>
      <c r="S163" s="3" t="s">
        <v>37</v>
      </c>
      <c r="T163" s="3" t="s">
        <v>38</v>
      </c>
      <c r="U163" s="3" t="s">
        <v>39</v>
      </c>
      <c r="V163" s="5">
        <v>4672.5600000000004</v>
      </c>
      <c r="W163" s="5">
        <v>2359.64</v>
      </c>
      <c r="X163" s="5">
        <v>1619.04</v>
      </c>
      <c r="Y163" s="3">
        <v>693.88</v>
      </c>
    </row>
    <row r="164" spans="1:25" ht="41.5" hidden="1" x14ac:dyDescent="0.35">
      <c r="A164" s="3" t="s">
        <v>26</v>
      </c>
      <c r="B164" s="3" t="s">
        <v>27</v>
      </c>
      <c r="C164" s="3" t="s">
        <v>90</v>
      </c>
      <c r="D164" s="3" t="s">
        <v>61</v>
      </c>
      <c r="E164" s="3" t="s">
        <v>272</v>
      </c>
      <c r="F164" s="3" t="s">
        <v>63</v>
      </c>
      <c r="G164" s="3" t="s">
        <v>272</v>
      </c>
      <c r="H164" s="3" t="s">
        <v>96</v>
      </c>
      <c r="I164" s="3">
        <v>2024</v>
      </c>
      <c r="J164" s="3" t="str">
        <f>CONCATENATE("44810704674")</f>
        <v>44810704674</v>
      </c>
      <c r="K164" s="3" t="s">
        <v>33</v>
      </c>
      <c r="L164" s="3" t="str">
        <f t="shared" si="7"/>
        <v/>
      </c>
      <c r="M164" s="3" t="str">
        <f t="shared" si="8"/>
        <v>SRA30</v>
      </c>
      <c r="N164" s="3" t="str">
        <f>CONCATENATE("BNGGPP74A25G273K")</f>
        <v>BNGGPP74A25G273K</v>
      </c>
      <c r="O164" s="3" t="s">
        <v>368</v>
      </c>
      <c r="P164" s="3" t="s">
        <v>35</v>
      </c>
      <c r="Q164" s="3" t="s">
        <v>98</v>
      </c>
      <c r="R164" s="4">
        <v>45926</v>
      </c>
      <c r="S164" s="3" t="s">
        <v>37</v>
      </c>
      <c r="T164" s="3" t="s">
        <v>38</v>
      </c>
      <c r="U164" s="3" t="s">
        <v>39</v>
      </c>
      <c r="V164" s="5">
        <v>5032</v>
      </c>
      <c r="W164" s="5">
        <v>2541.16</v>
      </c>
      <c r="X164" s="5">
        <v>1743.59</v>
      </c>
      <c r="Y164" s="3">
        <v>747.25</v>
      </c>
    </row>
    <row r="165" spans="1:25" ht="41.5" hidden="1" x14ac:dyDescent="0.35">
      <c r="A165" s="3" t="s">
        <v>26</v>
      </c>
      <c r="B165" s="3" t="s">
        <v>27</v>
      </c>
      <c r="C165" s="3" t="s">
        <v>90</v>
      </c>
      <c r="D165" s="3" t="s">
        <v>51</v>
      </c>
      <c r="E165" s="3" t="s">
        <v>105</v>
      </c>
      <c r="F165" s="3" t="s">
        <v>51</v>
      </c>
      <c r="G165" s="3" t="s">
        <v>105</v>
      </c>
      <c r="H165" s="3" t="s">
        <v>96</v>
      </c>
      <c r="I165" s="3">
        <v>2024</v>
      </c>
      <c r="J165" s="3" t="str">
        <f>CONCATENATE("44811026994")</f>
        <v>44811026994</v>
      </c>
      <c r="K165" s="3" t="s">
        <v>33</v>
      </c>
      <c r="L165" s="3" t="str">
        <f t="shared" si="7"/>
        <v/>
      </c>
      <c r="M165" s="3" t="str">
        <f t="shared" si="8"/>
        <v>SRA30</v>
      </c>
      <c r="N165" s="3" t="str">
        <f>CONCATENATE("CLDGPR62L31E074Q")</f>
        <v>CLDGPR62L31E074Q</v>
      </c>
      <c r="O165" s="3" t="s">
        <v>369</v>
      </c>
      <c r="P165" s="3" t="s">
        <v>35</v>
      </c>
      <c r="Q165" s="3" t="s">
        <v>98</v>
      </c>
      <c r="R165" s="4">
        <v>45926</v>
      </c>
      <c r="S165" s="3" t="s">
        <v>37</v>
      </c>
      <c r="T165" s="3" t="s">
        <v>38</v>
      </c>
      <c r="U165" s="3" t="s">
        <v>39</v>
      </c>
      <c r="V165" s="5">
        <v>4845</v>
      </c>
      <c r="W165" s="5">
        <v>2446.73</v>
      </c>
      <c r="X165" s="5">
        <v>1678.79</v>
      </c>
      <c r="Y165" s="3">
        <v>719.48</v>
      </c>
    </row>
    <row r="166" spans="1:25" ht="41.5" hidden="1" x14ac:dyDescent="0.35">
      <c r="A166" s="3" t="s">
        <v>26</v>
      </c>
      <c r="B166" s="3" t="s">
        <v>27</v>
      </c>
      <c r="C166" s="3" t="s">
        <v>90</v>
      </c>
      <c r="D166" s="3" t="s">
        <v>41</v>
      </c>
      <c r="E166" s="3" t="s">
        <v>264</v>
      </c>
      <c r="F166" s="3" t="s">
        <v>43</v>
      </c>
      <c r="G166" s="3" t="s">
        <v>264</v>
      </c>
      <c r="H166" s="3" t="s">
        <v>96</v>
      </c>
      <c r="I166" s="3">
        <v>2024</v>
      </c>
      <c r="J166" s="3" t="str">
        <f>CONCATENATE("44810367621")</f>
        <v>44810367621</v>
      </c>
      <c r="K166" s="3" t="s">
        <v>33</v>
      </c>
      <c r="L166" s="3" t="str">
        <f t="shared" si="7"/>
        <v/>
      </c>
      <c r="M166" s="3" t="str">
        <f t="shared" si="8"/>
        <v>SRA30</v>
      </c>
      <c r="N166" s="3" t="str">
        <f>CONCATENATE("CNNGPP66H14G273F")</f>
        <v>CNNGPP66H14G273F</v>
      </c>
      <c r="O166" s="3" t="s">
        <v>370</v>
      </c>
      <c r="P166" s="3" t="s">
        <v>35</v>
      </c>
      <c r="Q166" s="3" t="s">
        <v>98</v>
      </c>
      <c r="R166" s="4">
        <v>45926</v>
      </c>
      <c r="S166" s="3" t="s">
        <v>37</v>
      </c>
      <c r="T166" s="3" t="s">
        <v>38</v>
      </c>
      <c r="U166" s="3" t="s">
        <v>39</v>
      </c>
      <c r="V166" s="5">
        <v>3727.71</v>
      </c>
      <c r="W166" s="5">
        <v>1882.49</v>
      </c>
      <c r="X166" s="5">
        <v>1291.6500000000001</v>
      </c>
      <c r="Y166" s="3">
        <v>553.57000000000005</v>
      </c>
    </row>
    <row r="167" spans="1:25" ht="41.5" hidden="1" x14ac:dyDescent="0.35">
      <c r="A167" s="3" t="s">
        <v>26</v>
      </c>
      <c r="B167" s="3" t="s">
        <v>27</v>
      </c>
      <c r="C167" s="3" t="s">
        <v>90</v>
      </c>
      <c r="D167" s="3" t="s">
        <v>180</v>
      </c>
      <c r="E167" s="3" t="s">
        <v>258</v>
      </c>
      <c r="F167" s="3" t="s">
        <v>85</v>
      </c>
      <c r="G167" s="3" t="s">
        <v>258</v>
      </c>
      <c r="H167" s="3" t="s">
        <v>96</v>
      </c>
      <c r="I167" s="3">
        <v>2024</v>
      </c>
      <c r="J167" s="3" t="str">
        <f>CONCATENATE("44810675692")</f>
        <v>44810675692</v>
      </c>
      <c r="K167" s="3" t="s">
        <v>33</v>
      </c>
      <c r="L167" s="3" t="str">
        <f t="shared" si="7"/>
        <v/>
      </c>
      <c r="M167" s="3" t="str">
        <f t="shared" si="8"/>
        <v>SRA30</v>
      </c>
      <c r="N167" s="3" t="str">
        <f>CONCATENATE("CNNDNC65L13G273Q")</f>
        <v>CNNDNC65L13G273Q</v>
      </c>
      <c r="O167" s="3" t="s">
        <v>371</v>
      </c>
      <c r="P167" s="3" t="s">
        <v>35</v>
      </c>
      <c r="Q167" s="3" t="s">
        <v>98</v>
      </c>
      <c r="R167" s="4">
        <v>45926</v>
      </c>
      <c r="S167" s="3" t="s">
        <v>37</v>
      </c>
      <c r="T167" s="3" t="s">
        <v>38</v>
      </c>
      <c r="U167" s="3" t="s">
        <v>39</v>
      </c>
      <c r="V167" s="5">
        <v>8866.35</v>
      </c>
      <c r="W167" s="5">
        <v>4477.51</v>
      </c>
      <c r="X167" s="5">
        <v>3072.19</v>
      </c>
      <c r="Y167" s="5">
        <v>1316.65</v>
      </c>
    </row>
    <row r="168" spans="1:25" ht="41.5" hidden="1" x14ac:dyDescent="0.35">
      <c r="A168" s="3" t="s">
        <v>26</v>
      </c>
      <c r="B168" s="3" t="s">
        <v>27</v>
      </c>
      <c r="C168" s="3" t="s">
        <v>90</v>
      </c>
      <c r="D168" s="3" t="s">
        <v>51</v>
      </c>
      <c r="E168" s="3" t="s">
        <v>105</v>
      </c>
      <c r="F168" s="3" t="s">
        <v>51</v>
      </c>
      <c r="G168" s="3" t="s">
        <v>105</v>
      </c>
      <c r="H168" s="3" t="s">
        <v>96</v>
      </c>
      <c r="I168" s="3">
        <v>2024</v>
      </c>
      <c r="J168" s="3" t="str">
        <f>CONCATENATE("44811021961")</f>
        <v>44811021961</v>
      </c>
      <c r="K168" s="3" t="s">
        <v>33</v>
      </c>
      <c r="L168" s="3" t="str">
        <f t="shared" si="7"/>
        <v/>
      </c>
      <c r="M168" s="3" t="str">
        <f t="shared" si="8"/>
        <v>SRA30</v>
      </c>
      <c r="N168" s="3" t="str">
        <f>CONCATENATE("CRTCRI62C41F184Y")</f>
        <v>CRTCRI62C41F184Y</v>
      </c>
      <c r="O168" s="3" t="s">
        <v>372</v>
      </c>
      <c r="P168" s="3" t="s">
        <v>35</v>
      </c>
      <c r="Q168" s="3" t="s">
        <v>98</v>
      </c>
      <c r="R168" s="4">
        <v>45926</v>
      </c>
      <c r="S168" s="3" t="s">
        <v>37</v>
      </c>
      <c r="T168" s="3" t="s">
        <v>38</v>
      </c>
      <c r="U168" s="3" t="s">
        <v>39</v>
      </c>
      <c r="V168" s="5">
        <v>5076.0200000000004</v>
      </c>
      <c r="W168" s="5">
        <v>2563.39</v>
      </c>
      <c r="X168" s="5">
        <v>1758.84</v>
      </c>
      <c r="Y168" s="3">
        <v>753.79</v>
      </c>
    </row>
    <row r="169" spans="1:25" ht="41.5" hidden="1" x14ac:dyDescent="0.35">
      <c r="A169" s="3" t="s">
        <v>26</v>
      </c>
      <c r="B169" s="3" t="s">
        <v>27</v>
      </c>
      <c r="C169" s="3" t="s">
        <v>90</v>
      </c>
      <c r="D169" s="3" t="s">
        <v>29</v>
      </c>
      <c r="E169" s="3" t="s">
        <v>275</v>
      </c>
      <c r="F169" s="3" t="s">
        <v>31</v>
      </c>
      <c r="G169" s="3" t="s">
        <v>275</v>
      </c>
      <c r="H169" s="3" t="s">
        <v>102</v>
      </c>
      <c r="I169" s="3">
        <v>2024</v>
      </c>
      <c r="J169" s="3" t="str">
        <f>CONCATENATE("44820318879")</f>
        <v>44820318879</v>
      </c>
      <c r="K169" s="3" t="s">
        <v>33</v>
      </c>
      <c r="L169" s="3" t="str">
        <f t="shared" si="7"/>
        <v/>
      </c>
      <c r="M169" s="3" t="str">
        <f>CONCATENATE("SRB02")</f>
        <v>SRB02</v>
      </c>
      <c r="N169" s="3" t="str">
        <f>CONCATENATE("CCCRFL85D14F258Y")</f>
        <v>CCCRFL85D14F258Y</v>
      </c>
      <c r="O169" s="3" t="s">
        <v>373</v>
      </c>
      <c r="P169" s="3" t="s">
        <v>35</v>
      </c>
      <c r="Q169" s="3" t="s">
        <v>104</v>
      </c>
      <c r="R169" s="4">
        <v>45931</v>
      </c>
      <c r="S169" s="3" t="s">
        <v>37</v>
      </c>
      <c r="T169" s="3" t="s">
        <v>38</v>
      </c>
      <c r="U169" s="3" t="s">
        <v>39</v>
      </c>
      <c r="V169" s="5">
        <v>3555.12</v>
      </c>
      <c r="W169" s="5">
        <v>1795.34</v>
      </c>
      <c r="X169" s="5">
        <v>1231.8499999999999</v>
      </c>
      <c r="Y169" s="3">
        <v>527.92999999999995</v>
      </c>
    </row>
    <row r="170" spans="1:25" ht="49.5" hidden="1" x14ac:dyDescent="0.35">
      <c r="A170" s="3" t="s">
        <v>26</v>
      </c>
      <c r="B170" s="3" t="s">
        <v>27</v>
      </c>
      <c r="C170" s="3" t="s">
        <v>90</v>
      </c>
      <c r="D170" s="3" t="s">
        <v>41</v>
      </c>
      <c r="E170" s="3" t="s">
        <v>264</v>
      </c>
      <c r="F170" s="3" t="s">
        <v>43</v>
      </c>
      <c r="G170" s="3" t="s">
        <v>264</v>
      </c>
      <c r="H170" s="3" t="s">
        <v>96</v>
      </c>
      <c r="I170" s="3">
        <v>2024</v>
      </c>
      <c r="J170" s="3" t="str">
        <f>CONCATENATE("44810107449")</f>
        <v>44810107449</v>
      </c>
      <c r="K170" s="3" t="s">
        <v>33</v>
      </c>
      <c r="L170" s="3" t="str">
        <f t="shared" si="7"/>
        <v/>
      </c>
      <c r="M170" s="3" t="str">
        <f t="shared" ref="M170:M208" si="9">CONCATENATE("SRA30")</f>
        <v>SRA30</v>
      </c>
      <c r="N170" s="3" t="str">
        <f>CONCATENATE("DMGRSR93B09G273U")</f>
        <v>DMGRSR93B09G273U</v>
      </c>
      <c r="O170" s="3" t="s">
        <v>374</v>
      </c>
      <c r="P170" s="3" t="s">
        <v>35</v>
      </c>
      <c r="Q170" s="3" t="s">
        <v>98</v>
      </c>
      <c r="R170" s="4">
        <v>45926</v>
      </c>
      <c r="S170" s="3" t="s">
        <v>37</v>
      </c>
      <c r="T170" s="3" t="s">
        <v>38</v>
      </c>
      <c r="U170" s="3" t="s">
        <v>39</v>
      </c>
      <c r="V170" s="5">
        <v>4485.28</v>
      </c>
      <c r="W170" s="5">
        <v>2265.0700000000002</v>
      </c>
      <c r="X170" s="5">
        <v>1554.15</v>
      </c>
      <c r="Y170" s="3">
        <v>666.06</v>
      </c>
    </row>
    <row r="171" spans="1:25" ht="41.5" hidden="1" x14ac:dyDescent="0.35">
      <c r="A171" s="3" t="s">
        <v>26</v>
      </c>
      <c r="B171" s="3" t="s">
        <v>27</v>
      </c>
      <c r="C171" s="3" t="s">
        <v>90</v>
      </c>
      <c r="D171" s="3" t="s">
        <v>75</v>
      </c>
      <c r="E171" s="3" t="s">
        <v>375</v>
      </c>
      <c r="F171" s="3" t="s">
        <v>77</v>
      </c>
      <c r="G171" s="3" t="s">
        <v>375</v>
      </c>
      <c r="H171" s="3" t="s">
        <v>96</v>
      </c>
      <c r="I171" s="3">
        <v>2024</v>
      </c>
      <c r="J171" s="3" t="str">
        <f>CONCATENATE("44810946721")</f>
        <v>44810946721</v>
      </c>
      <c r="K171" s="3" t="s">
        <v>33</v>
      </c>
      <c r="L171" s="3" t="str">
        <f t="shared" si="7"/>
        <v/>
      </c>
      <c r="M171" s="3" t="str">
        <f t="shared" si="9"/>
        <v>SRA30</v>
      </c>
      <c r="N171" s="3" t="str">
        <f>CONCATENATE("FRNFNC96M02C351L")</f>
        <v>FRNFNC96M02C351L</v>
      </c>
      <c r="O171" s="3" t="s">
        <v>376</v>
      </c>
      <c r="P171" s="3" t="s">
        <v>35</v>
      </c>
      <c r="Q171" s="3" t="s">
        <v>98</v>
      </c>
      <c r="R171" s="4">
        <v>45926</v>
      </c>
      <c r="S171" s="3" t="s">
        <v>37</v>
      </c>
      <c r="T171" s="3" t="s">
        <v>38</v>
      </c>
      <c r="U171" s="3" t="s">
        <v>39</v>
      </c>
      <c r="V171" s="5">
        <v>5814</v>
      </c>
      <c r="W171" s="5">
        <v>2936.07</v>
      </c>
      <c r="X171" s="5">
        <v>2014.55</v>
      </c>
      <c r="Y171" s="3">
        <v>863.38</v>
      </c>
    </row>
    <row r="172" spans="1:25" ht="41.5" hidden="1" x14ac:dyDescent="0.35">
      <c r="A172" s="3" t="s">
        <v>26</v>
      </c>
      <c r="B172" s="3" t="s">
        <v>27</v>
      </c>
      <c r="C172" s="3" t="s">
        <v>90</v>
      </c>
      <c r="D172" s="3" t="s">
        <v>107</v>
      </c>
      <c r="E172" s="3" t="s">
        <v>108</v>
      </c>
      <c r="F172" s="3" t="s">
        <v>71</v>
      </c>
      <c r="G172" s="3" t="s">
        <v>109</v>
      </c>
      <c r="H172" s="3" t="s">
        <v>96</v>
      </c>
      <c r="I172" s="3">
        <v>2024</v>
      </c>
      <c r="J172" s="3" t="str">
        <f>CONCATENATE("44811433547")</f>
        <v>44811433547</v>
      </c>
      <c r="K172" s="3" t="s">
        <v>33</v>
      </c>
      <c r="L172" s="3" t="str">
        <f t="shared" si="7"/>
        <v/>
      </c>
      <c r="M172" s="3" t="str">
        <f t="shared" si="9"/>
        <v>SRA30</v>
      </c>
      <c r="N172" s="3" t="str">
        <f>CONCATENATE("DMRNNN76T30C421X")</f>
        <v>DMRNNN76T30C421X</v>
      </c>
      <c r="O172" s="3" t="s">
        <v>377</v>
      </c>
      <c r="P172" s="3" t="s">
        <v>35</v>
      </c>
      <c r="Q172" s="3" t="s">
        <v>98</v>
      </c>
      <c r="R172" s="4">
        <v>45926</v>
      </c>
      <c r="S172" s="3" t="s">
        <v>37</v>
      </c>
      <c r="T172" s="3" t="s">
        <v>38</v>
      </c>
      <c r="U172" s="3" t="s">
        <v>39</v>
      </c>
      <c r="V172" s="5">
        <v>17519.5</v>
      </c>
      <c r="W172" s="5">
        <v>8847.35</v>
      </c>
      <c r="X172" s="5">
        <v>6070.51</v>
      </c>
      <c r="Y172" s="5">
        <v>2601.64</v>
      </c>
    </row>
    <row r="173" spans="1:25" ht="41.5" hidden="1" x14ac:dyDescent="0.35">
      <c r="A173" s="3" t="s">
        <v>26</v>
      </c>
      <c r="B173" s="3" t="s">
        <v>27</v>
      </c>
      <c r="C173" s="3" t="s">
        <v>90</v>
      </c>
      <c r="D173" s="3" t="s">
        <v>164</v>
      </c>
      <c r="E173" s="3" t="s">
        <v>222</v>
      </c>
      <c r="F173" s="3" t="s">
        <v>166</v>
      </c>
      <c r="G173" s="3" t="s">
        <v>222</v>
      </c>
      <c r="H173" s="3" t="s">
        <v>96</v>
      </c>
      <c r="I173" s="3">
        <v>2024</v>
      </c>
      <c r="J173" s="3" t="str">
        <f>CONCATENATE("44810479020")</f>
        <v>44810479020</v>
      </c>
      <c r="K173" s="3" t="s">
        <v>33</v>
      </c>
      <c r="L173" s="3" t="str">
        <f t="shared" si="7"/>
        <v/>
      </c>
      <c r="M173" s="3" t="str">
        <f t="shared" si="9"/>
        <v>SRA30</v>
      </c>
      <c r="N173" s="3" t="str">
        <f>CONCATENATE("DRGGPP79B23G273T")</f>
        <v>DRGGPP79B23G273T</v>
      </c>
      <c r="O173" s="3" t="s">
        <v>378</v>
      </c>
      <c r="P173" s="3" t="s">
        <v>35</v>
      </c>
      <c r="Q173" s="3" t="s">
        <v>98</v>
      </c>
      <c r="R173" s="4">
        <v>45926</v>
      </c>
      <c r="S173" s="3" t="s">
        <v>37</v>
      </c>
      <c r="T173" s="3" t="s">
        <v>38</v>
      </c>
      <c r="U173" s="3" t="s">
        <v>39</v>
      </c>
      <c r="V173" s="5">
        <v>2616.3000000000002</v>
      </c>
      <c r="W173" s="5">
        <v>1321.23</v>
      </c>
      <c r="X173" s="3">
        <v>906.55</v>
      </c>
      <c r="Y173" s="3">
        <v>388.52</v>
      </c>
    </row>
    <row r="174" spans="1:25" ht="41.5" hidden="1" x14ac:dyDescent="0.35">
      <c r="A174" s="3" t="s">
        <v>26</v>
      </c>
      <c r="B174" s="3" t="s">
        <v>27</v>
      </c>
      <c r="C174" s="3" t="s">
        <v>90</v>
      </c>
      <c r="D174" s="3" t="s">
        <v>164</v>
      </c>
      <c r="E174" s="3" t="s">
        <v>280</v>
      </c>
      <c r="F174" s="3" t="s">
        <v>166</v>
      </c>
      <c r="G174" s="3" t="s">
        <v>280</v>
      </c>
      <c r="H174" s="3" t="s">
        <v>96</v>
      </c>
      <c r="I174" s="3">
        <v>2024</v>
      </c>
      <c r="J174" s="3" t="str">
        <f>CONCATENATE("44810561918")</f>
        <v>44810561918</v>
      </c>
      <c r="K174" s="3" t="s">
        <v>33</v>
      </c>
      <c r="L174" s="3" t="str">
        <f t="shared" si="7"/>
        <v/>
      </c>
      <c r="M174" s="3" t="str">
        <f t="shared" si="9"/>
        <v>SRA30</v>
      </c>
      <c r="N174" s="3" t="str">
        <f>CONCATENATE("FRNMCR03T57D009T")</f>
        <v>FRNMCR03T57D009T</v>
      </c>
      <c r="O174" s="3" t="s">
        <v>379</v>
      </c>
      <c r="P174" s="3" t="s">
        <v>35</v>
      </c>
      <c r="Q174" s="3" t="s">
        <v>98</v>
      </c>
      <c r="R174" s="4">
        <v>45926</v>
      </c>
      <c r="S174" s="3" t="s">
        <v>37</v>
      </c>
      <c r="T174" s="3" t="s">
        <v>38</v>
      </c>
      <c r="U174" s="3" t="s">
        <v>39</v>
      </c>
      <c r="V174" s="5">
        <v>1582.5</v>
      </c>
      <c r="W174" s="3">
        <v>799.16</v>
      </c>
      <c r="X174" s="3">
        <v>548.34</v>
      </c>
      <c r="Y174" s="3">
        <v>235</v>
      </c>
    </row>
    <row r="175" spans="1:25" ht="41.5" hidden="1" x14ac:dyDescent="0.35">
      <c r="A175" s="3" t="s">
        <v>26</v>
      </c>
      <c r="B175" s="3" t="s">
        <v>27</v>
      </c>
      <c r="C175" s="3" t="s">
        <v>90</v>
      </c>
      <c r="D175" s="3" t="s">
        <v>29</v>
      </c>
      <c r="E175" s="3" t="s">
        <v>286</v>
      </c>
      <c r="F175" s="3" t="s">
        <v>31</v>
      </c>
      <c r="G175" s="3" t="s">
        <v>286</v>
      </c>
      <c r="H175" s="3" t="s">
        <v>96</v>
      </c>
      <c r="I175" s="3">
        <v>2024</v>
      </c>
      <c r="J175" s="3" t="str">
        <f>CONCATENATE("44810424539")</f>
        <v>44810424539</v>
      </c>
      <c r="K175" s="3" t="s">
        <v>33</v>
      </c>
      <c r="L175" s="3" t="str">
        <f t="shared" si="7"/>
        <v/>
      </c>
      <c r="M175" s="3" t="str">
        <f t="shared" si="9"/>
        <v>SRA30</v>
      </c>
      <c r="N175" s="3" t="str">
        <f>CONCATENATE("FLPGPP82C14G263H")</f>
        <v>FLPGPP82C14G263H</v>
      </c>
      <c r="O175" s="3" t="s">
        <v>380</v>
      </c>
      <c r="P175" s="3" t="s">
        <v>35</v>
      </c>
      <c r="Q175" s="3" t="s">
        <v>98</v>
      </c>
      <c r="R175" s="4">
        <v>45926</v>
      </c>
      <c r="S175" s="3" t="s">
        <v>37</v>
      </c>
      <c r="T175" s="3" t="s">
        <v>38</v>
      </c>
      <c r="U175" s="3" t="s">
        <v>39</v>
      </c>
      <c r="V175" s="5">
        <v>3759.72</v>
      </c>
      <c r="W175" s="5">
        <v>1898.66</v>
      </c>
      <c r="X175" s="5">
        <v>1302.74</v>
      </c>
      <c r="Y175" s="3">
        <v>558.32000000000005</v>
      </c>
    </row>
    <row r="176" spans="1:25" ht="41.5" hidden="1" x14ac:dyDescent="0.35">
      <c r="A176" s="3" t="s">
        <v>26</v>
      </c>
      <c r="B176" s="3" t="s">
        <v>27</v>
      </c>
      <c r="C176" s="3" t="s">
        <v>90</v>
      </c>
      <c r="D176" s="3" t="s">
        <v>41</v>
      </c>
      <c r="E176" s="3" t="s">
        <v>260</v>
      </c>
      <c r="F176" s="3" t="s">
        <v>43</v>
      </c>
      <c r="G176" s="3" t="s">
        <v>260</v>
      </c>
      <c r="H176" s="3" t="s">
        <v>96</v>
      </c>
      <c r="I176" s="3">
        <v>2024</v>
      </c>
      <c r="J176" s="3" t="str">
        <f>CONCATENATE("44810494359")</f>
        <v>44810494359</v>
      </c>
      <c r="K176" s="3" t="s">
        <v>33</v>
      </c>
      <c r="L176" s="3" t="str">
        <f t="shared" si="7"/>
        <v/>
      </c>
      <c r="M176" s="3" t="str">
        <f t="shared" si="9"/>
        <v>SRA30</v>
      </c>
      <c r="N176" s="3" t="str">
        <f>CONCATENATE("MRCGPP64M42E055D")</f>
        <v>MRCGPP64M42E055D</v>
      </c>
      <c r="O176" s="3" t="s">
        <v>381</v>
      </c>
      <c r="P176" s="3" t="s">
        <v>35</v>
      </c>
      <c r="Q176" s="3" t="s">
        <v>98</v>
      </c>
      <c r="R176" s="4">
        <v>45926</v>
      </c>
      <c r="S176" s="3" t="s">
        <v>37</v>
      </c>
      <c r="T176" s="3" t="s">
        <v>38</v>
      </c>
      <c r="U176" s="3" t="s">
        <v>39</v>
      </c>
      <c r="V176" s="5">
        <v>1360</v>
      </c>
      <c r="W176" s="3">
        <v>686.8</v>
      </c>
      <c r="X176" s="3">
        <v>471.24</v>
      </c>
      <c r="Y176" s="3">
        <v>201.96</v>
      </c>
    </row>
    <row r="177" spans="1:25" ht="25.5" hidden="1" x14ac:dyDescent="0.35">
      <c r="A177" s="3" t="s">
        <v>26</v>
      </c>
      <c r="B177" s="3" t="s">
        <v>27</v>
      </c>
      <c r="C177" s="3" t="s">
        <v>90</v>
      </c>
      <c r="D177" s="3" t="s">
        <v>29</v>
      </c>
      <c r="E177" s="3" t="s">
        <v>286</v>
      </c>
      <c r="F177" s="3" t="s">
        <v>43</v>
      </c>
      <c r="G177" s="3" t="s">
        <v>260</v>
      </c>
      <c r="H177" s="3" t="s">
        <v>96</v>
      </c>
      <c r="I177" s="3">
        <v>2024</v>
      </c>
      <c r="J177" s="3" t="str">
        <f>CONCATENATE("44810428340")</f>
        <v>44810428340</v>
      </c>
      <c r="K177" s="3" t="s">
        <v>33</v>
      </c>
      <c r="L177" s="3" t="str">
        <f t="shared" si="7"/>
        <v/>
      </c>
      <c r="M177" s="3" t="str">
        <f t="shared" si="9"/>
        <v>SRA30</v>
      </c>
      <c r="N177" s="3" t="str">
        <f>CONCATENATE("06019620829")</f>
        <v>06019620829</v>
      </c>
      <c r="O177" s="3" t="s">
        <v>382</v>
      </c>
      <c r="P177" s="3" t="s">
        <v>35</v>
      </c>
      <c r="Q177" s="3" t="s">
        <v>98</v>
      </c>
      <c r="R177" s="4">
        <v>45926</v>
      </c>
      <c r="S177" s="3" t="s">
        <v>37</v>
      </c>
      <c r="T177" s="3" t="s">
        <v>38</v>
      </c>
      <c r="U177" s="3" t="s">
        <v>39</v>
      </c>
      <c r="V177" s="5">
        <v>5032</v>
      </c>
      <c r="W177" s="5">
        <v>2541.16</v>
      </c>
      <c r="X177" s="5">
        <v>1743.59</v>
      </c>
      <c r="Y177" s="3">
        <v>747.25</v>
      </c>
    </row>
    <row r="178" spans="1:25" ht="41.5" hidden="1" x14ac:dyDescent="0.35">
      <c r="A178" s="3" t="s">
        <v>26</v>
      </c>
      <c r="B178" s="3" t="s">
        <v>27</v>
      </c>
      <c r="C178" s="3" t="s">
        <v>90</v>
      </c>
      <c r="D178" s="3" t="s">
        <v>41</v>
      </c>
      <c r="E178" s="3" t="s">
        <v>264</v>
      </c>
      <c r="F178" s="3" t="s">
        <v>43</v>
      </c>
      <c r="G178" s="3" t="s">
        <v>264</v>
      </c>
      <c r="H178" s="3" t="s">
        <v>96</v>
      </c>
      <c r="I178" s="3">
        <v>2024</v>
      </c>
      <c r="J178" s="3" t="str">
        <f>CONCATENATE("44810082865")</f>
        <v>44810082865</v>
      </c>
      <c r="K178" s="3" t="s">
        <v>33</v>
      </c>
      <c r="L178" s="3" t="str">
        <f t="shared" si="7"/>
        <v/>
      </c>
      <c r="M178" s="3" t="str">
        <f t="shared" si="9"/>
        <v>SRA30</v>
      </c>
      <c r="N178" s="3" t="str">
        <f>CONCATENATE("FRNGDU83H13G273Z")</f>
        <v>FRNGDU83H13G273Z</v>
      </c>
      <c r="O178" s="3" t="s">
        <v>383</v>
      </c>
      <c r="P178" s="3" t="s">
        <v>35</v>
      </c>
      <c r="Q178" s="3" t="s">
        <v>98</v>
      </c>
      <c r="R178" s="4">
        <v>45926</v>
      </c>
      <c r="S178" s="3" t="s">
        <v>37</v>
      </c>
      <c r="T178" s="3" t="s">
        <v>38</v>
      </c>
      <c r="U178" s="3" t="s">
        <v>39</v>
      </c>
      <c r="V178" s="5">
        <v>2368.1</v>
      </c>
      <c r="W178" s="5">
        <v>1195.8900000000001</v>
      </c>
      <c r="X178" s="3">
        <v>820.55</v>
      </c>
      <c r="Y178" s="3">
        <v>351.66</v>
      </c>
    </row>
    <row r="179" spans="1:25" ht="41.5" hidden="1" x14ac:dyDescent="0.35">
      <c r="A179" s="3" t="s">
        <v>26</v>
      </c>
      <c r="B179" s="3" t="s">
        <v>27</v>
      </c>
      <c r="C179" s="3" t="s">
        <v>90</v>
      </c>
      <c r="D179" s="3" t="s">
        <v>41</v>
      </c>
      <c r="E179" s="3" t="s">
        <v>270</v>
      </c>
      <c r="F179" s="3" t="s">
        <v>43</v>
      </c>
      <c r="G179" s="3" t="s">
        <v>270</v>
      </c>
      <c r="H179" s="3" t="s">
        <v>96</v>
      </c>
      <c r="I179" s="3">
        <v>2024</v>
      </c>
      <c r="J179" s="3" t="str">
        <f>CONCATENATE("44810582690")</f>
        <v>44810582690</v>
      </c>
      <c r="K179" s="3" t="s">
        <v>33</v>
      </c>
      <c r="L179" s="3" t="str">
        <f t="shared" si="7"/>
        <v/>
      </c>
      <c r="M179" s="3" t="str">
        <f t="shared" si="9"/>
        <v>SRA30</v>
      </c>
      <c r="N179" s="3" t="str">
        <f>CONCATENATE("NNZCRI73S16G273R")</f>
        <v>NNZCRI73S16G273R</v>
      </c>
      <c r="O179" s="3" t="s">
        <v>384</v>
      </c>
      <c r="P179" s="3" t="s">
        <v>35</v>
      </c>
      <c r="Q179" s="3" t="s">
        <v>98</v>
      </c>
      <c r="R179" s="4">
        <v>45926</v>
      </c>
      <c r="S179" s="3" t="s">
        <v>37</v>
      </c>
      <c r="T179" s="3" t="s">
        <v>38</v>
      </c>
      <c r="U179" s="3" t="s">
        <v>39</v>
      </c>
      <c r="V179" s="5">
        <v>4712.2</v>
      </c>
      <c r="W179" s="5">
        <v>2379.66</v>
      </c>
      <c r="X179" s="5">
        <v>1632.78</v>
      </c>
      <c r="Y179" s="3">
        <v>699.76</v>
      </c>
    </row>
    <row r="180" spans="1:25" ht="41.5" hidden="1" x14ac:dyDescent="0.35">
      <c r="A180" s="3" t="s">
        <v>26</v>
      </c>
      <c r="B180" s="3" t="s">
        <v>27</v>
      </c>
      <c r="C180" s="3" t="s">
        <v>90</v>
      </c>
      <c r="D180" s="3" t="s">
        <v>107</v>
      </c>
      <c r="E180" s="3" t="s">
        <v>108</v>
      </c>
      <c r="F180" s="3" t="s">
        <v>71</v>
      </c>
      <c r="G180" s="3" t="s">
        <v>109</v>
      </c>
      <c r="H180" s="3" t="s">
        <v>96</v>
      </c>
      <c r="I180" s="3">
        <v>2024</v>
      </c>
      <c r="J180" s="3" t="str">
        <f>CONCATENATE("44811158508")</f>
        <v>44811158508</v>
      </c>
      <c r="K180" s="3" t="s">
        <v>33</v>
      </c>
      <c r="L180" s="3" t="str">
        <f t="shared" si="7"/>
        <v/>
      </c>
      <c r="M180" s="3" t="str">
        <f t="shared" si="9"/>
        <v>SRA30</v>
      </c>
      <c r="N180" s="3" t="str">
        <f>CONCATENATE("LRDVCN77S20C871E")</f>
        <v>LRDVCN77S20C871E</v>
      </c>
      <c r="O180" s="3" t="s">
        <v>385</v>
      </c>
      <c r="P180" s="3" t="s">
        <v>35</v>
      </c>
      <c r="Q180" s="3" t="s">
        <v>98</v>
      </c>
      <c r="R180" s="4">
        <v>45926</v>
      </c>
      <c r="S180" s="3" t="s">
        <v>37</v>
      </c>
      <c r="T180" s="3" t="s">
        <v>38</v>
      </c>
      <c r="U180" s="3" t="s">
        <v>39</v>
      </c>
      <c r="V180" s="5">
        <v>8310.06</v>
      </c>
      <c r="W180" s="5">
        <v>4196.58</v>
      </c>
      <c r="X180" s="5">
        <v>2879.44</v>
      </c>
      <c r="Y180" s="5">
        <v>1234.04</v>
      </c>
    </row>
    <row r="181" spans="1:25" ht="41.5" hidden="1" x14ac:dyDescent="0.35">
      <c r="A181" s="3" t="s">
        <v>26</v>
      </c>
      <c r="B181" s="3" t="s">
        <v>27</v>
      </c>
      <c r="C181" s="3" t="s">
        <v>90</v>
      </c>
      <c r="D181" s="3" t="s">
        <v>41</v>
      </c>
      <c r="E181" s="3" t="s">
        <v>262</v>
      </c>
      <c r="F181" s="3" t="s">
        <v>43</v>
      </c>
      <c r="G181" s="3" t="s">
        <v>262</v>
      </c>
      <c r="H181" s="3" t="s">
        <v>96</v>
      </c>
      <c r="I181" s="3">
        <v>2024</v>
      </c>
      <c r="J181" s="3" t="str">
        <f>CONCATENATE("44810801256")</f>
        <v>44810801256</v>
      </c>
      <c r="K181" s="3" t="s">
        <v>33</v>
      </c>
      <c r="L181" s="3" t="str">
        <f t="shared" si="7"/>
        <v/>
      </c>
      <c r="M181" s="3" t="str">
        <f t="shared" si="9"/>
        <v>SRA30</v>
      </c>
      <c r="N181" s="3" t="str">
        <f>CONCATENATE("LBRGPP72H09F184M")</f>
        <v>LBRGPP72H09F184M</v>
      </c>
      <c r="O181" s="3" t="s">
        <v>386</v>
      </c>
      <c r="P181" s="3" t="s">
        <v>35</v>
      </c>
      <c r="Q181" s="3" t="s">
        <v>98</v>
      </c>
      <c r="R181" s="4">
        <v>45926</v>
      </c>
      <c r="S181" s="3" t="s">
        <v>37</v>
      </c>
      <c r="T181" s="3" t="s">
        <v>38</v>
      </c>
      <c r="U181" s="3" t="s">
        <v>39</v>
      </c>
      <c r="V181" s="5">
        <v>7551.18</v>
      </c>
      <c r="W181" s="5">
        <v>3813.35</v>
      </c>
      <c r="X181" s="5">
        <v>2616.48</v>
      </c>
      <c r="Y181" s="5">
        <v>1121.3499999999999</v>
      </c>
    </row>
    <row r="182" spans="1:25" ht="41.5" hidden="1" x14ac:dyDescent="0.35">
      <c r="A182" s="3" t="s">
        <v>26</v>
      </c>
      <c r="B182" s="3" t="s">
        <v>27</v>
      </c>
      <c r="C182" s="3" t="s">
        <v>90</v>
      </c>
      <c r="D182" s="3" t="s">
        <v>51</v>
      </c>
      <c r="E182" s="3" t="s">
        <v>105</v>
      </c>
      <c r="F182" s="3" t="s">
        <v>51</v>
      </c>
      <c r="G182" s="3" t="s">
        <v>105</v>
      </c>
      <c r="H182" s="3" t="s">
        <v>96</v>
      </c>
      <c r="I182" s="3">
        <v>2024</v>
      </c>
      <c r="J182" s="3" t="str">
        <f>CONCATENATE("44811025335")</f>
        <v>44811025335</v>
      </c>
      <c r="K182" s="3" t="s">
        <v>33</v>
      </c>
      <c r="L182" s="3" t="str">
        <f t="shared" si="7"/>
        <v/>
      </c>
      <c r="M182" s="3" t="str">
        <f t="shared" si="9"/>
        <v>SRA30</v>
      </c>
      <c r="N182" s="3" t="str">
        <f>CONCATENATE("LBRSVT67C14F184P")</f>
        <v>LBRSVT67C14F184P</v>
      </c>
      <c r="O182" s="3" t="s">
        <v>387</v>
      </c>
      <c r="P182" s="3" t="s">
        <v>35</v>
      </c>
      <c r="Q182" s="3" t="s">
        <v>98</v>
      </c>
      <c r="R182" s="4">
        <v>45926</v>
      </c>
      <c r="S182" s="3" t="s">
        <v>37</v>
      </c>
      <c r="T182" s="3" t="s">
        <v>38</v>
      </c>
      <c r="U182" s="3" t="s">
        <v>39</v>
      </c>
      <c r="V182" s="5">
        <v>7386.38</v>
      </c>
      <c r="W182" s="5">
        <v>3730.12</v>
      </c>
      <c r="X182" s="5">
        <v>2559.38</v>
      </c>
      <c r="Y182" s="5">
        <v>1096.8800000000001</v>
      </c>
    </row>
    <row r="183" spans="1:25" ht="41.5" hidden="1" x14ac:dyDescent="0.35">
      <c r="A183" s="3" t="s">
        <v>26</v>
      </c>
      <c r="B183" s="3" t="s">
        <v>27</v>
      </c>
      <c r="C183" s="3" t="s">
        <v>90</v>
      </c>
      <c r="D183" s="3" t="s">
        <v>69</v>
      </c>
      <c r="E183" s="3" t="s">
        <v>109</v>
      </c>
      <c r="F183" s="3" t="s">
        <v>71</v>
      </c>
      <c r="G183" s="3" t="s">
        <v>109</v>
      </c>
      <c r="H183" s="3" t="s">
        <v>96</v>
      </c>
      <c r="I183" s="3">
        <v>2024</v>
      </c>
      <c r="J183" s="3" t="str">
        <f>CONCATENATE("44811268240")</f>
        <v>44811268240</v>
      </c>
      <c r="K183" s="3" t="s">
        <v>33</v>
      </c>
      <c r="L183" s="3" t="str">
        <f t="shared" si="7"/>
        <v/>
      </c>
      <c r="M183" s="3" t="str">
        <f t="shared" si="9"/>
        <v>SRA30</v>
      </c>
      <c r="N183" s="3" t="str">
        <f>CONCATENATE("LGTCML68E06G273X")</f>
        <v>LGTCML68E06G273X</v>
      </c>
      <c r="O183" s="3" t="s">
        <v>388</v>
      </c>
      <c r="P183" s="3" t="s">
        <v>35</v>
      </c>
      <c r="Q183" s="3" t="s">
        <v>98</v>
      </c>
      <c r="R183" s="4">
        <v>45926</v>
      </c>
      <c r="S183" s="3" t="s">
        <v>37</v>
      </c>
      <c r="T183" s="3" t="s">
        <v>38</v>
      </c>
      <c r="U183" s="3" t="s">
        <v>39</v>
      </c>
      <c r="V183" s="5">
        <v>4200</v>
      </c>
      <c r="W183" s="5">
        <v>2121</v>
      </c>
      <c r="X183" s="5">
        <v>1455.3</v>
      </c>
      <c r="Y183" s="3">
        <v>623.70000000000005</v>
      </c>
    </row>
    <row r="184" spans="1:25" ht="49.5" hidden="1" x14ac:dyDescent="0.35">
      <c r="A184" s="3" t="s">
        <v>26</v>
      </c>
      <c r="B184" s="3" t="s">
        <v>27</v>
      </c>
      <c r="C184" s="3" t="s">
        <v>90</v>
      </c>
      <c r="D184" s="3" t="s">
        <v>41</v>
      </c>
      <c r="E184" s="3" t="s">
        <v>264</v>
      </c>
      <c r="F184" s="3" t="s">
        <v>43</v>
      </c>
      <c r="G184" s="3" t="s">
        <v>264</v>
      </c>
      <c r="H184" s="3" t="s">
        <v>96</v>
      </c>
      <c r="I184" s="3">
        <v>2024</v>
      </c>
      <c r="J184" s="3" t="str">
        <f>CONCATENATE("44811054970")</f>
        <v>44811054970</v>
      </c>
      <c r="K184" s="3" t="s">
        <v>33</v>
      </c>
      <c r="L184" s="3" t="str">
        <f t="shared" si="7"/>
        <v/>
      </c>
      <c r="M184" s="3" t="str">
        <f t="shared" si="9"/>
        <v>SRA30</v>
      </c>
      <c r="N184" s="3" t="str">
        <f>CONCATENATE("LBOPQL54A02G263R")</f>
        <v>LBOPQL54A02G263R</v>
      </c>
      <c r="O184" s="3" t="s">
        <v>389</v>
      </c>
      <c r="P184" s="3" t="s">
        <v>35</v>
      </c>
      <c r="Q184" s="3" t="s">
        <v>98</v>
      </c>
      <c r="R184" s="4">
        <v>45926</v>
      </c>
      <c r="S184" s="3" t="s">
        <v>37</v>
      </c>
      <c r="T184" s="3" t="s">
        <v>38</v>
      </c>
      <c r="U184" s="3" t="s">
        <v>39</v>
      </c>
      <c r="V184" s="5">
        <v>2040</v>
      </c>
      <c r="W184" s="5">
        <v>1030.2</v>
      </c>
      <c r="X184" s="3">
        <v>706.86</v>
      </c>
      <c r="Y184" s="3">
        <v>302.94</v>
      </c>
    </row>
    <row r="185" spans="1:25" ht="49.5" hidden="1" x14ac:dyDescent="0.35">
      <c r="A185" s="3" t="s">
        <v>26</v>
      </c>
      <c r="B185" s="3" t="s">
        <v>27</v>
      </c>
      <c r="C185" s="3" t="s">
        <v>90</v>
      </c>
      <c r="D185" s="3" t="s">
        <v>41</v>
      </c>
      <c r="E185" s="3" t="s">
        <v>264</v>
      </c>
      <c r="F185" s="3" t="s">
        <v>43</v>
      </c>
      <c r="G185" s="3" t="s">
        <v>264</v>
      </c>
      <c r="H185" s="3" t="s">
        <v>96</v>
      </c>
      <c r="I185" s="3">
        <v>2024</v>
      </c>
      <c r="J185" s="3" t="str">
        <f>CONCATENATE("44810403913")</f>
        <v>44810403913</v>
      </c>
      <c r="K185" s="3" t="s">
        <v>33</v>
      </c>
      <c r="L185" s="3" t="str">
        <f t="shared" si="7"/>
        <v/>
      </c>
      <c r="M185" s="3" t="str">
        <f t="shared" si="9"/>
        <v>SRA30</v>
      </c>
      <c r="N185" s="3" t="str">
        <f>CONCATENATE("RMNLCU61P65H070A")</f>
        <v>RMNLCU61P65H070A</v>
      </c>
      <c r="O185" s="3" t="s">
        <v>390</v>
      </c>
      <c r="P185" s="3" t="s">
        <v>35</v>
      </c>
      <c r="Q185" s="3" t="s">
        <v>98</v>
      </c>
      <c r="R185" s="4">
        <v>45926</v>
      </c>
      <c r="S185" s="3" t="s">
        <v>37</v>
      </c>
      <c r="T185" s="3" t="s">
        <v>38</v>
      </c>
      <c r="U185" s="3" t="s">
        <v>39</v>
      </c>
      <c r="V185" s="5">
        <v>2558.16</v>
      </c>
      <c r="W185" s="5">
        <v>1291.8699999999999</v>
      </c>
      <c r="X185" s="3">
        <v>886.4</v>
      </c>
      <c r="Y185" s="3">
        <v>379.89</v>
      </c>
    </row>
    <row r="186" spans="1:25" ht="41.5" hidden="1" x14ac:dyDescent="0.35">
      <c r="A186" s="3" t="s">
        <v>26</v>
      </c>
      <c r="B186" s="3" t="s">
        <v>27</v>
      </c>
      <c r="C186" s="3" t="s">
        <v>90</v>
      </c>
      <c r="D186" s="3" t="s">
        <v>41</v>
      </c>
      <c r="E186" s="3" t="s">
        <v>264</v>
      </c>
      <c r="F186" s="3" t="s">
        <v>43</v>
      </c>
      <c r="G186" s="3" t="s">
        <v>264</v>
      </c>
      <c r="H186" s="3" t="s">
        <v>96</v>
      </c>
      <c r="I186" s="3">
        <v>2024</v>
      </c>
      <c r="J186" s="3" t="str">
        <f>CONCATENATE("44811423589")</f>
        <v>44811423589</v>
      </c>
      <c r="K186" s="3" t="s">
        <v>33</v>
      </c>
      <c r="L186" s="3" t="str">
        <f t="shared" si="7"/>
        <v/>
      </c>
      <c r="M186" s="3" t="str">
        <f t="shared" si="9"/>
        <v>SRA30</v>
      </c>
      <c r="N186" s="3" t="str">
        <f>CONCATENATE("LFSSVT55E25E957B")</f>
        <v>LFSSVT55E25E957B</v>
      </c>
      <c r="O186" s="3" t="s">
        <v>391</v>
      </c>
      <c r="P186" s="3" t="s">
        <v>35</v>
      </c>
      <c r="Q186" s="3" t="s">
        <v>98</v>
      </c>
      <c r="R186" s="4">
        <v>45926</v>
      </c>
      <c r="S186" s="3" t="s">
        <v>37</v>
      </c>
      <c r="T186" s="3" t="s">
        <v>38</v>
      </c>
      <c r="U186" s="3" t="s">
        <v>39</v>
      </c>
      <c r="V186" s="5">
        <v>5708.81</v>
      </c>
      <c r="W186" s="5">
        <v>2882.95</v>
      </c>
      <c r="X186" s="5">
        <v>1978.1</v>
      </c>
      <c r="Y186" s="3">
        <v>847.76</v>
      </c>
    </row>
    <row r="187" spans="1:25" ht="41.5" hidden="1" x14ac:dyDescent="0.35">
      <c r="A187" s="3" t="s">
        <v>26</v>
      </c>
      <c r="B187" s="3" t="s">
        <v>27</v>
      </c>
      <c r="C187" s="3" t="s">
        <v>90</v>
      </c>
      <c r="D187" s="3" t="s">
        <v>51</v>
      </c>
      <c r="E187" s="3" t="s">
        <v>361</v>
      </c>
      <c r="F187" s="3" t="s">
        <v>51</v>
      </c>
      <c r="G187" s="3" t="s">
        <v>361</v>
      </c>
      <c r="H187" s="3" t="s">
        <v>96</v>
      </c>
      <c r="I187" s="3">
        <v>2024</v>
      </c>
      <c r="J187" s="3" t="str">
        <f>CONCATENATE("44810797678")</f>
        <v>44810797678</v>
      </c>
      <c r="K187" s="3" t="s">
        <v>33</v>
      </c>
      <c r="L187" s="3" t="str">
        <f t="shared" si="7"/>
        <v/>
      </c>
      <c r="M187" s="3" t="str">
        <f t="shared" si="9"/>
        <v>SRA30</v>
      </c>
      <c r="N187" s="3" t="str">
        <f>CONCATENATE("LCUGPP64L04G273Z")</f>
        <v>LCUGPP64L04G273Z</v>
      </c>
      <c r="O187" s="3" t="s">
        <v>392</v>
      </c>
      <c r="P187" s="3" t="s">
        <v>35</v>
      </c>
      <c r="Q187" s="3" t="s">
        <v>98</v>
      </c>
      <c r="R187" s="4">
        <v>45926</v>
      </c>
      <c r="S187" s="3" t="s">
        <v>37</v>
      </c>
      <c r="T187" s="3" t="s">
        <v>38</v>
      </c>
      <c r="U187" s="3" t="s">
        <v>39</v>
      </c>
      <c r="V187" s="5">
        <v>4594.1099999999997</v>
      </c>
      <c r="W187" s="5">
        <v>2320.0300000000002</v>
      </c>
      <c r="X187" s="5">
        <v>1591.86</v>
      </c>
      <c r="Y187" s="3">
        <v>682.22</v>
      </c>
    </row>
    <row r="188" spans="1:25" ht="41.5" hidden="1" x14ac:dyDescent="0.35">
      <c r="A188" s="3" t="s">
        <v>26</v>
      </c>
      <c r="B188" s="3" t="s">
        <v>27</v>
      </c>
      <c r="C188" s="3" t="s">
        <v>90</v>
      </c>
      <c r="D188" s="3" t="s">
        <v>364</v>
      </c>
      <c r="E188" s="3" t="s">
        <v>365</v>
      </c>
      <c r="F188" s="3" t="s">
        <v>393</v>
      </c>
      <c r="G188" s="3" t="s">
        <v>365</v>
      </c>
      <c r="H188" s="3" t="s">
        <v>96</v>
      </c>
      <c r="I188" s="3">
        <v>2024</v>
      </c>
      <c r="J188" s="3" t="str">
        <f>CONCATENATE("44810185635")</f>
        <v>44810185635</v>
      </c>
      <c r="K188" s="3" t="s">
        <v>33</v>
      </c>
      <c r="L188" s="3" t="str">
        <f t="shared" si="7"/>
        <v/>
      </c>
      <c r="M188" s="3" t="str">
        <f t="shared" si="9"/>
        <v>SRA30</v>
      </c>
      <c r="N188" s="3" t="str">
        <f>CONCATENATE("NSCRSR81E19G273J")</f>
        <v>NSCRSR81E19G273J</v>
      </c>
      <c r="O188" s="3" t="s">
        <v>394</v>
      </c>
      <c r="P188" s="3" t="s">
        <v>35</v>
      </c>
      <c r="Q188" s="3" t="s">
        <v>98</v>
      </c>
      <c r="R188" s="4">
        <v>45926</v>
      </c>
      <c r="S188" s="3" t="s">
        <v>37</v>
      </c>
      <c r="T188" s="3" t="s">
        <v>38</v>
      </c>
      <c r="U188" s="3" t="s">
        <v>39</v>
      </c>
      <c r="V188" s="5">
        <v>5621.87</v>
      </c>
      <c r="W188" s="5">
        <v>2839.04</v>
      </c>
      <c r="X188" s="5">
        <v>1947.98</v>
      </c>
      <c r="Y188" s="3">
        <v>834.85</v>
      </c>
    </row>
    <row r="189" spans="1:25" ht="33.5" hidden="1" x14ac:dyDescent="0.35">
      <c r="A189" s="3" t="s">
        <v>26</v>
      </c>
      <c r="B189" s="3" t="s">
        <v>27</v>
      </c>
      <c r="C189" s="3" t="s">
        <v>90</v>
      </c>
      <c r="D189" s="3" t="s">
        <v>69</v>
      </c>
      <c r="E189" s="3" t="s">
        <v>109</v>
      </c>
      <c r="F189" s="3" t="s">
        <v>71</v>
      </c>
      <c r="G189" s="3" t="s">
        <v>109</v>
      </c>
      <c r="H189" s="3" t="s">
        <v>96</v>
      </c>
      <c r="I189" s="3">
        <v>2024</v>
      </c>
      <c r="J189" s="3" t="str">
        <f>CONCATENATE("44811126620")</f>
        <v>44811126620</v>
      </c>
      <c r="K189" s="3" t="s">
        <v>33</v>
      </c>
      <c r="L189" s="3" t="str">
        <f t="shared" si="7"/>
        <v/>
      </c>
      <c r="M189" s="3" t="str">
        <f t="shared" si="9"/>
        <v>SRA30</v>
      </c>
      <c r="N189" s="3" t="str">
        <f>CONCATENATE("PLLNCL88L03L112Y")</f>
        <v>PLLNCL88L03L112Y</v>
      </c>
      <c r="O189" s="3" t="s">
        <v>395</v>
      </c>
      <c r="P189" s="3" t="s">
        <v>35</v>
      </c>
      <c r="Q189" s="3" t="s">
        <v>98</v>
      </c>
      <c r="R189" s="4">
        <v>45926</v>
      </c>
      <c r="S189" s="3" t="s">
        <v>37</v>
      </c>
      <c r="T189" s="3" t="s">
        <v>38</v>
      </c>
      <c r="U189" s="3" t="s">
        <v>39</v>
      </c>
      <c r="V189" s="5">
        <v>6907.09</v>
      </c>
      <c r="W189" s="5">
        <v>3488.08</v>
      </c>
      <c r="X189" s="5">
        <v>2393.31</v>
      </c>
      <c r="Y189" s="5">
        <v>1025.7</v>
      </c>
    </row>
    <row r="190" spans="1:25" ht="41.5" hidden="1" x14ac:dyDescent="0.35">
      <c r="A190" s="3" t="s">
        <v>26</v>
      </c>
      <c r="B190" s="3" t="s">
        <v>27</v>
      </c>
      <c r="C190" s="3" t="s">
        <v>90</v>
      </c>
      <c r="D190" s="3" t="s">
        <v>41</v>
      </c>
      <c r="E190" s="3" t="s">
        <v>396</v>
      </c>
      <c r="F190" s="3" t="s">
        <v>43</v>
      </c>
      <c r="G190" s="3" t="s">
        <v>396</v>
      </c>
      <c r="H190" s="3" t="s">
        <v>96</v>
      </c>
      <c r="I190" s="3">
        <v>2024</v>
      </c>
      <c r="J190" s="3" t="str">
        <f>CONCATENATE("44810575520")</f>
        <v>44810575520</v>
      </c>
      <c r="K190" s="3" t="s">
        <v>33</v>
      </c>
      <c r="L190" s="3" t="str">
        <f t="shared" si="7"/>
        <v/>
      </c>
      <c r="M190" s="3" t="str">
        <f t="shared" si="9"/>
        <v>SRA30</v>
      </c>
      <c r="N190" s="3" t="str">
        <f>CONCATENATE("MRCSVT75T04G273B")</f>
        <v>MRCSVT75T04G273B</v>
      </c>
      <c r="O190" s="3" t="s">
        <v>397</v>
      </c>
      <c r="P190" s="3" t="s">
        <v>35</v>
      </c>
      <c r="Q190" s="3" t="s">
        <v>98</v>
      </c>
      <c r="R190" s="4">
        <v>45926</v>
      </c>
      <c r="S190" s="3" t="s">
        <v>37</v>
      </c>
      <c r="T190" s="3" t="s">
        <v>38</v>
      </c>
      <c r="U190" s="3" t="s">
        <v>39</v>
      </c>
      <c r="V190" s="5">
        <v>8869.4</v>
      </c>
      <c r="W190" s="5">
        <v>4479.05</v>
      </c>
      <c r="X190" s="5">
        <v>3073.25</v>
      </c>
      <c r="Y190" s="5">
        <v>1317.1</v>
      </c>
    </row>
    <row r="191" spans="1:25" ht="41.5" hidden="1" x14ac:dyDescent="0.35">
      <c r="A191" s="3" t="s">
        <v>26</v>
      </c>
      <c r="B191" s="3" t="s">
        <v>27</v>
      </c>
      <c r="C191" s="3" t="s">
        <v>90</v>
      </c>
      <c r="D191" s="3" t="s">
        <v>41</v>
      </c>
      <c r="E191" s="3" t="s">
        <v>264</v>
      </c>
      <c r="F191" s="3" t="s">
        <v>43</v>
      </c>
      <c r="G191" s="3" t="s">
        <v>264</v>
      </c>
      <c r="H191" s="3" t="s">
        <v>96</v>
      </c>
      <c r="I191" s="3">
        <v>2024</v>
      </c>
      <c r="J191" s="3" t="str">
        <f>CONCATENATE("44810432557")</f>
        <v>44810432557</v>
      </c>
      <c r="K191" s="3" t="s">
        <v>33</v>
      </c>
      <c r="L191" s="3" t="str">
        <f t="shared" si="7"/>
        <v/>
      </c>
      <c r="M191" s="3" t="str">
        <f t="shared" si="9"/>
        <v>SRA30</v>
      </c>
      <c r="N191" s="3" t="str">
        <f>CONCATENATE("MRRFPP66C17G273F")</f>
        <v>MRRFPP66C17G273F</v>
      </c>
      <c r="O191" s="3" t="s">
        <v>398</v>
      </c>
      <c r="P191" s="3" t="s">
        <v>35</v>
      </c>
      <c r="Q191" s="3" t="s">
        <v>98</v>
      </c>
      <c r="R191" s="4">
        <v>45926</v>
      </c>
      <c r="S191" s="3" t="s">
        <v>37</v>
      </c>
      <c r="T191" s="3" t="s">
        <v>38</v>
      </c>
      <c r="U191" s="3" t="s">
        <v>39</v>
      </c>
      <c r="V191" s="5">
        <v>3740</v>
      </c>
      <c r="W191" s="5">
        <v>1888.7</v>
      </c>
      <c r="X191" s="5">
        <v>1295.9100000000001</v>
      </c>
      <c r="Y191" s="3">
        <v>555.39</v>
      </c>
    </row>
    <row r="192" spans="1:25" ht="41.5" hidden="1" x14ac:dyDescent="0.35">
      <c r="A192" s="3" t="s">
        <v>26</v>
      </c>
      <c r="B192" s="3" t="s">
        <v>27</v>
      </c>
      <c r="C192" s="3" t="s">
        <v>90</v>
      </c>
      <c r="D192" s="3" t="s">
        <v>234</v>
      </c>
      <c r="E192" s="3" t="s">
        <v>282</v>
      </c>
      <c r="F192" s="3" t="s">
        <v>119</v>
      </c>
      <c r="G192" s="3" t="s">
        <v>282</v>
      </c>
      <c r="H192" s="3" t="s">
        <v>96</v>
      </c>
      <c r="I192" s="3">
        <v>2024</v>
      </c>
      <c r="J192" s="3" t="str">
        <f>CONCATENATE("44810704567")</f>
        <v>44810704567</v>
      </c>
      <c r="K192" s="3" t="s">
        <v>33</v>
      </c>
      <c r="L192" s="3" t="str">
        <f t="shared" si="7"/>
        <v/>
      </c>
      <c r="M192" s="3" t="str">
        <f t="shared" si="9"/>
        <v>SRA30</v>
      </c>
      <c r="N192" s="3" t="str">
        <f>CONCATENATE("MLZGPP78C12G263G")</f>
        <v>MLZGPP78C12G263G</v>
      </c>
      <c r="O192" s="3" t="s">
        <v>399</v>
      </c>
      <c r="P192" s="3" t="s">
        <v>35</v>
      </c>
      <c r="Q192" s="3" t="s">
        <v>98</v>
      </c>
      <c r="R192" s="4">
        <v>45926</v>
      </c>
      <c r="S192" s="3" t="s">
        <v>37</v>
      </c>
      <c r="T192" s="3" t="s">
        <v>38</v>
      </c>
      <c r="U192" s="3" t="s">
        <v>39</v>
      </c>
      <c r="V192" s="5">
        <v>5279.22</v>
      </c>
      <c r="W192" s="5">
        <v>2666.01</v>
      </c>
      <c r="X192" s="5">
        <v>1829.25</v>
      </c>
      <c r="Y192" s="3">
        <v>783.96</v>
      </c>
    </row>
    <row r="193" spans="1:25" ht="41.5" hidden="1" x14ac:dyDescent="0.35">
      <c r="A193" s="3" t="s">
        <v>26</v>
      </c>
      <c r="B193" s="3" t="s">
        <v>27</v>
      </c>
      <c r="C193" s="3" t="s">
        <v>90</v>
      </c>
      <c r="D193" s="3" t="s">
        <v>107</v>
      </c>
      <c r="E193" s="3" t="s">
        <v>108</v>
      </c>
      <c r="F193" s="3" t="s">
        <v>71</v>
      </c>
      <c r="G193" s="3" t="s">
        <v>109</v>
      </c>
      <c r="H193" s="3" t="s">
        <v>96</v>
      </c>
      <c r="I193" s="3">
        <v>2024</v>
      </c>
      <c r="J193" s="3" t="str">
        <f>CONCATENATE("44811002771")</f>
        <v>44811002771</v>
      </c>
      <c r="K193" s="3" t="s">
        <v>33</v>
      </c>
      <c r="L193" s="3" t="str">
        <f t="shared" si="7"/>
        <v/>
      </c>
      <c r="M193" s="3" t="str">
        <f t="shared" si="9"/>
        <v>SRA30</v>
      </c>
      <c r="N193" s="3" t="str">
        <f>CONCATENATE("MFFPNG75P16C421B")</f>
        <v>MFFPNG75P16C421B</v>
      </c>
      <c r="O193" s="3" t="s">
        <v>400</v>
      </c>
      <c r="P193" s="3" t="s">
        <v>35</v>
      </c>
      <c r="Q193" s="3" t="s">
        <v>98</v>
      </c>
      <c r="R193" s="4">
        <v>45926</v>
      </c>
      <c r="S193" s="3" t="s">
        <v>37</v>
      </c>
      <c r="T193" s="3" t="s">
        <v>38</v>
      </c>
      <c r="U193" s="3" t="s">
        <v>39</v>
      </c>
      <c r="V193" s="5">
        <v>7344</v>
      </c>
      <c r="W193" s="5">
        <v>3708.72</v>
      </c>
      <c r="X193" s="5">
        <v>2544.6999999999998</v>
      </c>
      <c r="Y193" s="5">
        <v>1090.58</v>
      </c>
    </row>
    <row r="194" spans="1:25" ht="49.5" hidden="1" x14ac:dyDescent="0.35">
      <c r="A194" s="3" t="s">
        <v>26</v>
      </c>
      <c r="B194" s="3" t="s">
        <v>27</v>
      </c>
      <c r="C194" s="3" t="s">
        <v>90</v>
      </c>
      <c r="D194" s="3" t="s">
        <v>29</v>
      </c>
      <c r="E194" s="3" t="s">
        <v>286</v>
      </c>
      <c r="F194" s="3" t="s">
        <v>31</v>
      </c>
      <c r="G194" s="3" t="s">
        <v>286</v>
      </c>
      <c r="H194" s="3" t="s">
        <v>96</v>
      </c>
      <c r="I194" s="3">
        <v>2024</v>
      </c>
      <c r="J194" s="3" t="str">
        <f>CONCATENATE("44810840098")</f>
        <v>44810840098</v>
      </c>
      <c r="K194" s="3" t="s">
        <v>33</v>
      </c>
      <c r="L194" s="3" t="str">
        <f t="shared" si="7"/>
        <v/>
      </c>
      <c r="M194" s="3" t="str">
        <f t="shared" si="9"/>
        <v>SRA30</v>
      </c>
      <c r="N194" s="3" t="str">
        <f>CONCATENATE("DDOMRN81D30Z112M")</f>
        <v>DDOMRN81D30Z112M</v>
      </c>
      <c r="O194" s="3" t="s">
        <v>401</v>
      </c>
      <c r="P194" s="3" t="s">
        <v>35</v>
      </c>
      <c r="Q194" s="3" t="s">
        <v>98</v>
      </c>
      <c r="R194" s="4">
        <v>45926</v>
      </c>
      <c r="S194" s="3" t="s">
        <v>37</v>
      </c>
      <c r="T194" s="3" t="s">
        <v>38</v>
      </c>
      <c r="U194" s="3" t="s">
        <v>39</v>
      </c>
      <c r="V194" s="5">
        <v>1870</v>
      </c>
      <c r="W194" s="3">
        <v>944.35</v>
      </c>
      <c r="X194" s="3">
        <v>647.96</v>
      </c>
      <c r="Y194" s="3">
        <v>277.69</v>
      </c>
    </row>
    <row r="195" spans="1:25" ht="41.5" hidden="1" x14ac:dyDescent="0.35">
      <c r="A195" s="3" t="s">
        <v>26</v>
      </c>
      <c r="B195" s="3" t="s">
        <v>27</v>
      </c>
      <c r="C195" s="3" t="s">
        <v>90</v>
      </c>
      <c r="D195" s="3" t="s">
        <v>29</v>
      </c>
      <c r="E195" s="3" t="s">
        <v>286</v>
      </c>
      <c r="F195" s="3" t="s">
        <v>31</v>
      </c>
      <c r="G195" s="3" t="s">
        <v>286</v>
      </c>
      <c r="H195" s="3" t="s">
        <v>96</v>
      </c>
      <c r="I195" s="3">
        <v>2024</v>
      </c>
      <c r="J195" s="3" t="str">
        <f>CONCATENATE("44810110781")</f>
        <v>44810110781</v>
      </c>
      <c r="K195" s="3" t="s">
        <v>33</v>
      </c>
      <c r="L195" s="3" t="str">
        <f t="shared" si="7"/>
        <v/>
      </c>
      <c r="M195" s="3" t="str">
        <f t="shared" si="9"/>
        <v>SRA30</v>
      </c>
      <c r="N195" s="3" t="str">
        <f>CONCATENATE("PCRSVT93E03I356F")</f>
        <v>PCRSVT93E03I356F</v>
      </c>
      <c r="O195" s="3" t="s">
        <v>402</v>
      </c>
      <c r="P195" s="3" t="s">
        <v>35</v>
      </c>
      <c r="Q195" s="3" t="s">
        <v>98</v>
      </c>
      <c r="R195" s="4">
        <v>45926</v>
      </c>
      <c r="S195" s="3" t="s">
        <v>37</v>
      </c>
      <c r="T195" s="3" t="s">
        <v>38</v>
      </c>
      <c r="U195" s="3" t="s">
        <v>39</v>
      </c>
      <c r="V195" s="5">
        <v>4400</v>
      </c>
      <c r="W195" s="5">
        <v>2222</v>
      </c>
      <c r="X195" s="5">
        <v>1524.6</v>
      </c>
      <c r="Y195" s="3">
        <v>653.4</v>
      </c>
    </row>
    <row r="196" spans="1:25" ht="49.5" hidden="1" x14ac:dyDescent="0.35">
      <c r="A196" s="3" t="s">
        <v>26</v>
      </c>
      <c r="B196" s="3" t="s">
        <v>27</v>
      </c>
      <c r="C196" s="3" t="s">
        <v>90</v>
      </c>
      <c r="D196" s="3" t="s">
        <v>41</v>
      </c>
      <c r="E196" s="3" t="s">
        <v>270</v>
      </c>
      <c r="F196" s="3" t="s">
        <v>43</v>
      </c>
      <c r="G196" s="3" t="s">
        <v>270</v>
      </c>
      <c r="H196" s="3" t="s">
        <v>96</v>
      </c>
      <c r="I196" s="3">
        <v>2024</v>
      </c>
      <c r="J196" s="3" t="str">
        <f>CONCATENATE("44810976637")</f>
        <v>44810976637</v>
      </c>
      <c r="K196" s="3" t="s">
        <v>33</v>
      </c>
      <c r="L196" s="3" t="str">
        <f t="shared" ref="L196:L259" si="10">CONCATENATE("")</f>
        <v/>
      </c>
      <c r="M196" s="3" t="str">
        <f t="shared" si="9"/>
        <v>SRA30</v>
      </c>
      <c r="N196" s="3" t="str">
        <f>CONCATENATE("PMLNGL80R16D009W")</f>
        <v>PMLNGL80R16D009W</v>
      </c>
      <c r="O196" s="3" t="s">
        <v>403</v>
      </c>
      <c r="P196" s="3" t="s">
        <v>35</v>
      </c>
      <c r="Q196" s="3" t="s">
        <v>98</v>
      </c>
      <c r="R196" s="4">
        <v>45926</v>
      </c>
      <c r="S196" s="3" t="s">
        <v>37</v>
      </c>
      <c r="T196" s="3" t="s">
        <v>38</v>
      </c>
      <c r="U196" s="3" t="s">
        <v>39</v>
      </c>
      <c r="V196" s="5">
        <v>3604</v>
      </c>
      <c r="W196" s="5">
        <v>1820.02</v>
      </c>
      <c r="X196" s="5">
        <v>1248.79</v>
      </c>
      <c r="Y196" s="3">
        <v>535.19000000000005</v>
      </c>
    </row>
    <row r="197" spans="1:25" ht="41.5" hidden="1" x14ac:dyDescent="0.35">
      <c r="A197" s="3" t="s">
        <v>26</v>
      </c>
      <c r="B197" s="3" t="s">
        <v>27</v>
      </c>
      <c r="C197" s="3" t="s">
        <v>90</v>
      </c>
      <c r="D197" s="3" t="s">
        <v>180</v>
      </c>
      <c r="E197" s="3" t="s">
        <v>258</v>
      </c>
      <c r="F197" s="3" t="s">
        <v>85</v>
      </c>
      <c r="G197" s="3" t="s">
        <v>258</v>
      </c>
      <c r="H197" s="3" t="s">
        <v>96</v>
      </c>
      <c r="I197" s="3">
        <v>2024</v>
      </c>
      <c r="J197" s="3" t="str">
        <f>CONCATENATE("44810233443")</f>
        <v>44810233443</v>
      </c>
      <c r="K197" s="3" t="s">
        <v>33</v>
      </c>
      <c r="L197" s="3" t="str">
        <f t="shared" si="10"/>
        <v/>
      </c>
      <c r="M197" s="3" t="str">
        <f t="shared" si="9"/>
        <v>SRA30</v>
      </c>
      <c r="N197" s="3" t="str">
        <f>CONCATENATE("PCCPNI71D41C067E")</f>
        <v>PCCPNI71D41C067E</v>
      </c>
      <c r="O197" s="3" t="s">
        <v>404</v>
      </c>
      <c r="P197" s="3" t="s">
        <v>35</v>
      </c>
      <c r="Q197" s="3" t="s">
        <v>98</v>
      </c>
      <c r="R197" s="4">
        <v>45926</v>
      </c>
      <c r="S197" s="3" t="s">
        <v>37</v>
      </c>
      <c r="T197" s="3" t="s">
        <v>38</v>
      </c>
      <c r="U197" s="3" t="s">
        <v>39</v>
      </c>
      <c r="V197" s="5">
        <v>3627.8</v>
      </c>
      <c r="W197" s="5">
        <v>1832.04</v>
      </c>
      <c r="X197" s="5">
        <v>1257.03</v>
      </c>
      <c r="Y197" s="3">
        <v>538.73</v>
      </c>
    </row>
    <row r="198" spans="1:25" ht="41.5" hidden="1" x14ac:dyDescent="0.35">
      <c r="A198" s="3" t="s">
        <v>26</v>
      </c>
      <c r="B198" s="3" t="s">
        <v>27</v>
      </c>
      <c r="C198" s="3" t="s">
        <v>90</v>
      </c>
      <c r="D198" s="3" t="s">
        <v>41</v>
      </c>
      <c r="E198" s="3" t="s">
        <v>264</v>
      </c>
      <c r="F198" s="3" t="s">
        <v>43</v>
      </c>
      <c r="G198" s="3" t="s">
        <v>264</v>
      </c>
      <c r="H198" s="3" t="s">
        <v>96</v>
      </c>
      <c r="I198" s="3">
        <v>2024</v>
      </c>
      <c r="J198" s="3" t="str">
        <f>CONCATENATE("44810120400")</f>
        <v>44810120400</v>
      </c>
      <c r="K198" s="3" t="s">
        <v>33</v>
      </c>
      <c r="L198" s="3" t="str">
        <f t="shared" si="10"/>
        <v/>
      </c>
      <c r="M198" s="3" t="str">
        <f t="shared" si="9"/>
        <v>SRA30</v>
      </c>
      <c r="N198" s="3" t="str">
        <f>CONCATENATE("RMCGPP66C71H070U")</f>
        <v>RMCGPP66C71H070U</v>
      </c>
      <c r="O198" s="3" t="s">
        <v>405</v>
      </c>
      <c r="P198" s="3" t="s">
        <v>35</v>
      </c>
      <c r="Q198" s="3" t="s">
        <v>98</v>
      </c>
      <c r="R198" s="4">
        <v>45926</v>
      </c>
      <c r="S198" s="3" t="s">
        <v>37</v>
      </c>
      <c r="T198" s="3" t="s">
        <v>38</v>
      </c>
      <c r="U198" s="3" t="s">
        <v>39</v>
      </c>
      <c r="V198" s="5">
        <v>9350</v>
      </c>
      <c r="W198" s="5">
        <v>4721.75</v>
      </c>
      <c r="X198" s="5">
        <v>3239.78</v>
      </c>
      <c r="Y198" s="5">
        <v>1388.47</v>
      </c>
    </row>
    <row r="199" spans="1:25" ht="25.5" hidden="1" x14ac:dyDescent="0.35">
      <c r="A199" s="3" t="s">
        <v>26</v>
      </c>
      <c r="B199" s="3" t="s">
        <v>27</v>
      </c>
      <c r="C199" s="3" t="s">
        <v>90</v>
      </c>
      <c r="D199" s="3" t="s">
        <v>180</v>
      </c>
      <c r="E199" s="3" t="s">
        <v>258</v>
      </c>
      <c r="F199" s="3" t="s">
        <v>85</v>
      </c>
      <c r="G199" s="3" t="s">
        <v>258</v>
      </c>
      <c r="H199" s="3" t="s">
        <v>96</v>
      </c>
      <c r="I199" s="3">
        <v>2024</v>
      </c>
      <c r="J199" s="3" t="str">
        <f>CONCATENATE("44810793396")</f>
        <v>44810793396</v>
      </c>
      <c r="K199" s="3" t="s">
        <v>33</v>
      </c>
      <c r="L199" s="3" t="str">
        <f t="shared" si="10"/>
        <v/>
      </c>
      <c r="M199" s="3" t="str">
        <f t="shared" si="9"/>
        <v>SRA30</v>
      </c>
      <c r="N199" s="3" t="str">
        <f>CONCATENATE("96030820821")</f>
        <v>96030820821</v>
      </c>
      <c r="O199" s="3" t="s">
        <v>406</v>
      </c>
      <c r="P199" s="3" t="s">
        <v>35</v>
      </c>
      <c r="Q199" s="3" t="s">
        <v>98</v>
      </c>
      <c r="R199" s="4">
        <v>45926</v>
      </c>
      <c r="S199" s="3" t="s">
        <v>37</v>
      </c>
      <c r="T199" s="3" t="s">
        <v>38</v>
      </c>
      <c r="U199" s="3" t="s">
        <v>39</v>
      </c>
      <c r="V199" s="5">
        <v>9301.26</v>
      </c>
      <c r="W199" s="5">
        <v>4697.1400000000003</v>
      </c>
      <c r="X199" s="5">
        <v>3222.89</v>
      </c>
      <c r="Y199" s="5">
        <v>1381.23</v>
      </c>
    </row>
    <row r="200" spans="1:25" ht="41.5" hidden="1" x14ac:dyDescent="0.35">
      <c r="A200" s="3" t="s">
        <v>26</v>
      </c>
      <c r="B200" s="3" t="s">
        <v>27</v>
      </c>
      <c r="C200" s="3" t="s">
        <v>90</v>
      </c>
      <c r="D200" s="3" t="s">
        <v>69</v>
      </c>
      <c r="E200" s="3" t="s">
        <v>109</v>
      </c>
      <c r="F200" s="3" t="s">
        <v>71</v>
      </c>
      <c r="G200" s="3" t="s">
        <v>109</v>
      </c>
      <c r="H200" s="3" t="s">
        <v>96</v>
      </c>
      <c r="I200" s="3">
        <v>2024</v>
      </c>
      <c r="J200" s="3" t="str">
        <f>CONCATENATE("44810758092")</f>
        <v>44810758092</v>
      </c>
      <c r="K200" s="3" t="s">
        <v>33</v>
      </c>
      <c r="L200" s="3" t="str">
        <f t="shared" si="10"/>
        <v/>
      </c>
      <c r="M200" s="3" t="str">
        <f t="shared" si="9"/>
        <v>SRA30</v>
      </c>
      <c r="N200" s="3" t="str">
        <f>CONCATENATE("RTNNNT65A54C871G")</f>
        <v>RTNNNT65A54C871G</v>
      </c>
      <c r="O200" s="3" t="s">
        <v>407</v>
      </c>
      <c r="P200" s="3" t="s">
        <v>35</v>
      </c>
      <c r="Q200" s="3" t="s">
        <v>98</v>
      </c>
      <c r="R200" s="4">
        <v>45926</v>
      </c>
      <c r="S200" s="3" t="s">
        <v>37</v>
      </c>
      <c r="T200" s="3" t="s">
        <v>38</v>
      </c>
      <c r="U200" s="3" t="s">
        <v>39</v>
      </c>
      <c r="V200" s="5">
        <v>5288.75</v>
      </c>
      <c r="W200" s="5">
        <v>2670.82</v>
      </c>
      <c r="X200" s="5">
        <v>1832.55</v>
      </c>
      <c r="Y200" s="3">
        <v>785.38</v>
      </c>
    </row>
    <row r="201" spans="1:25" ht="41.5" hidden="1" x14ac:dyDescent="0.35">
      <c r="A201" s="3" t="s">
        <v>26</v>
      </c>
      <c r="B201" s="3" t="s">
        <v>27</v>
      </c>
      <c r="C201" s="3" t="s">
        <v>90</v>
      </c>
      <c r="D201" s="3" t="s">
        <v>180</v>
      </c>
      <c r="E201" s="3" t="s">
        <v>258</v>
      </c>
      <c r="F201" s="3" t="s">
        <v>85</v>
      </c>
      <c r="G201" s="3" t="s">
        <v>258</v>
      </c>
      <c r="H201" s="3" t="s">
        <v>96</v>
      </c>
      <c r="I201" s="3">
        <v>2024</v>
      </c>
      <c r="J201" s="3" t="str">
        <f>CONCATENATE("44810646354")</f>
        <v>44810646354</v>
      </c>
      <c r="K201" s="3" t="s">
        <v>33</v>
      </c>
      <c r="L201" s="3" t="str">
        <f t="shared" si="10"/>
        <v/>
      </c>
      <c r="M201" s="3" t="str">
        <f t="shared" si="9"/>
        <v>SRA30</v>
      </c>
      <c r="N201" s="3" t="str">
        <f>CONCATENATE("SCLMRN68P07C496Z")</f>
        <v>SCLMRN68P07C496Z</v>
      </c>
      <c r="O201" s="3" t="s">
        <v>408</v>
      </c>
      <c r="P201" s="3" t="s">
        <v>35</v>
      </c>
      <c r="Q201" s="3" t="s">
        <v>98</v>
      </c>
      <c r="R201" s="4">
        <v>45926</v>
      </c>
      <c r="S201" s="3" t="s">
        <v>37</v>
      </c>
      <c r="T201" s="3" t="s">
        <v>38</v>
      </c>
      <c r="U201" s="3" t="s">
        <v>39</v>
      </c>
      <c r="V201" s="5">
        <v>4820.78</v>
      </c>
      <c r="W201" s="5">
        <v>2434.4899999999998</v>
      </c>
      <c r="X201" s="5">
        <v>1670.4</v>
      </c>
      <c r="Y201" s="3">
        <v>715.89</v>
      </c>
    </row>
    <row r="202" spans="1:25" ht="25.5" hidden="1" x14ac:dyDescent="0.35">
      <c r="A202" s="3" t="s">
        <v>26</v>
      </c>
      <c r="B202" s="3" t="s">
        <v>27</v>
      </c>
      <c r="C202" s="3" t="s">
        <v>90</v>
      </c>
      <c r="D202" s="3" t="s">
        <v>41</v>
      </c>
      <c r="E202" s="3" t="s">
        <v>270</v>
      </c>
      <c r="F202" s="3" t="s">
        <v>43</v>
      </c>
      <c r="G202" s="3" t="s">
        <v>270</v>
      </c>
      <c r="H202" s="3" t="s">
        <v>96</v>
      </c>
      <c r="I202" s="3">
        <v>2024</v>
      </c>
      <c r="J202" s="3" t="str">
        <f>CONCATENATE("44810285427")</f>
        <v>44810285427</v>
      </c>
      <c r="K202" s="3" t="s">
        <v>33</v>
      </c>
      <c r="L202" s="3" t="str">
        <f t="shared" si="10"/>
        <v/>
      </c>
      <c r="M202" s="3" t="str">
        <f t="shared" si="9"/>
        <v>SRA30</v>
      </c>
      <c r="N202" s="3" t="str">
        <f>CONCATENATE("06810750825")</f>
        <v>06810750825</v>
      </c>
      <c r="O202" s="3" t="s">
        <v>409</v>
      </c>
      <c r="P202" s="3" t="s">
        <v>35</v>
      </c>
      <c r="Q202" s="3" t="s">
        <v>98</v>
      </c>
      <c r="R202" s="4">
        <v>45926</v>
      </c>
      <c r="S202" s="3" t="s">
        <v>37</v>
      </c>
      <c r="T202" s="3" t="s">
        <v>38</v>
      </c>
      <c r="U202" s="3" t="s">
        <v>39</v>
      </c>
      <c r="V202" s="5">
        <v>3400</v>
      </c>
      <c r="W202" s="5">
        <v>1717</v>
      </c>
      <c r="X202" s="5">
        <v>1178.0999999999999</v>
      </c>
      <c r="Y202" s="3">
        <v>504.9</v>
      </c>
    </row>
    <row r="203" spans="1:25" ht="25.5" hidden="1" x14ac:dyDescent="0.35">
      <c r="A203" s="3" t="s">
        <v>26</v>
      </c>
      <c r="B203" s="3" t="s">
        <v>27</v>
      </c>
      <c r="C203" s="3" t="s">
        <v>90</v>
      </c>
      <c r="D203" s="3" t="s">
        <v>41</v>
      </c>
      <c r="E203" s="3" t="s">
        <v>260</v>
      </c>
      <c r="F203" s="3" t="s">
        <v>43</v>
      </c>
      <c r="G203" s="3" t="s">
        <v>260</v>
      </c>
      <c r="H203" s="3" t="s">
        <v>96</v>
      </c>
      <c r="I203" s="3">
        <v>2024</v>
      </c>
      <c r="J203" s="3" t="str">
        <f>CONCATENATE("44810456515")</f>
        <v>44810456515</v>
      </c>
      <c r="K203" s="3" t="s">
        <v>33</v>
      </c>
      <c r="L203" s="3" t="str">
        <f t="shared" si="10"/>
        <v/>
      </c>
      <c r="M203" s="3" t="str">
        <f t="shared" si="9"/>
        <v>SRA30</v>
      </c>
      <c r="N203" s="3" t="str">
        <f>CONCATENATE("06044250824")</f>
        <v>06044250824</v>
      </c>
      <c r="O203" s="3" t="s">
        <v>410</v>
      </c>
      <c r="P203" s="3" t="s">
        <v>35</v>
      </c>
      <c r="Q203" s="3" t="s">
        <v>98</v>
      </c>
      <c r="R203" s="4">
        <v>45926</v>
      </c>
      <c r="S203" s="3" t="s">
        <v>37</v>
      </c>
      <c r="T203" s="3" t="s">
        <v>38</v>
      </c>
      <c r="U203" s="3" t="s">
        <v>39</v>
      </c>
      <c r="V203" s="5">
        <v>4115.12</v>
      </c>
      <c r="W203" s="5">
        <v>2078.14</v>
      </c>
      <c r="X203" s="5">
        <v>1425.89</v>
      </c>
      <c r="Y203" s="3">
        <v>611.09</v>
      </c>
    </row>
    <row r="204" spans="1:25" ht="25.5" hidden="1" x14ac:dyDescent="0.35">
      <c r="A204" s="3" t="s">
        <v>26</v>
      </c>
      <c r="B204" s="3" t="s">
        <v>27</v>
      </c>
      <c r="C204" s="3" t="s">
        <v>90</v>
      </c>
      <c r="D204" s="3" t="s">
        <v>41</v>
      </c>
      <c r="E204" s="3" t="s">
        <v>270</v>
      </c>
      <c r="F204" s="3" t="s">
        <v>43</v>
      </c>
      <c r="G204" s="3" t="s">
        <v>270</v>
      </c>
      <c r="H204" s="3" t="s">
        <v>96</v>
      </c>
      <c r="I204" s="3">
        <v>2024</v>
      </c>
      <c r="J204" s="3" t="str">
        <f>CONCATENATE("44811232006")</f>
        <v>44811232006</v>
      </c>
      <c r="K204" s="3" t="s">
        <v>33</v>
      </c>
      <c r="L204" s="3" t="str">
        <f t="shared" si="10"/>
        <v/>
      </c>
      <c r="M204" s="3" t="str">
        <f t="shared" si="9"/>
        <v>SRA30</v>
      </c>
      <c r="N204" s="3" t="str">
        <f>CONCATENATE("06058880821")</f>
        <v>06058880821</v>
      </c>
      <c r="O204" s="3" t="s">
        <v>411</v>
      </c>
      <c r="P204" s="3" t="s">
        <v>35</v>
      </c>
      <c r="Q204" s="3" t="s">
        <v>98</v>
      </c>
      <c r="R204" s="4">
        <v>45926</v>
      </c>
      <c r="S204" s="3" t="s">
        <v>37</v>
      </c>
      <c r="T204" s="3" t="s">
        <v>38</v>
      </c>
      <c r="U204" s="3" t="s">
        <v>39</v>
      </c>
      <c r="V204" s="5">
        <v>8805.75</v>
      </c>
      <c r="W204" s="5">
        <v>4446.8999999999996</v>
      </c>
      <c r="X204" s="5">
        <v>3051.19</v>
      </c>
      <c r="Y204" s="5">
        <v>1307.6600000000001</v>
      </c>
    </row>
    <row r="205" spans="1:25" ht="25.5" hidden="1" x14ac:dyDescent="0.35">
      <c r="A205" s="3" t="s">
        <v>26</v>
      </c>
      <c r="B205" s="3" t="s">
        <v>27</v>
      </c>
      <c r="C205" s="3" t="s">
        <v>90</v>
      </c>
      <c r="D205" s="3" t="s">
        <v>41</v>
      </c>
      <c r="E205" s="3" t="s">
        <v>412</v>
      </c>
      <c r="F205" s="3" t="s">
        <v>43</v>
      </c>
      <c r="G205" s="3" t="s">
        <v>412</v>
      </c>
      <c r="H205" s="3" t="s">
        <v>96</v>
      </c>
      <c r="I205" s="3">
        <v>2024</v>
      </c>
      <c r="J205" s="3" t="str">
        <f>CONCATENATE("44810488377")</f>
        <v>44810488377</v>
      </c>
      <c r="K205" s="3" t="s">
        <v>33</v>
      </c>
      <c r="L205" s="3" t="str">
        <f t="shared" si="10"/>
        <v/>
      </c>
      <c r="M205" s="3" t="str">
        <f t="shared" si="9"/>
        <v>SRA30</v>
      </c>
      <c r="N205" s="3" t="str">
        <f>CONCATENATE("05915580822")</f>
        <v>05915580822</v>
      </c>
      <c r="O205" s="3" t="s">
        <v>413</v>
      </c>
      <c r="P205" s="3" t="s">
        <v>35</v>
      </c>
      <c r="Q205" s="3" t="s">
        <v>98</v>
      </c>
      <c r="R205" s="4">
        <v>45926</v>
      </c>
      <c r="S205" s="3" t="s">
        <v>37</v>
      </c>
      <c r="T205" s="3" t="s">
        <v>38</v>
      </c>
      <c r="U205" s="3" t="s">
        <v>39</v>
      </c>
      <c r="V205" s="5">
        <v>4845</v>
      </c>
      <c r="W205" s="5">
        <v>2446.73</v>
      </c>
      <c r="X205" s="5">
        <v>1678.79</v>
      </c>
      <c r="Y205" s="3">
        <v>719.48</v>
      </c>
    </row>
    <row r="206" spans="1:25" ht="25.5" hidden="1" x14ac:dyDescent="0.35">
      <c r="A206" s="3" t="s">
        <v>26</v>
      </c>
      <c r="B206" s="3" t="s">
        <v>27</v>
      </c>
      <c r="C206" s="3" t="s">
        <v>90</v>
      </c>
      <c r="D206" s="3" t="s">
        <v>61</v>
      </c>
      <c r="E206" s="3" t="s">
        <v>272</v>
      </c>
      <c r="F206" s="3" t="s">
        <v>63</v>
      </c>
      <c r="G206" s="3" t="s">
        <v>272</v>
      </c>
      <c r="H206" s="3" t="s">
        <v>96</v>
      </c>
      <c r="I206" s="3">
        <v>2024</v>
      </c>
      <c r="J206" s="3" t="str">
        <f>CONCATENATE("44811272978")</f>
        <v>44811272978</v>
      </c>
      <c r="K206" s="3" t="s">
        <v>33</v>
      </c>
      <c r="L206" s="3" t="str">
        <f t="shared" si="10"/>
        <v/>
      </c>
      <c r="M206" s="3" t="str">
        <f t="shared" si="9"/>
        <v>SRA30</v>
      </c>
      <c r="N206" s="3" t="str">
        <f>CONCATENATE("06153190829")</f>
        <v>06153190829</v>
      </c>
      <c r="O206" s="3" t="s">
        <v>414</v>
      </c>
      <c r="P206" s="3" t="s">
        <v>35</v>
      </c>
      <c r="Q206" s="3" t="s">
        <v>98</v>
      </c>
      <c r="R206" s="4">
        <v>45926</v>
      </c>
      <c r="S206" s="3" t="s">
        <v>37</v>
      </c>
      <c r="T206" s="3" t="s">
        <v>38</v>
      </c>
      <c r="U206" s="3" t="s">
        <v>39</v>
      </c>
      <c r="V206" s="5">
        <v>5600.25</v>
      </c>
      <c r="W206" s="5">
        <v>2828.13</v>
      </c>
      <c r="X206" s="5">
        <v>1940.49</v>
      </c>
      <c r="Y206" s="3">
        <v>831.63</v>
      </c>
    </row>
    <row r="207" spans="1:25" ht="25.5" hidden="1" x14ac:dyDescent="0.35">
      <c r="A207" s="3" t="s">
        <v>26</v>
      </c>
      <c r="B207" s="3" t="s">
        <v>27</v>
      </c>
      <c r="C207" s="3" t="s">
        <v>90</v>
      </c>
      <c r="D207" s="3" t="s">
        <v>69</v>
      </c>
      <c r="E207" s="3" t="s">
        <v>109</v>
      </c>
      <c r="F207" s="3" t="s">
        <v>71</v>
      </c>
      <c r="G207" s="3" t="s">
        <v>109</v>
      </c>
      <c r="H207" s="3" t="s">
        <v>96</v>
      </c>
      <c r="I207" s="3">
        <v>2024</v>
      </c>
      <c r="J207" s="3" t="str">
        <f>CONCATENATE("44810991685")</f>
        <v>44810991685</v>
      </c>
      <c r="K207" s="3" t="s">
        <v>33</v>
      </c>
      <c r="L207" s="3" t="str">
        <f t="shared" si="10"/>
        <v/>
      </c>
      <c r="M207" s="3" t="str">
        <f t="shared" si="9"/>
        <v>SRA30</v>
      </c>
      <c r="N207" s="3" t="str">
        <f>CONCATENATE("06306370823")</f>
        <v>06306370823</v>
      </c>
      <c r="O207" s="3" t="s">
        <v>415</v>
      </c>
      <c r="P207" s="3" t="s">
        <v>35</v>
      </c>
      <c r="Q207" s="3" t="s">
        <v>98</v>
      </c>
      <c r="R207" s="4">
        <v>45926</v>
      </c>
      <c r="S207" s="3" t="s">
        <v>37</v>
      </c>
      <c r="T207" s="3" t="s">
        <v>38</v>
      </c>
      <c r="U207" s="3" t="s">
        <v>39</v>
      </c>
      <c r="V207" s="5">
        <v>4428.5</v>
      </c>
      <c r="W207" s="5">
        <v>2236.39</v>
      </c>
      <c r="X207" s="5">
        <v>1534.48</v>
      </c>
      <c r="Y207" s="3">
        <v>657.63</v>
      </c>
    </row>
    <row r="208" spans="1:25" ht="25.5" hidden="1" x14ac:dyDescent="0.35">
      <c r="A208" s="3" t="s">
        <v>26</v>
      </c>
      <c r="B208" s="3" t="s">
        <v>27</v>
      </c>
      <c r="C208" s="3" t="s">
        <v>90</v>
      </c>
      <c r="D208" s="3" t="s">
        <v>41</v>
      </c>
      <c r="E208" s="3" t="s">
        <v>95</v>
      </c>
      <c r="F208" s="3" t="s">
        <v>43</v>
      </c>
      <c r="G208" s="3" t="s">
        <v>95</v>
      </c>
      <c r="H208" s="3" t="s">
        <v>96</v>
      </c>
      <c r="I208" s="3">
        <v>2024</v>
      </c>
      <c r="J208" s="3" t="str">
        <f>CONCATENATE("44811152824")</f>
        <v>44811152824</v>
      </c>
      <c r="K208" s="3" t="s">
        <v>33</v>
      </c>
      <c r="L208" s="3" t="str">
        <f t="shared" si="10"/>
        <v/>
      </c>
      <c r="M208" s="3" t="str">
        <f t="shared" si="9"/>
        <v>SRA30</v>
      </c>
      <c r="N208" s="3" t="str">
        <f>CONCATENATE("06052570824")</f>
        <v>06052570824</v>
      </c>
      <c r="O208" s="3" t="s">
        <v>416</v>
      </c>
      <c r="P208" s="3" t="s">
        <v>35</v>
      </c>
      <c r="Q208" s="3" t="s">
        <v>98</v>
      </c>
      <c r="R208" s="4">
        <v>45926</v>
      </c>
      <c r="S208" s="3" t="s">
        <v>37</v>
      </c>
      <c r="T208" s="3" t="s">
        <v>38</v>
      </c>
      <c r="U208" s="3" t="s">
        <v>39</v>
      </c>
      <c r="V208" s="5">
        <v>2720</v>
      </c>
      <c r="W208" s="5">
        <v>1373.6</v>
      </c>
      <c r="X208" s="3">
        <v>942.48</v>
      </c>
      <c r="Y208" s="3">
        <v>403.92</v>
      </c>
    </row>
    <row r="209" spans="1:25" ht="41.5" hidden="1" x14ac:dyDescent="0.35">
      <c r="A209" s="3" t="s">
        <v>26</v>
      </c>
      <c r="B209" s="3" t="s">
        <v>27</v>
      </c>
      <c r="C209" s="3" t="s">
        <v>90</v>
      </c>
      <c r="D209" s="3" t="s">
        <v>41</v>
      </c>
      <c r="E209" s="3" t="s">
        <v>417</v>
      </c>
      <c r="F209" s="3" t="s">
        <v>43</v>
      </c>
      <c r="G209" s="3" t="s">
        <v>417</v>
      </c>
      <c r="H209" s="3" t="s">
        <v>208</v>
      </c>
      <c r="I209" s="3">
        <v>2024</v>
      </c>
      <c r="J209" s="3" t="str">
        <f>CONCATENATE("44810277978")</f>
        <v>44810277978</v>
      </c>
      <c r="K209" s="3" t="s">
        <v>33</v>
      </c>
      <c r="L209" s="3" t="str">
        <f t="shared" si="10"/>
        <v/>
      </c>
      <c r="M209" s="3" t="str">
        <f>CONCATENATE("SRA29")</f>
        <v>SRA29</v>
      </c>
      <c r="N209" s="3" t="str">
        <f>CONCATENATE("RSPMHL50A01F892R")</f>
        <v>RSPMHL50A01F892R</v>
      </c>
      <c r="O209" s="3" t="s">
        <v>418</v>
      </c>
      <c r="P209" s="3" t="s">
        <v>35</v>
      </c>
      <c r="Q209" s="3" t="s">
        <v>419</v>
      </c>
      <c r="R209" s="4">
        <v>45919</v>
      </c>
      <c r="S209" s="3" t="s">
        <v>37</v>
      </c>
      <c r="T209" s="3" t="s">
        <v>38</v>
      </c>
      <c r="U209" s="3" t="s">
        <v>39</v>
      </c>
      <c r="V209" s="5">
        <v>3733.36</v>
      </c>
      <c r="W209" s="5">
        <v>1885.35</v>
      </c>
      <c r="X209" s="5">
        <v>1293.6099999999999</v>
      </c>
      <c r="Y209" s="3">
        <v>554.4</v>
      </c>
    </row>
    <row r="210" spans="1:25" ht="25.5" hidden="1" x14ac:dyDescent="0.35">
      <c r="A210" s="3" t="s">
        <v>26</v>
      </c>
      <c r="B210" s="3" t="s">
        <v>27</v>
      </c>
      <c r="C210" s="3" t="s">
        <v>90</v>
      </c>
      <c r="D210" s="3" t="s">
        <v>180</v>
      </c>
      <c r="E210" s="3" t="s">
        <v>258</v>
      </c>
      <c r="F210" s="3" t="s">
        <v>85</v>
      </c>
      <c r="G210" s="3" t="s">
        <v>258</v>
      </c>
      <c r="H210" s="3" t="s">
        <v>96</v>
      </c>
      <c r="I210" s="3">
        <v>2024</v>
      </c>
      <c r="J210" s="3" t="str">
        <f>CONCATENATE("44810374833")</f>
        <v>44810374833</v>
      </c>
      <c r="K210" s="3" t="s">
        <v>33</v>
      </c>
      <c r="L210" s="3" t="str">
        <f t="shared" si="10"/>
        <v/>
      </c>
      <c r="M210" s="3" t="str">
        <f>CONCATENATE("SRA30")</f>
        <v>SRA30</v>
      </c>
      <c r="N210" s="3" t="str">
        <f>CONCATENATE("06058320828")</f>
        <v>06058320828</v>
      </c>
      <c r="O210" s="3" t="s">
        <v>420</v>
      </c>
      <c r="P210" s="3" t="s">
        <v>35</v>
      </c>
      <c r="Q210" s="3" t="s">
        <v>98</v>
      </c>
      <c r="R210" s="4">
        <v>45926</v>
      </c>
      <c r="S210" s="3" t="s">
        <v>37</v>
      </c>
      <c r="T210" s="3" t="s">
        <v>38</v>
      </c>
      <c r="U210" s="3" t="s">
        <v>39</v>
      </c>
      <c r="V210" s="5">
        <v>4867.91</v>
      </c>
      <c r="W210" s="5">
        <v>2458.29</v>
      </c>
      <c r="X210" s="5">
        <v>1686.73</v>
      </c>
      <c r="Y210" s="3">
        <v>722.89</v>
      </c>
    </row>
    <row r="211" spans="1:25" ht="49.5" hidden="1" x14ac:dyDescent="0.35">
      <c r="A211" s="3" t="s">
        <v>26</v>
      </c>
      <c r="B211" s="3" t="s">
        <v>27</v>
      </c>
      <c r="C211" s="3" t="s">
        <v>90</v>
      </c>
      <c r="D211" s="3" t="s">
        <v>41</v>
      </c>
      <c r="E211" s="3" t="s">
        <v>264</v>
      </c>
      <c r="F211" s="3" t="s">
        <v>43</v>
      </c>
      <c r="G211" s="3" t="s">
        <v>264</v>
      </c>
      <c r="H211" s="3" t="s">
        <v>96</v>
      </c>
      <c r="I211" s="3">
        <v>2024</v>
      </c>
      <c r="J211" s="3" t="str">
        <f>CONCATENATE("44810541340")</f>
        <v>44810541340</v>
      </c>
      <c r="K211" s="3" t="s">
        <v>33</v>
      </c>
      <c r="L211" s="3" t="str">
        <f t="shared" si="10"/>
        <v/>
      </c>
      <c r="M211" s="3" t="str">
        <f>CONCATENATE("SRA30")</f>
        <v>SRA30</v>
      </c>
      <c r="N211" s="3" t="str">
        <f>CONCATENATE("TMMGFR70A13G273B")</f>
        <v>TMMGFR70A13G273B</v>
      </c>
      <c r="O211" s="3" t="s">
        <v>421</v>
      </c>
      <c r="P211" s="3" t="s">
        <v>35</v>
      </c>
      <c r="Q211" s="3" t="s">
        <v>98</v>
      </c>
      <c r="R211" s="4">
        <v>45926</v>
      </c>
      <c r="S211" s="3" t="s">
        <v>37</v>
      </c>
      <c r="T211" s="3" t="s">
        <v>38</v>
      </c>
      <c r="U211" s="3" t="s">
        <v>39</v>
      </c>
      <c r="V211" s="5">
        <v>4930</v>
      </c>
      <c r="W211" s="5">
        <v>2489.65</v>
      </c>
      <c r="X211" s="5">
        <v>1708.25</v>
      </c>
      <c r="Y211" s="3">
        <v>732.1</v>
      </c>
    </row>
    <row r="212" spans="1:25" ht="41.5" hidden="1" x14ac:dyDescent="0.35">
      <c r="A212" s="3" t="s">
        <v>26</v>
      </c>
      <c r="B212" s="3" t="s">
        <v>27</v>
      </c>
      <c r="C212" s="3" t="s">
        <v>90</v>
      </c>
      <c r="D212" s="3" t="s">
        <v>41</v>
      </c>
      <c r="E212" s="3" t="s">
        <v>422</v>
      </c>
      <c r="F212" s="3" t="s">
        <v>43</v>
      </c>
      <c r="G212" s="3" t="s">
        <v>422</v>
      </c>
      <c r="H212" s="3" t="s">
        <v>311</v>
      </c>
      <c r="I212" s="3">
        <v>2024</v>
      </c>
      <c r="J212" s="3" t="str">
        <f>CONCATENATE("44810296663")</f>
        <v>44810296663</v>
      </c>
      <c r="K212" s="3" t="s">
        <v>33</v>
      </c>
      <c r="L212" s="3" t="str">
        <f t="shared" si="10"/>
        <v/>
      </c>
      <c r="M212" s="3" t="str">
        <f t="shared" ref="M212:M228" si="11">CONCATENATE("SRA29")</f>
        <v>SRA29</v>
      </c>
      <c r="N212" s="3" t="str">
        <f>CONCATENATE("FCRPTR88A09I356X")</f>
        <v>FCRPTR88A09I356X</v>
      </c>
      <c r="O212" s="3" t="s">
        <v>423</v>
      </c>
      <c r="P212" s="3" t="s">
        <v>35</v>
      </c>
      <c r="Q212" s="3" t="s">
        <v>313</v>
      </c>
      <c r="R212" s="4">
        <v>45915</v>
      </c>
      <c r="S212" s="3" t="s">
        <v>37</v>
      </c>
      <c r="T212" s="3" t="s">
        <v>38</v>
      </c>
      <c r="U212" s="3" t="s">
        <v>39</v>
      </c>
      <c r="V212" s="5">
        <v>8155.94</v>
      </c>
      <c r="W212" s="5">
        <v>4118.75</v>
      </c>
      <c r="X212" s="5">
        <v>2826.03</v>
      </c>
      <c r="Y212" s="5">
        <v>1211.1600000000001</v>
      </c>
    </row>
    <row r="213" spans="1:25" ht="41.5" hidden="1" x14ac:dyDescent="0.35">
      <c r="A213" s="3" t="s">
        <v>26</v>
      </c>
      <c r="B213" s="3" t="s">
        <v>27</v>
      </c>
      <c r="C213" s="3" t="s">
        <v>90</v>
      </c>
      <c r="D213" s="3" t="s">
        <v>51</v>
      </c>
      <c r="E213" s="3" t="s">
        <v>315</v>
      </c>
      <c r="F213" s="3" t="s">
        <v>51</v>
      </c>
      <c r="G213" s="3" t="s">
        <v>315</v>
      </c>
      <c r="H213" s="3" t="s">
        <v>311</v>
      </c>
      <c r="I213" s="3">
        <v>2024</v>
      </c>
      <c r="J213" s="3" t="str">
        <f>CONCATENATE("44810135010")</f>
        <v>44810135010</v>
      </c>
      <c r="K213" s="3" t="s">
        <v>33</v>
      </c>
      <c r="L213" s="3" t="str">
        <f t="shared" si="10"/>
        <v/>
      </c>
      <c r="M213" s="3" t="str">
        <f t="shared" si="11"/>
        <v>SRA29</v>
      </c>
      <c r="N213" s="3" t="str">
        <f>CONCATENATE("PMLLNZ75P16G273L")</f>
        <v>PMLLNZ75P16G273L</v>
      </c>
      <c r="O213" s="3" t="s">
        <v>424</v>
      </c>
      <c r="P213" s="3" t="s">
        <v>35</v>
      </c>
      <c r="Q213" s="3" t="s">
        <v>313</v>
      </c>
      <c r="R213" s="4">
        <v>45915</v>
      </c>
      <c r="S213" s="3" t="s">
        <v>37</v>
      </c>
      <c r="T213" s="3" t="s">
        <v>38</v>
      </c>
      <c r="U213" s="3" t="s">
        <v>39</v>
      </c>
      <c r="V213" s="5">
        <v>4563.9399999999996</v>
      </c>
      <c r="W213" s="5">
        <v>2304.79</v>
      </c>
      <c r="X213" s="5">
        <v>1581.41</v>
      </c>
      <c r="Y213" s="3">
        <v>677.74</v>
      </c>
    </row>
    <row r="214" spans="1:25" ht="41.5" hidden="1" x14ac:dyDescent="0.35">
      <c r="A214" s="3" t="s">
        <v>26</v>
      </c>
      <c r="B214" s="3" t="s">
        <v>27</v>
      </c>
      <c r="C214" s="3" t="s">
        <v>90</v>
      </c>
      <c r="D214" s="3" t="s">
        <v>425</v>
      </c>
      <c r="E214" s="3" t="s">
        <v>425</v>
      </c>
      <c r="F214" s="3" t="s">
        <v>43</v>
      </c>
      <c r="G214" s="3" t="s">
        <v>417</v>
      </c>
      <c r="H214" s="3" t="s">
        <v>208</v>
      </c>
      <c r="I214" s="3">
        <v>2023</v>
      </c>
      <c r="J214" s="3" t="str">
        <f>CONCATENATE("34810287473")</f>
        <v>34810287473</v>
      </c>
      <c r="K214" s="3" t="s">
        <v>33</v>
      </c>
      <c r="L214" s="3" t="str">
        <f t="shared" si="10"/>
        <v/>
      </c>
      <c r="M214" s="3" t="str">
        <f t="shared" si="11"/>
        <v>SRA29</v>
      </c>
      <c r="N214" s="3" t="str">
        <f>CONCATENATE("BNMGPP71T58F892T")</f>
        <v>BNMGPP71T58F892T</v>
      </c>
      <c r="O214" s="3" t="s">
        <v>426</v>
      </c>
      <c r="P214" s="3" t="s">
        <v>35</v>
      </c>
      <c r="Q214" s="3" t="s">
        <v>419</v>
      </c>
      <c r="R214" s="4">
        <v>45919</v>
      </c>
      <c r="S214" s="3" t="s">
        <v>37</v>
      </c>
      <c r="T214" s="3" t="s">
        <v>38</v>
      </c>
      <c r="U214" s="3" t="s">
        <v>39</v>
      </c>
      <c r="V214" s="5">
        <v>2376.63</v>
      </c>
      <c r="W214" s="5">
        <v>1200.2</v>
      </c>
      <c r="X214" s="3">
        <v>823.5</v>
      </c>
      <c r="Y214" s="3">
        <v>352.93</v>
      </c>
    </row>
    <row r="215" spans="1:25" ht="41.5" hidden="1" x14ac:dyDescent="0.35">
      <c r="A215" s="3" t="s">
        <v>26</v>
      </c>
      <c r="B215" s="3" t="s">
        <v>27</v>
      </c>
      <c r="C215" s="3" t="s">
        <v>90</v>
      </c>
      <c r="D215" s="3" t="s">
        <v>228</v>
      </c>
      <c r="E215" s="3" t="s">
        <v>427</v>
      </c>
      <c r="F215" s="3" t="s">
        <v>230</v>
      </c>
      <c r="G215" s="3" t="s">
        <v>427</v>
      </c>
      <c r="H215" s="3" t="s">
        <v>208</v>
      </c>
      <c r="I215" s="3">
        <v>2024</v>
      </c>
      <c r="J215" s="3" t="str">
        <f>CONCATENATE("44811183902")</f>
        <v>44811183902</v>
      </c>
      <c r="K215" s="3" t="s">
        <v>33</v>
      </c>
      <c r="L215" s="3" t="str">
        <f t="shared" si="10"/>
        <v/>
      </c>
      <c r="M215" s="3" t="str">
        <f t="shared" si="11"/>
        <v>SRA29</v>
      </c>
      <c r="N215" s="3" t="str">
        <f>CONCATENATE("CRSVCN70P17A841E")</f>
        <v>CRSVCN70P17A841E</v>
      </c>
      <c r="O215" s="3" t="s">
        <v>428</v>
      </c>
      <c r="P215" s="3" t="s">
        <v>35</v>
      </c>
      <c r="Q215" s="3" t="s">
        <v>419</v>
      </c>
      <c r="R215" s="4">
        <v>45919</v>
      </c>
      <c r="S215" s="3" t="s">
        <v>37</v>
      </c>
      <c r="T215" s="3" t="s">
        <v>38</v>
      </c>
      <c r="U215" s="3" t="s">
        <v>39</v>
      </c>
      <c r="V215" s="5">
        <v>4866.99</v>
      </c>
      <c r="W215" s="5">
        <v>2457.83</v>
      </c>
      <c r="X215" s="5">
        <v>1686.41</v>
      </c>
      <c r="Y215" s="3">
        <v>722.75</v>
      </c>
    </row>
    <row r="216" spans="1:25" ht="41.5" hidden="1" x14ac:dyDescent="0.35">
      <c r="A216" s="3" t="s">
        <v>26</v>
      </c>
      <c r="B216" s="3" t="s">
        <v>27</v>
      </c>
      <c r="C216" s="3" t="s">
        <v>90</v>
      </c>
      <c r="D216" s="3" t="s">
        <v>164</v>
      </c>
      <c r="E216" s="3" t="s">
        <v>429</v>
      </c>
      <c r="F216" s="3" t="s">
        <v>166</v>
      </c>
      <c r="G216" s="3" t="s">
        <v>429</v>
      </c>
      <c r="H216" s="3" t="s">
        <v>208</v>
      </c>
      <c r="I216" s="3">
        <v>2024</v>
      </c>
      <c r="J216" s="3" t="str">
        <f>CONCATENATE("44810265197")</f>
        <v>44810265197</v>
      </c>
      <c r="K216" s="3" t="s">
        <v>33</v>
      </c>
      <c r="L216" s="3" t="str">
        <f t="shared" si="10"/>
        <v/>
      </c>
      <c r="M216" s="3" t="str">
        <f t="shared" si="11"/>
        <v>SRA29</v>
      </c>
      <c r="N216" s="3" t="str">
        <f>CONCATENATE("DMRPTR04T13F251L")</f>
        <v>DMRPTR04T13F251L</v>
      </c>
      <c r="O216" s="3" t="s">
        <v>430</v>
      </c>
      <c r="P216" s="3" t="s">
        <v>35</v>
      </c>
      <c r="Q216" s="3" t="s">
        <v>419</v>
      </c>
      <c r="R216" s="4">
        <v>45919</v>
      </c>
      <c r="S216" s="3" t="s">
        <v>37</v>
      </c>
      <c r="T216" s="3" t="s">
        <v>38</v>
      </c>
      <c r="U216" s="3" t="s">
        <v>39</v>
      </c>
      <c r="V216" s="5">
        <v>15269.31</v>
      </c>
      <c r="W216" s="5">
        <v>7711</v>
      </c>
      <c r="X216" s="5">
        <v>5290.82</v>
      </c>
      <c r="Y216" s="5">
        <v>2267.4899999999998</v>
      </c>
    </row>
    <row r="217" spans="1:25" ht="41.5" hidden="1" x14ac:dyDescent="0.35">
      <c r="A217" s="3" t="s">
        <v>26</v>
      </c>
      <c r="B217" s="3" t="s">
        <v>27</v>
      </c>
      <c r="C217" s="3" t="s">
        <v>90</v>
      </c>
      <c r="D217" s="3" t="s">
        <v>51</v>
      </c>
      <c r="E217" s="3" t="s">
        <v>431</v>
      </c>
      <c r="F217" s="3" t="s">
        <v>51</v>
      </c>
      <c r="G217" s="3" t="s">
        <v>431</v>
      </c>
      <c r="H217" s="3" t="s">
        <v>208</v>
      </c>
      <c r="I217" s="3">
        <v>2024</v>
      </c>
      <c r="J217" s="3" t="str">
        <f>CONCATENATE("44810527190")</f>
        <v>44810527190</v>
      </c>
      <c r="K217" s="3" t="s">
        <v>33</v>
      </c>
      <c r="L217" s="3" t="str">
        <f t="shared" si="10"/>
        <v/>
      </c>
      <c r="M217" s="3" t="str">
        <f t="shared" si="11"/>
        <v>SRA29</v>
      </c>
      <c r="N217" s="3" t="str">
        <f>CONCATENATE("PLRGSI84C50C342W")</f>
        <v>PLRGSI84C50C342W</v>
      </c>
      <c r="O217" s="3" t="s">
        <v>432</v>
      </c>
      <c r="P217" s="3" t="s">
        <v>35</v>
      </c>
      <c r="Q217" s="3" t="s">
        <v>419</v>
      </c>
      <c r="R217" s="4">
        <v>45919</v>
      </c>
      <c r="S217" s="3" t="s">
        <v>37</v>
      </c>
      <c r="T217" s="3" t="s">
        <v>38</v>
      </c>
      <c r="U217" s="3" t="s">
        <v>39</v>
      </c>
      <c r="V217" s="5">
        <v>3160.99</v>
      </c>
      <c r="W217" s="5">
        <v>1596.3</v>
      </c>
      <c r="X217" s="5">
        <v>1095.28</v>
      </c>
      <c r="Y217" s="3">
        <v>469.41</v>
      </c>
    </row>
    <row r="218" spans="1:25" ht="41.5" hidden="1" x14ac:dyDescent="0.35">
      <c r="A218" s="3" t="s">
        <v>26</v>
      </c>
      <c r="B218" s="3" t="s">
        <v>27</v>
      </c>
      <c r="C218" s="3" t="s">
        <v>90</v>
      </c>
      <c r="D218" s="3" t="s">
        <v>51</v>
      </c>
      <c r="E218" s="3" t="s">
        <v>431</v>
      </c>
      <c r="F218" s="3" t="s">
        <v>51</v>
      </c>
      <c r="G218" s="3" t="s">
        <v>431</v>
      </c>
      <c r="H218" s="3" t="s">
        <v>208</v>
      </c>
      <c r="I218" s="3">
        <v>2024</v>
      </c>
      <c r="J218" s="3" t="str">
        <f>CONCATENATE("44810698413")</f>
        <v>44810698413</v>
      </c>
      <c r="K218" s="3" t="s">
        <v>33</v>
      </c>
      <c r="L218" s="3" t="str">
        <f t="shared" si="10"/>
        <v/>
      </c>
      <c r="M218" s="3" t="str">
        <f t="shared" si="11"/>
        <v>SRA29</v>
      </c>
      <c r="N218" s="3" t="str">
        <f>CONCATENATE("SNSCRN81A55G580X")</f>
        <v>SNSCRN81A55G580X</v>
      </c>
      <c r="O218" s="3" t="s">
        <v>433</v>
      </c>
      <c r="P218" s="3" t="s">
        <v>35</v>
      </c>
      <c r="Q218" s="3" t="s">
        <v>419</v>
      </c>
      <c r="R218" s="4">
        <v>45919</v>
      </c>
      <c r="S218" s="3" t="s">
        <v>37</v>
      </c>
      <c r="T218" s="3" t="s">
        <v>38</v>
      </c>
      <c r="U218" s="3" t="s">
        <v>39</v>
      </c>
      <c r="V218" s="5">
        <v>9440.4500000000007</v>
      </c>
      <c r="W218" s="5">
        <v>4767.43</v>
      </c>
      <c r="X218" s="5">
        <v>3271.12</v>
      </c>
      <c r="Y218" s="5">
        <v>1401.9</v>
      </c>
    </row>
    <row r="219" spans="1:25" ht="41.5" hidden="1" x14ac:dyDescent="0.35">
      <c r="A219" s="3" t="s">
        <v>26</v>
      </c>
      <c r="B219" s="3" t="s">
        <v>27</v>
      </c>
      <c r="C219" s="3" t="s">
        <v>90</v>
      </c>
      <c r="D219" s="3" t="s">
        <v>41</v>
      </c>
      <c r="E219" s="3" t="s">
        <v>417</v>
      </c>
      <c r="F219" s="3" t="s">
        <v>43</v>
      </c>
      <c r="G219" s="3" t="s">
        <v>417</v>
      </c>
      <c r="H219" s="3" t="s">
        <v>208</v>
      </c>
      <c r="I219" s="3">
        <v>2024</v>
      </c>
      <c r="J219" s="3" t="str">
        <f>CONCATENATE("44810353548")</f>
        <v>44810353548</v>
      </c>
      <c r="K219" s="3" t="s">
        <v>33</v>
      </c>
      <c r="L219" s="3" t="str">
        <f t="shared" si="10"/>
        <v/>
      </c>
      <c r="M219" s="3" t="str">
        <f t="shared" si="11"/>
        <v>SRA29</v>
      </c>
      <c r="N219" s="3" t="str">
        <f>CONCATENATE("SMNLSN04T16F892X")</f>
        <v>SMNLSN04T16F892X</v>
      </c>
      <c r="O219" s="3" t="s">
        <v>434</v>
      </c>
      <c r="P219" s="3" t="s">
        <v>35</v>
      </c>
      <c r="Q219" s="3" t="s">
        <v>419</v>
      </c>
      <c r="R219" s="4">
        <v>45919</v>
      </c>
      <c r="S219" s="3" t="s">
        <v>37</v>
      </c>
      <c r="T219" s="3" t="s">
        <v>38</v>
      </c>
      <c r="U219" s="3" t="s">
        <v>39</v>
      </c>
      <c r="V219" s="5">
        <v>8663.5400000000009</v>
      </c>
      <c r="W219" s="5">
        <v>4375.09</v>
      </c>
      <c r="X219" s="5">
        <v>3001.92</v>
      </c>
      <c r="Y219" s="5">
        <v>1286.53</v>
      </c>
    </row>
    <row r="220" spans="1:25" ht="41.5" hidden="1" x14ac:dyDescent="0.35">
      <c r="A220" s="3" t="s">
        <v>26</v>
      </c>
      <c r="B220" s="3" t="s">
        <v>27</v>
      </c>
      <c r="C220" s="3" t="s">
        <v>90</v>
      </c>
      <c r="D220" s="3" t="s">
        <v>61</v>
      </c>
      <c r="E220" s="3" t="s">
        <v>211</v>
      </c>
      <c r="F220" s="3" t="s">
        <v>63</v>
      </c>
      <c r="G220" s="3" t="s">
        <v>211</v>
      </c>
      <c r="H220" s="3" t="s">
        <v>208</v>
      </c>
      <c r="I220" s="3">
        <v>2024</v>
      </c>
      <c r="J220" s="3" t="str">
        <f>CONCATENATE("44810674299")</f>
        <v>44810674299</v>
      </c>
      <c r="K220" s="3" t="s">
        <v>33</v>
      </c>
      <c r="L220" s="3" t="str">
        <f t="shared" si="10"/>
        <v/>
      </c>
      <c r="M220" s="3" t="str">
        <f t="shared" si="11"/>
        <v>SRA29</v>
      </c>
      <c r="N220" s="3" t="str">
        <f>CONCATENATE("VLIPRZ76P42C342L")</f>
        <v>VLIPRZ76P42C342L</v>
      </c>
      <c r="O220" s="3" t="s">
        <v>435</v>
      </c>
      <c r="P220" s="3" t="s">
        <v>35</v>
      </c>
      <c r="Q220" s="3" t="s">
        <v>419</v>
      </c>
      <c r="R220" s="4">
        <v>45919</v>
      </c>
      <c r="S220" s="3" t="s">
        <v>37</v>
      </c>
      <c r="T220" s="3" t="s">
        <v>38</v>
      </c>
      <c r="U220" s="3" t="s">
        <v>39</v>
      </c>
      <c r="V220" s="5">
        <v>1321.98</v>
      </c>
      <c r="W220" s="3">
        <v>667.6</v>
      </c>
      <c r="X220" s="3">
        <v>458.07</v>
      </c>
      <c r="Y220" s="3">
        <v>196.31</v>
      </c>
    </row>
    <row r="221" spans="1:25" ht="25.5" hidden="1" x14ac:dyDescent="0.35">
      <c r="A221" s="3" t="s">
        <v>26</v>
      </c>
      <c r="B221" s="3" t="s">
        <v>27</v>
      </c>
      <c r="C221" s="3" t="s">
        <v>90</v>
      </c>
      <c r="D221" s="3" t="s">
        <v>51</v>
      </c>
      <c r="E221" s="3" t="s">
        <v>244</v>
      </c>
      <c r="F221" s="3" t="s">
        <v>51</v>
      </c>
      <c r="G221" s="3" t="s">
        <v>244</v>
      </c>
      <c r="H221" s="3" t="s">
        <v>102</v>
      </c>
      <c r="I221" s="3">
        <v>2024</v>
      </c>
      <c r="J221" s="3" t="str">
        <f>CONCATENATE("44810842797")</f>
        <v>44810842797</v>
      </c>
      <c r="K221" s="3" t="s">
        <v>33</v>
      </c>
      <c r="L221" s="3" t="str">
        <f t="shared" si="10"/>
        <v/>
      </c>
      <c r="M221" s="3" t="str">
        <f t="shared" si="11"/>
        <v>SRA29</v>
      </c>
      <c r="N221" s="3" t="str">
        <f>CONCATENATE("01282130887")</f>
        <v>01282130887</v>
      </c>
      <c r="O221" s="3" t="s">
        <v>436</v>
      </c>
      <c r="P221" s="3" t="s">
        <v>35</v>
      </c>
      <c r="Q221" s="3" t="s">
        <v>437</v>
      </c>
      <c r="R221" s="4">
        <v>45931</v>
      </c>
      <c r="S221" s="3" t="s">
        <v>37</v>
      </c>
      <c r="T221" s="3" t="s">
        <v>38</v>
      </c>
      <c r="U221" s="3" t="s">
        <v>39</v>
      </c>
      <c r="V221" s="5">
        <v>8426.06</v>
      </c>
      <c r="W221" s="5">
        <v>4255.16</v>
      </c>
      <c r="X221" s="5">
        <v>2919.63</v>
      </c>
      <c r="Y221" s="5">
        <v>1251.27</v>
      </c>
    </row>
    <row r="222" spans="1:25" ht="41.5" hidden="1" x14ac:dyDescent="0.35">
      <c r="A222" s="3" t="s">
        <v>26</v>
      </c>
      <c r="B222" s="3" t="s">
        <v>27</v>
      </c>
      <c r="C222" s="3" t="s">
        <v>90</v>
      </c>
      <c r="D222" s="3" t="s">
        <v>99</v>
      </c>
      <c r="E222" s="3" t="s">
        <v>438</v>
      </c>
      <c r="F222" s="3" t="s">
        <v>101</v>
      </c>
      <c r="G222" s="3" t="s">
        <v>438</v>
      </c>
      <c r="H222" s="3" t="s">
        <v>102</v>
      </c>
      <c r="I222" s="3">
        <v>2024</v>
      </c>
      <c r="J222" s="3" t="str">
        <f>CONCATENATE("44811273281")</f>
        <v>44811273281</v>
      </c>
      <c r="K222" s="3" t="s">
        <v>33</v>
      </c>
      <c r="L222" s="3" t="str">
        <f t="shared" si="10"/>
        <v/>
      </c>
      <c r="M222" s="3" t="str">
        <f t="shared" si="11"/>
        <v>SRA29</v>
      </c>
      <c r="N222" s="3" t="str">
        <f>CONCATENATE("BNMPRZ72C63I535X")</f>
        <v>BNMPRZ72C63I535X</v>
      </c>
      <c r="O222" s="3" t="s">
        <v>439</v>
      </c>
      <c r="P222" s="3" t="s">
        <v>35</v>
      </c>
      <c r="Q222" s="3" t="s">
        <v>437</v>
      </c>
      <c r="R222" s="4">
        <v>45931</v>
      </c>
      <c r="S222" s="3" t="s">
        <v>37</v>
      </c>
      <c r="T222" s="3" t="s">
        <v>38</v>
      </c>
      <c r="U222" s="3" t="s">
        <v>39</v>
      </c>
      <c r="V222" s="5">
        <v>13252.95</v>
      </c>
      <c r="W222" s="5">
        <v>6692.74</v>
      </c>
      <c r="X222" s="5">
        <v>4592.1499999999996</v>
      </c>
      <c r="Y222" s="5">
        <v>1968.06</v>
      </c>
    </row>
    <row r="223" spans="1:25" ht="41.5" hidden="1" x14ac:dyDescent="0.35">
      <c r="A223" s="3" t="s">
        <v>26</v>
      </c>
      <c r="B223" s="3" t="s">
        <v>27</v>
      </c>
      <c r="C223" s="3" t="s">
        <v>90</v>
      </c>
      <c r="D223" s="3" t="s">
        <v>164</v>
      </c>
      <c r="E223" s="3" t="s">
        <v>440</v>
      </c>
      <c r="F223" s="3" t="s">
        <v>166</v>
      </c>
      <c r="G223" s="3" t="s">
        <v>440</v>
      </c>
      <c r="H223" s="3" t="s">
        <v>311</v>
      </c>
      <c r="I223" s="3">
        <v>2024</v>
      </c>
      <c r="J223" s="3" t="str">
        <f>CONCATENATE("44811096716")</f>
        <v>44811096716</v>
      </c>
      <c r="K223" s="3" t="s">
        <v>33</v>
      </c>
      <c r="L223" s="3" t="str">
        <f t="shared" si="10"/>
        <v/>
      </c>
      <c r="M223" s="3" t="str">
        <f t="shared" si="11"/>
        <v>SRA29</v>
      </c>
      <c r="N223" s="3" t="str">
        <f>CONCATENATE("MCLNZE74S47A089S")</f>
        <v>MCLNZE74S47A089S</v>
      </c>
      <c r="O223" s="3" t="s">
        <v>441</v>
      </c>
      <c r="P223" s="3" t="s">
        <v>35</v>
      </c>
      <c r="Q223" s="3" t="s">
        <v>442</v>
      </c>
      <c r="R223" s="4">
        <v>45931</v>
      </c>
      <c r="S223" s="3" t="s">
        <v>37</v>
      </c>
      <c r="T223" s="3" t="s">
        <v>38</v>
      </c>
      <c r="U223" s="3" t="s">
        <v>39</v>
      </c>
      <c r="V223" s="5">
        <v>8319.7900000000009</v>
      </c>
      <c r="W223" s="5">
        <v>4201.49</v>
      </c>
      <c r="X223" s="5">
        <v>2882.81</v>
      </c>
      <c r="Y223" s="5">
        <v>1235.49</v>
      </c>
    </row>
    <row r="224" spans="1:25" ht="41.5" hidden="1" x14ac:dyDescent="0.35">
      <c r="A224" s="3" t="s">
        <v>26</v>
      </c>
      <c r="B224" s="3" t="s">
        <v>27</v>
      </c>
      <c r="C224" s="3" t="s">
        <v>90</v>
      </c>
      <c r="D224" s="3" t="s">
        <v>164</v>
      </c>
      <c r="E224" s="3" t="s">
        <v>440</v>
      </c>
      <c r="F224" s="3" t="s">
        <v>166</v>
      </c>
      <c r="G224" s="3" t="s">
        <v>440</v>
      </c>
      <c r="H224" s="3" t="s">
        <v>311</v>
      </c>
      <c r="I224" s="3">
        <v>2023</v>
      </c>
      <c r="J224" s="3" t="str">
        <f>CONCATENATE("34810730738")</f>
        <v>34810730738</v>
      </c>
      <c r="K224" s="3" t="s">
        <v>33</v>
      </c>
      <c r="L224" s="3" t="str">
        <f t="shared" si="10"/>
        <v/>
      </c>
      <c r="M224" s="3" t="str">
        <f t="shared" si="11"/>
        <v>SRA29</v>
      </c>
      <c r="N224" s="3" t="str">
        <f>CONCATENATE("MCLNZE74S47A089S")</f>
        <v>MCLNZE74S47A089S</v>
      </c>
      <c r="O224" s="3" t="s">
        <v>441</v>
      </c>
      <c r="P224" s="3" t="s">
        <v>35</v>
      </c>
      <c r="Q224" s="3" t="s">
        <v>442</v>
      </c>
      <c r="R224" s="4">
        <v>45931</v>
      </c>
      <c r="S224" s="3" t="s">
        <v>37</v>
      </c>
      <c r="T224" s="3" t="s">
        <v>38</v>
      </c>
      <c r="U224" s="3" t="s">
        <v>39</v>
      </c>
      <c r="V224" s="5">
        <v>5317.7</v>
      </c>
      <c r="W224" s="5">
        <v>2685.44</v>
      </c>
      <c r="X224" s="5">
        <v>1842.58</v>
      </c>
      <c r="Y224" s="3">
        <v>789.68</v>
      </c>
    </row>
    <row r="225" spans="1:25" ht="41.5" hidden="1" x14ac:dyDescent="0.35">
      <c r="A225" s="3" t="s">
        <v>26</v>
      </c>
      <c r="B225" s="3" t="s">
        <v>27</v>
      </c>
      <c r="C225" s="3" t="s">
        <v>90</v>
      </c>
      <c r="D225" s="3" t="s">
        <v>164</v>
      </c>
      <c r="E225" s="3" t="s">
        <v>440</v>
      </c>
      <c r="F225" s="3" t="s">
        <v>166</v>
      </c>
      <c r="G225" s="3" t="s">
        <v>440</v>
      </c>
      <c r="H225" s="3" t="s">
        <v>311</v>
      </c>
      <c r="I225" s="3">
        <v>2024</v>
      </c>
      <c r="J225" s="3" t="str">
        <f>CONCATENATE("44811095478")</f>
        <v>44811095478</v>
      </c>
      <c r="K225" s="3" t="s">
        <v>33</v>
      </c>
      <c r="L225" s="3" t="str">
        <f t="shared" si="10"/>
        <v/>
      </c>
      <c r="M225" s="3" t="str">
        <f t="shared" si="11"/>
        <v>SRA29</v>
      </c>
      <c r="N225" s="3" t="str">
        <f>CONCATENATE("PCCVCN73P23E714I")</f>
        <v>PCCVCN73P23E714I</v>
      </c>
      <c r="O225" s="3" t="s">
        <v>443</v>
      </c>
      <c r="P225" s="3" t="s">
        <v>35</v>
      </c>
      <c r="Q225" s="3" t="s">
        <v>442</v>
      </c>
      <c r="R225" s="4">
        <v>45931</v>
      </c>
      <c r="S225" s="3" t="s">
        <v>37</v>
      </c>
      <c r="T225" s="3" t="s">
        <v>38</v>
      </c>
      <c r="U225" s="3" t="s">
        <v>39</v>
      </c>
      <c r="V225" s="5">
        <v>5074.09</v>
      </c>
      <c r="W225" s="5">
        <v>2562.42</v>
      </c>
      <c r="X225" s="5">
        <v>1758.17</v>
      </c>
      <c r="Y225" s="3">
        <v>753.5</v>
      </c>
    </row>
    <row r="226" spans="1:25" ht="49.5" hidden="1" x14ac:dyDescent="0.35">
      <c r="A226" s="3" t="s">
        <v>26</v>
      </c>
      <c r="B226" s="3" t="s">
        <v>27</v>
      </c>
      <c r="C226" s="3" t="s">
        <v>90</v>
      </c>
      <c r="D226" s="3" t="s">
        <v>29</v>
      </c>
      <c r="E226" s="3" t="s">
        <v>444</v>
      </c>
      <c r="F226" s="3" t="s">
        <v>31</v>
      </c>
      <c r="G226" s="3" t="s">
        <v>444</v>
      </c>
      <c r="H226" s="3" t="s">
        <v>311</v>
      </c>
      <c r="I226" s="3">
        <v>2024</v>
      </c>
      <c r="J226" s="3" t="str">
        <f>CONCATENATE("44810180883")</f>
        <v>44810180883</v>
      </c>
      <c r="K226" s="3" t="s">
        <v>33</v>
      </c>
      <c r="L226" s="3" t="str">
        <f t="shared" si="10"/>
        <v/>
      </c>
      <c r="M226" s="3" t="str">
        <f t="shared" si="11"/>
        <v>SRA29</v>
      </c>
      <c r="N226" s="3" t="str">
        <f>CONCATENATE("PLMNTN84R05D423H")</f>
        <v>PLMNTN84R05D423H</v>
      </c>
      <c r="O226" s="3" t="s">
        <v>445</v>
      </c>
      <c r="P226" s="3" t="s">
        <v>35</v>
      </c>
      <c r="Q226" s="3" t="s">
        <v>442</v>
      </c>
      <c r="R226" s="4">
        <v>45931</v>
      </c>
      <c r="S226" s="3" t="s">
        <v>37</v>
      </c>
      <c r="T226" s="3" t="s">
        <v>38</v>
      </c>
      <c r="U226" s="3" t="s">
        <v>39</v>
      </c>
      <c r="V226" s="5">
        <v>3038.38</v>
      </c>
      <c r="W226" s="5">
        <v>1534.38</v>
      </c>
      <c r="X226" s="5">
        <v>1052.8</v>
      </c>
      <c r="Y226" s="3">
        <v>451.2</v>
      </c>
    </row>
    <row r="227" spans="1:25" ht="41.5" hidden="1" x14ac:dyDescent="0.35">
      <c r="A227" s="3" t="s">
        <v>26</v>
      </c>
      <c r="B227" s="3" t="s">
        <v>27</v>
      </c>
      <c r="C227" s="3" t="s">
        <v>90</v>
      </c>
      <c r="D227" s="3" t="s">
        <v>51</v>
      </c>
      <c r="E227" s="3" t="s">
        <v>226</v>
      </c>
      <c r="F227" s="3" t="s">
        <v>51</v>
      </c>
      <c r="G227" s="3" t="s">
        <v>226</v>
      </c>
      <c r="H227" s="3" t="s">
        <v>102</v>
      </c>
      <c r="I227" s="3">
        <v>2023</v>
      </c>
      <c r="J227" s="3" t="str">
        <f>CONCATENATE("34810549443")</f>
        <v>34810549443</v>
      </c>
      <c r="K227" s="3" t="s">
        <v>33</v>
      </c>
      <c r="L227" s="3" t="str">
        <f t="shared" si="10"/>
        <v/>
      </c>
      <c r="M227" s="3" t="str">
        <f t="shared" si="11"/>
        <v>SRA29</v>
      </c>
      <c r="N227" s="3" t="str">
        <f>CONCATENATE("PGLDLL99P60H163N")</f>
        <v>PGLDLL99P60H163N</v>
      </c>
      <c r="O227" s="3" t="s">
        <v>446</v>
      </c>
      <c r="P227" s="3" t="s">
        <v>35</v>
      </c>
      <c r="Q227" s="3" t="s">
        <v>447</v>
      </c>
      <c r="R227" s="4">
        <v>45931</v>
      </c>
      <c r="S227" s="3" t="s">
        <v>37</v>
      </c>
      <c r="T227" s="3" t="s">
        <v>38</v>
      </c>
      <c r="U227" s="3" t="s">
        <v>39</v>
      </c>
      <c r="V227" s="5">
        <v>7950.71</v>
      </c>
      <c r="W227" s="5">
        <v>4015.11</v>
      </c>
      <c r="X227" s="5">
        <v>2754.92</v>
      </c>
      <c r="Y227" s="5">
        <v>1180.68</v>
      </c>
    </row>
    <row r="228" spans="1:25" ht="49.5" hidden="1" x14ac:dyDescent="0.35">
      <c r="A228" s="3" t="s">
        <v>26</v>
      </c>
      <c r="B228" s="3" t="s">
        <v>27</v>
      </c>
      <c r="C228" s="3" t="s">
        <v>90</v>
      </c>
      <c r="D228" s="3" t="s">
        <v>29</v>
      </c>
      <c r="E228" s="3" t="s">
        <v>448</v>
      </c>
      <c r="F228" s="3" t="s">
        <v>119</v>
      </c>
      <c r="G228" s="3" t="s">
        <v>449</v>
      </c>
      <c r="H228" s="3" t="s">
        <v>102</v>
      </c>
      <c r="I228" s="3">
        <v>2024</v>
      </c>
      <c r="J228" s="3" t="str">
        <f>CONCATENATE("44810965309")</f>
        <v>44810965309</v>
      </c>
      <c r="K228" s="3" t="s">
        <v>33</v>
      </c>
      <c r="L228" s="3" t="str">
        <f t="shared" si="10"/>
        <v/>
      </c>
      <c r="M228" s="3" t="str">
        <f t="shared" si="11"/>
        <v>SRA29</v>
      </c>
      <c r="N228" s="3" t="str">
        <f>CONCATENATE("TRNSVT66H27M088N")</f>
        <v>TRNSVT66H27M088N</v>
      </c>
      <c r="O228" s="3" t="s">
        <v>450</v>
      </c>
      <c r="P228" s="3" t="s">
        <v>35</v>
      </c>
      <c r="Q228" s="3" t="s">
        <v>447</v>
      </c>
      <c r="R228" s="4">
        <v>45931</v>
      </c>
      <c r="S228" s="3" t="s">
        <v>37</v>
      </c>
      <c r="T228" s="3" t="s">
        <v>38</v>
      </c>
      <c r="U228" s="3" t="s">
        <v>39</v>
      </c>
      <c r="V228" s="5">
        <v>22880.43</v>
      </c>
      <c r="W228" s="5">
        <v>11554.62</v>
      </c>
      <c r="X228" s="5">
        <v>7928.07</v>
      </c>
      <c r="Y228" s="5">
        <v>3397.74</v>
      </c>
    </row>
    <row r="229" spans="1:25" ht="41.5" hidden="1" x14ac:dyDescent="0.35">
      <c r="A229" s="3" t="s">
        <v>26</v>
      </c>
      <c r="B229" s="3" t="s">
        <v>27</v>
      </c>
      <c r="C229" s="3" t="s">
        <v>451</v>
      </c>
      <c r="D229" s="3" t="s">
        <v>61</v>
      </c>
      <c r="E229" s="3" t="s">
        <v>452</v>
      </c>
      <c r="F229" s="3" t="s">
        <v>63</v>
      </c>
      <c r="G229" s="3" t="s">
        <v>452</v>
      </c>
      <c r="H229" s="3" t="s">
        <v>453</v>
      </c>
      <c r="I229" s="3">
        <v>2024</v>
      </c>
      <c r="J229" s="3" t="str">
        <f>CONCATENATE("44811326196")</f>
        <v>44811326196</v>
      </c>
      <c r="K229" s="3" t="s">
        <v>33</v>
      </c>
      <c r="L229" s="3" t="str">
        <f t="shared" si="10"/>
        <v/>
      </c>
      <c r="M229" s="3" t="str">
        <f>CONCATENATE("SRA30")</f>
        <v>SRA30</v>
      </c>
      <c r="N229" s="3" t="str">
        <f>CONCATENATE("LBRGDU55T14H501E")</f>
        <v>LBRGDU55T14H501E</v>
      </c>
      <c r="O229" s="3" t="s">
        <v>454</v>
      </c>
      <c r="P229" s="3" t="s">
        <v>35</v>
      </c>
      <c r="Q229" s="3" t="s">
        <v>455</v>
      </c>
      <c r="R229" s="4">
        <v>45929</v>
      </c>
      <c r="S229" s="3" t="s">
        <v>37</v>
      </c>
      <c r="T229" s="3" t="s">
        <v>38</v>
      </c>
      <c r="U229" s="3" t="s">
        <v>39</v>
      </c>
      <c r="V229" s="5">
        <v>1240.73</v>
      </c>
      <c r="W229" s="3">
        <v>527.30999999999995</v>
      </c>
      <c r="X229" s="3">
        <v>499.39</v>
      </c>
      <c r="Y229" s="3">
        <v>214.03</v>
      </c>
    </row>
    <row r="230" spans="1:25" ht="41.5" hidden="1" x14ac:dyDescent="0.35">
      <c r="A230" s="3" t="s">
        <v>26</v>
      </c>
      <c r="B230" s="3" t="s">
        <v>27</v>
      </c>
      <c r="C230" s="3" t="s">
        <v>451</v>
      </c>
      <c r="D230" s="3" t="s">
        <v>228</v>
      </c>
      <c r="E230" s="3" t="s">
        <v>456</v>
      </c>
      <c r="F230" s="3" t="s">
        <v>230</v>
      </c>
      <c r="G230" s="3" t="s">
        <v>456</v>
      </c>
      <c r="H230" s="3" t="s">
        <v>453</v>
      </c>
      <c r="I230" s="3">
        <v>2024</v>
      </c>
      <c r="J230" s="3" t="str">
        <f>CONCATENATE("44811427242")</f>
        <v>44811427242</v>
      </c>
      <c r="K230" s="3" t="s">
        <v>33</v>
      </c>
      <c r="L230" s="3" t="str">
        <f t="shared" si="10"/>
        <v/>
      </c>
      <c r="M230" s="3" t="str">
        <f>CONCATENATE("SRA30")</f>
        <v>SRA30</v>
      </c>
      <c r="N230" s="3" t="str">
        <f>CONCATENATE("BCLFRZ88H07L188N")</f>
        <v>BCLFRZ88H07L188N</v>
      </c>
      <c r="O230" s="3" t="s">
        <v>457</v>
      </c>
      <c r="P230" s="3" t="s">
        <v>35</v>
      </c>
      <c r="Q230" s="3" t="s">
        <v>455</v>
      </c>
      <c r="R230" s="4">
        <v>45929</v>
      </c>
      <c r="S230" s="3" t="s">
        <v>37</v>
      </c>
      <c r="T230" s="3" t="s">
        <v>38</v>
      </c>
      <c r="U230" s="3" t="s">
        <v>39</v>
      </c>
      <c r="V230" s="3">
        <v>524.32000000000005</v>
      </c>
      <c r="W230" s="3">
        <v>222.84</v>
      </c>
      <c r="X230" s="3">
        <v>211.04</v>
      </c>
      <c r="Y230" s="3">
        <v>90.44</v>
      </c>
    </row>
    <row r="231" spans="1:25" ht="41.5" hidden="1" x14ac:dyDescent="0.35">
      <c r="A231" s="3" t="s">
        <v>26</v>
      </c>
      <c r="B231" s="3" t="s">
        <v>27</v>
      </c>
      <c r="C231" s="3" t="s">
        <v>451</v>
      </c>
      <c r="D231" s="3" t="s">
        <v>29</v>
      </c>
      <c r="E231" s="3" t="s">
        <v>458</v>
      </c>
      <c r="F231" s="3" t="s">
        <v>31</v>
      </c>
      <c r="G231" s="3" t="s">
        <v>458</v>
      </c>
      <c r="H231" s="3" t="s">
        <v>453</v>
      </c>
      <c r="I231" s="3">
        <v>2024</v>
      </c>
      <c r="J231" s="3" t="str">
        <f>CONCATENATE("44811312386")</f>
        <v>44811312386</v>
      </c>
      <c r="K231" s="3" t="s">
        <v>33</v>
      </c>
      <c r="L231" s="3" t="str">
        <f t="shared" si="10"/>
        <v/>
      </c>
      <c r="M231" s="3" t="str">
        <f>CONCATENATE("SRA30")</f>
        <v>SRA30</v>
      </c>
      <c r="N231" s="3" t="str">
        <f>CONCATENATE("CRBDVD94P23E256A")</f>
        <v>CRBDVD94P23E256A</v>
      </c>
      <c r="O231" s="3" t="s">
        <v>459</v>
      </c>
      <c r="P231" s="3" t="s">
        <v>35</v>
      </c>
      <c r="Q231" s="3" t="s">
        <v>455</v>
      </c>
      <c r="R231" s="4">
        <v>45929</v>
      </c>
      <c r="S231" s="3" t="s">
        <v>37</v>
      </c>
      <c r="T231" s="3" t="s">
        <v>38</v>
      </c>
      <c r="U231" s="3" t="s">
        <v>39</v>
      </c>
      <c r="V231" s="3">
        <v>717.66</v>
      </c>
      <c r="W231" s="3">
        <v>305.01</v>
      </c>
      <c r="X231" s="3">
        <v>288.86</v>
      </c>
      <c r="Y231" s="3">
        <v>123.79</v>
      </c>
    </row>
    <row r="232" spans="1:25" ht="25.5" hidden="1" x14ac:dyDescent="0.35">
      <c r="A232" s="3" t="s">
        <v>26</v>
      </c>
      <c r="B232" s="3" t="s">
        <v>27</v>
      </c>
      <c r="C232" s="3" t="s">
        <v>451</v>
      </c>
      <c r="D232" s="3" t="s">
        <v>228</v>
      </c>
      <c r="E232" s="3" t="s">
        <v>456</v>
      </c>
      <c r="F232" s="3" t="s">
        <v>230</v>
      </c>
      <c r="G232" s="3" t="s">
        <v>456</v>
      </c>
      <c r="H232" s="3" t="s">
        <v>453</v>
      </c>
      <c r="I232" s="3">
        <v>2024</v>
      </c>
      <c r="J232" s="3" t="str">
        <f>CONCATENATE("44810839157")</f>
        <v>44810839157</v>
      </c>
      <c r="K232" s="3" t="s">
        <v>33</v>
      </c>
      <c r="L232" s="3" t="str">
        <f t="shared" si="10"/>
        <v/>
      </c>
      <c r="M232" s="3" t="str">
        <f>CONCATENATE("SRA30")</f>
        <v>SRA30</v>
      </c>
      <c r="N232" s="3" t="str">
        <f>CONCATENATE("03598330540")</f>
        <v>03598330540</v>
      </c>
      <c r="O232" s="3" t="s">
        <v>460</v>
      </c>
      <c r="P232" s="3" t="s">
        <v>35</v>
      </c>
      <c r="Q232" s="3" t="s">
        <v>455</v>
      </c>
      <c r="R232" s="4">
        <v>45929</v>
      </c>
      <c r="S232" s="3" t="s">
        <v>37</v>
      </c>
      <c r="T232" s="3" t="s">
        <v>38</v>
      </c>
      <c r="U232" s="3" t="s">
        <v>39</v>
      </c>
      <c r="V232" s="5">
        <v>3601.9</v>
      </c>
      <c r="W232" s="5">
        <v>1530.81</v>
      </c>
      <c r="X232" s="5">
        <v>1449.76</v>
      </c>
      <c r="Y232" s="3">
        <v>621.33000000000004</v>
      </c>
    </row>
    <row r="233" spans="1:25" ht="41.5" hidden="1" x14ac:dyDescent="0.35">
      <c r="A233" s="3" t="s">
        <v>26</v>
      </c>
      <c r="B233" s="3" t="s">
        <v>27</v>
      </c>
      <c r="C233" s="3" t="s">
        <v>451</v>
      </c>
      <c r="D233" s="3" t="s">
        <v>228</v>
      </c>
      <c r="E233" s="3" t="s">
        <v>456</v>
      </c>
      <c r="F233" s="3" t="s">
        <v>230</v>
      </c>
      <c r="G233" s="3" t="s">
        <v>456</v>
      </c>
      <c r="H233" s="3" t="s">
        <v>453</v>
      </c>
      <c r="I233" s="3">
        <v>2024</v>
      </c>
      <c r="J233" s="3" t="str">
        <f>CONCATENATE("44811424785")</f>
        <v>44811424785</v>
      </c>
      <c r="K233" s="3" t="s">
        <v>33</v>
      </c>
      <c r="L233" s="3" t="str">
        <f t="shared" si="10"/>
        <v/>
      </c>
      <c r="M233" s="3" t="str">
        <f>CONCATENATE("SRA30")</f>
        <v>SRA30</v>
      </c>
      <c r="N233" s="3" t="str">
        <f>CONCATENATE("SPTCLD59H56H501Z")</f>
        <v>SPTCLD59H56H501Z</v>
      </c>
      <c r="O233" s="3" t="s">
        <v>461</v>
      </c>
      <c r="P233" s="3" t="s">
        <v>35</v>
      </c>
      <c r="Q233" s="3" t="s">
        <v>455</v>
      </c>
      <c r="R233" s="4">
        <v>45929</v>
      </c>
      <c r="S233" s="3" t="s">
        <v>37</v>
      </c>
      <c r="T233" s="3" t="s">
        <v>38</v>
      </c>
      <c r="U233" s="3" t="s">
        <v>39</v>
      </c>
      <c r="V233" s="3">
        <v>511.84</v>
      </c>
      <c r="W233" s="3">
        <v>217.53</v>
      </c>
      <c r="X233" s="3">
        <v>206.02</v>
      </c>
      <c r="Y233" s="3">
        <v>88.29</v>
      </c>
    </row>
    <row r="234" spans="1:25" ht="25.5" hidden="1" x14ac:dyDescent="0.35">
      <c r="A234" s="3" t="s">
        <v>26</v>
      </c>
      <c r="B234" s="3" t="s">
        <v>27</v>
      </c>
      <c r="C234" s="3" t="s">
        <v>451</v>
      </c>
      <c r="D234" s="3" t="s">
        <v>75</v>
      </c>
      <c r="E234" s="3" t="s">
        <v>462</v>
      </c>
      <c r="F234" s="3" t="s">
        <v>77</v>
      </c>
      <c r="G234" s="3" t="s">
        <v>462</v>
      </c>
      <c r="H234" s="3" t="s">
        <v>453</v>
      </c>
      <c r="I234" s="3">
        <v>2024</v>
      </c>
      <c r="J234" s="3" t="str">
        <f>CONCATENATE("44811075603")</f>
        <v>44811075603</v>
      </c>
      <c r="K234" s="3" t="s">
        <v>33</v>
      </c>
      <c r="L234" s="3" t="str">
        <f t="shared" si="10"/>
        <v/>
      </c>
      <c r="M234" s="3" t="str">
        <f>CONCATENATE("SRA29")</f>
        <v>SRA29</v>
      </c>
      <c r="N234" s="3" t="str">
        <f>CONCATENATE("03513650543")</f>
        <v>03513650543</v>
      </c>
      <c r="O234" s="3" t="s">
        <v>463</v>
      </c>
      <c r="P234" s="3" t="s">
        <v>35</v>
      </c>
      <c r="Q234" s="3" t="s">
        <v>464</v>
      </c>
      <c r="R234" s="4">
        <v>45917</v>
      </c>
      <c r="S234" s="3" t="s">
        <v>37</v>
      </c>
      <c r="T234" s="3" t="s">
        <v>38</v>
      </c>
      <c r="U234" s="3" t="s">
        <v>39</v>
      </c>
      <c r="V234" s="5">
        <v>9352.34</v>
      </c>
      <c r="W234" s="5">
        <v>3974.74</v>
      </c>
      <c r="X234" s="5">
        <v>3764.32</v>
      </c>
      <c r="Y234" s="5">
        <v>1613.28</v>
      </c>
    </row>
    <row r="235" spans="1:25" ht="41.5" hidden="1" x14ac:dyDescent="0.35">
      <c r="A235" s="3" t="s">
        <v>26</v>
      </c>
      <c r="B235" s="3" t="s">
        <v>27</v>
      </c>
      <c r="C235" s="3" t="s">
        <v>465</v>
      </c>
      <c r="D235" s="3" t="s">
        <v>29</v>
      </c>
      <c r="E235" s="3" t="s">
        <v>466</v>
      </c>
      <c r="F235" s="3" t="s">
        <v>31</v>
      </c>
      <c r="G235" s="3" t="s">
        <v>466</v>
      </c>
      <c r="H235" s="3" t="s">
        <v>467</v>
      </c>
      <c r="I235" s="3">
        <v>2024</v>
      </c>
      <c r="J235" s="3" t="str">
        <f>CONCATENATE("44820428439")</f>
        <v>44820428439</v>
      </c>
      <c r="K235" s="3" t="s">
        <v>33</v>
      </c>
      <c r="L235" s="3" t="str">
        <f t="shared" si="10"/>
        <v/>
      </c>
      <c r="M235" s="3" t="str">
        <f>CONCATENATE("SRB01")</f>
        <v>SRB01</v>
      </c>
      <c r="N235" s="3" t="str">
        <f>CONCATENATE("GRDNRD76E01B963A")</f>
        <v>GRDNRD76E01B963A</v>
      </c>
      <c r="O235" s="3" t="s">
        <v>468</v>
      </c>
      <c r="P235" s="3" t="s">
        <v>35</v>
      </c>
      <c r="Q235" s="3" t="s">
        <v>469</v>
      </c>
      <c r="R235" s="4">
        <v>45926</v>
      </c>
      <c r="S235" s="3" t="s">
        <v>37</v>
      </c>
      <c r="T235" s="3" t="s">
        <v>38</v>
      </c>
      <c r="U235" s="3" t="s">
        <v>39</v>
      </c>
      <c r="V235" s="5">
        <v>2628.83</v>
      </c>
      <c r="W235" s="5">
        <v>1117.25</v>
      </c>
      <c r="X235" s="5">
        <v>1058.0999999999999</v>
      </c>
      <c r="Y235" s="3">
        <v>453.48</v>
      </c>
    </row>
    <row r="236" spans="1:25" ht="41.5" hidden="1" x14ac:dyDescent="0.35">
      <c r="A236" s="3" t="s">
        <v>26</v>
      </c>
      <c r="B236" s="3" t="s">
        <v>27</v>
      </c>
      <c r="C236" s="3" t="s">
        <v>470</v>
      </c>
      <c r="D236" s="3" t="s">
        <v>75</v>
      </c>
      <c r="E236" s="3" t="s">
        <v>471</v>
      </c>
      <c r="F236" s="3" t="s">
        <v>77</v>
      </c>
      <c r="G236" s="3" t="s">
        <v>471</v>
      </c>
      <c r="H236" s="3" t="s">
        <v>472</v>
      </c>
      <c r="I236" s="3">
        <v>2024</v>
      </c>
      <c r="J236" s="3" t="str">
        <f>CONCATENATE("44810707974")</f>
        <v>44810707974</v>
      </c>
      <c r="K236" s="3" t="s">
        <v>33</v>
      </c>
      <c r="L236" s="3" t="str">
        <f t="shared" si="10"/>
        <v/>
      </c>
      <c r="M236" s="3" t="str">
        <f>CONCATENATE("SRA03")</f>
        <v>SRA03</v>
      </c>
      <c r="N236" s="3" t="str">
        <f>CONCATENATE("DTCRFL67A18H467Y")</f>
        <v>DTCRFL67A18H467Y</v>
      </c>
      <c r="O236" s="3" t="s">
        <v>473</v>
      </c>
      <c r="P236" s="3" t="s">
        <v>35</v>
      </c>
      <c r="Q236" s="3" t="s">
        <v>474</v>
      </c>
      <c r="R236" s="4">
        <v>45916</v>
      </c>
      <c r="S236" s="3" t="s">
        <v>37</v>
      </c>
      <c r="T236" s="3" t="s">
        <v>38</v>
      </c>
      <c r="U236" s="3" t="s">
        <v>39</v>
      </c>
      <c r="V236" s="5">
        <v>2730.3</v>
      </c>
      <c r="W236" s="5">
        <v>1378.8</v>
      </c>
      <c r="X236" s="3">
        <v>946.05</v>
      </c>
      <c r="Y236" s="3">
        <v>405.45</v>
      </c>
    </row>
    <row r="237" spans="1:25" ht="41.5" hidden="1" x14ac:dyDescent="0.35">
      <c r="A237" s="3" t="s">
        <v>26</v>
      </c>
      <c r="B237" s="3" t="s">
        <v>27</v>
      </c>
      <c r="C237" s="3" t="s">
        <v>470</v>
      </c>
      <c r="D237" s="3" t="s">
        <v>29</v>
      </c>
      <c r="E237" s="3" t="s">
        <v>475</v>
      </c>
      <c r="F237" s="3" t="s">
        <v>31</v>
      </c>
      <c r="G237" s="3" t="s">
        <v>475</v>
      </c>
      <c r="H237" s="3" t="s">
        <v>472</v>
      </c>
      <c r="I237" s="3">
        <v>2024</v>
      </c>
      <c r="J237" s="3" t="str">
        <f>CONCATENATE("44810708378")</f>
        <v>44810708378</v>
      </c>
      <c r="K237" s="3" t="s">
        <v>33</v>
      </c>
      <c r="L237" s="3" t="str">
        <f t="shared" si="10"/>
        <v/>
      </c>
      <c r="M237" s="3" t="str">
        <f>CONCATENATE("SRA03")</f>
        <v>SRA03</v>
      </c>
      <c r="N237" s="3" t="str">
        <f>CONCATENATE("TMBRFL60H19L738P")</f>
        <v>TMBRFL60H19L738P</v>
      </c>
      <c r="O237" s="3" t="s">
        <v>476</v>
      </c>
      <c r="P237" s="3" t="s">
        <v>35</v>
      </c>
      <c r="Q237" s="3" t="s">
        <v>474</v>
      </c>
      <c r="R237" s="4">
        <v>45916</v>
      </c>
      <c r="S237" s="3" t="s">
        <v>37</v>
      </c>
      <c r="T237" s="3" t="s">
        <v>38</v>
      </c>
      <c r="U237" s="3" t="s">
        <v>39</v>
      </c>
      <c r="V237" s="5">
        <v>1012.68</v>
      </c>
      <c r="W237" s="3">
        <v>511.4</v>
      </c>
      <c r="X237" s="3">
        <v>350.89</v>
      </c>
      <c r="Y237" s="3">
        <v>150.38999999999999</v>
      </c>
    </row>
    <row r="238" spans="1:25" ht="41.5" hidden="1" x14ac:dyDescent="0.35">
      <c r="A238" s="3" t="s">
        <v>26</v>
      </c>
      <c r="B238" s="3" t="s">
        <v>27</v>
      </c>
      <c r="C238" s="3" t="s">
        <v>470</v>
      </c>
      <c r="D238" s="3" t="s">
        <v>29</v>
      </c>
      <c r="E238" s="3" t="s">
        <v>475</v>
      </c>
      <c r="F238" s="3" t="s">
        <v>31</v>
      </c>
      <c r="G238" s="3" t="s">
        <v>475</v>
      </c>
      <c r="H238" s="3" t="s">
        <v>472</v>
      </c>
      <c r="I238" s="3">
        <v>2024</v>
      </c>
      <c r="J238" s="3" t="str">
        <f>CONCATENATE("44811916566")</f>
        <v>44811916566</v>
      </c>
      <c r="K238" s="3" t="s">
        <v>33</v>
      </c>
      <c r="L238" s="3" t="str">
        <f t="shared" si="10"/>
        <v/>
      </c>
      <c r="M238" s="3" t="str">
        <f>CONCATENATE("SRA03")</f>
        <v>SRA03</v>
      </c>
      <c r="N238" s="3" t="str">
        <f>CONCATENATE("ZCCLCN85C05F104L")</f>
        <v>ZCCLCN85C05F104L</v>
      </c>
      <c r="O238" s="3" t="s">
        <v>477</v>
      </c>
      <c r="P238" s="3" t="s">
        <v>35</v>
      </c>
      <c r="Q238" s="3" t="s">
        <v>474</v>
      </c>
      <c r="R238" s="4">
        <v>45916</v>
      </c>
      <c r="S238" s="3" t="s">
        <v>37</v>
      </c>
      <c r="T238" s="3" t="s">
        <v>38</v>
      </c>
      <c r="U238" s="3" t="s">
        <v>39</v>
      </c>
      <c r="V238" s="5">
        <v>4122.5</v>
      </c>
      <c r="W238" s="5">
        <v>2081.86</v>
      </c>
      <c r="X238" s="5">
        <v>1428.45</v>
      </c>
      <c r="Y238" s="3">
        <v>612.19000000000005</v>
      </c>
    </row>
    <row r="239" spans="1:25" ht="41.5" hidden="1" x14ac:dyDescent="0.35">
      <c r="A239" s="3" t="s">
        <v>26</v>
      </c>
      <c r="B239" s="3" t="s">
        <v>27</v>
      </c>
      <c r="C239" s="3" t="s">
        <v>478</v>
      </c>
      <c r="D239" s="3" t="s">
        <v>29</v>
      </c>
      <c r="E239" s="3" t="s">
        <v>479</v>
      </c>
      <c r="F239" s="3" t="s">
        <v>31</v>
      </c>
      <c r="G239" s="3" t="s">
        <v>479</v>
      </c>
      <c r="H239" s="3" t="s">
        <v>480</v>
      </c>
      <c r="I239" s="3">
        <v>2024</v>
      </c>
      <c r="J239" s="3" t="str">
        <f>CONCATENATE("44810467892")</f>
        <v>44810467892</v>
      </c>
      <c r="K239" s="3" t="s">
        <v>33</v>
      </c>
      <c r="L239" s="3" t="str">
        <f t="shared" si="10"/>
        <v/>
      </c>
      <c r="M239" s="3" t="str">
        <f>CONCATENATE("SRA30")</f>
        <v>SRA30</v>
      </c>
      <c r="N239" s="3" t="str">
        <f>CONCATENATE("CRTDVD85L11H703I")</f>
        <v>CRTDVD85L11H703I</v>
      </c>
      <c r="O239" s="3" t="s">
        <v>481</v>
      </c>
      <c r="P239" s="3" t="s">
        <v>35</v>
      </c>
      <c r="Q239" s="3" t="s">
        <v>482</v>
      </c>
      <c r="R239" s="4">
        <v>45917</v>
      </c>
      <c r="S239" s="3" t="s">
        <v>37</v>
      </c>
      <c r="T239" s="3" t="s">
        <v>38</v>
      </c>
      <c r="U239" s="3" t="s">
        <v>39</v>
      </c>
      <c r="V239" s="5">
        <v>11431.47</v>
      </c>
      <c r="W239" s="5">
        <v>5772.89</v>
      </c>
      <c r="X239" s="5">
        <v>3961</v>
      </c>
      <c r="Y239" s="5">
        <v>1697.58</v>
      </c>
    </row>
    <row r="240" spans="1:25" ht="25.5" hidden="1" x14ac:dyDescent="0.35">
      <c r="A240" s="3" t="s">
        <v>26</v>
      </c>
      <c r="B240" s="3" t="s">
        <v>27</v>
      </c>
      <c r="C240" s="3" t="s">
        <v>478</v>
      </c>
      <c r="D240" s="3" t="s">
        <v>41</v>
      </c>
      <c r="E240" s="3" t="s">
        <v>483</v>
      </c>
      <c r="F240" s="3" t="s">
        <v>43</v>
      </c>
      <c r="G240" s="3" t="s">
        <v>483</v>
      </c>
      <c r="H240" s="3" t="s">
        <v>484</v>
      </c>
      <c r="I240" s="3">
        <v>2024</v>
      </c>
      <c r="J240" s="3" t="str">
        <f>CONCATENATE("44810727394")</f>
        <v>44810727394</v>
      </c>
      <c r="K240" s="3" t="s">
        <v>33</v>
      </c>
      <c r="L240" s="3" t="str">
        <f t="shared" si="10"/>
        <v/>
      </c>
      <c r="M240" s="3" t="str">
        <f>CONCATENATE("SRA30")</f>
        <v>SRA30</v>
      </c>
      <c r="N240" s="3" t="str">
        <f>CONCATENATE("04103270619")</f>
        <v>04103270619</v>
      </c>
      <c r="O240" s="3" t="s">
        <v>485</v>
      </c>
      <c r="P240" s="3" t="s">
        <v>35</v>
      </c>
      <c r="Q240" s="3" t="s">
        <v>482</v>
      </c>
      <c r="R240" s="4">
        <v>45917</v>
      </c>
      <c r="S240" s="3" t="s">
        <v>37</v>
      </c>
      <c r="T240" s="3" t="s">
        <v>38</v>
      </c>
      <c r="U240" s="3" t="s">
        <v>39</v>
      </c>
      <c r="V240" s="5">
        <v>40000</v>
      </c>
      <c r="W240" s="5">
        <v>20200</v>
      </c>
      <c r="X240" s="5">
        <v>13860</v>
      </c>
      <c r="Y240" s="5">
        <v>5940</v>
      </c>
    </row>
    <row r="241" spans="1:25" ht="49.5" hidden="1" x14ac:dyDescent="0.35">
      <c r="A241" s="3" t="s">
        <v>26</v>
      </c>
      <c r="B241" s="3" t="s">
        <v>27</v>
      </c>
      <c r="C241" s="3" t="s">
        <v>478</v>
      </c>
      <c r="D241" s="3" t="s">
        <v>234</v>
      </c>
      <c r="E241" s="3" t="s">
        <v>120</v>
      </c>
      <c r="F241" s="3" t="s">
        <v>119</v>
      </c>
      <c r="G241" s="3" t="s">
        <v>120</v>
      </c>
      <c r="H241" s="3" t="s">
        <v>484</v>
      </c>
      <c r="I241" s="3">
        <v>2024</v>
      </c>
      <c r="J241" s="3" t="str">
        <f>CONCATENATE("44810202604")</f>
        <v>44810202604</v>
      </c>
      <c r="K241" s="3" t="s">
        <v>33</v>
      </c>
      <c r="L241" s="3" t="str">
        <f t="shared" si="10"/>
        <v/>
      </c>
      <c r="M241" s="3" t="str">
        <f>CONCATENATE("SRA30")</f>
        <v>SRA30</v>
      </c>
      <c r="N241" s="3" t="str">
        <f>CONCATENATE("DRNMSM72P05B963U")</f>
        <v>DRNMSM72P05B963U</v>
      </c>
      <c r="O241" s="3" t="s">
        <v>486</v>
      </c>
      <c r="P241" s="3" t="s">
        <v>35</v>
      </c>
      <c r="Q241" s="3" t="s">
        <v>482</v>
      </c>
      <c r="R241" s="4">
        <v>45917</v>
      </c>
      <c r="S241" s="3" t="s">
        <v>37</v>
      </c>
      <c r="T241" s="3" t="s">
        <v>38</v>
      </c>
      <c r="U241" s="3" t="s">
        <v>39</v>
      </c>
      <c r="V241" s="5">
        <v>40000</v>
      </c>
      <c r="W241" s="5">
        <v>20200</v>
      </c>
      <c r="X241" s="5">
        <v>13860</v>
      </c>
      <c r="Y241" s="5">
        <v>5940</v>
      </c>
    </row>
    <row r="242" spans="1:25" ht="25.5" hidden="1" x14ac:dyDescent="0.35">
      <c r="A242" s="3" t="s">
        <v>26</v>
      </c>
      <c r="B242" s="3" t="s">
        <v>27</v>
      </c>
      <c r="C242" s="3" t="s">
        <v>478</v>
      </c>
      <c r="D242" s="3" t="s">
        <v>234</v>
      </c>
      <c r="E242" s="3" t="s">
        <v>120</v>
      </c>
      <c r="F242" s="3" t="s">
        <v>119</v>
      </c>
      <c r="G242" s="3" t="s">
        <v>120</v>
      </c>
      <c r="H242" s="3" t="s">
        <v>484</v>
      </c>
      <c r="I242" s="3">
        <v>2024</v>
      </c>
      <c r="J242" s="3" t="str">
        <f>CONCATENATE("44810203115")</f>
        <v>44810203115</v>
      </c>
      <c r="K242" s="3" t="s">
        <v>33</v>
      </c>
      <c r="L242" s="3" t="str">
        <f t="shared" si="10"/>
        <v/>
      </c>
      <c r="M242" s="3" t="str">
        <f>CONCATENATE("SRA30")</f>
        <v>SRA30</v>
      </c>
      <c r="N242" s="3" t="str">
        <f>CONCATENATE("03017170618")</f>
        <v>03017170618</v>
      </c>
      <c r="O242" s="3" t="s">
        <v>487</v>
      </c>
      <c r="P242" s="3" t="s">
        <v>35</v>
      </c>
      <c r="Q242" s="3" t="s">
        <v>482</v>
      </c>
      <c r="R242" s="4">
        <v>45917</v>
      </c>
      <c r="S242" s="3" t="s">
        <v>37</v>
      </c>
      <c r="T242" s="3" t="s">
        <v>38</v>
      </c>
      <c r="U242" s="3" t="s">
        <v>39</v>
      </c>
      <c r="V242" s="5">
        <v>40000</v>
      </c>
      <c r="W242" s="5">
        <v>20200</v>
      </c>
      <c r="X242" s="5">
        <v>13860</v>
      </c>
      <c r="Y242" s="5">
        <v>5940</v>
      </c>
    </row>
    <row r="243" spans="1:25" ht="41.5" hidden="1" x14ac:dyDescent="0.35">
      <c r="A243" s="3" t="s">
        <v>26</v>
      </c>
      <c r="B243" s="3" t="s">
        <v>27</v>
      </c>
      <c r="C243" s="3" t="s">
        <v>90</v>
      </c>
      <c r="D243" s="3" t="s">
        <v>164</v>
      </c>
      <c r="E243" s="3" t="s">
        <v>222</v>
      </c>
      <c r="F243" s="3" t="s">
        <v>166</v>
      </c>
      <c r="G243" s="3" t="s">
        <v>222</v>
      </c>
      <c r="H243" s="3" t="s">
        <v>488</v>
      </c>
      <c r="I243" s="3">
        <v>2024</v>
      </c>
      <c r="J243" s="3" t="str">
        <f>CONCATENATE("44810485324")</f>
        <v>44810485324</v>
      </c>
      <c r="K243" s="3" t="s">
        <v>33</v>
      </c>
      <c r="L243" s="3" t="str">
        <f t="shared" si="10"/>
        <v/>
      </c>
      <c r="M243" s="3" t="str">
        <f t="shared" ref="M243:M248" si="12">CONCATENATE("SRA29")</f>
        <v>SRA29</v>
      </c>
      <c r="N243" s="3" t="str">
        <f>CONCATENATE("CRSPTR93E22C286U")</f>
        <v>CRSPTR93E22C286U</v>
      </c>
      <c r="O243" s="3" t="s">
        <v>489</v>
      </c>
      <c r="P243" s="3" t="s">
        <v>35</v>
      </c>
      <c r="Q243" s="3" t="s">
        <v>490</v>
      </c>
      <c r="R243" s="4">
        <v>45919</v>
      </c>
      <c r="S243" s="3" t="s">
        <v>37</v>
      </c>
      <c r="T243" s="3" t="s">
        <v>38</v>
      </c>
      <c r="U243" s="3" t="s">
        <v>39</v>
      </c>
      <c r="V243" s="5">
        <v>8393.39</v>
      </c>
      <c r="W243" s="5">
        <v>4238.66</v>
      </c>
      <c r="X243" s="5">
        <v>2908.31</v>
      </c>
      <c r="Y243" s="5">
        <v>1246.42</v>
      </c>
    </row>
    <row r="244" spans="1:25" ht="41.5" hidden="1" x14ac:dyDescent="0.35">
      <c r="A244" s="3" t="s">
        <v>26</v>
      </c>
      <c r="B244" s="3" t="s">
        <v>27</v>
      </c>
      <c r="C244" s="3" t="s">
        <v>90</v>
      </c>
      <c r="D244" s="3" t="s">
        <v>364</v>
      </c>
      <c r="E244" s="3" t="s">
        <v>491</v>
      </c>
      <c r="F244" s="3" t="s">
        <v>393</v>
      </c>
      <c r="G244" s="3" t="s">
        <v>491</v>
      </c>
      <c r="H244" s="3" t="s">
        <v>488</v>
      </c>
      <c r="I244" s="3">
        <v>2023</v>
      </c>
      <c r="J244" s="3" t="str">
        <f>CONCATENATE("34810677244")</f>
        <v>34810677244</v>
      </c>
      <c r="K244" s="3" t="s">
        <v>33</v>
      </c>
      <c r="L244" s="3" t="str">
        <f t="shared" si="10"/>
        <v/>
      </c>
      <c r="M244" s="3" t="str">
        <f t="shared" si="12"/>
        <v>SRA29</v>
      </c>
      <c r="N244" s="3" t="str">
        <f>CONCATENATE("LMBFNC62M12H700F")</f>
        <v>LMBFNC62M12H700F</v>
      </c>
      <c r="O244" s="3" t="s">
        <v>492</v>
      </c>
      <c r="P244" s="3" t="s">
        <v>35</v>
      </c>
      <c r="Q244" s="3" t="s">
        <v>490</v>
      </c>
      <c r="R244" s="4">
        <v>45919</v>
      </c>
      <c r="S244" s="3" t="s">
        <v>37</v>
      </c>
      <c r="T244" s="3" t="s">
        <v>38</v>
      </c>
      <c r="U244" s="3" t="s">
        <v>39</v>
      </c>
      <c r="V244" s="5">
        <v>14590.83</v>
      </c>
      <c r="W244" s="5">
        <v>7368.37</v>
      </c>
      <c r="X244" s="5">
        <v>5055.72</v>
      </c>
      <c r="Y244" s="5">
        <v>2166.7399999999998</v>
      </c>
    </row>
    <row r="245" spans="1:25" ht="41.5" hidden="1" x14ac:dyDescent="0.35">
      <c r="A245" s="3" t="s">
        <v>26</v>
      </c>
      <c r="B245" s="3" t="s">
        <v>27</v>
      </c>
      <c r="C245" s="3" t="s">
        <v>90</v>
      </c>
      <c r="D245" s="3" t="s">
        <v>41</v>
      </c>
      <c r="E245" s="3" t="s">
        <v>493</v>
      </c>
      <c r="F245" s="3" t="s">
        <v>43</v>
      </c>
      <c r="G245" s="3" t="s">
        <v>493</v>
      </c>
      <c r="H245" s="3" t="s">
        <v>488</v>
      </c>
      <c r="I245" s="3">
        <v>2024</v>
      </c>
      <c r="J245" s="3" t="str">
        <f>CONCATENATE("44810405454")</f>
        <v>44810405454</v>
      </c>
      <c r="K245" s="3" t="s">
        <v>33</v>
      </c>
      <c r="L245" s="3" t="str">
        <f t="shared" si="10"/>
        <v/>
      </c>
      <c r="M245" s="3" t="str">
        <f t="shared" si="12"/>
        <v>SRA29</v>
      </c>
      <c r="N245" s="3" t="str">
        <f>CONCATENATE("MNDDNL76B23C286E")</f>
        <v>MNDDNL76B23C286E</v>
      </c>
      <c r="O245" s="3" t="s">
        <v>494</v>
      </c>
      <c r="P245" s="3" t="s">
        <v>35</v>
      </c>
      <c r="Q245" s="3" t="s">
        <v>490</v>
      </c>
      <c r="R245" s="4">
        <v>45919</v>
      </c>
      <c r="S245" s="3" t="s">
        <v>37</v>
      </c>
      <c r="T245" s="3" t="s">
        <v>38</v>
      </c>
      <c r="U245" s="3" t="s">
        <v>39</v>
      </c>
      <c r="V245" s="5">
        <v>5476.59</v>
      </c>
      <c r="W245" s="5">
        <v>2765.68</v>
      </c>
      <c r="X245" s="5">
        <v>1897.64</v>
      </c>
      <c r="Y245" s="3">
        <v>813.27</v>
      </c>
    </row>
    <row r="246" spans="1:25" ht="41.5" hidden="1" x14ac:dyDescent="0.35">
      <c r="A246" s="3" t="s">
        <v>26</v>
      </c>
      <c r="B246" s="3" t="s">
        <v>27</v>
      </c>
      <c r="C246" s="3" t="s">
        <v>90</v>
      </c>
      <c r="D246" s="3" t="s">
        <v>51</v>
      </c>
      <c r="E246" s="3" t="s">
        <v>495</v>
      </c>
      <c r="F246" s="3" t="s">
        <v>51</v>
      </c>
      <c r="G246" s="3" t="s">
        <v>495</v>
      </c>
      <c r="H246" s="3" t="s">
        <v>488</v>
      </c>
      <c r="I246" s="3">
        <v>2024</v>
      </c>
      <c r="J246" s="3" t="str">
        <f>CONCATENATE("44810330389")</f>
        <v>44810330389</v>
      </c>
      <c r="K246" s="3" t="s">
        <v>33</v>
      </c>
      <c r="L246" s="3" t="str">
        <f t="shared" si="10"/>
        <v/>
      </c>
      <c r="M246" s="3" t="str">
        <f t="shared" si="12"/>
        <v>SRA29</v>
      </c>
      <c r="N246" s="3" t="str">
        <f>CONCATENATE("MSRSVT71E04G273W")</f>
        <v>MSRSVT71E04G273W</v>
      </c>
      <c r="O246" s="3" t="s">
        <v>496</v>
      </c>
      <c r="P246" s="3" t="s">
        <v>35</v>
      </c>
      <c r="Q246" s="3" t="s">
        <v>490</v>
      </c>
      <c r="R246" s="4">
        <v>45919</v>
      </c>
      <c r="S246" s="3" t="s">
        <v>37</v>
      </c>
      <c r="T246" s="3" t="s">
        <v>38</v>
      </c>
      <c r="U246" s="3" t="s">
        <v>39</v>
      </c>
      <c r="V246" s="5">
        <v>11606.91</v>
      </c>
      <c r="W246" s="5">
        <v>5861.49</v>
      </c>
      <c r="X246" s="5">
        <v>4021.79</v>
      </c>
      <c r="Y246" s="5">
        <v>1723.63</v>
      </c>
    </row>
    <row r="247" spans="1:25" ht="25.5" hidden="1" x14ac:dyDescent="0.35">
      <c r="A247" s="3" t="s">
        <v>26</v>
      </c>
      <c r="B247" s="3" t="s">
        <v>27</v>
      </c>
      <c r="C247" s="3" t="s">
        <v>90</v>
      </c>
      <c r="D247" s="3" t="s">
        <v>51</v>
      </c>
      <c r="E247" s="3" t="s">
        <v>495</v>
      </c>
      <c r="F247" s="3" t="s">
        <v>51</v>
      </c>
      <c r="G247" s="3" t="s">
        <v>495</v>
      </c>
      <c r="H247" s="3" t="s">
        <v>488</v>
      </c>
      <c r="I247" s="3">
        <v>2024</v>
      </c>
      <c r="J247" s="3" t="str">
        <f>CONCATENATE("44810468882")</f>
        <v>44810468882</v>
      </c>
      <c r="K247" s="3" t="s">
        <v>33</v>
      </c>
      <c r="L247" s="3" t="str">
        <f t="shared" si="10"/>
        <v/>
      </c>
      <c r="M247" s="3" t="str">
        <f t="shared" si="12"/>
        <v>SRA29</v>
      </c>
      <c r="N247" s="3" t="str">
        <f>CONCATENATE("02656350812")</f>
        <v>02656350812</v>
      </c>
      <c r="O247" s="3" t="s">
        <v>497</v>
      </c>
      <c r="P247" s="3" t="s">
        <v>35</v>
      </c>
      <c r="Q247" s="3" t="s">
        <v>490</v>
      </c>
      <c r="R247" s="4">
        <v>45919</v>
      </c>
      <c r="S247" s="3" t="s">
        <v>37</v>
      </c>
      <c r="T247" s="3" t="s">
        <v>38</v>
      </c>
      <c r="U247" s="3" t="s">
        <v>39</v>
      </c>
      <c r="V247" s="5">
        <v>6398.24</v>
      </c>
      <c r="W247" s="5">
        <v>3231.11</v>
      </c>
      <c r="X247" s="5">
        <v>2216.9899999999998</v>
      </c>
      <c r="Y247" s="3">
        <v>950.14</v>
      </c>
    </row>
    <row r="248" spans="1:25" ht="25.5" hidden="1" x14ac:dyDescent="0.35">
      <c r="A248" s="3" t="s">
        <v>26</v>
      </c>
      <c r="B248" s="3" t="s">
        <v>27</v>
      </c>
      <c r="C248" s="3" t="s">
        <v>90</v>
      </c>
      <c r="D248" s="3" t="s">
        <v>51</v>
      </c>
      <c r="E248" s="3" t="s">
        <v>495</v>
      </c>
      <c r="F248" s="3" t="s">
        <v>51</v>
      </c>
      <c r="G248" s="3" t="s">
        <v>495</v>
      </c>
      <c r="H248" s="3" t="s">
        <v>488</v>
      </c>
      <c r="I248" s="3">
        <v>2024</v>
      </c>
      <c r="J248" s="3" t="str">
        <f>CONCATENATE("44810468890")</f>
        <v>44810468890</v>
      </c>
      <c r="K248" s="3" t="s">
        <v>33</v>
      </c>
      <c r="L248" s="3" t="str">
        <f t="shared" si="10"/>
        <v/>
      </c>
      <c r="M248" s="3" t="str">
        <f t="shared" si="12"/>
        <v>SRA29</v>
      </c>
      <c r="N248" s="3" t="str">
        <f>CONCATENATE("02656350812")</f>
        <v>02656350812</v>
      </c>
      <c r="O248" s="3" t="s">
        <v>497</v>
      </c>
      <c r="P248" s="3" t="s">
        <v>35</v>
      </c>
      <c r="Q248" s="3" t="s">
        <v>490</v>
      </c>
      <c r="R248" s="4">
        <v>45919</v>
      </c>
      <c r="S248" s="3" t="s">
        <v>37</v>
      </c>
      <c r="T248" s="3" t="s">
        <v>38</v>
      </c>
      <c r="U248" s="3" t="s">
        <v>39</v>
      </c>
      <c r="V248" s="5">
        <v>18503.72</v>
      </c>
      <c r="W248" s="5">
        <v>9344.3799999999992</v>
      </c>
      <c r="X248" s="5">
        <v>6411.54</v>
      </c>
      <c r="Y248" s="5">
        <v>2747.8</v>
      </c>
    </row>
    <row r="249" spans="1:25" ht="25.5" hidden="1" x14ac:dyDescent="0.35">
      <c r="A249" s="3" t="s">
        <v>26</v>
      </c>
      <c r="B249" s="3" t="s">
        <v>27</v>
      </c>
      <c r="C249" s="3" t="s">
        <v>451</v>
      </c>
      <c r="D249" s="3" t="s">
        <v>61</v>
      </c>
      <c r="E249" s="3" t="s">
        <v>498</v>
      </c>
      <c r="F249" s="3" t="s">
        <v>63</v>
      </c>
      <c r="G249" s="3" t="s">
        <v>498</v>
      </c>
      <c r="H249" s="3" t="s">
        <v>453</v>
      </c>
      <c r="I249" s="3">
        <v>2024</v>
      </c>
      <c r="J249" s="3" t="str">
        <f>CONCATENATE("44811423282")</f>
        <v>44811423282</v>
      </c>
      <c r="K249" s="3" t="s">
        <v>33</v>
      </c>
      <c r="L249" s="3" t="str">
        <f t="shared" si="10"/>
        <v/>
      </c>
      <c r="M249" s="3" t="str">
        <f t="shared" ref="M249:M262" si="13">CONCATENATE("SRA30")</f>
        <v>SRA30</v>
      </c>
      <c r="N249" s="3" t="str">
        <f>CONCATENATE("00580110559")</f>
        <v>00580110559</v>
      </c>
      <c r="O249" s="3" t="s">
        <v>499</v>
      </c>
      <c r="P249" s="3" t="s">
        <v>35</v>
      </c>
      <c r="Q249" s="3" t="s">
        <v>455</v>
      </c>
      <c r="R249" s="4">
        <v>45929</v>
      </c>
      <c r="S249" s="3" t="s">
        <v>37</v>
      </c>
      <c r="T249" s="3" t="s">
        <v>38</v>
      </c>
      <c r="U249" s="3" t="s">
        <v>39</v>
      </c>
      <c r="V249" s="5">
        <v>2020.09</v>
      </c>
      <c r="W249" s="3">
        <v>858.54</v>
      </c>
      <c r="X249" s="3">
        <v>813.09</v>
      </c>
      <c r="Y249" s="3">
        <v>348.46</v>
      </c>
    </row>
    <row r="250" spans="1:25" ht="41.5" hidden="1" x14ac:dyDescent="0.35">
      <c r="A250" s="3" t="s">
        <v>26</v>
      </c>
      <c r="B250" s="3" t="s">
        <v>27</v>
      </c>
      <c r="C250" s="3" t="s">
        <v>90</v>
      </c>
      <c r="D250" s="3" t="s">
        <v>61</v>
      </c>
      <c r="E250" s="3" t="s">
        <v>272</v>
      </c>
      <c r="F250" s="3" t="s">
        <v>63</v>
      </c>
      <c r="G250" s="3" t="s">
        <v>272</v>
      </c>
      <c r="H250" s="3" t="s">
        <v>96</v>
      </c>
      <c r="I250" s="3">
        <v>2024</v>
      </c>
      <c r="J250" s="3" t="str">
        <f>CONCATENATE("44810934479")</f>
        <v>44810934479</v>
      </c>
      <c r="K250" s="3" t="s">
        <v>33</v>
      </c>
      <c r="L250" s="3" t="str">
        <f t="shared" si="10"/>
        <v/>
      </c>
      <c r="M250" s="3" t="str">
        <f t="shared" si="13"/>
        <v>SRA30</v>
      </c>
      <c r="N250" s="3" t="str">
        <f>CONCATENATE("MLTGPP71E25G273E")</f>
        <v>MLTGPP71E25G273E</v>
      </c>
      <c r="O250" s="3" t="s">
        <v>500</v>
      </c>
      <c r="P250" s="3" t="s">
        <v>35</v>
      </c>
      <c r="Q250" s="3" t="s">
        <v>98</v>
      </c>
      <c r="R250" s="4">
        <v>45926</v>
      </c>
      <c r="S250" s="3" t="s">
        <v>37</v>
      </c>
      <c r="T250" s="3" t="s">
        <v>38</v>
      </c>
      <c r="U250" s="3" t="s">
        <v>39</v>
      </c>
      <c r="V250" s="5">
        <v>4526.51</v>
      </c>
      <c r="W250" s="5">
        <v>2285.89</v>
      </c>
      <c r="X250" s="5">
        <v>1568.44</v>
      </c>
      <c r="Y250" s="3">
        <v>672.18</v>
      </c>
    </row>
    <row r="251" spans="1:25" ht="25.5" hidden="1" x14ac:dyDescent="0.35">
      <c r="A251" s="3" t="s">
        <v>26</v>
      </c>
      <c r="B251" s="3" t="s">
        <v>27</v>
      </c>
      <c r="C251" s="3" t="s">
        <v>90</v>
      </c>
      <c r="D251" s="3" t="s">
        <v>107</v>
      </c>
      <c r="E251" s="3" t="s">
        <v>108</v>
      </c>
      <c r="F251" s="3" t="s">
        <v>71</v>
      </c>
      <c r="G251" s="3" t="s">
        <v>109</v>
      </c>
      <c r="H251" s="3" t="s">
        <v>96</v>
      </c>
      <c r="I251" s="3">
        <v>2024</v>
      </c>
      <c r="J251" s="3" t="str">
        <f>CONCATENATE("44810997492")</f>
        <v>44810997492</v>
      </c>
      <c r="K251" s="3" t="s">
        <v>33</v>
      </c>
      <c r="L251" s="3" t="str">
        <f t="shared" si="10"/>
        <v/>
      </c>
      <c r="M251" s="3" t="str">
        <f t="shared" si="13"/>
        <v>SRA30</v>
      </c>
      <c r="N251" s="3" t="str">
        <f>CONCATENATE("06382790829")</f>
        <v>06382790829</v>
      </c>
      <c r="O251" s="3" t="s">
        <v>501</v>
      </c>
      <c r="P251" s="3" t="s">
        <v>35</v>
      </c>
      <c r="Q251" s="3" t="s">
        <v>98</v>
      </c>
      <c r="R251" s="4">
        <v>45926</v>
      </c>
      <c r="S251" s="3" t="s">
        <v>37</v>
      </c>
      <c r="T251" s="3" t="s">
        <v>38</v>
      </c>
      <c r="U251" s="3" t="s">
        <v>39</v>
      </c>
      <c r="V251" s="5">
        <v>3366</v>
      </c>
      <c r="W251" s="5">
        <v>1699.83</v>
      </c>
      <c r="X251" s="5">
        <v>1166.32</v>
      </c>
      <c r="Y251" s="3">
        <v>499.85</v>
      </c>
    </row>
    <row r="252" spans="1:25" ht="49.5" hidden="1" x14ac:dyDescent="0.35">
      <c r="A252" s="3" t="s">
        <v>26</v>
      </c>
      <c r="B252" s="3" t="s">
        <v>27</v>
      </c>
      <c r="C252" s="3" t="s">
        <v>90</v>
      </c>
      <c r="D252" s="3" t="s">
        <v>164</v>
      </c>
      <c r="E252" s="3" t="s">
        <v>222</v>
      </c>
      <c r="F252" s="3" t="s">
        <v>166</v>
      </c>
      <c r="G252" s="3" t="s">
        <v>222</v>
      </c>
      <c r="H252" s="3" t="s">
        <v>96</v>
      </c>
      <c r="I252" s="3">
        <v>2024</v>
      </c>
      <c r="J252" s="3" t="str">
        <f>CONCATENATE("44810387025")</f>
        <v>44810387025</v>
      </c>
      <c r="K252" s="3" t="s">
        <v>33</v>
      </c>
      <c r="L252" s="3" t="str">
        <f t="shared" si="10"/>
        <v/>
      </c>
      <c r="M252" s="3" t="str">
        <f t="shared" si="13"/>
        <v>SRA30</v>
      </c>
      <c r="N252" s="3" t="str">
        <f>CONCATENATE("NCLSVT83B03G263W")</f>
        <v>NCLSVT83B03G263W</v>
      </c>
      <c r="O252" s="3" t="s">
        <v>502</v>
      </c>
      <c r="P252" s="3" t="s">
        <v>35</v>
      </c>
      <c r="Q252" s="3" t="s">
        <v>98</v>
      </c>
      <c r="R252" s="4">
        <v>45926</v>
      </c>
      <c r="S252" s="3" t="s">
        <v>37</v>
      </c>
      <c r="T252" s="3" t="s">
        <v>38</v>
      </c>
      <c r="U252" s="3" t="s">
        <v>39</v>
      </c>
      <c r="V252" s="5">
        <v>4923</v>
      </c>
      <c r="W252" s="5">
        <v>2486.12</v>
      </c>
      <c r="X252" s="5">
        <v>1705.82</v>
      </c>
      <c r="Y252" s="3">
        <v>731.06</v>
      </c>
    </row>
    <row r="253" spans="1:25" ht="49.5" hidden="1" x14ac:dyDescent="0.35">
      <c r="A253" s="3" t="s">
        <v>26</v>
      </c>
      <c r="B253" s="3" t="s">
        <v>27</v>
      </c>
      <c r="C253" s="3" t="s">
        <v>90</v>
      </c>
      <c r="D253" s="3" t="s">
        <v>41</v>
      </c>
      <c r="E253" s="3" t="s">
        <v>262</v>
      </c>
      <c r="F253" s="3" t="s">
        <v>43</v>
      </c>
      <c r="G253" s="3" t="s">
        <v>262</v>
      </c>
      <c r="H253" s="3" t="s">
        <v>96</v>
      </c>
      <c r="I253" s="3">
        <v>2024</v>
      </c>
      <c r="J253" s="3" t="str">
        <f>CONCATENATE("44810725935")</f>
        <v>44810725935</v>
      </c>
      <c r="K253" s="3" t="s">
        <v>33</v>
      </c>
      <c r="L253" s="3" t="str">
        <f t="shared" si="10"/>
        <v/>
      </c>
      <c r="M253" s="3" t="str">
        <f t="shared" si="13"/>
        <v>SRA30</v>
      </c>
      <c r="N253" s="3" t="str">
        <f>CONCATENATE("RLNNNN45R13H070B")</f>
        <v>RLNNNN45R13H070B</v>
      </c>
      <c r="O253" s="3" t="s">
        <v>503</v>
      </c>
      <c r="P253" s="3" t="s">
        <v>35</v>
      </c>
      <c r="Q253" s="3" t="s">
        <v>98</v>
      </c>
      <c r="R253" s="4">
        <v>45926</v>
      </c>
      <c r="S253" s="3" t="s">
        <v>37</v>
      </c>
      <c r="T253" s="3" t="s">
        <v>38</v>
      </c>
      <c r="U253" s="3" t="s">
        <v>39</v>
      </c>
      <c r="V253" s="5">
        <v>6375</v>
      </c>
      <c r="W253" s="5">
        <v>3219.38</v>
      </c>
      <c r="X253" s="5">
        <v>2208.94</v>
      </c>
      <c r="Y253" s="3">
        <v>946.68</v>
      </c>
    </row>
    <row r="254" spans="1:25" ht="41.5" hidden="1" x14ac:dyDescent="0.35">
      <c r="A254" s="3" t="s">
        <v>26</v>
      </c>
      <c r="B254" s="3" t="s">
        <v>27</v>
      </c>
      <c r="C254" s="3" t="s">
        <v>90</v>
      </c>
      <c r="D254" s="3" t="s">
        <v>61</v>
      </c>
      <c r="E254" s="3" t="s">
        <v>272</v>
      </c>
      <c r="F254" s="3" t="s">
        <v>63</v>
      </c>
      <c r="G254" s="3" t="s">
        <v>272</v>
      </c>
      <c r="H254" s="3" t="s">
        <v>96</v>
      </c>
      <c r="I254" s="3">
        <v>2024</v>
      </c>
      <c r="J254" s="3" t="str">
        <f>CONCATENATE("44811261070")</f>
        <v>44811261070</v>
      </c>
      <c r="K254" s="3" t="s">
        <v>33</v>
      </c>
      <c r="L254" s="3" t="str">
        <f t="shared" si="10"/>
        <v/>
      </c>
      <c r="M254" s="3" t="str">
        <f t="shared" si="13"/>
        <v>SRA30</v>
      </c>
      <c r="N254" s="3" t="str">
        <f>CONCATENATE("PRRNGL65P10F553S")</f>
        <v>PRRNGL65P10F553S</v>
      </c>
      <c r="O254" s="3" t="s">
        <v>504</v>
      </c>
      <c r="P254" s="3" t="s">
        <v>35</v>
      </c>
      <c r="Q254" s="3" t="s">
        <v>98</v>
      </c>
      <c r="R254" s="4">
        <v>45926</v>
      </c>
      <c r="S254" s="3" t="s">
        <v>37</v>
      </c>
      <c r="T254" s="3" t="s">
        <v>38</v>
      </c>
      <c r="U254" s="3" t="s">
        <v>39</v>
      </c>
      <c r="V254" s="5">
        <v>4530.93</v>
      </c>
      <c r="W254" s="5">
        <v>2288.12</v>
      </c>
      <c r="X254" s="5">
        <v>1569.97</v>
      </c>
      <c r="Y254" s="3">
        <v>672.84</v>
      </c>
    </row>
    <row r="255" spans="1:25" ht="41.5" hidden="1" x14ac:dyDescent="0.35">
      <c r="A255" s="3" t="s">
        <v>26</v>
      </c>
      <c r="B255" s="3" t="s">
        <v>27</v>
      </c>
      <c r="C255" s="3" t="s">
        <v>90</v>
      </c>
      <c r="D255" s="3" t="s">
        <v>41</v>
      </c>
      <c r="E255" s="3" t="s">
        <v>264</v>
      </c>
      <c r="F255" s="3" t="s">
        <v>43</v>
      </c>
      <c r="G255" s="3" t="s">
        <v>264</v>
      </c>
      <c r="H255" s="3" t="s">
        <v>96</v>
      </c>
      <c r="I255" s="3">
        <v>2024</v>
      </c>
      <c r="J255" s="3" t="str">
        <f>CONCATENATE("44810639615")</f>
        <v>44810639615</v>
      </c>
      <c r="K255" s="3" t="s">
        <v>33</v>
      </c>
      <c r="L255" s="3" t="str">
        <f t="shared" si="10"/>
        <v/>
      </c>
      <c r="M255" s="3" t="str">
        <f t="shared" si="13"/>
        <v>SRA30</v>
      </c>
      <c r="N255" s="3" t="str">
        <f>CONCATENATE("PZZBDT75R59B780F")</f>
        <v>PZZBDT75R59B780F</v>
      </c>
      <c r="O255" s="3" t="s">
        <v>505</v>
      </c>
      <c r="P255" s="3" t="s">
        <v>35</v>
      </c>
      <c r="Q255" s="3" t="s">
        <v>98</v>
      </c>
      <c r="R255" s="4">
        <v>45926</v>
      </c>
      <c r="S255" s="3" t="s">
        <v>37</v>
      </c>
      <c r="T255" s="3" t="s">
        <v>38</v>
      </c>
      <c r="U255" s="3" t="s">
        <v>39</v>
      </c>
      <c r="V255" s="5">
        <v>11908.85</v>
      </c>
      <c r="W255" s="5">
        <v>6013.97</v>
      </c>
      <c r="X255" s="5">
        <v>4126.42</v>
      </c>
      <c r="Y255" s="5">
        <v>1768.46</v>
      </c>
    </row>
    <row r="256" spans="1:25" ht="41.5" hidden="1" x14ac:dyDescent="0.35">
      <c r="A256" s="3" t="s">
        <v>26</v>
      </c>
      <c r="B256" s="3" t="s">
        <v>27</v>
      </c>
      <c r="C256" s="3" t="s">
        <v>90</v>
      </c>
      <c r="D256" s="3" t="s">
        <v>180</v>
      </c>
      <c r="E256" s="3" t="s">
        <v>258</v>
      </c>
      <c r="F256" s="3" t="s">
        <v>85</v>
      </c>
      <c r="G256" s="3" t="s">
        <v>258</v>
      </c>
      <c r="H256" s="3" t="s">
        <v>96</v>
      </c>
      <c r="I256" s="3">
        <v>2024</v>
      </c>
      <c r="J256" s="3" t="str">
        <f>CONCATENATE("44810372365")</f>
        <v>44810372365</v>
      </c>
      <c r="K256" s="3" t="s">
        <v>33</v>
      </c>
      <c r="L256" s="3" t="str">
        <f t="shared" si="10"/>
        <v/>
      </c>
      <c r="M256" s="3" t="str">
        <f t="shared" si="13"/>
        <v>SRA30</v>
      </c>
      <c r="N256" s="3" t="str">
        <f>CONCATENATE("RSTGLM65L13C871S")</f>
        <v>RSTGLM65L13C871S</v>
      </c>
      <c r="O256" s="3" t="s">
        <v>506</v>
      </c>
      <c r="P256" s="3" t="s">
        <v>35</v>
      </c>
      <c r="Q256" s="3" t="s">
        <v>98</v>
      </c>
      <c r="R256" s="4">
        <v>45926</v>
      </c>
      <c r="S256" s="3" t="s">
        <v>37</v>
      </c>
      <c r="T256" s="3" t="s">
        <v>38</v>
      </c>
      <c r="U256" s="3" t="s">
        <v>39</v>
      </c>
      <c r="V256" s="5">
        <v>6191.62</v>
      </c>
      <c r="W256" s="5">
        <v>3126.77</v>
      </c>
      <c r="X256" s="5">
        <v>2145.4</v>
      </c>
      <c r="Y256" s="3">
        <v>919.45</v>
      </c>
    </row>
    <row r="257" spans="1:25" ht="41.5" hidden="1" x14ac:dyDescent="0.35">
      <c r="A257" s="3" t="s">
        <v>26</v>
      </c>
      <c r="B257" s="3" t="s">
        <v>27</v>
      </c>
      <c r="C257" s="3" t="s">
        <v>90</v>
      </c>
      <c r="D257" s="3" t="s">
        <v>61</v>
      </c>
      <c r="E257" s="3" t="s">
        <v>272</v>
      </c>
      <c r="F257" s="3" t="s">
        <v>63</v>
      </c>
      <c r="G257" s="3" t="s">
        <v>272</v>
      </c>
      <c r="H257" s="3" t="s">
        <v>96</v>
      </c>
      <c r="I257" s="3">
        <v>2024</v>
      </c>
      <c r="J257" s="3" t="str">
        <f>CONCATENATE("44811259314")</f>
        <v>44811259314</v>
      </c>
      <c r="K257" s="3" t="s">
        <v>33</v>
      </c>
      <c r="L257" s="3" t="str">
        <f t="shared" si="10"/>
        <v/>
      </c>
      <c r="M257" s="3" t="str">
        <f t="shared" si="13"/>
        <v>SRA30</v>
      </c>
      <c r="N257" s="3" t="str">
        <f>CONCATENATE("SLTNNN87E30G273R")</f>
        <v>SLTNNN87E30G273R</v>
      </c>
      <c r="O257" s="3" t="s">
        <v>507</v>
      </c>
      <c r="P257" s="3" t="s">
        <v>35</v>
      </c>
      <c r="Q257" s="3" t="s">
        <v>98</v>
      </c>
      <c r="R257" s="4">
        <v>45926</v>
      </c>
      <c r="S257" s="3" t="s">
        <v>37</v>
      </c>
      <c r="T257" s="3" t="s">
        <v>38</v>
      </c>
      <c r="U257" s="3" t="s">
        <v>39</v>
      </c>
      <c r="V257" s="5">
        <v>2748.56</v>
      </c>
      <c r="W257" s="5">
        <v>1388.02</v>
      </c>
      <c r="X257" s="3">
        <v>952.38</v>
      </c>
      <c r="Y257" s="3">
        <v>408.16</v>
      </c>
    </row>
    <row r="258" spans="1:25" ht="41.5" hidden="1" x14ac:dyDescent="0.35">
      <c r="A258" s="3" t="s">
        <v>26</v>
      </c>
      <c r="B258" s="3" t="s">
        <v>27</v>
      </c>
      <c r="C258" s="3" t="s">
        <v>90</v>
      </c>
      <c r="D258" s="3" t="s">
        <v>41</v>
      </c>
      <c r="E258" s="3" t="s">
        <v>260</v>
      </c>
      <c r="F258" s="3" t="s">
        <v>43</v>
      </c>
      <c r="G258" s="3" t="s">
        <v>260</v>
      </c>
      <c r="H258" s="3" t="s">
        <v>96</v>
      </c>
      <c r="I258" s="3">
        <v>2024</v>
      </c>
      <c r="J258" s="3" t="str">
        <f>CONCATENATE("44810623924")</f>
        <v>44810623924</v>
      </c>
      <c r="K258" s="3" t="s">
        <v>33</v>
      </c>
      <c r="L258" s="3" t="str">
        <f t="shared" si="10"/>
        <v/>
      </c>
      <c r="M258" s="3" t="str">
        <f t="shared" si="13"/>
        <v>SRA30</v>
      </c>
      <c r="N258" s="3" t="str">
        <f>CONCATENATE("SLVNNA66C68B535R")</f>
        <v>SLVNNA66C68B535R</v>
      </c>
      <c r="O258" s="3" t="s">
        <v>508</v>
      </c>
      <c r="P258" s="3" t="s">
        <v>35</v>
      </c>
      <c r="Q258" s="3" t="s">
        <v>98</v>
      </c>
      <c r="R258" s="4">
        <v>45926</v>
      </c>
      <c r="S258" s="3" t="s">
        <v>37</v>
      </c>
      <c r="T258" s="3" t="s">
        <v>38</v>
      </c>
      <c r="U258" s="3" t="s">
        <v>39</v>
      </c>
      <c r="V258" s="5">
        <v>4485.28</v>
      </c>
      <c r="W258" s="5">
        <v>2265.0700000000002</v>
      </c>
      <c r="X258" s="5">
        <v>1554.15</v>
      </c>
      <c r="Y258" s="3">
        <v>666.06</v>
      </c>
    </row>
    <row r="259" spans="1:25" ht="41.5" hidden="1" x14ac:dyDescent="0.35">
      <c r="A259" s="3" t="s">
        <v>26</v>
      </c>
      <c r="B259" s="3" t="s">
        <v>27</v>
      </c>
      <c r="C259" s="3" t="s">
        <v>90</v>
      </c>
      <c r="D259" s="3" t="s">
        <v>180</v>
      </c>
      <c r="E259" s="3" t="s">
        <v>509</v>
      </c>
      <c r="F259" s="3" t="s">
        <v>85</v>
      </c>
      <c r="G259" s="3" t="s">
        <v>509</v>
      </c>
      <c r="H259" s="3" t="s">
        <v>96</v>
      </c>
      <c r="I259" s="3">
        <v>2024</v>
      </c>
      <c r="J259" s="3" t="str">
        <f>CONCATENATE("44811210507")</f>
        <v>44811210507</v>
      </c>
      <c r="K259" s="3" t="s">
        <v>33</v>
      </c>
      <c r="L259" s="3" t="str">
        <f t="shared" si="10"/>
        <v/>
      </c>
      <c r="M259" s="3" t="str">
        <f t="shared" si="13"/>
        <v>SRA30</v>
      </c>
      <c r="N259" s="3" t="str">
        <f>CONCATENATE("SCLNNN80P23G273Q")</f>
        <v>SCLNNN80P23G273Q</v>
      </c>
      <c r="O259" s="3" t="s">
        <v>510</v>
      </c>
      <c r="P259" s="3" t="s">
        <v>35</v>
      </c>
      <c r="Q259" s="3" t="s">
        <v>98</v>
      </c>
      <c r="R259" s="4">
        <v>45926</v>
      </c>
      <c r="S259" s="3" t="s">
        <v>37</v>
      </c>
      <c r="T259" s="3" t="s">
        <v>38</v>
      </c>
      <c r="U259" s="3" t="s">
        <v>39</v>
      </c>
      <c r="V259" s="5">
        <v>9480.08</v>
      </c>
      <c r="W259" s="5">
        <v>4787.4399999999996</v>
      </c>
      <c r="X259" s="5">
        <v>3284.85</v>
      </c>
      <c r="Y259" s="5">
        <v>1407.79</v>
      </c>
    </row>
    <row r="260" spans="1:25" ht="25.5" hidden="1" x14ac:dyDescent="0.35">
      <c r="A260" s="3" t="s">
        <v>26</v>
      </c>
      <c r="B260" s="3" t="s">
        <v>27</v>
      </c>
      <c r="C260" s="3" t="s">
        <v>90</v>
      </c>
      <c r="D260" s="3" t="s">
        <v>107</v>
      </c>
      <c r="E260" s="3" t="s">
        <v>108</v>
      </c>
      <c r="F260" s="3" t="s">
        <v>71</v>
      </c>
      <c r="G260" s="3" t="s">
        <v>109</v>
      </c>
      <c r="H260" s="3" t="s">
        <v>96</v>
      </c>
      <c r="I260" s="3">
        <v>2024</v>
      </c>
      <c r="J260" s="3" t="str">
        <f>CONCATENATE("44811125234")</f>
        <v>44811125234</v>
      </c>
      <c r="K260" s="3" t="s">
        <v>33</v>
      </c>
      <c r="L260" s="3" t="str">
        <f t="shared" ref="L260:L323" si="14">CONCATENATE("")</f>
        <v/>
      </c>
      <c r="M260" s="3" t="str">
        <f t="shared" si="13"/>
        <v>SRA30</v>
      </c>
      <c r="N260" s="3" t="str">
        <f>CONCATENATE("05716020820")</f>
        <v>05716020820</v>
      </c>
      <c r="O260" s="3" t="s">
        <v>511</v>
      </c>
      <c r="P260" s="3" t="s">
        <v>35</v>
      </c>
      <c r="Q260" s="3" t="s">
        <v>98</v>
      </c>
      <c r="R260" s="4">
        <v>45926</v>
      </c>
      <c r="S260" s="3" t="s">
        <v>37</v>
      </c>
      <c r="T260" s="3" t="s">
        <v>38</v>
      </c>
      <c r="U260" s="3" t="s">
        <v>39</v>
      </c>
      <c r="V260" s="5">
        <v>12172</v>
      </c>
      <c r="W260" s="5">
        <v>6146.86</v>
      </c>
      <c r="X260" s="5">
        <v>4217.6000000000004</v>
      </c>
      <c r="Y260" s="5">
        <v>1807.54</v>
      </c>
    </row>
    <row r="261" spans="1:25" ht="25.5" hidden="1" x14ac:dyDescent="0.35">
      <c r="A261" s="3" t="s">
        <v>26</v>
      </c>
      <c r="B261" s="3" t="s">
        <v>27</v>
      </c>
      <c r="C261" s="3" t="s">
        <v>90</v>
      </c>
      <c r="D261" s="3" t="s">
        <v>107</v>
      </c>
      <c r="E261" s="3" t="s">
        <v>108</v>
      </c>
      <c r="F261" s="3" t="s">
        <v>71</v>
      </c>
      <c r="G261" s="3" t="s">
        <v>109</v>
      </c>
      <c r="H261" s="3" t="s">
        <v>96</v>
      </c>
      <c r="I261" s="3">
        <v>2024</v>
      </c>
      <c r="J261" s="3" t="str">
        <f>CONCATENATE("44811125689")</f>
        <v>44811125689</v>
      </c>
      <c r="K261" s="3" t="s">
        <v>33</v>
      </c>
      <c r="L261" s="3" t="str">
        <f t="shared" si="14"/>
        <v/>
      </c>
      <c r="M261" s="3" t="str">
        <f t="shared" si="13"/>
        <v>SRA30</v>
      </c>
      <c r="N261" s="3" t="str">
        <f>CONCATENATE("05716010821")</f>
        <v>05716010821</v>
      </c>
      <c r="O261" s="3" t="s">
        <v>512</v>
      </c>
      <c r="P261" s="3" t="s">
        <v>35</v>
      </c>
      <c r="Q261" s="3" t="s">
        <v>98</v>
      </c>
      <c r="R261" s="4">
        <v>45926</v>
      </c>
      <c r="S261" s="3" t="s">
        <v>37</v>
      </c>
      <c r="T261" s="3" t="s">
        <v>38</v>
      </c>
      <c r="U261" s="3" t="s">
        <v>39</v>
      </c>
      <c r="V261" s="5">
        <v>10149</v>
      </c>
      <c r="W261" s="5">
        <v>5125.25</v>
      </c>
      <c r="X261" s="5">
        <v>3516.63</v>
      </c>
      <c r="Y261" s="5">
        <v>1507.12</v>
      </c>
    </row>
    <row r="262" spans="1:25" ht="25.5" hidden="1" x14ac:dyDescent="0.35">
      <c r="A262" s="3" t="s">
        <v>26</v>
      </c>
      <c r="B262" s="3" t="s">
        <v>27</v>
      </c>
      <c r="C262" s="3" t="s">
        <v>90</v>
      </c>
      <c r="D262" s="3" t="s">
        <v>41</v>
      </c>
      <c r="E262" s="3" t="s">
        <v>270</v>
      </c>
      <c r="F262" s="3" t="s">
        <v>43</v>
      </c>
      <c r="G262" s="3" t="s">
        <v>270</v>
      </c>
      <c r="H262" s="3" t="s">
        <v>96</v>
      </c>
      <c r="I262" s="3">
        <v>2024</v>
      </c>
      <c r="J262" s="3" t="str">
        <f>CONCATENATE("44810604122")</f>
        <v>44810604122</v>
      </c>
      <c r="K262" s="3" t="s">
        <v>33</v>
      </c>
      <c r="L262" s="3" t="str">
        <f t="shared" si="14"/>
        <v/>
      </c>
      <c r="M262" s="3" t="str">
        <f t="shared" si="13"/>
        <v>SRA30</v>
      </c>
      <c r="N262" s="3" t="str">
        <f>CONCATENATE("06769920825")</f>
        <v>06769920825</v>
      </c>
      <c r="O262" s="3" t="s">
        <v>513</v>
      </c>
      <c r="P262" s="3" t="s">
        <v>35</v>
      </c>
      <c r="Q262" s="3" t="s">
        <v>98</v>
      </c>
      <c r="R262" s="4">
        <v>45926</v>
      </c>
      <c r="S262" s="3" t="s">
        <v>37</v>
      </c>
      <c r="T262" s="3" t="s">
        <v>38</v>
      </c>
      <c r="U262" s="3" t="s">
        <v>39</v>
      </c>
      <c r="V262" s="5">
        <v>3788.96</v>
      </c>
      <c r="W262" s="5">
        <v>1913.42</v>
      </c>
      <c r="X262" s="5">
        <v>1312.87</v>
      </c>
      <c r="Y262" s="3">
        <v>562.66999999999996</v>
      </c>
    </row>
    <row r="263" spans="1:25" ht="49.5" hidden="1" x14ac:dyDescent="0.35">
      <c r="A263" s="3" t="s">
        <v>26</v>
      </c>
      <c r="B263" s="3" t="s">
        <v>27</v>
      </c>
      <c r="C263" s="3" t="s">
        <v>90</v>
      </c>
      <c r="D263" s="3" t="s">
        <v>61</v>
      </c>
      <c r="E263" s="3" t="s">
        <v>514</v>
      </c>
      <c r="F263" s="3" t="s">
        <v>63</v>
      </c>
      <c r="G263" s="3" t="s">
        <v>514</v>
      </c>
      <c r="H263" s="3" t="s">
        <v>311</v>
      </c>
      <c r="I263" s="3">
        <v>2024</v>
      </c>
      <c r="J263" s="3" t="str">
        <f>CONCATENATE("44811089422")</f>
        <v>44811089422</v>
      </c>
      <c r="K263" s="3" t="s">
        <v>33</v>
      </c>
      <c r="L263" s="3" t="str">
        <f t="shared" si="14"/>
        <v/>
      </c>
      <c r="M263" s="3" t="str">
        <f>CONCATENATE("SRA29")</f>
        <v>SRA29</v>
      </c>
      <c r="N263" s="3" t="str">
        <f>CONCATENATE("RSSNFR58R11G273G")</f>
        <v>RSSNFR58R11G273G</v>
      </c>
      <c r="O263" s="3" t="s">
        <v>515</v>
      </c>
      <c r="P263" s="3" t="s">
        <v>35</v>
      </c>
      <c r="Q263" s="3" t="s">
        <v>313</v>
      </c>
      <c r="R263" s="4">
        <v>45915</v>
      </c>
      <c r="S263" s="3" t="s">
        <v>37</v>
      </c>
      <c r="T263" s="3" t="s">
        <v>38</v>
      </c>
      <c r="U263" s="3" t="s">
        <v>39</v>
      </c>
      <c r="V263" s="5">
        <v>4729.7</v>
      </c>
      <c r="W263" s="5">
        <v>2388.5</v>
      </c>
      <c r="X263" s="5">
        <v>1638.84</v>
      </c>
      <c r="Y263" s="3">
        <v>702.36</v>
      </c>
    </row>
    <row r="264" spans="1:25" ht="41.5" hidden="1" x14ac:dyDescent="0.35">
      <c r="A264" s="3" t="s">
        <v>26</v>
      </c>
      <c r="B264" s="3" t="s">
        <v>27</v>
      </c>
      <c r="C264" s="3" t="s">
        <v>90</v>
      </c>
      <c r="D264" s="3" t="s">
        <v>29</v>
      </c>
      <c r="E264" s="3" t="s">
        <v>286</v>
      </c>
      <c r="F264" s="3" t="s">
        <v>31</v>
      </c>
      <c r="G264" s="3" t="s">
        <v>286</v>
      </c>
      <c r="H264" s="3" t="s">
        <v>96</v>
      </c>
      <c r="I264" s="3">
        <v>2024</v>
      </c>
      <c r="J264" s="3" t="str">
        <f>CONCATENATE("44810384550")</f>
        <v>44810384550</v>
      </c>
      <c r="K264" s="3" t="s">
        <v>33</v>
      </c>
      <c r="L264" s="3" t="str">
        <f t="shared" si="14"/>
        <v/>
      </c>
      <c r="M264" s="3" t="str">
        <f>CONCATENATE("SRA30")</f>
        <v>SRA30</v>
      </c>
      <c r="N264" s="3" t="str">
        <f>CONCATENATE("VSSGNN65L23G273H")</f>
        <v>VSSGNN65L23G273H</v>
      </c>
      <c r="O264" s="3" t="s">
        <v>516</v>
      </c>
      <c r="P264" s="3" t="s">
        <v>35</v>
      </c>
      <c r="Q264" s="3" t="s">
        <v>98</v>
      </c>
      <c r="R264" s="4">
        <v>45926</v>
      </c>
      <c r="S264" s="3" t="s">
        <v>37</v>
      </c>
      <c r="T264" s="3" t="s">
        <v>38</v>
      </c>
      <c r="U264" s="3" t="s">
        <v>39</v>
      </c>
      <c r="V264" s="5">
        <v>3259.2</v>
      </c>
      <c r="W264" s="5">
        <v>1645.9</v>
      </c>
      <c r="X264" s="5">
        <v>1129.31</v>
      </c>
      <c r="Y264" s="3">
        <v>483.99</v>
      </c>
    </row>
    <row r="265" spans="1:25" ht="41.5" hidden="1" x14ac:dyDescent="0.35">
      <c r="A265" s="3" t="s">
        <v>26</v>
      </c>
      <c r="B265" s="3" t="s">
        <v>27</v>
      </c>
      <c r="C265" s="3" t="s">
        <v>90</v>
      </c>
      <c r="D265" s="3" t="s">
        <v>364</v>
      </c>
      <c r="E265" s="3" t="s">
        <v>517</v>
      </c>
      <c r="F265" s="3" t="s">
        <v>393</v>
      </c>
      <c r="G265" s="3" t="s">
        <v>517</v>
      </c>
      <c r="H265" s="3" t="s">
        <v>102</v>
      </c>
      <c r="I265" s="3">
        <v>2024</v>
      </c>
      <c r="J265" s="3" t="str">
        <f>CONCATENATE("44811202405")</f>
        <v>44811202405</v>
      </c>
      <c r="K265" s="3" t="s">
        <v>33</v>
      </c>
      <c r="L265" s="3" t="str">
        <f t="shared" si="14"/>
        <v/>
      </c>
      <c r="M265" s="3" t="str">
        <f t="shared" ref="M265:M274" si="15">CONCATENATE("SRA29")</f>
        <v>SRA29</v>
      </c>
      <c r="N265" s="3" t="str">
        <f>CONCATENATE("GSTRZO47H12F258S")</f>
        <v>GSTRZO47H12F258S</v>
      </c>
      <c r="O265" s="3" t="s">
        <v>518</v>
      </c>
      <c r="P265" s="3" t="s">
        <v>35</v>
      </c>
      <c r="Q265" s="3" t="s">
        <v>437</v>
      </c>
      <c r="R265" s="4">
        <v>45931</v>
      </c>
      <c r="S265" s="3" t="s">
        <v>37</v>
      </c>
      <c r="T265" s="3" t="s">
        <v>38</v>
      </c>
      <c r="U265" s="3" t="s">
        <v>39</v>
      </c>
      <c r="V265" s="5">
        <v>1472.02</v>
      </c>
      <c r="W265" s="3">
        <v>743.37</v>
      </c>
      <c r="X265" s="3">
        <v>510.05</v>
      </c>
      <c r="Y265" s="3">
        <v>218.6</v>
      </c>
    </row>
    <row r="266" spans="1:25" ht="49.5" hidden="1" x14ac:dyDescent="0.35">
      <c r="A266" s="3" t="s">
        <v>26</v>
      </c>
      <c r="B266" s="3" t="s">
        <v>27</v>
      </c>
      <c r="C266" s="3" t="s">
        <v>90</v>
      </c>
      <c r="D266" s="3" t="s">
        <v>41</v>
      </c>
      <c r="E266" s="3" t="s">
        <v>310</v>
      </c>
      <c r="F266" s="3" t="s">
        <v>43</v>
      </c>
      <c r="G266" s="3" t="s">
        <v>310</v>
      </c>
      <c r="H266" s="3" t="s">
        <v>311</v>
      </c>
      <c r="I266" s="3">
        <v>2024</v>
      </c>
      <c r="J266" s="3" t="str">
        <f>CONCATENATE("44810535474")</f>
        <v>44810535474</v>
      </c>
      <c r="K266" s="3" t="s">
        <v>33</v>
      </c>
      <c r="L266" s="3" t="str">
        <f t="shared" si="14"/>
        <v/>
      </c>
      <c r="M266" s="3" t="str">
        <f t="shared" si="15"/>
        <v>SRA29</v>
      </c>
      <c r="N266" s="3" t="str">
        <f>CONCATENATE("CCCNLG40R20H743M")</f>
        <v>CCCNLG40R20H743M</v>
      </c>
      <c r="O266" s="3" t="s">
        <v>519</v>
      </c>
      <c r="P266" s="3" t="s">
        <v>35</v>
      </c>
      <c r="Q266" s="3" t="s">
        <v>313</v>
      </c>
      <c r="R266" s="4">
        <v>45915</v>
      </c>
      <c r="S266" s="3" t="s">
        <v>37</v>
      </c>
      <c r="T266" s="3" t="s">
        <v>38</v>
      </c>
      <c r="U266" s="3" t="s">
        <v>39</v>
      </c>
      <c r="V266" s="3">
        <v>638.63</v>
      </c>
      <c r="W266" s="3">
        <v>322.51</v>
      </c>
      <c r="X266" s="3">
        <v>221.29</v>
      </c>
      <c r="Y266" s="3">
        <v>94.83</v>
      </c>
    </row>
    <row r="267" spans="1:25" ht="49.5" hidden="1" x14ac:dyDescent="0.35">
      <c r="A267" s="3" t="s">
        <v>26</v>
      </c>
      <c r="B267" s="3" t="s">
        <v>27</v>
      </c>
      <c r="C267" s="3" t="s">
        <v>90</v>
      </c>
      <c r="D267" s="3" t="s">
        <v>41</v>
      </c>
      <c r="E267" s="3" t="s">
        <v>310</v>
      </c>
      <c r="F267" s="3" t="s">
        <v>43</v>
      </c>
      <c r="G267" s="3" t="s">
        <v>310</v>
      </c>
      <c r="H267" s="3" t="s">
        <v>311</v>
      </c>
      <c r="I267" s="3">
        <v>2024</v>
      </c>
      <c r="J267" s="3" t="str">
        <f>CONCATENATE("44810251031")</f>
        <v>44810251031</v>
      </c>
      <c r="K267" s="3" t="s">
        <v>33</v>
      </c>
      <c r="L267" s="3" t="str">
        <f t="shared" si="14"/>
        <v/>
      </c>
      <c r="M267" s="3" t="str">
        <f t="shared" si="15"/>
        <v>SRA29</v>
      </c>
      <c r="N267" s="3" t="str">
        <f>CONCATENATE("FRNMRA67H70G273M")</f>
        <v>FRNMRA67H70G273M</v>
      </c>
      <c r="O267" s="3" t="s">
        <v>520</v>
      </c>
      <c r="P267" s="3" t="s">
        <v>35</v>
      </c>
      <c r="Q267" s="3" t="s">
        <v>313</v>
      </c>
      <c r="R267" s="4">
        <v>45915</v>
      </c>
      <c r="S267" s="3" t="s">
        <v>37</v>
      </c>
      <c r="T267" s="3" t="s">
        <v>38</v>
      </c>
      <c r="U267" s="3" t="s">
        <v>39</v>
      </c>
      <c r="V267" s="5">
        <v>1602.28</v>
      </c>
      <c r="W267" s="3">
        <v>809.15</v>
      </c>
      <c r="X267" s="3">
        <v>555.19000000000005</v>
      </c>
      <c r="Y267" s="3">
        <v>237.94</v>
      </c>
    </row>
    <row r="268" spans="1:25" ht="41.5" hidden="1" x14ac:dyDescent="0.35">
      <c r="A268" s="3" t="s">
        <v>26</v>
      </c>
      <c r="B268" s="3" t="s">
        <v>27</v>
      </c>
      <c r="C268" s="3" t="s">
        <v>90</v>
      </c>
      <c r="D268" s="3" t="s">
        <v>41</v>
      </c>
      <c r="E268" s="3" t="s">
        <v>521</v>
      </c>
      <c r="F268" s="3" t="s">
        <v>43</v>
      </c>
      <c r="G268" s="3" t="s">
        <v>521</v>
      </c>
      <c r="H268" s="3" t="s">
        <v>208</v>
      </c>
      <c r="I268" s="3">
        <v>2024</v>
      </c>
      <c r="J268" s="3" t="str">
        <f>CONCATENATE("44810247351")</f>
        <v>44810247351</v>
      </c>
      <c r="K268" s="3" t="s">
        <v>33</v>
      </c>
      <c r="L268" s="3" t="str">
        <f t="shared" si="14"/>
        <v/>
      </c>
      <c r="M268" s="3" t="str">
        <f t="shared" si="15"/>
        <v>SRA29</v>
      </c>
      <c r="N268" s="3" t="str">
        <f>CONCATENATE("BNCDNG01D03C342D")</f>
        <v>BNCDNG01D03C342D</v>
      </c>
      <c r="O268" s="3" t="s">
        <v>522</v>
      </c>
      <c r="P268" s="3" t="s">
        <v>35</v>
      </c>
      <c r="Q268" s="3" t="s">
        <v>419</v>
      </c>
      <c r="R268" s="4">
        <v>45919</v>
      </c>
      <c r="S268" s="3" t="s">
        <v>37</v>
      </c>
      <c r="T268" s="3" t="s">
        <v>38</v>
      </c>
      <c r="U268" s="3" t="s">
        <v>39</v>
      </c>
      <c r="V268" s="5">
        <v>1965.42</v>
      </c>
      <c r="W268" s="3">
        <v>992.54</v>
      </c>
      <c r="X268" s="3">
        <v>681.02</v>
      </c>
      <c r="Y268" s="3">
        <v>291.86</v>
      </c>
    </row>
    <row r="269" spans="1:25" ht="41.5" hidden="1" x14ac:dyDescent="0.35">
      <c r="A269" s="3" t="s">
        <v>26</v>
      </c>
      <c r="B269" s="3" t="s">
        <v>27</v>
      </c>
      <c r="C269" s="3" t="s">
        <v>90</v>
      </c>
      <c r="D269" s="3" t="s">
        <v>51</v>
      </c>
      <c r="E269" s="3" t="s">
        <v>315</v>
      </c>
      <c r="F269" s="3" t="s">
        <v>51</v>
      </c>
      <c r="G269" s="3" t="s">
        <v>315</v>
      </c>
      <c r="H269" s="3" t="s">
        <v>311</v>
      </c>
      <c r="I269" s="3">
        <v>2024</v>
      </c>
      <c r="J269" s="3" t="str">
        <f>CONCATENATE("44810262764")</f>
        <v>44810262764</v>
      </c>
      <c r="K269" s="3" t="s">
        <v>33</v>
      </c>
      <c r="L269" s="3" t="str">
        <f t="shared" si="14"/>
        <v/>
      </c>
      <c r="M269" s="3" t="str">
        <f t="shared" si="15"/>
        <v>SRA29</v>
      </c>
      <c r="N269" s="3" t="str">
        <f>CONCATENATE("RSLLRD74L09G273T")</f>
        <v>RSLLRD74L09G273T</v>
      </c>
      <c r="O269" s="3" t="s">
        <v>523</v>
      </c>
      <c r="P269" s="3" t="s">
        <v>35</v>
      </c>
      <c r="Q269" s="3" t="s">
        <v>313</v>
      </c>
      <c r="R269" s="4">
        <v>45915</v>
      </c>
      <c r="S269" s="3" t="s">
        <v>37</v>
      </c>
      <c r="T269" s="3" t="s">
        <v>38</v>
      </c>
      <c r="U269" s="3" t="s">
        <v>39</v>
      </c>
      <c r="V269" s="5">
        <v>1932.36</v>
      </c>
      <c r="W269" s="3">
        <v>975.84</v>
      </c>
      <c r="X269" s="3">
        <v>669.56</v>
      </c>
      <c r="Y269" s="3">
        <v>286.95999999999998</v>
      </c>
    </row>
    <row r="270" spans="1:25" ht="41.5" hidden="1" x14ac:dyDescent="0.35">
      <c r="A270" s="3" t="s">
        <v>26</v>
      </c>
      <c r="B270" s="3" t="s">
        <v>27</v>
      </c>
      <c r="C270" s="3" t="s">
        <v>90</v>
      </c>
      <c r="D270" s="3" t="s">
        <v>29</v>
      </c>
      <c r="E270" s="3" t="s">
        <v>524</v>
      </c>
      <c r="F270" s="3" t="s">
        <v>31</v>
      </c>
      <c r="G270" s="3" t="s">
        <v>524</v>
      </c>
      <c r="H270" s="3" t="s">
        <v>311</v>
      </c>
      <c r="I270" s="3">
        <v>2024</v>
      </c>
      <c r="J270" s="3" t="str">
        <f>CONCATENATE("44811284155")</f>
        <v>44811284155</v>
      </c>
      <c r="K270" s="3" t="s">
        <v>33</v>
      </c>
      <c r="L270" s="3" t="str">
        <f t="shared" si="14"/>
        <v/>
      </c>
      <c r="M270" s="3" t="str">
        <f t="shared" si="15"/>
        <v>SRA29</v>
      </c>
      <c r="N270" s="3" t="str">
        <f>CONCATENATE("ZRBMGS78T41A089C")</f>
        <v>ZRBMGS78T41A089C</v>
      </c>
      <c r="O270" s="3" t="s">
        <v>525</v>
      </c>
      <c r="P270" s="3" t="s">
        <v>35</v>
      </c>
      <c r="Q270" s="3" t="s">
        <v>313</v>
      </c>
      <c r="R270" s="4">
        <v>45915</v>
      </c>
      <c r="S270" s="3" t="s">
        <v>37</v>
      </c>
      <c r="T270" s="3" t="s">
        <v>38</v>
      </c>
      <c r="U270" s="3" t="s">
        <v>39</v>
      </c>
      <c r="V270" s="5">
        <v>3436.85</v>
      </c>
      <c r="W270" s="5">
        <v>1735.61</v>
      </c>
      <c r="X270" s="5">
        <v>1190.8699999999999</v>
      </c>
      <c r="Y270" s="3">
        <v>510.37</v>
      </c>
    </row>
    <row r="271" spans="1:25" ht="41.5" hidden="1" x14ac:dyDescent="0.35">
      <c r="A271" s="3" t="s">
        <v>26</v>
      </c>
      <c r="B271" s="3" t="s">
        <v>27</v>
      </c>
      <c r="C271" s="3" t="s">
        <v>90</v>
      </c>
      <c r="D271" s="3" t="s">
        <v>41</v>
      </c>
      <c r="E271" s="3" t="s">
        <v>521</v>
      </c>
      <c r="F271" s="3" t="s">
        <v>43</v>
      </c>
      <c r="G271" s="3" t="s">
        <v>521</v>
      </c>
      <c r="H271" s="3" t="s">
        <v>208</v>
      </c>
      <c r="I271" s="3">
        <v>2024</v>
      </c>
      <c r="J271" s="3" t="str">
        <f>CONCATENATE("44810244150")</f>
        <v>44810244150</v>
      </c>
      <c r="K271" s="3" t="s">
        <v>33</v>
      </c>
      <c r="L271" s="3" t="str">
        <f t="shared" si="14"/>
        <v/>
      </c>
      <c r="M271" s="3" t="str">
        <f t="shared" si="15"/>
        <v>SRA29</v>
      </c>
      <c r="N271" s="3" t="str">
        <f>CONCATENATE("BRNMHL80B08Z112Q")</f>
        <v>BRNMHL80B08Z112Q</v>
      </c>
      <c r="O271" s="3" t="s">
        <v>526</v>
      </c>
      <c r="P271" s="3" t="s">
        <v>35</v>
      </c>
      <c r="Q271" s="3" t="s">
        <v>419</v>
      </c>
      <c r="R271" s="4">
        <v>45919</v>
      </c>
      <c r="S271" s="3" t="s">
        <v>37</v>
      </c>
      <c r="T271" s="3" t="s">
        <v>38</v>
      </c>
      <c r="U271" s="3" t="s">
        <v>39</v>
      </c>
      <c r="V271" s="5">
        <v>1241.79</v>
      </c>
      <c r="W271" s="3">
        <v>627.1</v>
      </c>
      <c r="X271" s="3">
        <v>430.28</v>
      </c>
      <c r="Y271" s="3">
        <v>184.41</v>
      </c>
    </row>
    <row r="272" spans="1:25" ht="41.5" hidden="1" x14ac:dyDescent="0.35">
      <c r="A272" s="3" t="s">
        <v>26</v>
      </c>
      <c r="B272" s="3" t="s">
        <v>27</v>
      </c>
      <c r="C272" s="3" t="s">
        <v>90</v>
      </c>
      <c r="D272" s="3" t="s">
        <v>61</v>
      </c>
      <c r="E272" s="3" t="s">
        <v>527</v>
      </c>
      <c r="F272" s="3" t="s">
        <v>63</v>
      </c>
      <c r="G272" s="3" t="s">
        <v>527</v>
      </c>
      <c r="H272" s="3" t="s">
        <v>208</v>
      </c>
      <c r="I272" s="3">
        <v>2024</v>
      </c>
      <c r="J272" s="3" t="str">
        <f>CONCATENATE("44810044378")</f>
        <v>44810044378</v>
      </c>
      <c r="K272" s="3" t="s">
        <v>33</v>
      </c>
      <c r="L272" s="3" t="str">
        <f t="shared" si="14"/>
        <v/>
      </c>
      <c r="M272" s="3" t="str">
        <f t="shared" si="15"/>
        <v>SRA29</v>
      </c>
      <c r="N272" s="3" t="str">
        <f>CONCATENATE("BNGCGR85E29G580Q")</f>
        <v>BNGCGR85E29G580Q</v>
      </c>
      <c r="O272" s="3" t="s">
        <v>528</v>
      </c>
      <c r="P272" s="3" t="s">
        <v>35</v>
      </c>
      <c r="Q272" s="3" t="s">
        <v>419</v>
      </c>
      <c r="R272" s="4">
        <v>45919</v>
      </c>
      <c r="S272" s="3" t="s">
        <v>37</v>
      </c>
      <c r="T272" s="3" t="s">
        <v>38</v>
      </c>
      <c r="U272" s="3" t="s">
        <v>39</v>
      </c>
      <c r="V272" s="5">
        <v>3837.23</v>
      </c>
      <c r="W272" s="5">
        <v>1937.8</v>
      </c>
      <c r="X272" s="5">
        <v>1329.6</v>
      </c>
      <c r="Y272" s="3">
        <v>569.83000000000004</v>
      </c>
    </row>
    <row r="273" spans="1:25" ht="41.5" hidden="1" x14ac:dyDescent="0.35">
      <c r="A273" s="3" t="s">
        <v>26</v>
      </c>
      <c r="B273" s="3" t="s">
        <v>27</v>
      </c>
      <c r="C273" s="3" t="s">
        <v>90</v>
      </c>
      <c r="D273" s="3" t="s">
        <v>41</v>
      </c>
      <c r="E273" s="3" t="s">
        <v>417</v>
      </c>
      <c r="F273" s="3" t="s">
        <v>43</v>
      </c>
      <c r="G273" s="3" t="s">
        <v>417</v>
      </c>
      <c r="H273" s="3" t="s">
        <v>208</v>
      </c>
      <c r="I273" s="3">
        <v>2024</v>
      </c>
      <c r="J273" s="3" t="str">
        <f>CONCATENATE("44810412815")</f>
        <v>44810412815</v>
      </c>
      <c r="K273" s="3" t="s">
        <v>33</v>
      </c>
      <c r="L273" s="3" t="str">
        <f t="shared" si="14"/>
        <v/>
      </c>
      <c r="M273" s="3" t="str">
        <f t="shared" si="15"/>
        <v>SRA29</v>
      </c>
      <c r="N273" s="3" t="str">
        <f>CONCATENATE("GLLFNC64M58F892A")</f>
        <v>GLLFNC64M58F892A</v>
      </c>
      <c r="O273" s="3" t="s">
        <v>529</v>
      </c>
      <c r="P273" s="3" t="s">
        <v>35</v>
      </c>
      <c r="Q273" s="3" t="s">
        <v>419</v>
      </c>
      <c r="R273" s="4">
        <v>45919</v>
      </c>
      <c r="S273" s="3" t="s">
        <v>37</v>
      </c>
      <c r="T273" s="3" t="s">
        <v>38</v>
      </c>
      <c r="U273" s="3" t="s">
        <v>39</v>
      </c>
      <c r="V273" s="3">
        <v>854.26</v>
      </c>
      <c r="W273" s="3">
        <v>431.4</v>
      </c>
      <c r="X273" s="3">
        <v>296</v>
      </c>
      <c r="Y273" s="3">
        <v>126.86</v>
      </c>
    </row>
    <row r="274" spans="1:25" ht="41.5" hidden="1" x14ac:dyDescent="0.35">
      <c r="A274" s="3" t="s">
        <v>26</v>
      </c>
      <c r="B274" s="3" t="s">
        <v>27</v>
      </c>
      <c r="C274" s="3" t="s">
        <v>90</v>
      </c>
      <c r="D274" s="3" t="s">
        <v>51</v>
      </c>
      <c r="E274" s="3" t="s">
        <v>315</v>
      </c>
      <c r="F274" s="3" t="s">
        <v>51</v>
      </c>
      <c r="G274" s="3" t="s">
        <v>315</v>
      </c>
      <c r="H274" s="3" t="s">
        <v>311</v>
      </c>
      <c r="I274" s="3">
        <v>2024</v>
      </c>
      <c r="J274" s="3" t="str">
        <f>CONCATENATE("44811188513")</f>
        <v>44811188513</v>
      </c>
      <c r="K274" s="3" t="s">
        <v>33</v>
      </c>
      <c r="L274" s="3" t="str">
        <f t="shared" si="14"/>
        <v/>
      </c>
      <c r="M274" s="3" t="str">
        <f t="shared" si="15"/>
        <v>SRA29</v>
      </c>
      <c r="N274" s="3" t="str">
        <f>CONCATENATE("PRRFNC77B47E514X")</f>
        <v>PRRFNC77B47E514X</v>
      </c>
      <c r="O274" s="3" t="s">
        <v>530</v>
      </c>
      <c r="P274" s="3" t="s">
        <v>35</v>
      </c>
      <c r="Q274" s="3" t="s">
        <v>442</v>
      </c>
      <c r="R274" s="4">
        <v>45931</v>
      </c>
      <c r="S274" s="3" t="s">
        <v>37</v>
      </c>
      <c r="T274" s="3" t="s">
        <v>38</v>
      </c>
      <c r="U274" s="3" t="s">
        <v>39</v>
      </c>
      <c r="V274" s="5">
        <v>4426.79</v>
      </c>
      <c r="W274" s="5">
        <v>2235.5300000000002</v>
      </c>
      <c r="X274" s="5">
        <v>1533.88</v>
      </c>
      <c r="Y274" s="3">
        <v>657.38</v>
      </c>
    </row>
    <row r="275" spans="1:25" ht="25.5" hidden="1" x14ac:dyDescent="0.35">
      <c r="A275" s="3" t="s">
        <v>26</v>
      </c>
      <c r="B275" s="3" t="s">
        <v>27</v>
      </c>
      <c r="C275" s="3" t="s">
        <v>451</v>
      </c>
      <c r="D275" s="3" t="s">
        <v>61</v>
      </c>
      <c r="E275" s="3" t="s">
        <v>498</v>
      </c>
      <c r="F275" s="3" t="s">
        <v>63</v>
      </c>
      <c r="G275" s="3" t="s">
        <v>498</v>
      </c>
      <c r="H275" s="3" t="s">
        <v>453</v>
      </c>
      <c r="I275" s="3">
        <v>2024</v>
      </c>
      <c r="J275" s="3" t="str">
        <f>CONCATENATE("44811307360")</f>
        <v>44811307360</v>
      </c>
      <c r="K275" s="3" t="s">
        <v>33</v>
      </c>
      <c r="L275" s="3" t="str">
        <f t="shared" si="14"/>
        <v/>
      </c>
      <c r="M275" s="3" t="str">
        <f t="shared" ref="M275:M292" si="16">CONCATENATE("SRA30")</f>
        <v>SRA30</v>
      </c>
      <c r="N275" s="3" t="str">
        <f>CONCATENATE("01237510555")</f>
        <v>01237510555</v>
      </c>
      <c r="O275" s="3" t="s">
        <v>531</v>
      </c>
      <c r="P275" s="3" t="s">
        <v>35</v>
      </c>
      <c r="Q275" s="3" t="s">
        <v>455</v>
      </c>
      <c r="R275" s="4">
        <v>45929</v>
      </c>
      <c r="S275" s="3" t="s">
        <v>37</v>
      </c>
      <c r="T275" s="3" t="s">
        <v>38</v>
      </c>
      <c r="U275" s="3" t="s">
        <v>39</v>
      </c>
      <c r="V275" s="3">
        <v>137.56</v>
      </c>
      <c r="W275" s="3">
        <v>58.46</v>
      </c>
      <c r="X275" s="3">
        <v>55.37</v>
      </c>
      <c r="Y275" s="3">
        <v>23.73</v>
      </c>
    </row>
    <row r="276" spans="1:25" ht="41.5" hidden="1" x14ac:dyDescent="0.35">
      <c r="A276" s="3" t="s">
        <v>26</v>
      </c>
      <c r="B276" s="3" t="s">
        <v>27</v>
      </c>
      <c r="C276" s="3" t="s">
        <v>451</v>
      </c>
      <c r="D276" s="3" t="s">
        <v>61</v>
      </c>
      <c r="E276" s="3" t="s">
        <v>532</v>
      </c>
      <c r="F276" s="3" t="s">
        <v>63</v>
      </c>
      <c r="G276" s="3" t="s">
        <v>532</v>
      </c>
      <c r="H276" s="3" t="s">
        <v>453</v>
      </c>
      <c r="I276" s="3">
        <v>2024</v>
      </c>
      <c r="J276" s="3" t="str">
        <f>CONCATENATE("44811410602")</f>
        <v>44811410602</v>
      </c>
      <c r="K276" s="3" t="s">
        <v>33</v>
      </c>
      <c r="L276" s="3" t="str">
        <f t="shared" si="14"/>
        <v/>
      </c>
      <c r="M276" s="3" t="str">
        <f t="shared" si="16"/>
        <v>SRA30</v>
      </c>
      <c r="N276" s="3" t="str">
        <f>CONCATENATE("NTNFBA71H20I921D")</f>
        <v>NTNFBA71H20I921D</v>
      </c>
      <c r="O276" s="3" t="s">
        <v>533</v>
      </c>
      <c r="P276" s="3" t="s">
        <v>35</v>
      </c>
      <c r="Q276" s="3" t="s">
        <v>455</v>
      </c>
      <c r="R276" s="4">
        <v>45929</v>
      </c>
      <c r="S276" s="3" t="s">
        <v>37</v>
      </c>
      <c r="T276" s="3" t="s">
        <v>38</v>
      </c>
      <c r="U276" s="3" t="s">
        <v>39</v>
      </c>
      <c r="V276" s="3">
        <v>519.6</v>
      </c>
      <c r="W276" s="3">
        <v>220.83</v>
      </c>
      <c r="X276" s="3">
        <v>209.14</v>
      </c>
      <c r="Y276" s="3">
        <v>89.63</v>
      </c>
    </row>
    <row r="277" spans="1:25" ht="41.5" hidden="1" x14ac:dyDescent="0.35">
      <c r="A277" s="3" t="s">
        <v>26</v>
      </c>
      <c r="B277" s="3" t="s">
        <v>27</v>
      </c>
      <c r="C277" s="3" t="s">
        <v>451</v>
      </c>
      <c r="D277" s="3" t="s">
        <v>29</v>
      </c>
      <c r="E277" s="3" t="s">
        <v>534</v>
      </c>
      <c r="F277" s="3" t="s">
        <v>31</v>
      </c>
      <c r="G277" s="3" t="s">
        <v>534</v>
      </c>
      <c r="H277" s="3" t="s">
        <v>453</v>
      </c>
      <c r="I277" s="3">
        <v>2024</v>
      </c>
      <c r="J277" s="3" t="str">
        <f>CONCATENATE("44811341104")</f>
        <v>44811341104</v>
      </c>
      <c r="K277" s="3" t="s">
        <v>33</v>
      </c>
      <c r="L277" s="3" t="str">
        <f t="shared" si="14"/>
        <v/>
      </c>
      <c r="M277" s="3" t="str">
        <f t="shared" si="16"/>
        <v>SRA30</v>
      </c>
      <c r="N277" s="3" t="str">
        <f>CONCATENATE("BTTGNN69C25L188Y")</f>
        <v>BTTGNN69C25L188Y</v>
      </c>
      <c r="O277" s="3" t="s">
        <v>535</v>
      </c>
      <c r="P277" s="3" t="s">
        <v>35</v>
      </c>
      <c r="Q277" s="3" t="s">
        <v>455</v>
      </c>
      <c r="R277" s="4">
        <v>45929</v>
      </c>
      <c r="S277" s="3" t="s">
        <v>37</v>
      </c>
      <c r="T277" s="3" t="s">
        <v>38</v>
      </c>
      <c r="U277" s="3" t="s">
        <v>39</v>
      </c>
      <c r="V277" s="3">
        <v>742.75</v>
      </c>
      <c r="W277" s="3">
        <v>315.67</v>
      </c>
      <c r="X277" s="3">
        <v>298.95999999999998</v>
      </c>
      <c r="Y277" s="3">
        <v>128.12</v>
      </c>
    </row>
    <row r="278" spans="1:25" ht="49.5" hidden="1" x14ac:dyDescent="0.35">
      <c r="A278" s="3" t="s">
        <v>26</v>
      </c>
      <c r="B278" s="3" t="s">
        <v>27</v>
      </c>
      <c r="C278" s="3" t="s">
        <v>451</v>
      </c>
      <c r="D278" s="3" t="s">
        <v>41</v>
      </c>
      <c r="E278" s="3" t="s">
        <v>536</v>
      </c>
      <c r="F278" s="3" t="s">
        <v>43</v>
      </c>
      <c r="G278" s="3" t="s">
        <v>536</v>
      </c>
      <c r="H278" s="3" t="s">
        <v>453</v>
      </c>
      <c r="I278" s="3">
        <v>2024</v>
      </c>
      <c r="J278" s="3" t="str">
        <f>CONCATENATE("44811001559")</f>
        <v>44811001559</v>
      </c>
      <c r="K278" s="3" t="s">
        <v>33</v>
      </c>
      <c r="L278" s="3" t="str">
        <f t="shared" si="14"/>
        <v/>
      </c>
      <c r="M278" s="3" t="str">
        <f t="shared" si="16"/>
        <v>SRA30</v>
      </c>
      <c r="N278" s="3" t="str">
        <f>CONCATENATE("BTTGPL73D02G478W")</f>
        <v>BTTGPL73D02G478W</v>
      </c>
      <c r="O278" s="3" t="s">
        <v>537</v>
      </c>
      <c r="P278" s="3" t="s">
        <v>35</v>
      </c>
      <c r="Q278" s="3" t="s">
        <v>455</v>
      </c>
      <c r="R278" s="4">
        <v>45929</v>
      </c>
      <c r="S278" s="3" t="s">
        <v>37</v>
      </c>
      <c r="T278" s="3" t="s">
        <v>38</v>
      </c>
      <c r="U278" s="3" t="s">
        <v>39</v>
      </c>
      <c r="V278" s="5">
        <v>6942.93</v>
      </c>
      <c r="W278" s="5">
        <v>2950.75</v>
      </c>
      <c r="X278" s="5">
        <v>2794.53</v>
      </c>
      <c r="Y278" s="5">
        <v>1197.6500000000001</v>
      </c>
    </row>
    <row r="279" spans="1:25" ht="41.5" hidden="1" x14ac:dyDescent="0.35">
      <c r="A279" s="3" t="s">
        <v>26</v>
      </c>
      <c r="B279" s="3" t="s">
        <v>27</v>
      </c>
      <c r="C279" s="3" t="s">
        <v>451</v>
      </c>
      <c r="D279" s="3" t="s">
        <v>51</v>
      </c>
      <c r="E279" s="3" t="s">
        <v>538</v>
      </c>
      <c r="F279" s="3" t="s">
        <v>51</v>
      </c>
      <c r="G279" s="3" t="s">
        <v>538</v>
      </c>
      <c r="H279" s="3" t="s">
        <v>453</v>
      </c>
      <c r="I279" s="3">
        <v>2024</v>
      </c>
      <c r="J279" s="3" t="str">
        <f>CONCATENATE("44811334695")</f>
        <v>44811334695</v>
      </c>
      <c r="K279" s="3" t="s">
        <v>33</v>
      </c>
      <c r="L279" s="3" t="str">
        <f t="shared" si="14"/>
        <v/>
      </c>
      <c r="M279" s="3" t="str">
        <f t="shared" si="16"/>
        <v>SRA30</v>
      </c>
      <c r="N279" s="3" t="str">
        <f>CONCATENATE("BSGRMS85E28D653O")</f>
        <v>BSGRMS85E28D653O</v>
      </c>
      <c r="O279" s="3" t="s">
        <v>539</v>
      </c>
      <c r="P279" s="3" t="s">
        <v>35</v>
      </c>
      <c r="Q279" s="3" t="s">
        <v>455</v>
      </c>
      <c r="R279" s="4">
        <v>45929</v>
      </c>
      <c r="S279" s="3" t="s">
        <v>37</v>
      </c>
      <c r="T279" s="3" t="s">
        <v>38</v>
      </c>
      <c r="U279" s="3" t="s">
        <v>39</v>
      </c>
      <c r="V279" s="5">
        <v>1716.67</v>
      </c>
      <c r="W279" s="3">
        <v>729.58</v>
      </c>
      <c r="X279" s="3">
        <v>690.96</v>
      </c>
      <c r="Y279" s="3">
        <v>296.13</v>
      </c>
    </row>
    <row r="280" spans="1:25" ht="41.5" hidden="1" x14ac:dyDescent="0.35">
      <c r="A280" s="3" t="s">
        <v>26</v>
      </c>
      <c r="B280" s="3" t="s">
        <v>27</v>
      </c>
      <c r="C280" s="3" t="s">
        <v>451</v>
      </c>
      <c r="D280" s="3" t="s">
        <v>51</v>
      </c>
      <c r="E280" s="3" t="s">
        <v>538</v>
      </c>
      <c r="F280" s="3" t="s">
        <v>51</v>
      </c>
      <c r="G280" s="3" t="s">
        <v>538</v>
      </c>
      <c r="H280" s="3" t="s">
        <v>453</v>
      </c>
      <c r="I280" s="3">
        <v>2024</v>
      </c>
      <c r="J280" s="3" t="str">
        <f>CONCATENATE("44811355633")</f>
        <v>44811355633</v>
      </c>
      <c r="K280" s="3" t="s">
        <v>33</v>
      </c>
      <c r="L280" s="3" t="str">
        <f t="shared" si="14"/>
        <v/>
      </c>
      <c r="M280" s="3" t="str">
        <f t="shared" si="16"/>
        <v>SRA30</v>
      </c>
      <c r="N280" s="3" t="str">
        <f>CONCATENATE("BSGRNT46L30F492K")</f>
        <v>BSGRNT46L30F492K</v>
      </c>
      <c r="O280" s="3" t="s">
        <v>540</v>
      </c>
      <c r="P280" s="3" t="s">
        <v>35</v>
      </c>
      <c r="Q280" s="3" t="s">
        <v>455</v>
      </c>
      <c r="R280" s="4">
        <v>45929</v>
      </c>
      <c r="S280" s="3" t="s">
        <v>37</v>
      </c>
      <c r="T280" s="3" t="s">
        <v>38</v>
      </c>
      <c r="U280" s="3" t="s">
        <v>39</v>
      </c>
      <c r="V280" s="5">
        <v>2482.06</v>
      </c>
      <c r="W280" s="5">
        <v>1054.8800000000001</v>
      </c>
      <c r="X280" s="3">
        <v>999.03</v>
      </c>
      <c r="Y280" s="3">
        <v>428.15</v>
      </c>
    </row>
    <row r="281" spans="1:25" ht="33.5" hidden="1" x14ac:dyDescent="0.35">
      <c r="A281" s="3" t="s">
        <v>26</v>
      </c>
      <c r="B281" s="3" t="s">
        <v>27</v>
      </c>
      <c r="C281" s="3" t="s">
        <v>451</v>
      </c>
      <c r="D281" s="3" t="s">
        <v>29</v>
      </c>
      <c r="E281" s="3" t="s">
        <v>541</v>
      </c>
      <c r="F281" s="3" t="s">
        <v>31</v>
      </c>
      <c r="G281" s="3" t="s">
        <v>541</v>
      </c>
      <c r="H281" s="3" t="s">
        <v>453</v>
      </c>
      <c r="I281" s="3">
        <v>2024</v>
      </c>
      <c r="J281" s="3" t="str">
        <f>CONCATENATE("44811348729")</f>
        <v>44811348729</v>
      </c>
      <c r="K281" s="3" t="s">
        <v>33</v>
      </c>
      <c r="L281" s="3" t="str">
        <f t="shared" si="14"/>
        <v/>
      </c>
      <c r="M281" s="3" t="str">
        <f t="shared" si="16"/>
        <v>SRA30</v>
      </c>
      <c r="N281" s="3" t="str">
        <f>CONCATENATE("BZZLSE86T71C744X")</f>
        <v>BZZLSE86T71C744X</v>
      </c>
      <c r="O281" s="3" t="s">
        <v>542</v>
      </c>
      <c r="P281" s="3" t="s">
        <v>35</v>
      </c>
      <c r="Q281" s="3" t="s">
        <v>455</v>
      </c>
      <c r="R281" s="4">
        <v>45929</v>
      </c>
      <c r="S281" s="3" t="s">
        <v>37</v>
      </c>
      <c r="T281" s="3" t="s">
        <v>38</v>
      </c>
      <c r="U281" s="3" t="s">
        <v>39</v>
      </c>
      <c r="V281" s="5">
        <v>1283.79</v>
      </c>
      <c r="W281" s="3">
        <v>545.61</v>
      </c>
      <c r="X281" s="3">
        <v>516.73</v>
      </c>
      <c r="Y281" s="3">
        <v>221.45</v>
      </c>
    </row>
    <row r="282" spans="1:25" ht="41.5" hidden="1" x14ac:dyDescent="0.35">
      <c r="A282" s="3" t="s">
        <v>26</v>
      </c>
      <c r="B282" s="3" t="s">
        <v>27</v>
      </c>
      <c r="C282" s="3" t="s">
        <v>451</v>
      </c>
      <c r="D282" s="3" t="s">
        <v>51</v>
      </c>
      <c r="E282" s="3" t="s">
        <v>538</v>
      </c>
      <c r="F282" s="3" t="s">
        <v>51</v>
      </c>
      <c r="G282" s="3" t="s">
        <v>538</v>
      </c>
      <c r="H282" s="3" t="s">
        <v>453</v>
      </c>
      <c r="I282" s="3">
        <v>2024</v>
      </c>
      <c r="J282" s="3" t="str">
        <f>CONCATENATE("44811348513")</f>
        <v>44811348513</v>
      </c>
      <c r="K282" s="3" t="s">
        <v>33</v>
      </c>
      <c r="L282" s="3" t="str">
        <f t="shared" si="14"/>
        <v/>
      </c>
      <c r="M282" s="3" t="str">
        <f t="shared" si="16"/>
        <v>SRA30</v>
      </c>
      <c r="N282" s="3" t="str">
        <f>CONCATENATE("CRDNTS98C62D653T")</f>
        <v>CRDNTS98C62D653T</v>
      </c>
      <c r="O282" s="3" t="s">
        <v>543</v>
      </c>
      <c r="P282" s="3" t="s">
        <v>35</v>
      </c>
      <c r="Q282" s="3" t="s">
        <v>455</v>
      </c>
      <c r="R282" s="4">
        <v>45929</v>
      </c>
      <c r="S282" s="3" t="s">
        <v>37</v>
      </c>
      <c r="T282" s="3" t="s">
        <v>38</v>
      </c>
      <c r="U282" s="3" t="s">
        <v>39</v>
      </c>
      <c r="V282" s="3">
        <v>310.52999999999997</v>
      </c>
      <c r="W282" s="3">
        <v>131.97999999999999</v>
      </c>
      <c r="X282" s="3">
        <v>124.99</v>
      </c>
      <c r="Y282" s="3">
        <v>53.56</v>
      </c>
    </row>
    <row r="283" spans="1:25" ht="41.5" hidden="1" x14ac:dyDescent="0.35">
      <c r="A283" s="3" t="s">
        <v>26</v>
      </c>
      <c r="B283" s="3" t="s">
        <v>27</v>
      </c>
      <c r="C283" s="3" t="s">
        <v>451</v>
      </c>
      <c r="D283" s="3" t="s">
        <v>61</v>
      </c>
      <c r="E283" s="3" t="s">
        <v>498</v>
      </c>
      <c r="F283" s="3" t="s">
        <v>63</v>
      </c>
      <c r="G283" s="3" t="s">
        <v>498</v>
      </c>
      <c r="H283" s="3" t="s">
        <v>453</v>
      </c>
      <c r="I283" s="3">
        <v>2024</v>
      </c>
      <c r="J283" s="3" t="str">
        <f>CONCATENATE("44811334521")</f>
        <v>44811334521</v>
      </c>
      <c r="K283" s="3" t="s">
        <v>33</v>
      </c>
      <c r="L283" s="3" t="str">
        <f t="shared" si="14"/>
        <v/>
      </c>
      <c r="M283" s="3" t="str">
        <f t="shared" si="16"/>
        <v>SRA30</v>
      </c>
      <c r="N283" s="3" t="str">
        <f>CONCATENATE("CRSBRN67M28A345L")</f>
        <v>CRSBRN67M28A345L</v>
      </c>
      <c r="O283" s="3" t="s">
        <v>544</v>
      </c>
      <c r="P283" s="3" t="s">
        <v>35</v>
      </c>
      <c r="Q283" s="3" t="s">
        <v>455</v>
      </c>
      <c r="R283" s="4">
        <v>45929</v>
      </c>
      <c r="S283" s="3" t="s">
        <v>37</v>
      </c>
      <c r="T283" s="3" t="s">
        <v>38</v>
      </c>
      <c r="U283" s="3" t="s">
        <v>39</v>
      </c>
      <c r="V283" s="3">
        <v>332.72</v>
      </c>
      <c r="W283" s="3">
        <v>141.41</v>
      </c>
      <c r="X283" s="3">
        <v>133.91999999999999</v>
      </c>
      <c r="Y283" s="3">
        <v>57.39</v>
      </c>
    </row>
    <row r="284" spans="1:25" ht="41.5" hidden="1" x14ac:dyDescent="0.35">
      <c r="A284" s="3" t="s">
        <v>26</v>
      </c>
      <c r="B284" s="3" t="s">
        <v>27</v>
      </c>
      <c r="C284" s="3" t="s">
        <v>451</v>
      </c>
      <c r="D284" s="3" t="s">
        <v>61</v>
      </c>
      <c r="E284" s="3" t="s">
        <v>498</v>
      </c>
      <c r="F284" s="3" t="s">
        <v>63</v>
      </c>
      <c r="G284" s="3" t="s">
        <v>498</v>
      </c>
      <c r="H284" s="3" t="s">
        <v>453</v>
      </c>
      <c r="I284" s="3">
        <v>2024</v>
      </c>
      <c r="J284" s="3" t="str">
        <f>CONCATENATE("44811344496")</f>
        <v>44811344496</v>
      </c>
      <c r="K284" s="3" t="s">
        <v>33</v>
      </c>
      <c r="L284" s="3" t="str">
        <f t="shared" si="14"/>
        <v/>
      </c>
      <c r="M284" s="3" t="str">
        <f t="shared" si="16"/>
        <v>SRA30</v>
      </c>
      <c r="N284" s="3" t="str">
        <f>CONCATENATE("CRBDNI58A19I981E")</f>
        <v>CRBDNI58A19I981E</v>
      </c>
      <c r="O284" s="3" t="s">
        <v>545</v>
      </c>
      <c r="P284" s="3" t="s">
        <v>35</v>
      </c>
      <c r="Q284" s="3" t="s">
        <v>455</v>
      </c>
      <c r="R284" s="4">
        <v>45929</v>
      </c>
      <c r="S284" s="3" t="s">
        <v>37</v>
      </c>
      <c r="T284" s="3" t="s">
        <v>38</v>
      </c>
      <c r="U284" s="3" t="s">
        <v>39</v>
      </c>
      <c r="V284" s="3">
        <v>427.78</v>
      </c>
      <c r="W284" s="3">
        <v>181.81</v>
      </c>
      <c r="X284" s="3">
        <v>172.18</v>
      </c>
      <c r="Y284" s="3">
        <v>73.790000000000006</v>
      </c>
    </row>
    <row r="285" spans="1:25" ht="41.5" hidden="1" x14ac:dyDescent="0.35">
      <c r="A285" s="3" t="s">
        <v>26</v>
      </c>
      <c r="B285" s="3" t="s">
        <v>27</v>
      </c>
      <c r="C285" s="3" t="s">
        <v>451</v>
      </c>
      <c r="D285" s="3" t="s">
        <v>29</v>
      </c>
      <c r="E285" s="3" t="s">
        <v>458</v>
      </c>
      <c r="F285" s="3" t="s">
        <v>31</v>
      </c>
      <c r="G285" s="3" t="s">
        <v>458</v>
      </c>
      <c r="H285" s="3" t="s">
        <v>453</v>
      </c>
      <c r="I285" s="3">
        <v>2024</v>
      </c>
      <c r="J285" s="3" t="str">
        <f>CONCATENATE("44811313186")</f>
        <v>44811313186</v>
      </c>
      <c r="K285" s="3" t="s">
        <v>33</v>
      </c>
      <c r="L285" s="3" t="str">
        <f t="shared" si="14"/>
        <v/>
      </c>
      <c r="M285" s="3" t="str">
        <f t="shared" si="16"/>
        <v>SRA30</v>
      </c>
      <c r="N285" s="3" t="str">
        <f>CONCATENATE("FTCGLI98T41E256B")</f>
        <v>FTCGLI98T41E256B</v>
      </c>
      <c r="O285" s="3" t="s">
        <v>546</v>
      </c>
      <c r="P285" s="3" t="s">
        <v>35</v>
      </c>
      <c r="Q285" s="3" t="s">
        <v>455</v>
      </c>
      <c r="R285" s="4">
        <v>45929</v>
      </c>
      <c r="S285" s="3" t="s">
        <v>37</v>
      </c>
      <c r="T285" s="3" t="s">
        <v>38</v>
      </c>
      <c r="U285" s="3" t="s">
        <v>39</v>
      </c>
      <c r="V285" s="5">
        <v>2862</v>
      </c>
      <c r="W285" s="5">
        <v>1216.3499999999999</v>
      </c>
      <c r="X285" s="5">
        <v>1151.96</v>
      </c>
      <c r="Y285" s="3">
        <v>493.69</v>
      </c>
    </row>
    <row r="286" spans="1:25" ht="25.5" hidden="1" x14ac:dyDescent="0.35">
      <c r="A286" s="3" t="s">
        <v>26</v>
      </c>
      <c r="B286" s="3" t="s">
        <v>27</v>
      </c>
      <c r="C286" s="3" t="s">
        <v>451</v>
      </c>
      <c r="D286" s="3" t="s">
        <v>29</v>
      </c>
      <c r="E286" s="3" t="s">
        <v>534</v>
      </c>
      <c r="F286" s="3" t="s">
        <v>31</v>
      </c>
      <c r="G286" s="3" t="s">
        <v>534</v>
      </c>
      <c r="H286" s="3" t="s">
        <v>453</v>
      </c>
      <c r="I286" s="3">
        <v>2024</v>
      </c>
      <c r="J286" s="3" t="str">
        <f>CONCATENATE("44811431095")</f>
        <v>44811431095</v>
      </c>
      <c r="K286" s="3" t="s">
        <v>33</v>
      </c>
      <c r="L286" s="3" t="str">
        <f t="shared" si="14"/>
        <v/>
      </c>
      <c r="M286" s="3" t="str">
        <f t="shared" si="16"/>
        <v>SRA30</v>
      </c>
      <c r="N286" s="3" t="str">
        <f>CONCATENATE("01385950553")</f>
        <v>01385950553</v>
      </c>
      <c r="O286" s="3" t="s">
        <v>547</v>
      </c>
      <c r="P286" s="3" t="s">
        <v>35</v>
      </c>
      <c r="Q286" s="3" t="s">
        <v>455</v>
      </c>
      <c r="R286" s="4">
        <v>45929</v>
      </c>
      <c r="S286" s="3" t="s">
        <v>37</v>
      </c>
      <c r="T286" s="3" t="s">
        <v>38</v>
      </c>
      <c r="U286" s="3" t="s">
        <v>39</v>
      </c>
      <c r="V286" s="5">
        <v>1650.95</v>
      </c>
      <c r="W286" s="3">
        <v>701.65</v>
      </c>
      <c r="X286" s="3">
        <v>664.51</v>
      </c>
      <c r="Y286" s="3">
        <v>284.79000000000002</v>
      </c>
    </row>
    <row r="287" spans="1:25" ht="25.5" hidden="1" x14ac:dyDescent="0.35">
      <c r="A287" s="3" t="s">
        <v>26</v>
      </c>
      <c r="B287" s="3" t="s">
        <v>27</v>
      </c>
      <c r="C287" s="3" t="s">
        <v>451</v>
      </c>
      <c r="D287" s="3" t="s">
        <v>29</v>
      </c>
      <c r="E287" s="3" t="s">
        <v>458</v>
      </c>
      <c r="F287" s="3" t="s">
        <v>31</v>
      </c>
      <c r="G287" s="3" t="s">
        <v>458</v>
      </c>
      <c r="H287" s="3" t="s">
        <v>453</v>
      </c>
      <c r="I287" s="3">
        <v>2024</v>
      </c>
      <c r="J287" s="3" t="str">
        <f>CONCATENATE("44811310943")</f>
        <v>44811310943</v>
      </c>
      <c r="K287" s="3" t="s">
        <v>33</v>
      </c>
      <c r="L287" s="3" t="str">
        <f t="shared" si="14"/>
        <v/>
      </c>
      <c r="M287" s="3" t="str">
        <f t="shared" si="16"/>
        <v>SRA30</v>
      </c>
      <c r="N287" s="3" t="str">
        <f>CONCATENATE("03529490546")</f>
        <v>03529490546</v>
      </c>
      <c r="O287" s="3" t="s">
        <v>548</v>
      </c>
      <c r="P287" s="3" t="s">
        <v>35</v>
      </c>
      <c r="Q287" s="3" t="s">
        <v>455</v>
      </c>
      <c r="R287" s="4">
        <v>45929</v>
      </c>
      <c r="S287" s="3" t="s">
        <v>37</v>
      </c>
      <c r="T287" s="3" t="s">
        <v>38</v>
      </c>
      <c r="U287" s="3" t="s">
        <v>39</v>
      </c>
      <c r="V287" s="5">
        <v>29407.83</v>
      </c>
      <c r="W287" s="5">
        <v>12498.33</v>
      </c>
      <c r="X287" s="5">
        <v>11836.65</v>
      </c>
      <c r="Y287" s="5">
        <v>5072.8500000000004</v>
      </c>
    </row>
    <row r="288" spans="1:25" ht="41.5" hidden="1" x14ac:dyDescent="0.35">
      <c r="A288" s="3" t="s">
        <v>26</v>
      </c>
      <c r="B288" s="3" t="s">
        <v>27</v>
      </c>
      <c r="C288" s="3" t="s">
        <v>451</v>
      </c>
      <c r="D288" s="3" t="s">
        <v>61</v>
      </c>
      <c r="E288" s="3" t="s">
        <v>452</v>
      </c>
      <c r="F288" s="3" t="s">
        <v>63</v>
      </c>
      <c r="G288" s="3" t="s">
        <v>452</v>
      </c>
      <c r="H288" s="3" t="s">
        <v>453</v>
      </c>
      <c r="I288" s="3">
        <v>2024</v>
      </c>
      <c r="J288" s="3" t="str">
        <f>CONCATENATE("44811324787")</f>
        <v>44811324787</v>
      </c>
      <c r="K288" s="3" t="s">
        <v>33</v>
      </c>
      <c r="L288" s="3" t="str">
        <f t="shared" si="14"/>
        <v/>
      </c>
      <c r="M288" s="3" t="str">
        <f t="shared" si="16"/>
        <v>SRA30</v>
      </c>
      <c r="N288" s="3" t="str">
        <f>CONCATENATE("RTCSFN68A06E975E")</f>
        <v>RTCSFN68A06E975E</v>
      </c>
      <c r="O288" s="3" t="s">
        <v>549</v>
      </c>
      <c r="P288" s="3" t="s">
        <v>35</v>
      </c>
      <c r="Q288" s="3" t="s">
        <v>455</v>
      </c>
      <c r="R288" s="4">
        <v>45929</v>
      </c>
      <c r="S288" s="3" t="s">
        <v>37</v>
      </c>
      <c r="T288" s="3" t="s">
        <v>38</v>
      </c>
      <c r="U288" s="3" t="s">
        <v>39</v>
      </c>
      <c r="V288" s="3">
        <v>449.41</v>
      </c>
      <c r="W288" s="3">
        <v>191</v>
      </c>
      <c r="X288" s="3">
        <v>180.89</v>
      </c>
      <c r="Y288" s="3">
        <v>77.52</v>
      </c>
    </row>
    <row r="289" spans="1:25" ht="41.5" hidden="1" x14ac:dyDescent="0.35">
      <c r="A289" s="3" t="s">
        <v>26</v>
      </c>
      <c r="B289" s="3" t="s">
        <v>27</v>
      </c>
      <c r="C289" s="3" t="s">
        <v>451</v>
      </c>
      <c r="D289" s="3" t="s">
        <v>61</v>
      </c>
      <c r="E289" s="3" t="s">
        <v>498</v>
      </c>
      <c r="F289" s="3" t="s">
        <v>63</v>
      </c>
      <c r="G289" s="3" t="s">
        <v>498</v>
      </c>
      <c r="H289" s="3" t="s">
        <v>453</v>
      </c>
      <c r="I289" s="3">
        <v>2024</v>
      </c>
      <c r="J289" s="3" t="str">
        <f>CONCATENATE("44811407731")</f>
        <v>44811407731</v>
      </c>
      <c r="K289" s="3" t="s">
        <v>33</v>
      </c>
      <c r="L289" s="3" t="str">
        <f t="shared" si="14"/>
        <v/>
      </c>
      <c r="M289" s="3" t="str">
        <f t="shared" si="16"/>
        <v>SRA30</v>
      </c>
      <c r="N289" s="3" t="str">
        <f>CONCATENATE("SNTGCM52B07D538C")</f>
        <v>SNTGCM52B07D538C</v>
      </c>
      <c r="O289" s="3" t="s">
        <v>550</v>
      </c>
      <c r="P289" s="3" t="s">
        <v>35</v>
      </c>
      <c r="Q289" s="3" t="s">
        <v>455</v>
      </c>
      <c r="R289" s="4">
        <v>45929</v>
      </c>
      <c r="S289" s="3" t="s">
        <v>37</v>
      </c>
      <c r="T289" s="3" t="s">
        <v>38</v>
      </c>
      <c r="U289" s="3" t="s">
        <v>39</v>
      </c>
      <c r="V289" s="5">
        <v>1664.5</v>
      </c>
      <c r="W289" s="3">
        <v>707.41</v>
      </c>
      <c r="X289" s="3">
        <v>669.96</v>
      </c>
      <c r="Y289" s="3">
        <v>287.13</v>
      </c>
    </row>
    <row r="290" spans="1:25" ht="41.5" hidden="1" x14ac:dyDescent="0.35">
      <c r="A290" s="3" t="s">
        <v>26</v>
      </c>
      <c r="B290" s="3" t="s">
        <v>27</v>
      </c>
      <c r="C290" s="3" t="s">
        <v>451</v>
      </c>
      <c r="D290" s="3" t="s">
        <v>29</v>
      </c>
      <c r="E290" s="3" t="s">
        <v>534</v>
      </c>
      <c r="F290" s="3" t="s">
        <v>31</v>
      </c>
      <c r="G290" s="3" t="s">
        <v>534</v>
      </c>
      <c r="H290" s="3" t="s">
        <v>453</v>
      </c>
      <c r="I290" s="3">
        <v>2024</v>
      </c>
      <c r="J290" s="3" t="str">
        <f>CONCATENATE("44811336252")</f>
        <v>44811336252</v>
      </c>
      <c r="K290" s="3" t="s">
        <v>33</v>
      </c>
      <c r="L290" s="3" t="str">
        <f t="shared" si="14"/>
        <v/>
      </c>
      <c r="M290" s="3" t="str">
        <f t="shared" si="16"/>
        <v>SRA30</v>
      </c>
      <c r="N290" s="3" t="str">
        <f>CONCATENATE("SRRSFN78L13L188A")</f>
        <v>SRRSFN78L13L188A</v>
      </c>
      <c r="O290" s="3" t="s">
        <v>551</v>
      </c>
      <c r="P290" s="3" t="s">
        <v>35</v>
      </c>
      <c r="Q290" s="3" t="s">
        <v>455</v>
      </c>
      <c r="R290" s="4">
        <v>45929</v>
      </c>
      <c r="S290" s="3" t="s">
        <v>37</v>
      </c>
      <c r="T290" s="3" t="s">
        <v>38</v>
      </c>
      <c r="U290" s="3" t="s">
        <v>39</v>
      </c>
      <c r="V290" s="3">
        <v>324.58</v>
      </c>
      <c r="W290" s="3">
        <v>137.94999999999999</v>
      </c>
      <c r="X290" s="3">
        <v>130.63999999999999</v>
      </c>
      <c r="Y290" s="3">
        <v>55.99</v>
      </c>
    </row>
    <row r="291" spans="1:25" ht="25.5" hidden="1" x14ac:dyDescent="0.35">
      <c r="A291" s="3" t="s">
        <v>26</v>
      </c>
      <c r="B291" s="3" t="s">
        <v>27</v>
      </c>
      <c r="C291" s="3" t="s">
        <v>451</v>
      </c>
      <c r="D291" s="3" t="s">
        <v>29</v>
      </c>
      <c r="E291" s="3" t="s">
        <v>534</v>
      </c>
      <c r="F291" s="3" t="s">
        <v>31</v>
      </c>
      <c r="G291" s="3" t="s">
        <v>534</v>
      </c>
      <c r="H291" s="3" t="s">
        <v>453</v>
      </c>
      <c r="I291" s="3">
        <v>2024</v>
      </c>
      <c r="J291" s="3" t="str">
        <f>CONCATENATE("44811351202")</f>
        <v>44811351202</v>
      </c>
      <c r="K291" s="3" t="s">
        <v>33</v>
      </c>
      <c r="L291" s="3" t="str">
        <f t="shared" si="14"/>
        <v/>
      </c>
      <c r="M291" s="3" t="str">
        <f t="shared" si="16"/>
        <v>SRA30</v>
      </c>
      <c r="N291" s="3" t="str">
        <f>CONCATENATE("03509180547")</f>
        <v>03509180547</v>
      </c>
      <c r="O291" s="3" t="s">
        <v>552</v>
      </c>
      <c r="P291" s="3" t="s">
        <v>35</v>
      </c>
      <c r="Q291" s="3" t="s">
        <v>455</v>
      </c>
      <c r="R291" s="4">
        <v>45929</v>
      </c>
      <c r="S291" s="3" t="s">
        <v>37</v>
      </c>
      <c r="T291" s="3" t="s">
        <v>38</v>
      </c>
      <c r="U291" s="3" t="s">
        <v>39</v>
      </c>
      <c r="V291" s="3">
        <v>571.53</v>
      </c>
      <c r="W291" s="3">
        <v>242.9</v>
      </c>
      <c r="X291" s="3">
        <v>230.04</v>
      </c>
      <c r="Y291" s="3">
        <v>98.59</v>
      </c>
    </row>
    <row r="292" spans="1:25" ht="41.5" hidden="1" x14ac:dyDescent="0.35">
      <c r="A292" s="3" t="s">
        <v>26</v>
      </c>
      <c r="B292" s="3" t="s">
        <v>27</v>
      </c>
      <c r="C292" s="3" t="s">
        <v>451</v>
      </c>
      <c r="D292" s="3" t="s">
        <v>61</v>
      </c>
      <c r="E292" s="3" t="s">
        <v>532</v>
      </c>
      <c r="F292" s="3" t="s">
        <v>63</v>
      </c>
      <c r="G292" s="3" t="s">
        <v>532</v>
      </c>
      <c r="H292" s="3" t="s">
        <v>453</v>
      </c>
      <c r="I292" s="3">
        <v>2024</v>
      </c>
      <c r="J292" s="3" t="str">
        <f>CONCATENATE("44811347606")</f>
        <v>44811347606</v>
      </c>
      <c r="K292" s="3" t="s">
        <v>33</v>
      </c>
      <c r="L292" s="3" t="str">
        <f t="shared" si="14"/>
        <v/>
      </c>
      <c r="M292" s="3" t="str">
        <f t="shared" si="16"/>
        <v>SRA30</v>
      </c>
      <c r="N292" s="3" t="str">
        <f>CONCATENATE("TRPMRC88B03I921R")</f>
        <v>TRPMRC88B03I921R</v>
      </c>
      <c r="O292" s="3" t="s">
        <v>553</v>
      </c>
      <c r="P292" s="3" t="s">
        <v>35</v>
      </c>
      <c r="Q292" s="3" t="s">
        <v>455</v>
      </c>
      <c r="R292" s="4">
        <v>45929</v>
      </c>
      <c r="S292" s="3" t="s">
        <v>37</v>
      </c>
      <c r="T292" s="3" t="s">
        <v>38</v>
      </c>
      <c r="U292" s="3" t="s">
        <v>39</v>
      </c>
      <c r="V292" s="3">
        <v>898.83</v>
      </c>
      <c r="W292" s="3">
        <v>382</v>
      </c>
      <c r="X292" s="3">
        <v>361.78</v>
      </c>
      <c r="Y292" s="3">
        <v>155.05000000000001</v>
      </c>
    </row>
    <row r="293" spans="1:25" ht="41.5" hidden="1" x14ac:dyDescent="0.35">
      <c r="A293" s="3" t="s">
        <v>26</v>
      </c>
      <c r="B293" s="3" t="s">
        <v>27</v>
      </c>
      <c r="C293" s="3" t="s">
        <v>451</v>
      </c>
      <c r="D293" s="3" t="s">
        <v>41</v>
      </c>
      <c r="E293" s="3" t="s">
        <v>554</v>
      </c>
      <c r="F293" s="3" t="s">
        <v>43</v>
      </c>
      <c r="G293" s="3" t="s">
        <v>554</v>
      </c>
      <c r="H293" s="3" t="s">
        <v>453</v>
      </c>
      <c r="I293" s="3">
        <v>2024</v>
      </c>
      <c r="J293" s="3" t="str">
        <f>CONCATENATE("44811247863")</f>
        <v>44811247863</v>
      </c>
      <c r="K293" s="3" t="s">
        <v>33</v>
      </c>
      <c r="L293" s="3" t="str">
        <f t="shared" si="14"/>
        <v/>
      </c>
      <c r="M293" s="3" t="str">
        <f>CONCATENATE("SRA29")</f>
        <v>SRA29</v>
      </c>
      <c r="N293" s="3" t="str">
        <f>CONCATENATE("BSSTMS74H13L117E")</f>
        <v>BSSTMS74H13L117E</v>
      </c>
      <c r="O293" s="3" t="s">
        <v>555</v>
      </c>
      <c r="P293" s="3" t="s">
        <v>35</v>
      </c>
      <c r="Q293" s="3" t="s">
        <v>464</v>
      </c>
      <c r="R293" s="4">
        <v>45917</v>
      </c>
      <c r="S293" s="3" t="s">
        <v>37</v>
      </c>
      <c r="T293" s="3" t="s">
        <v>38</v>
      </c>
      <c r="U293" s="3" t="s">
        <v>39</v>
      </c>
      <c r="V293" s="3">
        <v>1.93</v>
      </c>
      <c r="W293" s="3">
        <v>0.82</v>
      </c>
      <c r="X293" s="3">
        <v>0.78</v>
      </c>
      <c r="Y293" s="3">
        <v>0.33</v>
      </c>
    </row>
    <row r="294" spans="1:25" ht="49.5" hidden="1" x14ac:dyDescent="0.35">
      <c r="A294" s="3" t="s">
        <v>26</v>
      </c>
      <c r="B294" s="3" t="s">
        <v>27</v>
      </c>
      <c r="C294" s="3" t="s">
        <v>451</v>
      </c>
      <c r="D294" s="3" t="s">
        <v>41</v>
      </c>
      <c r="E294" s="3" t="s">
        <v>556</v>
      </c>
      <c r="F294" s="3" t="s">
        <v>43</v>
      </c>
      <c r="G294" s="3" t="s">
        <v>556</v>
      </c>
      <c r="H294" s="3" t="s">
        <v>453</v>
      </c>
      <c r="I294" s="3">
        <v>2024</v>
      </c>
      <c r="J294" s="3" t="str">
        <f>CONCATENATE("44810677292")</f>
        <v>44810677292</v>
      </c>
      <c r="K294" s="3" t="s">
        <v>33</v>
      </c>
      <c r="L294" s="3" t="str">
        <f t="shared" si="14"/>
        <v/>
      </c>
      <c r="M294" s="3" t="str">
        <f>CONCATENATE("SRA29")</f>
        <v>SRA29</v>
      </c>
      <c r="N294" s="3" t="str">
        <f>CONCATENATE("PTRFRZ66M02H282H")</f>
        <v>PTRFRZ66M02H282H</v>
      </c>
      <c r="O294" s="3" t="s">
        <v>557</v>
      </c>
      <c r="P294" s="3" t="s">
        <v>35</v>
      </c>
      <c r="Q294" s="3" t="s">
        <v>464</v>
      </c>
      <c r="R294" s="4">
        <v>45917</v>
      </c>
      <c r="S294" s="3" t="s">
        <v>37</v>
      </c>
      <c r="T294" s="3" t="s">
        <v>38</v>
      </c>
      <c r="U294" s="3" t="s">
        <v>39</v>
      </c>
      <c r="V294" s="3">
        <v>696.61</v>
      </c>
      <c r="W294" s="3">
        <v>296.06</v>
      </c>
      <c r="X294" s="3">
        <v>280.39</v>
      </c>
      <c r="Y294" s="3">
        <v>120.16</v>
      </c>
    </row>
    <row r="295" spans="1:25" ht="25.5" hidden="1" x14ac:dyDescent="0.35">
      <c r="A295" s="3" t="s">
        <v>26</v>
      </c>
      <c r="B295" s="3" t="s">
        <v>27</v>
      </c>
      <c r="C295" s="3" t="s">
        <v>451</v>
      </c>
      <c r="D295" s="3" t="s">
        <v>29</v>
      </c>
      <c r="E295" s="3" t="s">
        <v>558</v>
      </c>
      <c r="F295" s="3" t="s">
        <v>31</v>
      </c>
      <c r="G295" s="3" t="s">
        <v>558</v>
      </c>
      <c r="H295" s="3" t="s">
        <v>453</v>
      </c>
      <c r="I295" s="3">
        <v>2024</v>
      </c>
      <c r="J295" s="3" t="str">
        <f>CONCATENATE("44810803336")</f>
        <v>44810803336</v>
      </c>
      <c r="K295" s="3" t="s">
        <v>33</v>
      </c>
      <c r="L295" s="3" t="str">
        <f t="shared" si="14"/>
        <v/>
      </c>
      <c r="M295" s="3" t="str">
        <f>CONCATENATE("SRA29")</f>
        <v>SRA29</v>
      </c>
      <c r="N295" s="3" t="str">
        <f>CONCATENATE("03903910549")</f>
        <v>03903910549</v>
      </c>
      <c r="O295" s="3" t="s">
        <v>559</v>
      </c>
      <c r="P295" s="3" t="s">
        <v>35</v>
      </c>
      <c r="Q295" s="3" t="s">
        <v>560</v>
      </c>
      <c r="R295" s="4">
        <v>45917</v>
      </c>
      <c r="S295" s="3" t="s">
        <v>37</v>
      </c>
      <c r="T295" s="3" t="s">
        <v>38</v>
      </c>
      <c r="U295" s="3" t="s">
        <v>39</v>
      </c>
      <c r="V295" s="3">
        <v>951.31</v>
      </c>
      <c r="W295" s="3">
        <v>404.31</v>
      </c>
      <c r="X295" s="3">
        <v>382.9</v>
      </c>
      <c r="Y295" s="3">
        <v>164.1</v>
      </c>
    </row>
    <row r="296" spans="1:25" ht="41.5" hidden="1" x14ac:dyDescent="0.35">
      <c r="A296" s="3" t="s">
        <v>26</v>
      </c>
      <c r="B296" s="3" t="s">
        <v>27</v>
      </c>
      <c r="C296" s="3" t="s">
        <v>561</v>
      </c>
      <c r="D296" s="3" t="s">
        <v>51</v>
      </c>
      <c r="E296" s="3" t="s">
        <v>562</v>
      </c>
      <c r="F296" s="3" t="s">
        <v>51</v>
      </c>
      <c r="G296" s="3" t="s">
        <v>562</v>
      </c>
      <c r="H296" s="3" t="s">
        <v>563</v>
      </c>
      <c r="I296" s="3">
        <v>2024</v>
      </c>
      <c r="J296" s="3" t="str">
        <f>CONCATENATE("44811291689")</f>
        <v>44811291689</v>
      </c>
      <c r="K296" s="3" t="s">
        <v>33</v>
      </c>
      <c r="L296" s="3" t="str">
        <f t="shared" si="14"/>
        <v/>
      </c>
      <c r="M296" s="3" t="str">
        <f>CONCATENATE("SRA29")</f>
        <v>SRA29</v>
      </c>
      <c r="N296" s="3" t="str">
        <f>CONCATENATE("NRIGNN99L08B519C")</f>
        <v>NRIGNN99L08B519C</v>
      </c>
      <c r="O296" s="3" t="s">
        <v>564</v>
      </c>
      <c r="P296" s="3" t="s">
        <v>50</v>
      </c>
      <c r="Q296" s="3"/>
      <c r="R296" s="4">
        <v>45931</v>
      </c>
      <c r="S296" s="3" t="s">
        <v>37</v>
      </c>
      <c r="T296" s="3" t="s">
        <v>38</v>
      </c>
      <c r="U296" s="3" t="s">
        <v>39</v>
      </c>
      <c r="V296" s="3">
        <v>51.13</v>
      </c>
      <c r="W296" s="3">
        <v>25.82</v>
      </c>
      <c r="X296" s="3">
        <v>17.72</v>
      </c>
      <c r="Y296" s="3">
        <v>7.59</v>
      </c>
    </row>
    <row r="297" spans="1:25" ht="41.5" hidden="1" x14ac:dyDescent="0.35">
      <c r="A297" s="3" t="s">
        <v>26</v>
      </c>
      <c r="B297" s="3" t="s">
        <v>27</v>
      </c>
      <c r="C297" s="3" t="s">
        <v>465</v>
      </c>
      <c r="D297" s="3" t="s">
        <v>29</v>
      </c>
      <c r="E297" s="3" t="s">
        <v>466</v>
      </c>
      <c r="F297" s="3" t="s">
        <v>31</v>
      </c>
      <c r="G297" s="3" t="s">
        <v>466</v>
      </c>
      <c r="H297" s="3" t="s">
        <v>467</v>
      </c>
      <c r="I297" s="3">
        <v>2024</v>
      </c>
      <c r="J297" s="3" t="str">
        <f>CONCATENATE("44811317153")</f>
        <v>44811317153</v>
      </c>
      <c r="K297" s="3" t="s">
        <v>33</v>
      </c>
      <c r="L297" s="3" t="str">
        <f t="shared" si="14"/>
        <v/>
      </c>
      <c r="M297" s="3" t="str">
        <f>CONCATENATE("SRA08")</f>
        <v>SRA08</v>
      </c>
      <c r="N297" s="3" t="str">
        <f>CONCATENATE("FNTMTN89E60A515U")</f>
        <v>FNTMTN89E60A515U</v>
      </c>
      <c r="O297" s="3" t="s">
        <v>565</v>
      </c>
      <c r="P297" s="3" t="s">
        <v>35</v>
      </c>
      <c r="Q297" s="3" t="s">
        <v>566</v>
      </c>
      <c r="R297" s="4">
        <v>45926</v>
      </c>
      <c r="S297" s="3" t="s">
        <v>37</v>
      </c>
      <c r="T297" s="3" t="s">
        <v>38</v>
      </c>
      <c r="U297" s="3" t="s">
        <v>39</v>
      </c>
      <c r="V297" s="5">
        <v>1007.69</v>
      </c>
      <c r="W297" s="3">
        <v>428.27</v>
      </c>
      <c r="X297" s="3">
        <v>405.6</v>
      </c>
      <c r="Y297" s="3">
        <v>173.82</v>
      </c>
    </row>
    <row r="298" spans="1:25" ht="25.5" hidden="1" x14ac:dyDescent="0.35">
      <c r="A298" s="3" t="s">
        <v>26</v>
      </c>
      <c r="B298" s="3" t="s">
        <v>27</v>
      </c>
      <c r="C298" s="3" t="s">
        <v>465</v>
      </c>
      <c r="D298" s="3" t="s">
        <v>41</v>
      </c>
      <c r="E298" s="3" t="s">
        <v>567</v>
      </c>
      <c r="F298" s="3" t="s">
        <v>43</v>
      </c>
      <c r="G298" s="3" t="s">
        <v>567</v>
      </c>
      <c r="H298" s="3" t="s">
        <v>467</v>
      </c>
      <c r="I298" s="3">
        <v>2024</v>
      </c>
      <c r="J298" s="3" t="str">
        <f>CONCATENATE("44820793261")</f>
        <v>44820793261</v>
      </c>
      <c r="K298" s="3" t="s">
        <v>33</v>
      </c>
      <c r="L298" s="3" t="str">
        <f t="shared" si="14"/>
        <v/>
      </c>
      <c r="M298" s="3" t="str">
        <f>CONCATENATE("SRB01")</f>
        <v>SRB01</v>
      </c>
      <c r="N298" s="3" t="str">
        <f>CONCATENATE("01196690661")</f>
        <v>01196690661</v>
      </c>
      <c r="O298" s="3" t="s">
        <v>568</v>
      </c>
      <c r="P298" s="3" t="s">
        <v>35</v>
      </c>
      <c r="Q298" s="3" t="s">
        <v>469</v>
      </c>
      <c r="R298" s="4">
        <v>45926</v>
      </c>
      <c r="S298" s="3" t="s">
        <v>37</v>
      </c>
      <c r="T298" s="3" t="s">
        <v>38</v>
      </c>
      <c r="U298" s="3" t="s">
        <v>39</v>
      </c>
      <c r="V298" s="5">
        <v>5773.14</v>
      </c>
      <c r="W298" s="5">
        <v>2453.58</v>
      </c>
      <c r="X298" s="5">
        <v>2323.69</v>
      </c>
      <c r="Y298" s="3">
        <v>995.87</v>
      </c>
    </row>
    <row r="299" spans="1:25" ht="41.5" hidden="1" x14ac:dyDescent="0.35">
      <c r="A299" s="3" t="s">
        <v>26</v>
      </c>
      <c r="B299" s="3" t="s">
        <v>27</v>
      </c>
      <c r="C299" s="3" t="s">
        <v>465</v>
      </c>
      <c r="D299" s="3" t="s">
        <v>41</v>
      </c>
      <c r="E299" s="3" t="s">
        <v>569</v>
      </c>
      <c r="F299" s="3" t="s">
        <v>43</v>
      </c>
      <c r="G299" s="3" t="s">
        <v>569</v>
      </c>
      <c r="H299" s="3" t="s">
        <v>467</v>
      </c>
      <c r="I299" s="3">
        <v>2024</v>
      </c>
      <c r="J299" s="3" t="str">
        <f>CONCATENATE("44820608428")</f>
        <v>44820608428</v>
      </c>
      <c r="K299" s="3" t="s">
        <v>33</v>
      </c>
      <c r="L299" s="3" t="str">
        <f t="shared" si="14"/>
        <v/>
      </c>
      <c r="M299" s="3" t="str">
        <f>CONCATENATE("SRB01")</f>
        <v>SRB01</v>
      </c>
      <c r="N299" s="3" t="str">
        <f>CONCATENATE("PLNLSN68P16F839E")</f>
        <v>PLNLSN68P16F839E</v>
      </c>
      <c r="O299" s="3" t="s">
        <v>570</v>
      </c>
      <c r="P299" s="3" t="s">
        <v>35</v>
      </c>
      <c r="Q299" s="3" t="s">
        <v>469</v>
      </c>
      <c r="R299" s="4">
        <v>45926</v>
      </c>
      <c r="S299" s="3" t="s">
        <v>37</v>
      </c>
      <c r="T299" s="3" t="s">
        <v>38</v>
      </c>
      <c r="U299" s="3" t="s">
        <v>39</v>
      </c>
      <c r="V299" s="3">
        <v>268.36</v>
      </c>
      <c r="W299" s="3">
        <v>114.05</v>
      </c>
      <c r="X299" s="3">
        <v>108.01</v>
      </c>
      <c r="Y299" s="3">
        <v>46.3</v>
      </c>
    </row>
    <row r="300" spans="1:25" ht="41.5" hidden="1" x14ac:dyDescent="0.35">
      <c r="A300" s="3" t="s">
        <v>26</v>
      </c>
      <c r="B300" s="3" t="s">
        <v>27</v>
      </c>
      <c r="C300" s="3" t="s">
        <v>470</v>
      </c>
      <c r="D300" s="3" t="s">
        <v>29</v>
      </c>
      <c r="E300" s="3" t="s">
        <v>475</v>
      </c>
      <c r="F300" s="3" t="s">
        <v>31</v>
      </c>
      <c r="G300" s="3" t="s">
        <v>475</v>
      </c>
      <c r="H300" s="3" t="s">
        <v>472</v>
      </c>
      <c r="I300" s="3">
        <v>2024</v>
      </c>
      <c r="J300" s="3" t="str">
        <f>CONCATENATE("44810803880")</f>
        <v>44810803880</v>
      </c>
      <c r="K300" s="3" t="s">
        <v>33</v>
      </c>
      <c r="L300" s="3" t="str">
        <f t="shared" si="14"/>
        <v/>
      </c>
      <c r="M300" s="3" t="str">
        <f>CONCATENATE("SRA03")</f>
        <v>SRA03</v>
      </c>
      <c r="N300" s="3" t="str">
        <f>CONCATENATE("SLLMCR72E59G942V")</f>
        <v>SLLMCR72E59G942V</v>
      </c>
      <c r="O300" s="3" t="s">
        <v>571</v>
      </c>
      <c r="P300" s="3" t="s">
        <v>35</v>
      </c>
      <c r="Q300" s="3" t="s">
        <v>474</v>
      </c>
      <c r="R300" s="4">
        <v>45916</v>
      </c>
      <c r="S300" s="3" t="s">
        <v>37</v>
      </c>
      <c r="T300" s="3" t="s">
        <v>38</v>
      </c>
      <c r="U300" s="3" t="s">
        <v>39</v>
      </c>
      <c r="V300" s="5">
        <v>1609.26</v>
      </c>
      <c r="W300" s="3">
        <v>812.68</v>
      </c>
      <c r="X300" s="3">
        <v>557.61</v>
      </c>
      <c r="Y300" s="3">
        <v>238.97</v>
      </c>
    </row>
    <row r="301" spans="1:25" ht="41.5" hidden="1" x14ac:dyDescent="0.35">
      <c r="A301" s="3" t="s">
        <v>26</v>
      </c>
      <c r="B301" s="3" t="s">
        <v>27</v>
      </c>
      <c r="C301" s="3" t="s">
        <v>478</v>
      </c>
      <c r="D301" s="3" t="s">
        <v>99</v>
      </c>
      <c r="E301" s="3" t="s">
        <v>572</v>
      </c>
      <c r="F301" s="3" t="s">
        <v>101</v>
      </c>
      <c r="G301" s="3" t="s">
        <v>572</v>
      </c>
      <c r="H301" s="3" t="s">
        <v>484</v>
      </c>
      <c r="I301" s="3">
        <v>2024</v>
      </c>
      <c r="J301" s="3" t="str">
        <f>CONCATENATE("44810946150")</f>
        <v>44810946150</v>
      </c>
      <c r="K301" s="3" t="s">
        <v>33</v>
      </c>
      <c r="L301" s="3" t="str">
        <f t="shared" si="14"/>
        <v/>
      </c>
      <c r="M301" s="3" t="str">
        <f>CONCATENATE("SRA30")</f>
        <v>SRA30</v>
      </c>
      <c r="N301" s="3" t="str">
        <f>CONCATENATE("BRNLGU74L30H939I")</f>
        <v>BRNLGU74L30H939I</v>
      </c>
      <c r="O301" s="3" t="s">
        <v>573</v>
      </c>
      <c r="P301" s="3" t="s">
        <v>35</v>
      </c>
      <c r="Q301" s="3" t="s">
        <v>482</v>
      </c>
      <c r="R301" s="4">
        <v>45917</v>
      </c>
      <c r="S301" s="3" t="s">
        <v>37</v>
      </c>
      <c r="T301" s="3" t="s">
        <v>38</v>
      </c>
      <c r="U301" s="3" t="s">
        <v>39</v>
      </c>
      <c r="V301" s="5">
        <v>1262.75</v>
      </c>
      <c r="W301" s="3">
        <v>637.69000000000005</v>
      </c>
      <c r="X301" s="3">
        <v>437.54</v>
      </c>
      <c r="Y301" s="3">
        <v>187.52</v>
      </c>
    </row>
    <row r="302" spans="1:25" ht="41.5" hidden="1" x14ac:dyDescent="0.35">
      <c r="A302" s="3" t="s">
        <v>26</v>
      </c>
      <c r="B302" s="3" t="s">
        <v>27</v>
      </c>
      <c r="C302" s="3" t="s">
        <v>478</v>
      </c>
      <c r="D302" s="3" t="s">
        <v>99</v>
      </c>
      <c r="E302" s="3" t="s">
        <v>574</v>
      </c>
      <c r="F302" s="3" t="s">
        <v>101</v>
      </c>
      <c r="G302" s="3" t="s">
        <v>574</v>
      </c>
      <c r="H302" s="3" t="s">
        <v>484</v>
      </c>
      <c r="I302" s="3">
        <v>2024</v>
      </c>
      <c r="J302" s="3" t="str">
        <f>CONCATENATE("44811345527")</f>
        <v>44811345527</v>
      </c>
      <c r="K302" s="3" t="s">
        <v>33</v>
      </c>
      <c r="L302" s="3" t="str">
        <f t="shared" si="14"/>
        <v/>
      </c>
      <c r="M302" s="3" t="str">
        <f>CONCATENATE("SRA30")</f>
        <v>SRA30</v>
      </c>
      <c r="N302" s="3" t="str">
        <f>CONCATENATE("MRTLNE81S49B963U")</f>
        <v>MRTLNE81S49B963U</v>
      </c>
      <c r="O302" s="3" t="s">
        <v>575</v>
      </c>
      <c r="P302" s="3" t="s">
        <v>35</v>
      </c>
      <c r="Q302" s="3" t="s">
        <v>576</v>
      </c>
      <c r="R302" s="4">
        <v>45926</v>
      </c>
      <c r="S302" s="3" t="s">
        <v>37</v>
      </c>
      <c r="T302" s="3" t="s">
        <v>38</v>
      </c>
      <c r="U302" s="3" t="s">
        <v>39</v>
      </c>
      <c r="V302" s="5">
        <v>4620.3900000000003</v>
      </c>
      <c r="W302" s="5">
        <v>2333.3000000000002</v>
      </c>
      <c r="X302" s="5">
        <v>1600.97</v>
      </c>
      <c r="Y302" s="3">
        <v>686.12</v>
      </c>
    </row>
    <row r="303" spans="1:25" ht="41.5" hidden="1" x14ac:dyDescent="0.35">
      <c r="A303" s="3" t="s">
        <v>26</v>
      </c>
      <c r="B303" s="3" t="s">
        <v>27</v>
      </c>
      <c r="C303" s="3" t="s">
        <v>478</v>
      </c>
      <c r="D303" s="3" t="s">
        <v>41</v>
      </c>
      <c r="E303" s="3" t="s">
        <v>483</v>
      </c>
      <c r="F303" s="3" t="s">
        <v>43</v>
      </c>
      <c r="G303" s="3" t="s">
        <v>483</v>
      </c>
      <c r="H303" s="3" t="s">
        <v>484</v>
      </c>
      <c r="I303" s="3">
        <v>2024</v>
      </c>
      <c r="J303" s="3" t="str">
        <f>CONCATENATE("44811232162")</f>
        <v>44811232162</v>
      </c>
      <c r="K303" s="3" t="s">
        <v>33</v>
      </c>
      <c r="L303" s="3" t="str">
        <f t="shared" si="14"/>
        <v/>
      </c>
      <c r="M303" s="3" t="str">
        <f>CONCATENATE("SRA29")</f>
        <v>SRA29</v>
      </c>
      <c r="N303" s="3" t="str">
        <f>CONCATENATE("BLRMRA02P03I234Z")</f>
        <v>BLRMRA02P03I234Z</v>
      </c>
      <c r="O303" s="3" t="s">
        <v>577</v>
      </c>
      <c r="P303" s="3" t="s">
        <v>35</v>
      </c>
      <c r="Q303" s="3" t="s">
        <v>578</v>
      </c>
      <c r="R303" s="4">
        <v>45931</v>
      </c>
      <c r="S303" s="3" t="s">
        <v>37</v>
      </c>
      <c r="T303" s="3" t="s">
        <v>38</v>
      </c>
      <c r="U303" s="3" t="s">
        <v>39</v>
      </c>
      <c r="V303" s="5">
        <v>1352.58</v>
      </c>
      <c r="W303" s="3">
        <v>683.05</v>
      </c>
      <c r="X303" s="3">
        <v>468.67</v>
      </c>
      <c r="Y303" s="3">
        <v>200.86</v>
      </c>
    </row>
    <row r="304" spans="1:25" ht="41.5" hidden="1" x14ac:dyDescent="0.35">
      <c r="A304" s="3" t="s">
        <v>26</v>
      </c>
      <c r="B304" s="3" t="s">
        <v>27</v>
      </c>
      <c r="C304" s="3" t="s">
        <v>478</v>
      </c>
      <c r="D304" s="3" t="s">
        <v>61</v>
      </c>
      <c r="E304" s="3" t="s">
        <v>579</v>
      </c>
      <c r="F304" s="3" t="s">
        <v>63</v>
      </c>
      <c r="G304" s="3" t="s">
        <v>579</v>
      </c>
      <c r="H304" s="3" t="s">
        <v>484</v>
      </c>
      <c r="I304" s="3">
        <v>2024</v>
      </c>
      <c r="J304" s="3" t="str">
        <f>CONCATENATE("44811256112")</f>
        <v>44811256112</v>
      </c>
      <c r="K304" s="3" t="s">
        <v>33</v>
      </c>
      <c r="L304" s="3" t="str">
        <f t="shared" si="14"/>
        <v/>
      </c>
      <c r="M304" s="3" t="str">
        <f>CONCATENATE("SRA29")</f>
        <v>SRA29</v>
      </c>
      <c r="N304" s="3" t="str">
        <f>CONCATENATE("MRTSVT78H05D708I")</f>
        <v>MRTSVT78H05D708I</v>
      </c>
      <c r="O304" s="3" t="s">
        <v>580</v>
      </c>
      <c r="P304" s="3" t="s">
        <v>35</v>
      </c>
      <c r="Q304" s="3" t="s">
        <v>578</v>
      </c>
      <c r="R304" s="4">
        <v>45931</v>
      </c>
      <c r="S304" s="3" t="s">
        <v>37</v>
      </c>
      <c r="T304" s="3" t="s">
        <v>38</v>
      </c>
      <c r="U304" s="3" t="s">
        <v>39</v>
      </c>
      <c r="V304" s="5">
        <v>1642.56</v>
      </c>
      <c r="W304" s="3">
        <v>829.49</v>
      </c>
      <c r="X304" s="3">
        <v>569.15</v>
      </c>
      <c r="Y304" s="3">
        <v>243.92</v>
      </c>
    </row>
    <row r="305" spans="1:25" ht="41.5" hidden="1" x14ac:dyDescent="0.35">
      <c r="A305" s="3" t="s">
        <v>26</v>
      </c>
      <c r="B305" s="3" t="s">
        <v>27</v>
      </c>
      <c r="C305" s="3" t="s">
        <v>478</v>
      </c>
      <c r="D305" s="3" t="s">
        <v>99</v>
      </c>
      <c r="E305" s="3" t="s">
        <v>574</v>
      </c>
      <c r="F305" s="3" t="s">
        <v>101</v>
      </c>
      <c r="G305" s="3" t="s">
        <v>574</v>
      </c>
      <c r="H305" s="3" t="s">
        <v>484</v>
      </c>
      <c r="I305" s="3">
        <v>2024</v>
      </c>
      <c r="J305" s="3" t="str">
        <f>CONCATENATE("44811170420")</f>
        <v>44811170420</v>
      </c>
      <c r="K305" s="3" t="s">
        <v>33</v>
      </c>
      <c r="L305" s="3" t="str">
        <f t="shared" si="14"/>
        <v/>
      </c>
      <c r="M305" s="3" t="str">
        <f>CONCATENATE("SRA29")</f>
        <v>SRA29</v>
      </c>
      <c r="N305" s="3" t="str">
        <f>CONCATENATE("PZNCML82A55B963Y")</f>
        <v>PZNCML82A55B963Y</v>
      </c>
      <c r="O305" s="3" t="s">
        <v>581</v>
      </c>
      <c r="P305" s="3" t="s">
        <v>35</v>
      </c>
      <c r="Q305" s="3" t="s">
        <v>578</v>
      </c>
      <c r="R305" s="4">
        <v>45931</v>
      </c>
      <c r="S305" s="3" t="s">
        <v>37</v>
      </c>
      <c r="T305" s="3" t="s">
        <v>38</v>
      </c>
      <c r="U305" s="3" t="s">
        <v>39</v>
      </c>
      <c r="V305" s="5">
        <v>2307.87</v>
      </c>
      <c r="W305" s="5">
        <v>1165.47</v>
      </c>
      <c r="X305" s="3">
        <v>799.68</v>
      </c>
      <c r="Y305" s="3">
        <v>342.72</v>
      </c>
    </row>
    <row r="306" spans="1:25" ht="25.5" hidden="1" x14ac:dyDescent="0.35">
      <c r="A306" s="3" t="s">
        <v>26</v>
      </c>
      <c r="B306" s="3" t="s">
        <v>27</v>
      </c>
      <c r="C306" s="3" t="s">
        <v>478</v>
      </c>
      <c r="D306" s="3" t="s">
        <v>75</v>
      </c>
      <c r="E306" s="3" t="s">
        <v>582</v>
      </c>
      <c r="F306" s="3" t="s">
        <v>77</v>
      </c>
      <c r="G306" s="3" t="s">
        <v>582</v>
      </c>
      <c r="H306" s="3" t="s">
        <v>484</v>
      </c>
      <c r="I306" s="3">
        <v>2024</v>
      </c>
      <c r="J306" s="3" t="str">
        <f>CONCATENATE("44811213253")</f>
        <v>44811213253</v>
      </c>
      <c r="K306" s="3" t="s">
        <v>33</v>
      </c>
      <c r="L306" s="3" t="str">
        <f t="shared" si="14"/>
        <v/>
      </c>
      <c r="M306" s="3" t="str">
        <f>CONCATENATE("SRA29")</f>
        <v>SRA29</v>
      </c>
      <c r="N306" s="3" t="str">
        <f>CONCATENATE("03910050610")</f>
        <v>03910050610</v>
      </c>
      <c r="O306" s="3" t="s">
        <v>583</v>
      </c>
      <c r="P306" s="3" t="s">
        <v>35</v>
      </c>
      <c r="Q306" s="3" t="s">
        <v>578</v>
      </c>
      <c r="R306" s="4">
        <v>45931</v>
      </c>
      <c r="S306" s="3" t="s">
        <v>37</v>
      </c>
      <c r="T306" s="3" t="s">
        <v>38</v>
      </c>
      <c r="U306" s="3" t="s">
        <v>39</v>
      </c>
      <c r="V306" s="5">
        <v>1198.97</v>
      </c>
      <c r="W306" s="3">
        <v>605.48</v>
      </c>
      <c r="X306" s="3">
        <v>415.44</v>
      </c>
      <c r="Y306" s="3">
        <v>178.05</v>
      </c>
    </row>
    <row r="307" spans="1:25" ht="25.5" hidden="1" x14ac:dyDescent="0.35">
      <c r="A307" s="3" t="s">
        <v>26</v>
      </c>
      <c r="B307" s="3" t="s">
        <v>27</v>
      </c>
      <c r="C307" s="3" t="s">
        <v>478</v>
      </c>
      <c r="D307" s="3" t="s">
        <v>61</v>
      </c>
      <c r="E307" s="3" t="s">
        <v>579</v>
      </c>
      <c r="F307" s="3" t="s">
        <v>63</v>
      </c>
      <c r="G307" s="3" t="s">
        <v>579</v>
      </c>
      <c r="H307" s="3" t="s">
        <v>484</v>
      </c>
      <c r="I307" s="3">
        <v>2024</v>
      </c>
      <c r="J307" s="3" t="str">
        <f>CONCATENATE("44811018702")</f>
        <v>44811018702</v>
      </c>
      <c r="K307" s="3" t="s">
        <v>33</v>
      </c>
      <c r="L307" s="3" t="str">
        <f t="shared" si="14"/>
        <v/>
      </c>
      <c r="M307" s="3" t="str">
        <f>CONCATENATE("SRA29")</f>
        <v>SRA29</v>
      </c>
      <c r="N307" s="3" t="str">
        <f>CONCATENATE("03542890615")</f>
        <v>03542890615</v>
      </c>
      <c r="O307" s="3" t="s">
        <v>584</v>
      </c>
      <c r="P307" s="3" t="s">
        <v>35</v>
      </c>
      <c r="Q307" s="3" t="s">
        <v>578</v>
      </c>
      <c r="R307" s="4">
        <v>45931</v>
      </c>
      <c r="S307" s="3" t="s">
        <v>37</v>
      </c>
      <c r="T307" s="3" t="s">
        <v>38</v>
      </c>
      <c r="U307" s="3" t="s">
        <v>39</v>
      </c>
      <c r="V307" s="3">
        <v>161.57</v>
      </c>
      <c r="W307" s="3">
        <v>81.59</v>
      </c>
      <c r="X307" s="3">
        <v>55.98</v>
      </c>
      <c r="Y307" s="3">
        <v>24</v>
      </c>
    </row>
    <row r="308" spans="1:25" ht="41.5" hidden="1" x14ac:dyDescent="0.35">
      <c r="A308" s="3" t="s">
        <v>26</v>
      </c>
      <c r="B308" s="3" t="s">
        <v>27</v>
      </c>
      <c r="C308" s="3" t="s">
        <v>478</v>
      </c>
      <c r="D308" s="3" t="s">
        <v>51</v>
      </c>
      <c r="E308" s="3" t="s">
        <v>585</v>
      </c>
      <c r="F308" s="3" t="s">
        <v>51</v>
      </c>
      <c r="G308" s="3" t="s">
        <v>585</v>
      </c>
      <c r="H308" s="3" t="s">
        <v>484</v>
      </c>
      <c r="I308" s="3">
        <v>2024</v>
      </c>
      <c r="J308" s="3" t="str">
        <f>CONCATENATE("44811271509")</f>
        <v>44811271509</v>
      </c>
      <c r="K308" s="3" t="s">
        <v>33</v>
      </c>
      <c r="L308" s="3" t="str">
        <f t="shared" si="14"/>
        <v/>
      </c>
      <c r="M308" s="3" t="str">
        <f>CONCATENATE("SRA01")</f>
        <v>SRA01</v>
      </c>
      <c r="N308" s="3" t="str">
        <f>CONCATENATE("CPRPQL92L09B963N")</f>
        <v>CPRPQL92L09B963N</v>
      </c>
      <c r="O308" s="3" t="s">
        <v>586</v>
      </c>
      <c r="P308" s="3" t="s">
        <v>35</v>
      </c>
      <c r="Q308" s="3" t="s">
        <v>587</v>
      </c>
      <c r="R308" s="4">
        <v>45917</v>
      </c>
      <c r="S308" s="3" t="s">
        <v>37</v>
      </c>
      <c r="T308" s="3" t="s">
        <v>38</v>
      </c>
      <c r="U308" s="3" t="s">
        <v>39</v>
      </c>
      <c r="V308" s="5">
        <v>16963.71</v>
      </c>
      <c r="W308" s="5">
        <v>8566.67</v>
      </c>
      <c r="X308" s="5">
        <v>5877.93</v>
      </c>
      <c r="Y308" s="5">
        <v>2519.11</v>
      </c>
    </row>
    <row r="309" spans="1:25" ht="49.5" hidden="1" x14ac:dyDescent="0.35">
      <c r="A309" s="3" t="s">
        <v>26</v>
      </c>
      <c r="B309" s="3" t="s">
        <v>27</v>
      </c>
      <c r="C309" s="3" t="s">
        <v>478</v>
      </c>
      <c r="D309" s="3" t="s">
        <v>29</v>
      </c>
      <c r="E309" s="3" t="s">
        <v>588</v>
      </c>
      <c r="F309" s="3" t="s">
        <v>31</v>
      </c>
      <c r="G309" s="3" t="s">
        <v>588</v>
      </c>
      <c r="H309" s="3" t="s">
        <v>484</v>
      </c>
      <c r="I309" s="3">
        <v>2024</v>
      </c>
      <c r="J309" s="3" t="str">
        <f>CONCATENATE("44810160448")</f>
        <v>44810160448</v>
      </c>
      <c r="K309" s="3" t="s">
        <v>33</v>
      </c>
      <c r="L309" s="3" t="str">
        <f t="shared" si="14"/>
        <v/>
      </c>
      <c r="M309" s="3" t="str">
        <f>CONCATENATE("SRA01")</f>
        <v>SRA01</v>
      </c>
      <c r="N309" s="3" t="str">
        <f>CONCATENATE("MRGNTN85S02I234A")</f>
        <v>MRGNTN85S02I234A</v>
      </c>
      <c r="O309" s="3" t="s">
        <v>589</v>
      </c>
      <c r="P309" s="3" t="s">
        <v>35</v>
      </c>
      <c r="Q309" s="3" t="s">
        <v>587</v>
      </c>
      <c r="R309" s="4">
        <v>45917</v>
      </c>
      <c r="S309" s="3" t="s">
        <v>37</v>
      </c>
      <c r="T309" s="3" t="s">
        <v>38</v>
      </c>
      <c r="U309" s="3" t="s">
        <v>39</v>
      </c>
      <c r="V309" s="5">
        <v>4080.77</v>
      </c>
      <c r="W309" s="5">
        <v>2060.79</v>
      </c>
      <c r="X309" s="5">
        <v>1413.99</v>
      </c>
      <c r="Y309" s="3">
        <v>605.99</v>
      </c>
    </row>
    <row r="310" spans="1:25" ht="41.5" hidden="1" x14ac:dyDescent="0.35">
      <c r="A310" s="3" t="s">
        <v>26</v>
      </c>
      <c r="B310" s="3" t="s">
        <v>27</v>
      </c>
      <c r="C310" s="3" t="s">
        <v>478</v>
      </c>
      <c r="D310" s="3" t="s">
        <v>137</v>
      </c>
      <c r="E310" s="3" t="s">
        <v>590</v>
      </c>
      <c r="F310" s="3" t="s">
        <v>139</v>
      </c>
      <c r="G310" s="3" t="s">
        <v>590</v>
      </c>
      <c r="H310" s="3" t="s">
        <v>484</v>
      </c>
      <c r="I310" s="3">
        <v>2024</v>
      </c>
      <c r="J310" s="3" t="str">
        <f>CONCATENATE("44810166130")</f>
        <v>44810166130</v>
      </c>
      <c r="K310" s="3" t="s">
        <v>33</v>
      </c>
      <c r="L310" s="3" t="str">
        <f t="shared" si="14"/>
        <v/>
      </c>
      <c r="M310" s="3" t="str">
        <f>CONCATENATE("SRA01")</f>
        <v>SRA01</v>
      </c>
      <c r="N310" s="3" t="str">
        <f>CONCATENATE("NLIGNN82P02F799O")</f>
        <v>NLIGNN82P02F799O</v>
      </c>
      <c r="O310" s="3" t="s">
        <v>591</v>
      </c>
      <c r="P310" s="3" t="s">
        <v>35</v>
      </c>
      <c r="Q310" s="3" t="s">
        <v>587</v>
      </c>
      <c r="R310" s="4">
        <v>45917</v>
      </c>
      <c r="S310" s="3" t="s">
        <v>37</v>
      </c>
      <c r="T310" s="3" t="s">
        <v>38</v>
      </c>
      <c r="U310" s="3" t="s">
        <v>39</v>
      </c>
      <c r="V310" s="3">
        <v>775.63</v>
      </c>
      <c r="W310" s="3">
        <v>391.69</v>
      </c>
      <c r="X310" s="3">
        <v>268.76</v>
      </c>
      <c r="Y310" s="3">
        <v>115.18</v>
      </c>
    </row>
    <row r="311" spans="1:25" ht="49.5" hidden="1" x14ac:dyDescent="0.35">
      <c r="A311" s="3" t="s">
        <v>26</v>
      </c>
      <c r="B311" s="3" t="s">
        <v>27</v>
      </c>
      <c r="C311" s="3" t="s">
        <v>478</v>
      </c>
      <c r="D311" s="3" t="s">
        <v>51</v>
      </c>
      <c r="E311" s="3" t="s">
        <v>585</v>
      </c>
      <c r="F311" s="3" t="s">
        <v>51</v>
      </c>
      <c r="G311" s="3" t="s">
        <v>585</v>
      </c>
      <c r="H311" s="3" t="s">
        <v>484</v>
      </c>
      <c r="I311" s="3">
        <v>2024</v>
      </c>
      <c r="J311" s="3" t="str">
        <f>CONCATENATE("44810414571")</f>
        <v>44810414571</v>
      </c>
      <c r="K311" s="3" t="s">
        <v>33</v>
      </c>
      <c r="L311" s="3" t="str">
        <f t="shared" si="14"/>
        <v/>
      </c>
      <c r="M311" s="3" t="str">
        <f>CONCATENATE("SRA01")</f>
        <v>SRA01</v>
      </c>
      <c r="N311" s="3" t="str">
        <f>CONCATENATE("RVTMRA53B42A403A")</f>
        <v>RVTMRA53B42A403A</v>
      </c>
      <c r="O311" s="3" t="s">
        <v>592</v>
      </c>
      <c r="P311" s="3" t="s">
        <v>35</v>
      </c>
      <c r="Q311" s="3" t="s">
        <v>587</v>
      </c>
      <c r="R311" s="4">
        <v>45917</v>
      </c>
      <c r="S311" s="3" t="s">
        <v>37</v>
      </c>
      <c r="T311" s="3" t="s">
        <v>38</v>
      </c>
      <c r="U311" s="3" t="s">
        <v>39</v>
      </c>
      <c r="V311" s="5">
        <v>12376.75</v>
      </c>
      <c r="W311" s="5">
        <v>6250.26</v>
      </c>
      <c r="X311" s="5">
        <v>4288.54</v>
      </c>
      <c r="Y311" s="5">
        <v>1837.95</v>
      </c>
    </row>
    <row r="312" spans="1:25" ht="41.5" hidden="1" x14ac:dyDescent="0.35">
      <c r="A312" s="3" t="s">
        <v>26</v>
      </c>
      <c r="B312" s="3" t="s">
        <v>27</v>
      </c>
      <c r="C312" s="3" t="s">
        <v>90</v>
      </c>
      <c r="D312" s="3" t="s">
        <v>234</v>
      </c>
      <c r="E312" s="3" t="s">
        <v>593</v>
      </c>
      <c r="F312" s="3" t="s">
        <v>119</v>
      </c>
      <c r="G312" s="3" t="s">
        <v>593</v>
      </c>
      <c r="H312" s="3" t="s">
        <v>488</v>
      </c>
      <c r="I312" s="3">
        <v>2024</v>
      </c>
      <c r="J312" s="3" t="str">
        <f>CONCATENATE("44811261237")</f>
        <v>44811261237</v>
      </c>
      <c r="K312" s="3" t="s">
        <v>33</v>
      </c>
      <c r="L312" s="3" t="str">
        <f t="shared" si="14"/>
        <v/>
      </c>
      <c r="M312" s="3" t="str">
        <f>CONCATENATE("SRA29")</f>
        <v>SRA29</v>
      </c>
      <c r="N312" s="3" t="str">
        <f>CONCATENATE("MSSCTR72D04A176I")</f>
        <v>MSSCTR72D04A176I</v>
      </c>
      <c r="O312" s="3" t="s">
        <v>594</v>
      </c>
      <c r="P312" s="3" t="s">
        <v>35</v>
      </c>
      <c r="Q312" s="3" t="s">
        <v>490</v>
      </c>
      <c r="R312" s="4">
        <v>45919</v>
      </c>
      <c r="S312" s="3" t="s">
        <v>37</v>
      </c>
      <c r="T312" s="3" t="s">
        <v>38</v>
      </c>
      <c r="U312" s="3" t="s">
        <v>39</v>
      </c>
      <c r="V312" s="5">
        <v>23819.06</v>
      </c>
      <c r="W312" s="5">
        <v>12028.63</v>
      </c>
      <c r="X312" s="5">
        <v>8253.2999999999993</v>
      </c>
      <c r="Y312" s="5">
        <v>3537.13</v>
      </c>
    </row>
    <row r="313" spans="1:25" ht="41.5" hidden="1" x14ac:dyDescent="0.35">
      <c r="A313" s="3" t="s">
        <v>26</v>
      </c>
      <c r="B313" s="3" t="s">
        <v>27</v>
      </c>
      <c r="C313" s="3" t="s">
        <v>90</v>
      </c>
      <c r="D313" s="3" t="s">
        <v>234</v>
      </c>
      <c r="E313" s="3" t="s">
        <v>593</v>
      </c>
      <c r="F313" s="3" t="s">
        <v>119</v>
      </c>
      <c r="G313" s="3" t="s">
        <v>593</v>
      </c>
      <c r="H313" s="3" t="s">
        <v>488</v>
      </c>
      <c r="I313" s="3">
        <v>2024</v>
      </c>
      <c r="J313" s="3" t="str">
        <f>CONCATENATE("44811261245")</f>
        <v>44811261245</v>
      </c>
      <c r="K313" s="3" t="s">
        <v>33</v>
      </c>
      <c r="L313" s="3" t="str">
        <f t="shared" si="14"/>
        <v/>
      </c>
      <c r="M313" s="3" t="str">
        <f>CONCATENATE("SRA29")</f>
        <v>SRA29</v>
      </c>
      <c r="N313" s="3" t="str">
        <f>CONCATENATE("MSSCTR72D04A176I")</f>
        <v>MSSCTR72D04A176I</v>
      </c>
      <c r="O313" s="3" t="s">
        <v>594</v>
      </c>
      <c r="P313" s="3" t="s">
        <v>35</v>
      </c>
      <c r="Q313" s="3" t="s">
        <v>490</v>
      </c>
      <c r="R313" s="4">
        <v>45919</v>
      </c>
      <c r="S313" s="3" t="s">
        <v>37</v>
      </c>
      <c r="T313" s="3" t="s">
        <v>38</v>
      </c>
      <c r="U313" s="3" t="s">
        <v>39</v>
      </c>
      <c r="V313" s="5">
        <v>3554.46</v>
      </c>
      <c r="W313" s="5">
        <v>1795</v>
      </c>
      <c r="X313" s="5">
        <v>1231.6199999999999</v>
      </c>
      <c r="Y313" s="3">
        <v>527.84</v>
      </c>
    </row>
    <row r="314" spans="1:25" ht="41.5" x14ac:dyDescent="0.35">
      <c r="A314" s="3" t="s">
        <v>26</v>
      </c>
      <c r="B314" s="3" t="s">
        <v>27</v>
      </c>
      <c r="C314" s="3" t="s">
        <v>132</v>
      </c>
      <c r="D314" s="3" t="s">
        <v>234</v>
      </c>
      <c r="E314" s="3" t="s">
        <v>595</v>
      </c>
      <c r="F314" s="3" t="s">
        <v>119</v>
      </c>
      <c r="G314" s="3" t="s">
        <v>595</v>
      </c>
      <c r="H314" s="3" t="s">
        <v>153</v>
      </c>
      <c r="I314" s="3">
        <v>2024</v>
      </c>
      <c r="J314" s="3" t="str">
        <f>CONCATENATE("44810305126")</f>
        <v>44810305126</v>
      </c>
      <c r="K314" s="3" t="s">
        <v>33</v>
      </c>
      <c r="L314" s="3" t="str">
        <f t="shared" si="14"/>
        <v/>
      </c>
      <c r="M314" s="3" t="str">
        <f>CONCATENATE("SRA15")</f>
        <v>SRA15</v>
      </c>
      <c r="N314" s="3" t="str">
        <f>CONCATENATE("CRFDRD96S11E783V")</f>
        <v>CRFDRD96S11E783V</v>
      </c>
      <c r="O314" s="3" t="s">
        <v>596</v>
      </c>
      <c r="P314" s="3" t="s">
        <v>35</v>
      </c>
      <c r="Q314" s="3" t="s">
        <v>597</v>
      </c>
      <c r="R314" s="4">
        <v>45919</v>
      </c>
      <c r="S314" s="3" t="s">
        <v>37</v>
      </c>
      <c r="T314" s="3" t="s">
        <v>38</v>
      </c>
      <c r="U314" s="3" t="s">
        <v>39</v>
      </c>
      <c r="V314" s="3">
        <v>379.64</v>
      </c>
      <c r="W314" s="3">
        <v>161.35</v>
      </c>
      <c r="X314" s="3">
        <v>152.81</v>
      </c>
      <c r="Y314" s="3">
        <v>65.48</v>
      </c>
    </row>
    <row r="315" spans="1:25" ht="41.5" x14ac:dyDescent="0.35">
      <c r="A315" s="3" t="s">
        <v>26</v>
      </c>
      <c r="B315" s="3" t="s">
        <v>27</v>
      </c>
      <c r="C315" s="3" t="s">
        <v>132</v>
      </c>
      <c r="D315" s="3" t="s">
        <v>234</v>
      </c>
      <c r="E315" s="3" t="s">
        <v>595</v>
      </c>
      <c r="F315" s="3" t="s">
        <v>119</v>
      </c>
      <c r="G315" s="3" t="s">
        <v>595</v>
      </c>
      <c r="H315" s="3" t="s">
        <v>153</v>
      </c>
      <c r="I315" s="3">
        <v>2024</v>
      </c>
      <c r="J315" s="3" t="str">
        <f>CONCATENATE("44810311405")</f>
        <v>44810311405</v>
      </c>
      <c r="K315" s="3" t="s">
        <v>33</v>
      </c>
      <c r="L315" s="3" t="str">
        <f t="shared" si="14"/>
        <v/>
      </c>
      <c r="M315" s="3" t="str">
        <f>CONCATENATE("SRA15")</f>
        <v>SRA15</v>
      </c>
      <c r="N315" s="3" t="str">
        <f>CONCATENATE("LSVGCM51P16F027J")</f>
        <v>LSVGCM51P16F027J</v>
      </c>
      <c r="O315" s="3" t="s">
        <v>598</v>
      </c>
      <c r="P315" s="3" t="s">
        <v>35</v>
      </c>
      <c r="Q315" s="3" t="s">
        <v>597</v>
      </c>
      <c r="R315" s="4">
        <v>45919</v>
      </c>
      <c r="S315" s="3" t="s">
        <v>37</v>
      </c>
      <c r="T315" s="3" t="s">
        <v>38</v>
      </c>
      <c r="U315" s="3" t="s">
        <v>39</v>
      </c>
      <c r="V315" s="5">
        <v>1543.6</v>
      </c>
      <c r="W315" s="3">
        <v>656.03</v>
      </c>
      <c r="X315" s="3">
        <v>621.29999999999995</v>
      </c>
      <c r="Y315" s="3">
        <v>266.27</v>
      </c>
    </row>
    <row r="316" spans="1:25" ht="49.5" x14ac:dyDescent="0.35">
      <c r="A316" s="3" t="s">
        <v>26</v>
      </c>
      <c r="B316" s="3" t="s">
        <v>27</v>
      </c>
      <c r="C316" s="3" t="s">
        <v>132</v>
      </c>
      <c r="D316" s="3" t="s">
        <v>29</v>
      </c>
      <c r="E316" s="3" t="s">
        <v>599</v>
      </c>
      <c r="F316" s="3" t="s">
        <v>31</v>
      </c>
      <c r="G316" s="3" t="s">
        <v>599</v>
      </c>
      <c r="H316" s="3" t="s">
        <v>600</v>
      </c>
      <c r="I316" s="3">
        <v>2024</v>
      </c>
      <c r="J316" s="3" t="str">
        <f>CONCATENATE("44810892107")</f>
        <v>44810892107</v>
      </c>
      <c r="K316" s="3" t="s">
        <v>33</v>
      </c>
      <c r="L316" s="3" t="str">
        <f t="shared" si="14"/>
        <v/>
      </c>
      <c r="M316" s="3" t="str">
        <f>CONCATENATE("SRA15")</f>
        <v>SRA15</v>
      </c>
      <c r="N316" s="3" t="str">
        <f>CONCATENATE("PRSSFN88A23A462D")</f>
        <v>PRSSFN88A23A462D</v>
      </c>
      <c r="O316" s="3" t="s">
        <v>601</v>
      </c>
      <c r="P316" s="3" t="s">
        <v>35</v>
      </c>
      <c r="Q316" s="3" t="s">
        <v>597</v>
      </c>
      <c r="R316" s="4">
        <v>45919</v>
      </c>
      <c r="S316" s="3" t="s">
        <v>37</v>
      </c>
      <c r="T316" s="3" t="s">
        <v>38</v>
      </c>
      <c r="U316" s="3" t="s">
        <v>39</v>
      </c>
      <c r="V316" s="3">
        <v>423.46</v>
      </c>
      <c r="W316" s="3">
        <v>179.97</v>
      </c>
      <c r="X316" s="3">
        <v>170.44</v>
      </c>
      <c r="Y316" s="3">
        <v>73.05</v>
      </c>
    </row>
    <row r="317" spans="1:25" ht="41.5" x14ac:dyDescent="0.35">
      <c r="A317" s="3" t="s">
        <v>26</v>
      </c>
      <c r="B317" s="3" t="s">
        <v>27</v>
      </c>
      <c r="C317" s="3" t="s">
        <v>132</v>
      </c>
      <c r="D317" s="3" t="s">
        <v>29</v>
      </c>
      <c r="E317" s="3" t="s">
        <v>599</v>
      </c>
      <c r="F317" s="3" t="s">
        <v>31</v>
      </c>
      <c r="G317" s="3" t="s">
        <v>599</v>
      </c>
      <c r="H317" s="3" t="s">
        <v>600</v>
      </c>
      <c r="I317" s="3">
        <v>2024</v>
      </c>
      <c r="J317" s="3" t="str">
        <f>CONCATENATE("44810892537")</f>
        <v>44810892537</v>
      </c>
      <c r="K317" s="3" t="s">
        <v>33</v>
      </c>
      <c r="L317" s="3" t="str">
        <f t="shared" si="14"/>
        <v/>
      </c>
      <c r="M317" s="3" t="str">
        <f>CONCATENATE("SRA15")</f>
        <v>SRA15</v>
      </c>
      <c r="N317" s="3" t="str">
        <f>CONCATENATE("CRDTRS63T48H501T")</f>
        <v>CRDTRS63T48H501T</v>
      </c>
      <c r="O317" s="3" t="s">
        <v>602</v>
      </c>
      <c r="P317" s="3" t="s">
        <v>35</v>
      </c>
      <c r="Q317" s="3" t="s">
        <v>597</v>
      </c>
      <c r="R317" s="4">
        <v>45919</v>
      </c>
      <c r="S317" s="3" t="s">
        <v>37</v>
      </c>
      <c r="T317" s="3" t="s">
        <v>38</v>
      </c>
      <c r="U317" s="3" t="s">
        <v>39</v>
      </c>
      <c r="V317" s="3">
        <v>537.29999999999995</v>
      </c>
      <c r="W317" s="3">
        <v>228.35</v>
      </c>
      <c r="X317" s="3">
        <v>216.26</v>
      </c>
      <c r="Y317" s="3">
        <v>92.69</v>
      </c>
    </row>
    <row r="318" spans="1:25" ht="41.5" hidden="1" x14ac:dyDescent="0.35">
      <c r="A318" s="3" t="s">
        <v>26</v>
      </c>
      <c r="B318" s="3" t="s">
        <v>27</v>
      </c>
      <c r="C318" s="3" t="s">
        <v>478</v>
      </c>
      <c r="D318" s="3" t="s">
        <v>228</v>
      </c>
      <c r="E318" s="3" t="s">
        <v>603</v>
      </c>
      <c r="F318" s="3" t="s">
        <v>230</v>
      </c>
      <c r="G318" s="3" t="s">
        <v>603</v>
      </c>
      <c r="H318" s="3" t="s">
        <v>604</v>
      </c>
      <c r="I318" s="3">
        <v>2024</v>
      </c>
      <c r="J318" s="3" t="str">
        <f>CONCATENATE("44810558401")</f>
        <v>44810558401</v>
      </c>
      <c r="K318" s="3" t="s">
        <v>33</v>
      </c>
      <c r="L318" s="3" t="str">
        <f t="shared" si="14"/>
        <v/>
      </c>
      <c r="M318" s="3" t="str">
        <f t="shared" ref="M318:M323" si="17">CONCATENATE("SRA30")</f>
        <v>SRA30</v>
      </c>
      <c r="N318" s="3" t="str">
        <f>CONCATENATE("LNGNRN94L46E131R")</f>
        <v>LNGNRN94L46E131R</v>
      </c>
      <c r="O318" s="3" t="s">
        <v>605</v>
      </c>
      <c r="P318" s="3" t="s">
        <v>35</v>
      </c>
      <c r="Q318" s="3" t="s">
        <v>606</v>
      </c>
      <c r="R318" s="4">
        <v>45915</v>
      </c>
      <c r="S318" s="3" t="s">
        <v>37</v>
      </c>
      <c r="T318" s="3" t="s">
        <v>38</v>
      </c>
      <c r="U318" s="3" t="s">
        <v>39</v>
      </c>
      <c r="V318" s="5">
        <v>18413.87</v>
      </c>
      <c r="W318" s="5">
        <v>9299</v>
      </c>
      <c r="X318" s="5">
        <v>6380.41</v>
      </c>
      <c r="Y318" s="5">
        <v>2734.46</v>
      </c>
    </row>
    <row r="319" spans="1:25" ht="41.5" hidden="1" x14ac:dyDescent="0.35">
      <c r="A319" s="3" t="s">
        <v>26</v>
      </c>
      <c r="B319" s="3" t="s">
        <v>27</v>
      </c>
      <c r="C319" s="3" t="s">
        <v>90</v>
      </c>
      <c r="D319" s="3" t="s">
        <v>215</v>
      </c>
      <c r="E319" s="3" t="s">
        <v>216</v>
      </c>
      <c r="F319" s="3" t="s">
        <v>217</v>
      </c>
      <c r="G319" s="3" t="s">
        <v>216</v>
      </c>
      <c r="H319" s="3" t="s">
        <v>218</v>
      </c>
      <c r="I319" s="3">
        <v>2024</v>
      </c>
      <c r="J319" s="3" t="str">
        <f>CONCATENATE("44810283216")</f>
        <v>44810283216</v>
      </c>
      <c r="K319" s="3" t="s">
        <v>33</v>
      </c>
      <c r="L319" s="3" t="str">
        <f t="shared" si="14"/>
        <v/>
      </c>
      <c r="M319" s="3" t="str">
        <f t="shared" si="17"/>
        <v>SRA30</v>
      </c>
      <c r="N319" s="3" t="str">
        <f>CONCATENATE("RMLSST44E01L308C")</f>
        <v>RMLSST44E01L308C</v>
      </c>
      <c r="O319" s="3" t="s">
        <v>219</v>
      </c>
      <c r="P319" s="3" t="s">
        <v>35</v>
      </c>
      <c r="Q319" s="3" t="s">
        <v>607</v>
      </c>
      <c r="R319" s="4">
        <v>45932</v>
      </c>
      <c r="S319" s="3" t="s">
        <v>37</v>
      </c>
      <c r="T319" s="3" t="s">
        <v>38</v>
      </c>
      <c r="U319" s="3" t="s">
        <v>39</v>
      </c>
      <c r="V319" s="5">
        <v>4437</v>
      </c>
      <c r="W319" s="5">
        <v>2240.69</v>
      </c>
      <c r="X319" s="5">
        <v>1537.42</v>
      </c>
      <c r="Y319" s="3">
        <v>658.89</v>
      </c>
    </row>
    <row r="320" spans="1:25" ht="41.5" hidden="1" x14ac:dyDescent="0.35">
      <c r="A320" s="3" t="s">
        <v>26</v>
      </c>
      <c r="B320" s="3" t="s">
        <v>27</v>
      </c>
      <c r="C320" s="3" t="s">
        <v>90</v>
      </c>
      <c r="D320" s="3" t="s">
        <v>51</v>
      </c>
      <c r="E320" s="3" t="s">
        <v>431</v>
      </c>
      <c r="F320" s="3" t="s">
        <v>51</v>
      </c>
      <c r="G320" s="3" t="s">
        <v>431</v>
      </c>
      <c r="H320" s="3" t="s">
        <v>218</v>
      </c>
      <c r="I320" s="3">
        <v>2024</v>
      </c>
      <c r="J320" s="3" t="str">
        <f>CONCATENATE("44810202323")</f>
        <v>44810202323</v>
      </c>
      <c r="K320" s="3" t="s">
        <v>33</v>
      </c>
      <c r="L320" s="3" t="str">
        <f t="shared" si="14"/>
        <v/>
      </c>
      <c r="M320" s="3" t="str">
        <f t="shared" si="17"/>
        <v>SRA30</v>
      </c>
      <c r="N320" s="3" t="str">
        <f>CONCATENATE("GLTLCU95B23I199T")</f>
        <v>GLTLCU95B23I199T</v>
      </c>
      <c r="O320" s="3" t="s">
        <v>608</v>
      </c>
      <c r="P320" s="3" t="s">
        <v>35</v>
      </c>
      <c r="Q320" s="3" t="s">
        <v>607</v>
      </c>
      <c r="R320" s="4">
        <v>45932</v>
      </c>
      <c r="S320" s="3" t="s">
        <v>37</v>
      </c>
      <c r="T320" s="3" t="s">
        <v>38</v>
      </c>
      <c r="U320" s="3" t="s">
        <v>39</v>
      </c>
      <c r="V320" s="5">
        <v>5905.17</v>
      </c>
      <c r="W320" s="5">
        <v>2982.11</v>
      </c>
      <c r="X320" s="5">
        <v>2046.14</v>
      </c>
      <c r="Y320" s="3">
        <v>876.92</v>
      </c>
    </row>
    <row r="321" spans="1:25" ht="41.5" hidden="1" x14ac:dyDescent="0.35">
      <c r="A321" s="3" t="s">
        <v>26</v>
      </c>
      <c r="B321" s="3" t="s">
        <v>27</v>
      </c>
      <c r="C321" s="3" t="s">
        <v>90</v>
      </c>
      <c r="D321" s="3" t="s">
        <v>51</v>
      </c>
      <c r="E321" s="3" t="s">
        <v>431</v>
      </c>
      <c r="F321" s="3" t="s">
        <v>51</v>
      </c>
      <c r="G321" s="3" t="s">
        <v>431</v>
      </c>
      <c r="H321" s="3" t="s">
        <v>218</v>
      </c>
      <c r="I321" s="3">
        <v>2024</v>
      </c>
      <c r="J321" s="3" t="str">
        <f>CONCATENATE("44810357564")</f>
        <v>44810357564</v>
      </c>
      <c r="K321" s="3" t="s">
        <v>33</v>
      </c>
      <c r="L321" s="3" t="str">
        <f t="shared" si="14"/>
        <v/>
      </c>
      <c r="M321" s="3" t="str">
        <f t="shared" si="17"/>
        <v>SRA30</v>
      </c>
      <c r="N321" s="3" t="str">
        <f>CONCATENATE("GLTSST97R23I199Q")</f>
        <v>GLTSST97R23I199Q</v>
      </c>
      <c r="O321" s="3" t="s">
        <v>609</v>
      </c>
      <c r="P321" s="3" t="s">
        <v>35</v>
      </c>
      <c r="Q321" s="3" t="s">
        <v>607</v>
      </c>
      <c r="R321" s="4">
        <v>45932</v>
      </c>
      <c r="S321" s="3" t="s">
        <v>37</v>
      </c>
      <c r="T321" s="3" t="s">
        <v>38</v>
      </c>
      <c r="U321" s="3" t="s">
        <v>39</v>
      </c>
      <c r="V321" s="5">
        <v>8782.2000000000007</v>
      </c>
      <c r="W321" s="5">
        <v>4435.01</v>
      </c>
      <c r="X321" s="5">
        <v>3043.03</v>
      </c>
      <c r="Y321" s="5">
        <v>1304.1600000000001</v>
      </c>
    </row>
    <row r="322" spans="1:25" ht="41.5" hidden="1" x14ac:dyDescent="0.35">
      <c r="A322" s="3" t="s">
        <v>26</v>
      </c>
      <c r="B322" s="3" t="s">
        <v>27</v>
      </c>
      <c r="C322" s="3" t="s">
        <v>90</v>
      </c>
      <c r="D322" s="3" t="s">
        <v>364</v>
      </c>
      <c r="E322" s="3" t="s">
        <v>610</v>
      </c>
      <c r="F322" s="3" t="s">
        <v>393</v>
      </c>
      <c r="G322" s="3" t="s">
        <v>610</v>
      </c>
      <c r="H322" s="3" t="s">
        <v>218</v>
      </c>
      <c r="I322" s="3">
        <v>2024</v>
      </c>
      <c r="J322" s="3" t="str">
        <f>CONCATENATE("44810324630")</f>
        <v>44810324630</v>
      </c>
      <c r="K322" s="3" t="s">
        <v>33</v>
      </c>
      <c r="L322" s="3" t="str">
        <f t="shared" si="14"/>
        <v/>
      </c>
      <c r="M322" s="3" t="str">
        <f t="shared" si="17"/>
        <v>SRA30</v>
      </c>
      <c r="N322" s="3" t="str">
        <f>CONCATENATE("NVSFTN98T09F206S")</f>
        <v>NVSFTN98T09F206S</v>
      </c>
      <c r="O322" s="3" t="s">
        <v>611</v>
      </c>
      <c r="P322" s="3" t="s">
        <v>35</v>
      </c>
      <c r="Q322" s="3" t="s">
        <v>607</v>
      </c>
      <c r="R322" s="4">
        <v>45932</v>
      </c>
      <c r="S322" s="3" t="s">
        <v>37</v>
      </c>
      <c r="T322" s="3" t="s">
        <v>38</v>
      </c>
      <c r="U322" s="3" t="s">
        <v>39</v>
      </c>
      <c r="V322" s="5">
        <v>4242.28</v>
      </c>
      <c r="W322" s="5">
        <v>2142.35</v>
      </c>
      <c r="X322" s="5">
        <v>1469.95</v>
      </c>
      <c r="Y322" s="3">
        <v>629.98</v>
      </c>
    </row>
    <row r="323" spans="1:25" ht="41.5" hidden="1" x14ac:dyDescent="0.35">
      <c r="A323" s="3" t="s">
        <v>26</v>
      </c>
      <c r="B323" s="3" t="s">
        <v>27</v>
      </c>
      <c r="C323" s="3" t="s">
        <v>90</v>
      </c>
      <c r="D323" s="3" t="s">
        <v>364</v>
      </c>
      <c r="E323" s="3" t="s">
        <v>612</v>
      </c>
      <c r="F323" s="3" t="s">
        <v>393</v>
      </c>
      <c r="G323" s="3" t="s">
        <v>610</v>
      </c>
      <c r="H323" s="3" t="s">
        <v>218</v>
      </c>
      <c r="I323" s="3">
        <v>2024</v>
      </c>
      <c r="J323" s="3" t="str">
        <f>CONCATENATE("44811307766")</f>
        <v>44811307766</v>
      </c>
      <c r="K323" s="3" t="s">
        <v>33</v>
      </c>
      <c r="L323" s="3" t="str">
        <f t="shared" si="14"/>
        <v/>
      </c>
      <c r="M323" s="3" t="str">
        <f t="shared" si="17"/>
        <v>SRA30</v>
      </c>
      <c r="N323" s="3" t="str">
        <f>CONCATENATE("PRTSFN98T14F158E")</f>
        <v>PRTSFN98T14F158E</v>
      </c>
      <c r="O323" s="3" t="s">
        <v>613</v>
      </c>
      <c r="P323" s="3" t="s">
        <v>35</v>
      </c>
      <c r="Q323" s="3" t="s">
        <v>607</v>
      </c>
      <c r="R323" s="4">
        <v>45932</v>
      </c>
      <c r="S323" s="3" t="s">
        <v>37</v>
      </c>
      <c r="T323" s="3" t="s">
        <v>38</v>
      </c>
      <c r="U323" s="3" t="s">
        <v>39</v>
      </c>
      <c r="V323" s="5">
        <v>1242.74</v>
      </c>
      <c r="W323" s="3">
        <v>627.58000000000004</v>
      </c>
      <c r="X323" s="3">
        <v>430.61</v>
      </c>
      <c r="Y323" s="3">
        <v>184.55</v>
      </c>
    </row>
    <row r="324" spans="1:25" ht="25.5" hidden="1" x14ac:dyDescent="0.35">
      <c r="A324" s="3" t="s">
        <v>26</v>
      </c>
      <c r="B324" s="3" t="s">
        <v>27</v>
      </c>
      <c r="C324" s="3" t="s">
        <v>478</v>
      </c>
      <c r="D324" s="3" t="s">
        <v>75</v>
      </c>
      <c r="E324" s="3" t="s">
        <v>582</v>
      </c>
      <c r="F324" s="3" t="s">
        <v>77</v>
      </c>
      <c r="G324" s="3" t="s">
        <v>582</v>
      </c>
      <c r="H324" s="3" t="s">
        <v>614</v>
      </c>
      <c r="I324" s="3">
        <v>2024</v>
      </c>
      <c r="J324" s="3" t="str">
        <f>CONCATENATE("44811346764")</f>
        <v>44811346764</v>
      </c>
      <c r="K324" s="3" t="s">
        <v>33</v>
      </c>
      <c r="L324" s="3" t="str">
        <f t="shared" ref="L324:L387" si="18">CONCATENATE("")</f>
        <v/>
      </c>
      <c r="M324" s="3" t="str">
        <f>CONCATENATE("SRA03")</f>
        <v>SRA03</v>
      </c>
      <c r="N324" s="3" t="str">
        <f>CONCATENATE("01586790626")</f>
        <v>01586790626</v>
      </c>
      <c r="O324" s="3" t="s">
        <v>615</v>
      </c>
      <c r="P324" s="3" t="s">
        <v>35</v>
      </c>
      <c r="Q324" s="3" t="s">
        <v>616</v>
      </c>
      <c r="R324" s="4">
        <v>45933</v>
      </c>
      <c r="S324" s="3" t="s">
        <v>37</v>
      </c>
      <c r="T324" s="3" t="s">
        <v>38</v>
      </c>
      <c r="U324" s="3" t="s">
        <v>39</v>
      </c>
      <c r="V324" s="5">
        <v>4912.13</v>
      </c>
      <c r="W324" s="5">
        <v>2480.63</v>
      </c>
      <c r="X324" s="5">
        <v>1702.05</v>
      </c>
      <c r="Y324" s="3">
        <v>729.45</v>
      </c>
    </row>
    <row r="325" spans="1:25" ht="41.5" hidden="1" x14ac:dyDescent="0.35">
      <c r="A325" s="3" t="s">
        <v>26</v>
      </c>
      <c r="B325" s="3" t="s">
        <v>27</v>
      </c>
      <c r="C325" s="3" t="s">
        <v>451</v>
      </c>
      <c r="D325" s="3" t="s">
        <v>61</v>
      </c>
      <c r="E325" s="3" t="s">
        <v>498</v>
      </c>
      <c r="F325" s="3" t="s">
        <v>63</v>
      </c>
      <c r="G325" s="3" t="s">
        <v>498</v>
      </c>
      <c r="H325" s="3" t="s">
        <v>453</v>
      </c>
      <c r="I325" s="3">
        <v>2024</v>
      </c>
      <c r="J325" s="3" t="str">
        <f>CONCATENATE("44811347598")</f>
        <v>44811347598</v>
      </c>
      <c r="K325" s="3" t="s">
        <v>33</v>
      </c>
      <c r="L325" s="3" t="str">
        <f t="shared" si="18"/>
        <v/>
      </c>
      <c r="M325" s="3" t="str">
        <f t="shared" ref="M325:M348" si="19">CONCATENATE("SRA30")</f>
        <v>SRA30</v>
      </c>
      <c r="N325" s="3" t="str">
        <f>CONCATENATE("FLPLGU47P12D538G")</f>
        <v>FLPLGU47P12D538G</v>
      </c>
      <c r="O325" s="3" t="s">
        <v>617</v>
      </c>
      <c r="P325" s="3" t="s">
        <v>35</v>
      </c>
      <c r="Q325" s="3" t="s">
        <v>455</v>
      </c>
      <c r="R325" s="4">
        <v>45929</v>
      </c>
      <c r="S325" s="3" t="s">
        <v>37</v>
      </c>
      <c r="T325" s="3" t="s">
        <v>38</v>
      </c>
      <c r="U325" s="3" t="s">
        <v>39</v>
      </c>
      <c r="V325" s="3">
        <v>534.04999999999995</v>
      </c>
      <c r="W325" s="3">
        <v>226.97</v>
      </c>
      <c r="X325" s="3">
        <v>214.96</v>
      </c>
      <c r="Y325" s="3">
        <v>92.12</v>
      </c>
    </row>
    <row r="326" spans="1:25" ht="41.5" hidden="1" x14ac:dyDescent="0.35">
      <c r="A326" s="3" t="s">
        <v>26</v>
      </c>
      <c r="B326" s="3" t="s">
        <v>27</v>
      </c>
      <c r="C326" s="3" t="s">
        <v>451</v>
      </c>
      <c r="D326" s="3" t="s">
        <v>61</v>
      </c>
      <c r="E326" s="3" t="s">
        <v>498</v>
      </c>
      <c r="F326" s="3" t="s">
        <v>63</v>
      </c>
      <c r="G326" s="3" t="s">
        <v>498</v>
      </c>
      <c r="H326" s="3" t="s">
        <v>453</v>
      </c>
      <c r="I326" s="3">
        <v>2024</v>
      </c>
      <c r="J326" s="3" t="str">
        <f>CONCATENATE("44811319944")</f>
        <v>44811319944</v>
      </c>
      <c r="K326" s="3" t="s">
        <v>33</v>
      </c>
      <c r="L326" s="3" t="str">
        <f t="shared" si="18"/>
        <v/>
      </c>
      <c r="M326" s="3" t="str">
        <f t="shared" si="19"/>
        <v>SRA30</v>
      </c>
      <c r="N326" s="3" t="str">
        <f>CONCATENATE("LNEMRA72H44L117U")</f>
        <v>LNEMRA72H44L117U</v>
      </c>
      <c r="O326" s="3" t="s">
        <v>618</v>
      </c>
      <c r="P326" s="3" t="s">
        <v>35</v>
      </c>
      <c r="Q326" s="3" t="s">
        <v>455</v>
      </c>
      <c r="R326" s="4">
        <v>45929</v>
      </c>
      <c r="S326" s="3" t="s">
        <v>37</v>
      </c>
      <c r="T326" s="3" t="s">
        <v>38</v>
      </c>
      <c r="U326" s="3" t="s">
        <v>39</v>
      </c>
      <c r="V326" s="3">
        <v>687.34</v>
      </c>
      <c r="W326" s="3">
        <v>292.12</v>
      </c>
      <c r="X326" s="3">
        <v>276.64999999999998</v>
      </c>
      <c r="Y326" s="3">
        <v>118.57</v>
      </c>
    </row>
    <row r="327" spans="1:25" ht="41.5" hidden="1" x14ac:dyDescent="0.35">
      <c r="A327" s="3" t="s">
        <v>26</v>
      </c>
      <c r="B327" s="3" t="s">
        <v>27</v>
      </c>
      <c r="C327" s="3" t="s">
        <v>451</v>
      </c>
      <c r="D327" s="3" t="s">
        <v>61</v>
      </c>
      <c r="E327" s="3" t="s">
        <v>619</v>
      </c>
      <c r="F327" s="3" t="s">
        <v>63</v>
      </c>
      <c r="G327" s="3" t="s">
        <v>619</v>
      </c>
      <c r="H327" s="3" t="s">
        <v>453</v>
      </c>
      <c r="I327" s="3">
        <v>2024</v>
      </c>
      <c r="J327" s="3" t="str">
        <f>CONCATENATE("44811333408")</f>
        <v>44811333408</v>
      </c>
      <c r="K327" s="3" t="s">
        <v>33</v>
      </c>
      <c r="L327" s="3" t="str">
        <f t="shared" si="18"/>
        <v/>
      </c>
      <c r="M327" s="3" t="str">
        <f t="shared" si="19"/>
        <v>SRA30</v>
      </c>
      <c r="N327" s="3" t="str">
        <f>CONCATENATE("LCLNGL49B02G359H")</f>
        <v>LCLNGL49B02G359H</v>
      </c>
      <c r="O327" s="3" t="s">
        <v>620</v>
      </c>
      <c r="P327" s="3" t="s">
        <v>35</v>
      </c>
      <c r="Q327" s="3" t="s">
        <v>455</v>
      </c>
      <c r="R327" s="4">
        <v>45929</v>
      </c>
      <c r="S327" s="3" t="s">
        <v>37</v>
      </c>
      <c r="T327" s="3" t="s">
        <v>38</v>
      </c>
      <c r="U327" s="3" t="s">
        <v>39</v>
      </c>
      <c r="V327" s="3">
        <v>778.99</v>
      </c>
      <c r="W327" s="3">
        <v>331.07</v>
      </c>
      <c r="X327" s="3">
        <v>313.54000000000002</v>
      </c>
      <c r="Y327" s="3">
        <v>134.38</v>
      </c>
    </row>
    <row r="328" spans="1:25" ht="41.5" hidden="1" x14ac:dyDescent="0.35">
      <c r="A328" s="3" t="s">
        <v>26</v>
      </c>
      <c r="B328" s="3" t="s">
        <v>27</v>
      </c>
      <c r="C328" s="3" t="s">
        <v>451</v>
      </c>
      <c r="D328" s="3" t="s">
        <v>61</v>
      </c>
      <c r="E328" s="3" t="s">
        <v>498</v>
      </c>
      <c r="F328" s="3" t="s">
        <v>63</v>
      </c>
      <c r="G328" s="3" t="s">
        <v>498</v>
      </c>
      <c r="H328" s="3" t="s">
        <v>453</v>
      </c>
      <c r="I328" s="3">
        <v>2024</v>
      </c>
      <c r="J328" s="3" t="str">
        <f>CONCATENATE("44811338753")</f>
        <v>44811338753</v>
      </c>
      <c r="K328" s="3" t="s">
        <v>33</v>
      </c>
      <c r="L328" s="3" t="str">
        <f t="shared" si="18"/>
        <v/>
      </c>
      <c r="M328" s="3" t="str">
        <f t="shared" si="19"/>
        <v>SRA30</v>
      </c>
      <c r="N328" s="3" t="str">
        <f>CONCATENATE("PRLPTR64H20B569U")</f>
        <v>PRLPTR64H20B569U</v>
      </c>
      <c r="O328" s="3" t="s">
        <v>621</v>
      </c>
      <c r="P328" s="3" t="s">
        <v>35</v>
      </c>
      <c r="Q328" s="3" t="s">
        <v>455</v>
      </c>
      <c r="R328" s="4">
        <v>45929</v>
      </c>
      <c r="S328" s="3" t="s">
        <v>37</v>
      </c>
      <c r="T328" s="3" t="s">
        <v>38</v>
      </c>
      <c r="U328" s="3" t="s">
        <v>39</v>
      </c>
      <c r="V328" s="3">
        <v>755.05</v>
      </c>
      <c r="W328" s="3">
        <v>320.89999999999998</v>
      </c>
      <c r="X328" s="3">
        <v>303.91000000000003</v>
      </c>
      <c r="Y328" s="3">
        <v>130.24</v>
      </c>
    </row>
    <row r="329" spans="1:25" ht="25.5" hidden="1" x14ac:dyDescent="0.35">
      <c r="A329" s="3" t="s">
        <v>26</v>
      </c>
      <c r="B329" s="3" t="s">
        <v>27</v>
      </c>
      <c r="C329" s="3" t="s">
        <v>451</v>
      </c>
      <c r="D329" s="3" t="s">
        <v>61</v>
      </c>
      <c r="E329" s="3" t="s">
        <v>619</v>
      </c>
      <c r="F329" s="3" t="s">
        <v>63</v>
      </c>
      <c r="G329" s="3" t="s">
        <v>619</v>
      </c>
      <c r="H329" s="3" t="s">
        <v>453</v>
      </c>
      <c r="I329" s="3">
        <v>2024</v>
      </c>
      <c r="J329" s="3" t="str">
        <f>CONCATENATE("44811331030")</f>
        <v>44811331030</v>
      </c>
      <c r="K329" s="3" t="s">
        <v>33</v>
      </c>
      <c r="L329" s="3" t="str">
        <f t="shared" si="18"/>
        <v/>
      </c>
      <c r="M329" s="3" t="str">
        <f t="shared" si="19"/>
        <v>SRA30</v>
      </c>
      <c r="N329" s="3" t="str">
        <f>CONCATENATE("03259170540")</f>
        <v>03259170540</v>
      </c>
      <c r="O329" s="3" t="s">
        <v>622</v>
      </c>
      <c r="P329" s="3" t="s">
        <v>35</v>
      </c>
      <c r="Q329" s="3" t="s">
        <v>455</v>
      </c>
      <c r="R329" s="4">
        <v>45929</v>
      </c>
      <c r="S329" s="3" t="s">
        <v>37</v>
      </c>
      <c r="T329" s="3" t="s">
        <v>38</v>
      </c>
      <c r="U329" s="3" t="s">
        <v>39</v>
      </c>
      <c r="V329" s="5">
        <v>1439.35</v>
      </c>
      <c r="W329" s="3">
        <v>611.72</v>
      </c>
      <c r="X329" s="3">
        <v>579.34</v>
      </c>
      <c r="Y329" s="3">
        <v>248.29</v>
      </c>
    </row>
    <row r="330" spans="1:25" ht="49.5" hidden="1" x14ac:dyDescent="0.35">
      <c r="A330" s="3" t="s">
        <v>26</v>
      </c>
      <c r="B330" s="3" t="s">
        <v>27</v>
      </c>
      <c r="C330" s="3" t="s">
        <v>451</v>
      </c>
      <c r="D330" s="3" t="s">
        <v>51</v>
      </c>
      <c r="E330" s="3" t="s">
        <v>538</v>
      </c>
      <c r="F330" s="3" t="s">
        <v>51</v>
      </c>
      <c r="G330" s="3" t="s">
        <v>538</v>
      </c>
      <c r="H330" s="3" t="s">
        <v>453</v>
      </c>
      <c r="I330" s="3">
        <v>2024</v>
      </c>
      <c r="J330" s="3" t="str">
        <f>CONCATENATE("44811335932")</f>
        <v>44811335932</v>
      </c>
      <c r="K330" s="3" t="s">
        <v>33</v>
      </c>
      <c r="L330" s="3" t="str">
        <f t="shared" si="18"/>
        <v/>
      </c>
      <c r="M330" s="3" t="str">
        <f t="shared" si="19"/>
        <v>SRA30</v>
      </c>
      <c r="N330" s="3" t="str">
        <f>CONCATENATE("MGRFPP65R17G478M")</f>
        <v>MGRFPP65R17G478M</v>
      </c>
      <c r="O330" s="3" t="s">
        <v>623</v>
      </c>
      <c r="P330" s="3" t="s">
        <v>35</v>
      </c>
      <c r="Q330" s="3" t="s">
        <v>455</v>
      </c>
      <c r="R330" s="4">
        <v>45929</v>
      </c>
      <c r="S330" s="3" t="s">
        <v>37</v>
      </c>
      <c r="T330" s="3" t="s">
        <v>38</v>
      </c>
      <c r="U330" s="3" t="s">
        <v>39</v>
      </c>
      <c r="V330" s="3">
        <v>344.53</v>
      </c>
      <c r="W330" s="3">
        <v>146.43</v>
      </c>
      <c r="X330" s="3">
        <v>138.66999999999999</v>
      </c>
      <c r="Y330" s="3">
        <v>59.43</v>
      </c>
    </row>
    <row r="331" spans="1:25" ht="25.5" hidden="1" x14ac:dyDescent="0.35">
      <c r="A331" s="3" t="s">
        <v>26</v>
      </c>
      <c r="B331" s="3" t="s">
        <v>27</v>
      </c>
      <c r="C331" s="3" t="s">
        <v>451</v>
      </c>
      <c r="D331" s="3" t="s">
        <v>29</v>
      </c>
      <c r="E331" s="3" t="s">
        <v>541</v>
      </c>
      <c r="F331" s="3" t="s">
        <v>31</v>
      </c>
      <c r="G331" s="3" t="s">
        <v>541</v>
      </c>
      <c r="H331" s="3" t="s">
        <v>453</v>
      </c>
      <c r="I331" s="3">
        <v>2024</v>
      </c>
      <c r="J331" s="3" t="str">
        <f>CONCATENATE("44811350816")</f>
        <v>44811350816</v>
      </c>
      <c r="K331" s="3" t="s">
        <v>33</v>
      </c>
      <c r="L331" s="3" t="str">
        <f t="shared" si="18"/>
        <v/>
      </c>
      <c r="M331" s="3" t="str">
        <f t="shared" si="19"/>
        <v>SRA30</v>
      </c>
      <c r="N331" s="3" t="str">
        <f>CONCATENATE("03497500540")</f>
        <v>03497500540</v>
      </c>
      <c r="O331" s="3" t="s">
        <v>624</v>
      </c>
      <c r="P331" s="3" t="s">
        <v>35</v>
      </c>
      <c r="Q331" s="3" t="s">
        <v>455</v>
      </c>
      <c r="R331" s="4">
        <v>45929</v>
      </c>
      <c r="S331" s="3" t="s">
        <v>37</v>
      </c>
      <c r="T331" s="3" t="s">
        <v>38</v>
      </c>
      <c r="U331" s="3" t="s">
        <v>39</v>
      </c>
      <c r="V331" s="5">
        <v>2184.5100000000002</v>
      </c>
      <c r="W331" s="3">
        <v>928.42</v>
      </c>
      <c r="X331" s="3">
        <v>879.27</v>
      </c>
      <c r="Y331" s="3">
        <v>376.82</v>
      </c>
    </row>
    <row r="332" spans="1:25" ht="41.5" hidden="1" x14ac:dyDescent="0.35">
      <c r="A332" s="3" t="s">
        <v>26</v>
      </c>
      <c r="B332" s="3" t="s">
        <v>27</v>
      </c>
      <c r="C332" s="3" t="s">
        <v>451</v>
      </c>
      <c r="D332" s="3" t="s">
        <v>61</v>
      </c>
      <c r="E332" s="3" t="s">
        <v>452</v>
      </c>
      <c r="F332" s="3" t="s">
        <v>63</v>
      </c>
      <c r="G332" s="3" t="s">
        <v>452</v>
      </c>
      <c r="H332" s="3" t="s">
        <v>453</v>
      </c>
      <c r="I332" s="3">
        <v>2024</v>
      </c>
      <c r="J332" s="3" t="str">
        <f>CONCATENATE("44811326691")</f>
        <v>44811326691</v>
      </c>
      <c r="K332" s="3" t="s">
        <v>33</v>
      </c>
      <c r="L332" s="3" t="str">
        <f t="shared" si="18"/>
        <v/>
      </c>
      <c r="M332" s="3" t="str">
        <f t="shared" si="19"/>
        <v>SRA30</v>
      </c>
      <c r="N332" s="3" t="str">
        <f>CONCATENATE("MNCBRN34M19D787Y")</f>
        <v>MNCBRN34M19D787Y</v>
      </c>
      <c r="O332" s="3" t="s">
        <v>625</v>
      </c>
      <c r="P332" s="3" t="s">
        <v>35</v>
      </c>
      <c r="Q332" s="3" t="s">
        <v>455</v>
      </c>
      <c r="R332" s="4">
        <v>45929</v>
      </c>
      <c r="S332" s="3" t="s">
        <v>37</v>
      </c>
      <c r="T332" s="3" t="s">
        <v>38</v>
      </c>
      <c r="U332" s="3" t="s">
        <v>39</v>
      </c>
      <c r="V332" s="3">
        <v>174.77</v>
      </c>
      <c r="W332" s="3">
        <v>74.28</v>
      </c>
      <c r="X332" s="3">
        <v>70.34</v>
      </c>
      <c r="Y332" s="3">
        <v>30.15</v>
      </c>
    </row>
    <row r="333" spans="1:25" ht="25.5" hidden="1" x14ac:dyDescent="0.35">
      <c r="A333" s="3" t="s">
        <v>26</v>
      </c>
      <c r="B333" s="3" t="s">
        <v>27</v>
      </c>
      <c r="C333" s="3" t="s">
        <v>451</v>
      </c>
      <c r="D333" s="3" t="s">
        <v>61</v>
      </c>
      <c r="E333" s="3" t="s">
        <v>626</v>
      </c>
      <c r="F333" s="3" t="s">
        <v>63</v>
      </c>
      <c r="G333" s="3" t="s">
        <v>626</v>
      </c>
      <c r="H333" s="3" t="s">
        <v>453</v>
      </c>
      <c r="I333" s="3">
        <v>2024</v>
      </c>
      <c r="J333" s="3" t="str">
        <f>CONCATENATE("44811439791")</f>
        <v>44811439791</v>
      </c>
      <c r="K333" s="3" t="s">
        <v>33</v>
      </c>
      <c r="L333" s="3" t="str">
        <f t="shared" si="18"/>
        <v/>
      </c>
      <c r="M333" s="3" t="str">
        <f t="shared" si="19"/>
        <v>SRA30</v>
      </c>
      <c r="N333" s="3" t="str">
        <f>CONCATENATE("00294530548")</f>
        <v>00294530548</v>
      </c>
      <c r="O333" s="3" t="s">
        <v>627</v>
      </c>
      <c r="P333" s="3" t="s">
        <v>35</v>
      </c>
      <c r="Q333" s="3" t="s">
        <v>455</v>
      </c>
      <c r="R333" s="4">
        <v>45929</v>
      </c>
      <c r="S333" s="3" t="s">
        <v>37</v>
      </c>
      <c r="T333" s="3" t="s">
        <v>38</v>
      </c>
      <c r="U333" s="3" t="s">
        <v>39</v>
      </c>
      <c r="V333" s="5">
        <v>6092.96</v>
      </c>
      <c r="W333" s="5">
        <v>2589.5100000000002</v>
      </c>
      <c r="X333" s="5">
        <v>2452.42</v>
      </c>
      <c r="Y333" s="5">
        <v>1051.03</v>
      </c>
    </row>
    <row r="334" spans="1:25" ht="41.5" hidden="1" x14ac:dyDescent="0.35">
      <c r="A334" s="3" t="s">
        <v>26</v>
      </c>
      <c r="B334" s="3" t="s">
        <v>27</v>
      </c>
      <c r="C334" s="3" t="s">
        <v>451</v>
      </c>
      <c r="D334" s="3" t="s">
        <v>61</v>
      </c>
      <c r="E334" s="3" t="s">
        <v>628</v>
      </c>
      <c r="F334" s="3" t="s">
        <v>63</v>
      </c>
      <c r="G334" s="3" t="s">
        <v>628</v>
      </c>
      <c r="H334" s="3" t="s">
        <v>453</v>
      </c>
      <c r="I334" s="3">
        <v>2024</v>
      </c>
      <c r="J334" s="3" t="str">
        <f>CONCATENATE("44810366979")</f>
        <v>44810366979</v>
      </c>
      <c r="K334" s="3" t="s">
        <v>33</v>
      </c>
      <c r="L334" s="3" t="str">
        <f t="shared" si="18"/>
        <v/>
      </c>
      <c r="M334" s="3" t="str">
        <f t="shared" si="19"/>
        <v>SRA30</v>
      </c>
      <c r="N334" s="3" t="str">
        <f>CONCATENATE("LVRLRA61B58H501I")</f>
        <v>LVRLRA61B58H501I</v>
      </c>
      <c r="O334" s="3" t="s">
        <v>629</v>
      </c>
      <c r="P334" s="3" t="s">
        <v>35</v>
      </c>
      <c r="Q334" s="3" t="s">
        <v>455</v>
      </c>
      <c r="R334" s="4">
        <v>45929</v>
      </c>
      <c r="S334" s="3" t="s">
        <v>37</v>
      </c>
      <c r="T334" s="3" t="s">
        <v>38</v>
      </c>
      <c r="U334" s="3" t="s">
        <v>39</v>
      </c>
      <c r="V334" s="5">
        <v>1930.82</v>
      </c>
      <c r="W334" s="3">
        <v>820.6</v>
      </c>
      <c r="X334" s="3">
        <v>777.16</v>
      </c>
      <c r="Y334" s="3">
        <v>333.06</v>
      </c>
    </row>
    <row r="335" spans="1:25" ht="41.5" hidden="1" x14ac:dyDescent="0.35">
      <c r="A335" s="3" t="s">
        <v>26</v>
      </c>
      <c r="B335" s="3" t="s">
        <v>27</v>
      </c>
      <c r="C335" s="3" t="s">
        <v>451</v>
      </c>
      <c r="D335" s="3" t="s">
        <v>29</v>
      </c>
      <c r="E335" s="3" t="s">
        <v>458</v>
      </c>
      <c r="F335" s="3" t="s">
        <v>31</v>
      </c>
      <c r="G335" s="3" t="s">
        <v>458</v>
      </c>
      <c r="H335" s="3" t="s">
        <v>453</v>
      </c>
      <c r="I335" s="3">
        <v>2024</v>
      </c>
      <c r="J335" s="3" t="str">
        <f>CONCATENATE("44811313939")</f>
        <v>44811313939</v>
      </c>
      <c r="K335" s="3" t="s">
        <v>33</v>
      </c>
      <c r="L335" s="3" t="str">
        <f t="shared" si="18"/>
        <v/>
      </c>
      <c r="M335" s="3" t="str">
        <f t="shared" si="19"/>
        <v>SRA30</v>
      </c>
      <c r="N335" s="3" t="str">
        <f>CONCATENATE("PNFVNT79M64E256V")</f>
        <v>PNFVNT79M64E256V</v>
      </c>
      <c r="O335" s="3" t="s">
        <v>630</v>
      </c>
      <c r="P335" s="3" t="s">
        <v>35</v>
      </c>
      <c r="Q335" s="3" t="s">
        <v>455</v>
      </c>
      <c r="R335" s="4">
        <v>45929</v>
      </c>
      <c r="S335" s="3" t="s">
        <v>37</v>
      </c>
      <c r="T335" s="3" t="s">
        <v>38</v>
      </c>
      <c r="U335" s="3" t="s">
        <v>39</v>
      </c>
      <c r="V335" s="3">
        <v>486</v>
      </c>
      <c r="W335" s="3">
        <v>206.55</v>
      </c>
      <c r="X335" s="3">
        <v>195.62</v>
      </c>
      <c r="Y335" s="3">
        <v>83.83</v>
      </c>
    </row>
    <row r="336" spans="1:25" ht="49.5" hidden="1" x14ac:dyDescent="0.35">
      <c r="A336" s="3" t="s">
        <v>26</v>
      </c>
      <c r="B336" s="3" t="s">
        <v>27</v>
      </c>
      <c r="C336" s="3" t="s">
        <v>451</v>
      </c>
      <c r="D336" s="3" t="s">
        <v>29</v>
      </c>
      <c r="E336" s="3" t="s">
        <v>541</v>
      </c>
      <c r="F336" s="3" t="s">
        <v>31</v>
      </c>
      <c r="G336" s="3" t="s">
        <v>541</v>
      </c>
      <c r="H336" s="3" t="s">
        <v>453</v>
      </c>
      <c r="I336" s="3">
        <v>2024</v>
      </c>
      <c r="J336" s="3" t="str">
        <f>CONCATENATE("44811350865")</f>
        <v>44811350865</v>
      </c>
      <c r="K336" s="3" t="s">
        <v>33</v>
      </c>
      <c r="L336" s="3" t="str">
        <f t="shared" si="18"/>
        <v/>
      </c>
      <c r="M336" s="3" t="str">
        <f t="shared" si="19"/>
        <v>SRA30</v>
      </c>
      <c r="N336" s="3" t="str">
        <f>CONCATENATE("RSTRRT77A08G148B")</f>
        <v>RSTRRT77A08G148B</v>
      </c>
      <c r="O336" s="3" t="s">
        <v>631</v>
      </c>
      <c r="P336" s="3" t="s">
        <v>35</v>
      </c>
      <c r="Q336" s="3" t="s">
        <v>455</v>
      </c>
      <c r="R336" s="4">
        <v>45929</v>
      </c>
      <c r="S336" s="3" t="s">
        <v>37</v>
      </c>
      <c r="T336" s="3" t="s">
        <v>38</v>
      </c>
      <c r="U336" s="3" t="s">
        <v>39</v>
      </c>
      <c r="V336" s="5">
        <v>1251.6400000000001</v>
      </c>
      <c r="W336" s="3">
        <v>531.95000000000005</v>
      </c>
      <c r="X336" s="3">
        <v>503.79</v>
      </c>
      <c r="Y336" s="3">
        <v>215.9</v>
      </c>
    </row>
    <row r="337" spans="1:25" ht="41.5" hidden="1" x14ac:dyDescent="0.35">
      <c r="A337" s="3" t="s">
        <v>26</v>
      </c>
      <c r="B337" s="3" t="s">
        <v>27</v>
      </c>
      <c r="C337" s="3" t="s">
        <v>451</v>
      </c>
      <c r="D337" s="3" t="s">
        <v>61</v>
      </c>
      <c r="E337" s="3" t="s">
        <v>498</v>
      </c>
      <c r="F337" s="3" t="s">
        <v>63</v>
      </c>
      <c r="G337" s="3" t="s">
        <v>498</v>
      </c>
      <c r="H337" s="3" t="s">
        <v>453</v>
      </c>
      <c r="I337" s="3">
        <v>2024</v>
      </c>
      <c r="J337" s="3" t="str">
        <f>CONCATENATE("44811355039")</f>
        <v>44811355039</v>
      </c>
      <c r="K337" s="3" t="s">
        <v>33</v>
      </c>
      <c r="L337" s="3" t="str">
        <f t="shared" si="18"/>
        <v/>
      </c>
      <c r="M337" s="3" t="str">
        <f t="shared" si="19"/>
        <v>SRA30</v>
      </c>
      <c r="N337" s="3" t="str">
        <f>CONCATENATE("RSSGLD36D50D538L")</f>
        <v>RSSGLD36D50D538L</v>
      </c>
      <c r="O337" s="3" t="s">
        <v>632</v>
      </c>
      <c r="P337" s="3" t="s">
        <v>35</v>
      </c>
      <c r="Q337" s="3" t="s">
        <v>455</v>
      </c>
      <c r="R337" s="4">
        <v>45929</v>
      </c>
      <c r="S337" s="3" t="s">
        <v>37</v>
      </c>
      <c r="T337" s="3" t="s">
        <v>38</v>
      </c>
      <c r="U337" s="3" t="s">
        <v>39</v>
      </c>
      <c r="V337" s="3">
        <v>708.41</v>
      </c>
      <c r="W337" s="3">
        <v>301.07</v>
      </c>
      <c r="X337" s="3">
        <v>285.14</v>
      </c>
      <c r="Y337" s="3">
        <v>122.2</v>
      </c>
    </row>
    <row r="338" spans="1:25" ht="41.5" hidden="1" x14ac:dyDescent="0.35">
      <c r="A338" s="3" t="s">
        <v>26</v>
      </c>
      <c r="B338" s="3" t="s">
        <v>27</v>
      </c>
      <c r="C338" s="3" t="s">
        <v>451</v>
      </c>
      <c r="D338" s="3" t="s">
        <v>61</v>
      </c>
      <c r="E338" s="3" t="s">
        <v>498</v>
      </c>
      <c r="F338" s="3" t="s">
        <v>63</v>
      </c>
      <c r="G338" s="3" t="s">
        <v>498</v>
      </c>
      <c r="H338" s="3" t="s">
        <v>453</v>
      </c>
      <c r="I338" s="3">
        <v>2024</v>
      </c>
      <c r="J338" s="3" t="str">
        <f>CONCATENATE("44811409877")</f>
        <v>44811409877</v>
      </c>
      <c r="K338" s="3" t="s">
        <v>33</v>
      </c>
      <c r="L338" s="3" t="str">
        <f t="shared" si="18"/>
        <v/>
      </c>
      <c r="M338" s="3" t="str">
        <f t="shared" si="19"/>
        <v>SRA30</v>
      </c>
      <c r="N338" s="3" t="str">
        <f>CONCATENATE("SNTFNC42M71D538K")</f>
        <v>SNTFNC42M71D538K</v>
      </c>
      <c r="O338" s="3" t="s">
        <v>633</v>
      </c>
      <c r="P338" s="3" t="s">
        <v>35</v>
      </c>
      <c r="Q338" s="3" t="s">
        <v>455</v>
      </c>
      <c r="R338" s="4">
        <v>45929</v>
      </c>
      <c r="S338" s="3" t="s">
        <v>37</v>
      </c>
      <c r="T338" s="3" t="s">
        <v>38</v>
      </c>
      <c r="U338" s="3" t="s">
        <v>39</v>
      </c>
      <c r="V338" s="3">
        <v>551.78</v>
      </c>
      <c r="W338" s="3">
        <v>234.51</v>
      </c>
      <c r="X338" s="3">
        <v>222.09</v>
      </c>
      <c r="Y338" s="3">
        <v>95.18</v>
      </c>
    </row>
    <row r="339" spans="1:25" ht="41.5" hidden="1" x14ac:dyDescent="0.35">
      <c r="A339" s="3" t="s">
        <v>26</v>
      </c>
      <c r="B339" s="3" t="s">
        <v>27</v>
      </c>
      <c r="C339" s="3" t="s">
        <v>451</v>
      </c>
      <c r="D339" s="3" t="s">
        <v>61</v>
      </c>
      <c r="E339" s="3" t="s">
        <v>498</v>
      </c>
      <c r="F339" s="3" t="s">
        <v>63</v>
      </c>
      <c r="G339" s="3" t="s">
        <v>498</v>
      </c>
      <c r="H339" s="3" t="s">
        <v>453</v>
      </c>
      <c r="I339" s="3">
        <v>2024</v>
      </c>
      <c r="J339" s="3" t="str">
        <f>CONCATENATE("44811425808")</f>
        <v>44811425808</v>
      </c>
      <c r="K339" s="3" t="s">
        <v>33</v>
      </c>
      <c r="L339" s="3" t="str">
        <f t="shared" si="18"/>
        <v/>
      </c>
      <c r="M339" s="3" t="str">
        <f t="shared" si="19"/>
        <v>SRA30</v>
      </c>
      <c r="N339" s="3" t="str">
        <f>CONCATENATE("SCCJNY84R46A984E")</f>
        <v>SCCJNY84R46A984E</v>
      </c>
      <c r="O339" s="3" t="s">
        <v>634</v>
      </c>
      <c r="P339" s="3" t="s">
        <v>35</v>
      </c>
      <c r="Q339" s="3" t="s">
        <v>455</v>
      </c>
      <c r="R339" s="4">
        <v>45929</v>
      </c>
      <c r="S339" s="3" t="s">
        <v>37</v>
      </c>
      <c r="T339" s="3" t="s">
        <v>38</v>
      </c>
      <c r="U339" s="3" t="s">
        <v>39</v>
      </c>
      <c r="V339" s="3">
        <v>449.74</v>
      </c>
      <c r="W339" s="3">
        <v>191.14</v>
      </c>
      <c r="X339" s="3">
        <v>181.02</v>
      </c>
      <c r="Y339" s="3">
        <v>77.58</v>
      </c>
    </row>
    <row r="340" spans="1:25" ht="25.5" hidden="1" x14ac:dyDescent="0.35">
      <c r="A340" s="3" t="s">
        <v>26</v>
      </c>
      <c r="B340" s="3" t="s">
        <v>27</v>
      </c>
      <c r="C340" s="3" t="s">
        <v>451</v>
      </c>
      <c r="D340" s="3" t="s">
        <v>29</v>
      </c>
      <c r="E340" s="3" t="s">
        <v>458</v>
      </c>
      <c r="F340" s="3" t="s">
        <v>31</v>
      </c>
      <c r="G340" s="3" t="s">
        <v>458</v>
      </c>
      <c r="H340" s="3" t="s">
        <v>453</v>
      </c>
      <c r="I340" s="3">
        <v>2024</v>
      </c>
      <c r="J340" s="3" t="str">
        <f>CONCATENATE("44811491776")</f>
        <v>44811491776</v>
      </c>
      <c r="K340" s="3" t="s">
        <v>33</v>
      </c>
      <c r="L340" s="3" t="str">
        <f t="shared" si="18"/>
        <v/>
      </c>
      <c r="M340" s="3" t="str">
        <f t="shared" si="19"/>
        <v>SRA30</v>
      </c>
      <c r="N340" s="3" t="str">
        <f>CONCATENATE("03850780549")</f>
        <v>03850780549</v>
      </c>
      <c r="O340" s="3" t="s">
        <v>635</v>
      </c>
      <c r="P340" s="3" t="s">
        <v>35</v>
      </c>
      <c r="Q340" s="3" t="s">
        <v>455</v>
      </c>
      <c r="R340" s="4">
        <v>45929</v>
      </c>
      <c r="S340" s="3" t="s">
        <v>37</v>
      </c>
      <c r="T340" s="3" t="s">
        <v>38</v>
      </c>
      <c r="U340" s="3" t="s">
        <v>39</v>
      </c>
      <c r="V340" s="5">
        <v>1004.4</v>
      </c>
      <c r="W340" s="3">
        <v>426.87</v>
      </c>
      <c r="X340" s="3">
        <v>404.27</v>
      </c>
      <c r="Y340" s="3">
        <v>173.26</v>
      </c>
    </row>
    <row r="341" spans="1:25" ht="25.5" hidden="1" x14ac:dyDescent="0.35">
      <c r="A341" s="3" t="s">
        <v>26</v>
      </c>
      <c r="B341" s="3" t="s">
        <v>27</v>
      </c>
      <c r="C341" s="3" t="s">
        <v>451</v>
      </c>
      <c r="D341" s="3" t="s">
        <v>61</v>
      </c>
      <c r="E341" s="3" t="s">
        <v>636</v>
      </c>
      <c r="F341" s="3" t="s">
        <v>63</v>
      </c>
      <c r="G341" s="3" t="s">
        <v>636</v>
      </c>
      <c r="H341" s="3" t="s">
        <v>453</v>
      </c>
      <c r="I341" s="3">
        <v>2024</v>
      </c>
      <c r="J341" s="3" t="str">
        <f>CONCATENATE("44811339603")</f>
        <v>44811339603</v>
      </c>
      <c r="K341" s="3" t="s">
        <v>33</v>
      </c>
      <c r="L341" s="3" t="str">
        <f t="shared" si="18"/>
        <v/>
      </c>
      <c r="M341" s="3" t="str">
        <f t="shared" si="19"/>
        <v>SRA30</v>
      </c>
      <c r="N341" s="3" t="str">
        <f>CONCATENATE("01617460553")</f>
        <v>01617460553</v>
      </c>
      <c r="O341" s="3" t="s">
        <v>637</v>
      </c>
      <c r="P341" s="3" t="s">
        <v>35</v>
      </c>
      <c r="Q341" s="3" t="s">
        <v>455</v>
      </c>
      <c r="R341" s="4">
        <v>45929</v>
      </c>
      <c r="S341" s="3" t="s">
        <v>37</v>
      </c>
      <c r="T341" s="3" t="s">
        <v>38</v>
      </c>
      <c r="U341" s="3" t="s">
        <v>39</v>
      </c>
      <c r="V341" s="3">
        <v>997.45</v>
      </c>
      <c r="W341" s="3">
        <v>423.92</v>
      </c>
      <c r="X341" s="3">
        <v>401.47</v>
      </c>
      <c r="Y341" s="3">
        <v>172.06</v>
      </c>
    </row>
    <row r="342" spans="1:25" ht="25.5" hidden="1" x14ac:dyDescent="0.35">
      <c r="A342" s="3" t="s">
        <v>26</v>
      </c>
      <c r="B342" s="3" t="s">
        <v>27</v>
      </c>
      <c r="C342" s="3" t="s">
        <v>451</v>
      </c>
      <c r="D342" s="3" t="s">
        <v>41</v>
      </c>
      <c r="E342" s="3" t="s">
        <v>638</v>
      </c>
      <c r="F342" s="3" t="s">
        <v>43</v>
      </c>
      <c r="G342" s="3" t="s">
        <v>638</v>
      </c>
      <c r="H342" s="3" t="s">
        <v>453</v>
      </c>
      <c r="I342" s="3">
        <v>2024</v>
      </c>
      <c r="J342" s="3" t="str">
        <f>CONCATENATE("44810825222")</f>
        <v>44810825222</v>
      </c>
      <c r="K342" s="3" t="s">
        <v>33</v>
      </c>
      <c r="L342" s="3" t="str">
        <f t="shared" si="18"/>
        <v/>
      </c>
      <c r="M342" s="3" t="str">
        <f t="shared" si="19"/>
        <v>SRA30</v>
      </c>
      <c r="N342" s="3" t="str">
        <f>CONCATENATE("03509310540")</f>
        <v>03509310540</v>
      </c>
      <c r="O342" s="3" t="s">
        <v>639</v>
      </c>
      <c r="P342" s="3" t="s">
        <v>35</v>
      </c>
      <c r="Q342" s="3" t="s">
        <v>455</v>
      </c>
      <c r="R342" s="4">
        <v>45929</v>
      </c>
      <c r="S342" s="3" t="s">
        <v>37</v>
      </c>
      <c r="T342" s="3" t="s">
        <v>38</v>
      </c>
      <c r="U342" s="3" t="s">
        <v>39</v>
      </c>
      <c r="V342" s="5">
        <v>6595.25</v>
      </c>
      <c r="W342" s="5">
        <v>2802.98</v>
      </c>
      <c r="X342" s="5">
        <v>2654.59</v>
      </c>
      <c r="Y342" s="5">
        <v>1137.68</v>
      </c>
    </row>
    <row r="343" spans="1:25" ht="25.5" hidden="1" x14ac:dyDescent="0.35">
      <c r="A343" s="3" t="s">
        <v>26</v>
      </c>
      <c r="B343" s="3" t="s">
        <v>27</v>
      </c>
      <c r="C343" s="3" t="s">
        <v>451</v>
      </c>
      <c r="D343" s="3" t="s">
        <v>51</v>
      </c>
      <c r="E343" s="3" t="s">
        <v>538</v>
      </c>
      <c r="F343" s="3" t="s">
        <v>51</v>
      </c>
      <c r="G343" s="3" t="s">
        <v>538</v>
      </c>
      <c r="H343" s="3" t="s">
        <v>453</v>
      </c>
      <c r="I343" s="3">
        <v>2024</v>
      </c>
      <c r="J343" s="3" t="str">
        <f>CONCATENATE("44811436680")</f>
        <v>44811436680</v>
      </c>
      <c r="K343" s="3" t="s">
        <v>33</v>
      </c>
      <c r="L343" s="3" t="str">
        <f t="shared" si="18"/>
        <v/>
      </c>
      <c r="M343" s="3" t="str">
        <f t="shared" si="19"/>
        <v>SRA30</v>
      </c>
      <c r="N343" s="3" t="str">
        <f>CONCATENATE("01897040547")</f>
        <v>01897040547</v>
      </c>
      <c r="O343" s="3" t="s">
        <v>640</v>
      </c>
      <c r="P343" s="3" t="s">
        <v>35</v>
      </c>
      <c r="Q343" s="3" t="s">
        <v>455</v>
      </c>
      <c r="R343" s="4">
        <v>45929</v>
      </c>
      <c r="S343" s="3" t="s">
        <v>37</v>
      </c>
      <c r="T343" s="3" t="s">
        <v>38</v>
      </c>
      <c r="U343" s="3" t="s">
        <v>39</v>
      </c>
      <c r="V343" s="5">
        <v>2130.59</v>
      </c>
      <c r="W343" s="3">
        <v>905.5</v>
      </c>
      <c r="X343" s="3">
        <v>857.56</v>
      </c>
      <c r="Y343" s="3">
        <v>367.53</v>
      </c>
    </row>
    <row r="344" spans="1:25" ht="25.5" hidden="1" x14ac:dyDescent="0.35">
      <c r="A344" s="3" t="s">
        <v>26</v>
      </c>
      <c r="B344" s="3" t="s">
        <v>27</v>
      </c>
      <c r="C344" s="3" t="s">
        <v>451</v>
      </c>
      <c r="D344" s="3" t="s">
        <v>61</v>
      </c>
      <c r="E344" s="3" t="s">
        <v>498</v>
      </c>
      <c r="F344" s="3" t="s">
        <v>63</v>
      </c>
      <c r="G344" s="3" t="s">
        <v>498</v>
      </c>
      <c r="H344" s="3" t="s">
        <v>453</v>
      </c>
      <c r="I344" s="3">
        <v>2024</v>
      </c>
      <c r="J344" s="3" t="str">
        <f>CONCATENATE("44811410180")</f>
        <v>44811410180</v>
      </c>
      <c r="K344" s="3" t="s">
        <v>33</v>
      </c>
      <c r="L344" s="3" t="str">
        <f t="shared" si="18"/>
        <v/>
      </c>
      <c r="M344" s="3" t="str">
        <f t="shared" si="19"/>
        <v>SRA30</v>
      </c>
      <c r="N344" s="3" t="str">
        <f>CONCATENATE("00638040550")</f>
        <v>00638040550</v>
      </c>
      <c r="O344" s="3" t="s">
        <v>641</v>
      </c>
      <c r="P344" s="3" t="s">
        <v>35</v>
      </c>
      <c r="Q344" s="3" t="s">
        <v>455</v>
      </c>
      <c r="R344" s="4">
        <v>45929</v>
      </c>
      <c r="S344" s="3" t="s">
        <v>37</v>
      </c>
      <c r="T344" s="3" t="s">
        <v>38</v>
      </c>
      <c r="U344" s="3" t="s">
        <v>39</v>
      </c>
      <c r="V344" s="5">
        <v>2218.13</v>
      </c>
      <c r="W344" s="3">
        <v>942.71</v>
      </c>
      <c r="X344" s="3">
        <v>892.8</v>
      </c>
      <c r="Y344" s="3">
        <v>382.62</v>
      </c>
    </row>
    <row r="345" spans="1:25" ht="25.5" hidden="1" x14ac:dyDescent="0.35">
      <c r="A345" s="3" t="s">
        <v>26</v>
      </c>
      <c r="B345" s="3" t="s">
        <v>27</v>
      </c>
      <c r="C345" s="3" t="s">
        <v>451</v>
      </c>
      <c r="D345" s="3" t="s">
        <v>61</v>
      </c>
      <c r="E345" s="3" t="s">
        <v>619</v>
      </c>
      <c r="F345" s="3" t="s">
        <v>63</v>
      </c>
      <c r="G345" s="3" t="s">
        <v>619</v>
      </c>
      <c r="H345" s="3" t="s">
        <v>453</v>
      </c>
      <c r="I345" s="3">
        <v>2024</v>
      </c>
      <c r="J345" s="3" t="str">
        <f>CONCATENATE("44811330792")</f>
        <v>44811330792</v>
      </c>
      <c r="K345" s="3" t="s">
        <v>33</v>
      </c>
      <c r="L345" s="3" t="str">
        <f t="shared" si="18"/>
        <v/>
      </c>
      <c r="M345" s="3" t="str">
        <f t="shared" si="19"/>
        <v>SRA30</v>
      </c>
      <c r="N345" s="3" t="str">
        <f>CONCATENATE("03502010543")</f>
        <v>03502010543</v>
      </c>
      <c r="O345" s="3" t="s">
        <v>642</v>
      </c>
      <c r="P345" s="3" t="s">
        <v>35</v>
      </c>
      <c r="Q345" s="3" t="s">
        <v>455</v>
      </c>
      <c r="R345" s="4">
        <v>45929</v>
      </c>
      <c r="S345" s="3" t="s">
        <v>37</v>
      </c>
      <c r="T345" s="3" t="s">
        <v>38</v>
      </c>
      <c r="U345" s="3" t="s">
        <v>39</v>
      </c>
      <c r="V345" s="3">
        <v>291.29000000000002</v>
      </c>
      <c r="W345" s="3">
        <v>123.8</v>
      </c>
      <c r="X345" s="3">
        <v>117.24</v>
      </c>
      <c r="Y345" s="3">
        <v>50.25</v>
      </c>
    </row>
    <row r="346" spans="1:25" ht="25.5" hidden="1" x14ac:dyDescent="0.35">
      <c r="A346" s="3" t="s">
        <v>26</v>
      </c>
      <c r="B346" s="3" t="s">
        <v>27</v>
      </c>
      <c r="C346" s="3" t="s">
        <v>451</v>
      </c>
      <c r="D346" s="3" t="s">
        <v>29</v>
      </c>
      <c r="E346" s="3" t="s">
        <v>458</v>
      </c>
      <c r="F346" s="3" t="s">
        <v>31</v>
      </c>
      <c r="G346" s="3" t="s">
        <v>458</v>
      </c>
      <c r="H346" s="3" t="s">
        <v>453</v>
      </c>
      <c r="I346" s="3">
        <v>2024</v>
      </c>
      <c r="J346" s="3" t="str">
        <f>CONCATENATE("44811491974")</f>
        <v>44811491974</v>
      </c>
      <c r="K346" s="3" t="s">
        <v>33</v>
      </c>
      <c r="L346" s="3" t="str">
        <f t="shared" si="18"/>
        <v/>
      </c>
      <c r="M346" s="3" t="str">
        <f t="shared" si="19"/>
        <v>SRA30</v>
      </c>
      <c r="N346" s="3" t="str">
        <f>CONCATENATE("03683610541")</f>
        <v>03683610541</v>
      </c>
      <c r="O346" s="3" t="s">
        <v>643</v>
      </c>
      <c r="P346" s="3" t="s">
        <v>35</v>
      </c>
      <c r="Q346" s="3" t="s">
        <v>455</v>
      </c>
      <c r="R346" s="4">
        <v>45929</v>
      </c>
      <c r="S346" s="3" t="s">
        <v>37</v>
      </c>
      <c r="T346" s="3" t="s">
        <v>38</v>
      </c>
      <c r="U346" s="3" t="s">
        <v>39</v>
      </c>
      <c r="V346" s="5">
        <v>6650.53</v>
      </c>
      <c r="W346" s="5">
        <v>2826.48</v>
      </c>
      <c r="X346" s="5">
        <v>2676.84</v>
      </c>
      <c r="Y346" s="5">
        <v>1147.21</v>
      </c>
    </row>
    <row r="347" spans="1:25" ht="25.5" hidden="1" x14ac:dyDescent="0.35">
      <c r="A347" s="3" t="s">
        <v>26</v>
      </c>
      <c r="B347" s="3" t="s">
        <v>27</v>
      </c>
      <c r="C347" s="3" t="s">
        <v>451</v>
      </c>
      <c r="D347" s="3" t="s">
        <v>61</v>
      </c>
      <c r="E347" s="3" t="s">
        <v>628</v>
      </c>
      <c r="F347" s="3" t="s">
        <v>63</v>
      </c>
      <c r="G347" s="3" t="s">
        <v>628</v>
      </c>
      <c r="H347" s="3" t="s">
        <v>453</v>
      </c>
      <c r="I347" s="3">
        <v>2024</v>
      </c>
      <c r="J347" s="3" t="str">
        <f>CONCATENATE("44810981793")</f>
        <v>44810981793</v>
      </c>
      <c r="K347" s="3" t="s">
        <v>33</v>
      </c>
      <c r="L347" s="3" t="str">
        <f t="shared" si="18"/>
        <v/>
      </c>
      <c r="M347" s="3" t="str">
        <f t="shared" si="19"/>
        <v>SRA30</v>
      </c>
      <c r="N347" s="3" t="str">
        <f>CONCATENATE("01481160545")</f>
        <v>01481160545</v>
      </c>
      <c r="O347" s="3" t="s">
        <v>644</v>
      </c>
      <c r="P347" s="3" t="s">
        <v>35</v>
      </c>
      <c r="Q347" s="3" t="s">
        <v>455</v>
      </c>
      <c r="R347" s="4">
        <v>45929</v>
      </c>
      <c r="S347" s="3" t="s">
        <v>37</v>
      </c>
      <c r="T347" s="3" t="s">
        <v>38</v>
      </c>
      <c r="U347" s="3" t="s">
        <v>39</v>
      </c>
      <c r="V347" s="5">
        <v>11258.34</v>
      </c>
      <c r="W347" s="5">
        <v>4784.79</v>
      </c>
      <c r="X347" s="5">
        <v>4531.4799999999996</v>
      </c>
      <c r="Y347" s="5">
        <v>1942.07</v>
      </c>
    </row>
    <row r="348" spans="1:25" ht="25.5" hidden="1" x14ac:dyDescent="0.35">
      <c r="A348" s="3" t="s">
        <v>26</v>
      </c>
      <c r="B348" s="3" t="s">
        <v>27</v>
      </c>
      <c r="C348" s="3" t="s">
        <v>451</v>
      </c>
      <c r="D348" s="3" t="s">
        <v>29</v>
      </c>
      <c r="E348" s="3" t="s">
        <v>541</v>
      </c>
      <c r="F348" s="3" t="s">
        <v>31</v>
      </c>
      <c r="G348" s="3" t="s">
        <v>541</v>
      </c>
      <c r="H348" s="3" t="s">
        <v>453</v>
      </c>
      <c r="I348" s="3">
        <v>2024</v>
      </c>
      <c r="J348" s="3" t="str">
        <f>CONCATENATE("44811348950")</f>
        <v>44811348950</v>
      </c>
      <c r="K348" s="3" t="s">
        <v>33</v>
      </c>
      <c r="L348" s="3" t="str">
        <f t="shared" si="18"/>
        <v/>
      </c>
      <c r="M348" s="3" t="str">
        <f t="shared" si="19"/>
        <v>SRA30</v>
      </c>
      <c r="N348" s="3" t="str">
        <f>CONCATENATE("01694540558")</f>
        <v>01694540558</v>
      </c>
      <c r="O348" s="3" t="s">
        <v>645</v>
      </c>
      <c r="P348" s="3" t="s">
        <v>35</v>
      </c>
      <c r="Q348" s="3" t="s">
        <v>455</v>
      </c>
      <c r="R348" s="4">
        <v>45929</v>
      </c>
      <c r="S348" s="3" t="s">
        <v>37</v>
      </c>
      <c r="T348" s="3" t="s">
        <v>38</v>
      </c>
      <c r="U348" s="3" t="s">
        <v>39</v>
      </c>
      <c r="V348" s="5">
        <v>1132.1400000000001</v>
      </c>
      <c r="W348" s="3">
        <v>481.16</v>
      </c>
      <c r="X348" s="3">
        <v>455.69</v>
      </c>
      <c r="Y348" s="3">
        <v>195.29</v>
      </c>
    </row>
    <row r="349" spans="1:25" ht="25.5" hidden="1" x14ac:dyDescent="0.35">
      <c r="A349" s="3" t="s">
        <v>26</v>
      </c>
      <c r="B349" s="3" t="s">
        <v>27</v>
      </c>
      <c r="C349" s="3" t="s">
        <v>451</v>
      </c>
      <c r="D349" s="3" t="s">
        <v>29</v>
      </c>
      <c r="E349" s="3" t="s">
        <v>646</v>
      </c>
      <c r="F349" s="3" t="s">
        <v>31</v>
      </c>
      <c r="G349" s="3" t="s">
        <v>646</v>
      </c>
      <c r="H349" s="3" t="s">
        <v>453</v>
      </c>
      <c r="I349" s="3">
        <v>2024</v>
      </c>
      <c r="J349" s="3" t="str">
        <f>CONCATENATE("44810263358")</f>
        <v>44810263358</v>
      </c>
      <c r="K349" s="3" t="s">
        <v>33</v>
      </c>
      <c r="L349" s="3" t="str">
        <f t="shared" si="18"/>
        <v/>
      </c>
      <c r="M349" s="3" t="str">
        <f>CONCATENATE("SRA01")</f>
        <v>SRA01</v>
      </c>
      <c r="N349" s="3" t="str">
        <f>CONCATENATE("03009660543")</f>
        <v>03009660543</v>
      </c>
      <c r="O349" s="3" t="s">
        <v>647</v>
      </c>
      <c r="P349" s="3" t="s">
        <v>35</v>
      </c>
      <c r="Q349" s="3" t="s">
        <v>648</v>
      </c>
      <c r="R349" s="4">
        <v>45917</v>
      </c>
      <c r="S349" s="3" t="s">
        <v>37</v>
      </c>
      <c r="T349" s="3" t="s">
        <v>38</v>
      </c>
      <c r="U349" s="3" t="s">
        <v>39</v>
      </c>
      <c r="V349" s="5">
        <v>1217.6099999999999</v>
      </c>
      <c r="W349" s="3">
        <v>517.48</v>
      </c>
      <c r="X349" s="3">
        <v>490.09</v>
      </c>
      <c r="Y349" s="3">
        <v>210.04</v>
      </c>
    </row>
    <row r="350" spans="1:25" ht="25.5" hidden="1" x14ac:dyDescent="0.35">
      <c r="A350" s="3" t="s">
        <v>26</v>
      </c>
      <c r="B350" s="3" t="s">
        <v>27</v>
      </c>
      <c r="C350" s="3" t="s">
        <v>451</v>
      </c>
      <c r="D350" s="3" t="s">
        <v>41</v>
      </c>
      <c r="E350" s="3" t="s">
        <v>649</v>
      </c>
      <c r="F350" s="3" t="s">
        <v>43</v>
      </c>
      <c r="G350" s="3" t="s">
        <v>649</v>
      </c>
      <c r="H350" s="3" t="s">
        <v>453</v>
      </c>
      <c r="I350" s="3">
        <v>2024</v>
      </c>
      <c r="J350" s="3" t="str">
        <f>CONCATENATE("44810500791")</f>
        <v>44810500791</v>
      </c>
      <c r="K350" s="3" t="s">
        <v>33</v>
      </c>
      <c r="L350" s="3" t="str">
        <f t="shared" si="18"/>
        <v/>
      </c>
      <c r="M350" s="3" t="str">
        <f>CONCATENATE("SRA01")</f>
        <v>SRA01</v>
      </c>
      <c r="N350" s="3" t="str">
        <f>CONCATENATE("01339710558")</f>
        <v>01339710558</v>
      </c>
      <c r="O350" s="3" t="s">
        <v>650</v>
      </c>
      <c r="P350" s="3" t="s">
        <v>35</v>
      </c>
      <c r="Q350" s="3" t="s">
        <v>648</v>
      </c>
      <c r="R350" s="4">
        <v>45917</v>
      </c>
      <c r="S350" s="3" t="s">
        <v>37</v>
      </c>
      <c r="T350" s="3" t="s">
        <v>38</v>
      </c>
      <c r="U350" s="3" t="s">
        <v>39</v>
      </c>
      <c r="V350" s="3">
        <v>424.35</v>
      </c>
      <c r="W350" s="3">
        <v>180.35</v>
      </c>
      <c r="X350" s="3">
        <v>170.8</v>
      </c>
      <c r="Y350" s="3">
        <v>73.2</v>
      </c>
    </row>
    <row r="351" spans="1:25" ht="25.5" hidden="1" x14ac:dyDescent="0.35">
      <c r="A351" s="3" t="s">
        <v>26</v>
      </c>
      <c r="B351" s="3" t="s">
        <v>27</v>
      </c>
      <c r="C351" s="3" t="s">
        <v>451</v>
      </c>
      <c r="D351" s="3" t="s">
        <v>29</v>
      </c>
      <c r="E351" s="3" t="s">
        <v>651</v>
      </c>
      <c r="F351" s="3" t="s">
        <v>31</v>
      </c>
      <c r="G351" s="3" t="s">
        <v>651</v>
      </c>
      <c r="H351" s="3" t="s">
        <v>453</v>
      </c>
      <c r="I351" s="3">
        <v>2024</v>
      </c>
      <c r="J351" s="3" t="str">
        <f>CONCATENATE("44810808053")</f>
        <v>44810808053</v>
      </c>
      <c r="K351" s="3" t="s">
        <v>33</v>
      </c>
      <c r="L351" s="3" t="str">
        <f t="shared" si="18"/>
        <v/>
      </c>
      <c r="M351" s="3" t="str">
        <f>CONCATENATE("SRA29")</f>
        <v>SRA29</v>
      </c>
      <c r="N351" s="3" t="str">
        <f>CONCATENATE("01751980549")</f>
        <v>01751980549</v>
      </c>
      <c r="O351" s="3" t="s">
        <v>652</v>
      </c>
      <c r="P351" s="3" t="s">
        <v>35</v>
      </c>
      <c r="Q351" s="3" t="s">
        <v>464</v>
      </c>
      <c r="R351" s="4">
        <v>45917</v>
      </c>
      <c r="S351" s="3" t="s">
        <v>37</v>
      </c>
      <c r="T351" s="3" t="s">
        <v>38</v>
      </c>
      <c r="U351" s="3" t="s">
        <v>39</v>
      </c>
      <c r="V351" s="5">
        <v>5811.78</v>
      </c>
      <c r="W351" s="5">
        <v>2470.0100000000002</v>
      </c>
      <c r="X351" s="5">
        <v>2339.2399999999998</v>
      </c>
      <c r="Y351" s="5">
        <v>1002.53</v>
      </c>
    </row>
    <row r="352" spans="1:25" ht="41.5" hidden="1" x14ac:dyDescent="0.35">
      <c r="A352" s="3" t="s">
        <v>26</v>
      </c>
      <c r="B352" s="3" t="s">
        <v>27</v>
      </c>
      <c r="C352" s="3" t="s">
        <v>451</v>
      </c>
      <c r="D352" s="3" t="s">
        <v>61</v>
      </c>
      <c r="E352" s="3" t="s">
        <v>653</v>
      </c>
      <c r="F352" s="3" t="s">
        <v>63</v>
      </c>
      <c r="G352" s="3" t="s">
        <v>653</v>
      </c>
      <c r="H352" s="3" t="s">
        <v>453</v>
      </c>
      <c r="I352" s="3">
        <v>2024</v>
      </c>
      <c r="J352" s="3" t="str">
        <f>CONCATENATE("44811182714")</f>
        <v>44811182714</v>
      </c>
      <c r="K352" s="3" t="s">
        <v>33</v>
      </c>
      <c r="L352" s="3" t="str">
        <f t="shared" si="18"/>
        <v/>
      </c>
      <c r="M352" s="3" t="str">
        <f>CONCATENATE("SRA29")</f>
        <v>SRA29</v>
      </c>
      <c r="N352" s="3" t="str">
        <f>CONCATENATE("CMBRRT73S11E230D")</f>
        <v>CMBRRT73S11E230D</v>
      </c>
      <c r="O352" s="3" t="s">
        <v>654</v>
      </c>
      <c r="P352" s="3" t="s">
        <v>35</v>
      </c>
      <c r="Q352" s="3" t="s">
        <v>464</v>
      </c>
      <c r="R352" s="4">
        <v>45917</v>
      </c>
      <c r="S352" s="3" t="s">
        <v>37</v>
      </c>
      <c r="T352" s="3" t="s">
        <v>38</v>
      </c>
      <c r="U352" s="3" t="s">
        <v>39</v>
      </c>
      <c r="V352" s="3">
        <v>816.85</v>
      </c>
      <c r="W352" s="3">
        <v>347.16</v>
      </c>
      <c r="X352" s="3">
        <v>328.78</v>
      </c>
      <c r="Y352" s="3">
        <v>140.91</v>
      </c>
    </row>
    <row r="353" spans="1:25" ht="25.5" hidden="1" x14ac:dyDescent="0.35">
      <c r="A353" s="3" t="s">
        <v>26</v>
      </c>
      <c r="B353" s="3" t="s">
        <v>27</v>
      </c>
      <c r="C353" s="3" t="s">
        <v>451</v>
      </c>
      <c r="D353" s="3" t="s">
        <v>41</v>
      </c>
      <c r="E353" s="3" t="s">
        <v>638</v>
      </c>
      <c r="F353" s="3" t="s">
        <v>43</v>
      </c>
      <c r="G353" s="3" t="s">
        <v>638</v>
      </c>
      <c r="H353" s="3" t="s">
        <v>453</v>
      </c>
      <c r="I353" s="3">
        <v>2024</v>
      </c>
      <c r="J353" s="3" t="str">
        <f>CONCATENATE("44810984813")</f>
        <v>44810984813</v>
      </c>
      <c r="K353" s="3" t="s">
        <v>33</v>
      </c>
      <c r="L353" s="3" t="str">
        <f t="shared" si="18"/>
        <v/>
      </c>
      <c r="M353" s="3" t="str">
        <f>CONCATENATE("SRA29")</f>
        <v>SRA29</v>
      </c>
      <c r="N353" s="3" t="str">
        <f>CONCATENATE("03477440543")</f>
        <v>03477440543</v>
      </c>
      <c r="O353" s="3" t="s">
        <v>655</v>
      </c>
      <c r="P353" s="3" t="s">
        <v>35</v>
      </c>
      <c r="Q353" s="3" t="s">
        <v>464</v>
      </c>
      <c r="R353" s="4">
        <v>45917</v>
      </c>
      <c r="S353" s="3" t="s">
        <v>37</v>
      </c>
      <c r="T353" s="3" t="s">
        <v>38</v>
      </c>
      <c r="U353" s="3" t="s">
        <v>39</v>
      </c>
      <c r="V353" s="5">
        <v>3580.09</v>
      </c>
      <c r="W353" s="5">
        <v>1521.54</v>
      </c>
      <c r="X353" s="5">
        <v>1440.99</v>
      </c>
      <c r="Y353" s="3">
        <v>617.55999999999995</v>
      </c>
    </row>
    <row r="354" spans="1:25" ht="41.5" hidden="1" x14ac:dyDescent="0.35">
      <c r="A354" s="3" t="s">
        <v>26</v>
      </c>
      <c r="B354" s="3" t="s">
        <v>27</v>
      </c>
      <c r="C354" s="3" t="s">
        <v>451</v>
      </c>
      <c r="D354" s="3" t="s">
        <v>61</v>
      </c>
      <c r="E354" s="3" t="s">
        <v>656</v>
      </c>
      <c r="F354" s="3" t="s">
        <v>63</v>
      </c>
      <c r="G354" s="3" t="s">
        <v>656</v>
      </c>
      <c r="H354" s="3" t="s">
        <v>453</v>
      </c>
      <c r="I354" s="3">
        <v>2024</v>
      </c>
      <c r="J354" s="3" t="str">
        <f>CONCATENATE("44811122819")</f>
        <v>44811122819</v>
      </c>
      <c r="K354" s="3" t="s">
        <v>33</v>
      </c>
      <c r="L354" s="3" t="str">
        <f t="shared" si="18"/>
        <v/>
      </c>
      <c r="M354" s="3" t="str">
        <f>CONCATENATE("SRA29")</f>
        <v>SRA29</v>
      </c>
      <c r="N354" s="3" t="str">
        <f>CONCATENATE("SMPGZN83P23D653D")</f>
        <v>SMPGZN83P23D653D</v>
      </c>
      <c r="O354" s="3" t="s">
        <v>657</v>
      </c>
      <c r="P354" s="3" t="s">
        <v>35</v>
      </c>
      <c r="Q354" s="3" t="s">
        <v>560</v>
      </c>
      <c r="R354" s="4">
        <v>45917</v>
      </c>
      <c r="S354" s="3" t="s">
        <v>37</v>
      </c>
      <c r="T354" s="3" t="s">
        <v>38</v>
      </c>
      <c r="U354" s="3" t="s">
        <v>39</v>
      </c>
      <c r="V354" s="5">
        <v>1305.97</v>
      </c>
      <c r="W354" s="3">
        <v>555.04</v>
      </c>
      <c r="X354" s="3">
        <v>525.65</v>
      </c>
      <c r="Y354" s="3">
        <v>225.28</v>
      </c>
    </row>
    <row r="355" spans="1:25" ht="33.5" hidden="1" x14ac:dyDescent="0.35">
      <c r="A355" s="3" t="s">
        <v>26</v>
      </c>
      <c r="B355" s="3" t="s">
        <v>27</v>
      </c>
      <c r="C355" s="3" t="s">
        <v>658</v>
      </c>
      <c r="D355" s="3" t="s">
        <v>41</v>
      </c>
      <c r="E355" s="3" t="s">
        <v>659</v>
      </c>
      <c r="F355" s="3" t="s">
        <v>43</v>
      </c>
      <c r="G355" s="3" t="s">
        <v>659</v>
      </c>
      <c r="H355" s="3" t="s">
        <v>660</v>
      </c>
      <c r="I355" s="3">
        <v>2024</v>
      </c>
      <c r="J355" s="3" t="str">
        <f>CONCATENATE("44811923521")</f>
        <v>44811923521</v>
      </c>
      <c r="K355" s="3" t="s">
        <v>33</v>
      </c>
      <c r="L355" s="3" t="str">
        <f t="shared" si="18"/>
        <v/>
      </c>
      <c r="M355" s="3" t="str">
        <f>CONCATENATE("SRA30")</f>
        <v>SRA30</v>
      </c>
      <c r="N355" s="3" t="str">
        <f>CONCATENATE("PCCCLL62P20E379L")</f>
        <v>PCCCLL62P20E379L</v>
      </c>
      <c r="O355" s="3" t="s">
        <v>661</v>
      </c>
      <c r="P355" s="3" t="s">
        <v>35</v>
      </c>
      <c r="Q355" s="3" t="s">
        <v>662</v>
      </c>
      <c r="R355" s="4">
        <v>45926</v>
      </c>
      <c r="S355" s="3" t="s">
        <v>37</v>
      </c>
      <c r="T355" s="3" t="s">
        <v>38</v>
      </c>
      <c r="U355" s="3" t="s">
        <v>39</v>
      </c>
      <c r="V355" s="5">
        <v>3260</v>
      </c>
      <c r="W355" s="5">
        <v>1326.82</v>
      </c>
      <c r="X355" s="5">
        <v>1353.23</v>
      </c>
      <c r="Y355" s="3">
        <v>579.95000000000005</v>
      </c>
    </row>
    <row r="356" spans="1:25" ht="41.5" hidden="1" x14ac:dyDescent="0.35">
      <c r="A356" s="3" t="s">
        <v>26</v>
      </c>
      <c r="B356" s="3" t="s">
        <v>27</v>
      </c>
      <c r="C356" s="3" t="s">
        <v>470</v>
      </c>
      <c r="D356" s="3" t="s">
        <v>61</v>
      </c>
      <c r="E356" s="3" t="s">
        <v>663</v>
      </c>
      <c r="F356" s="3" t="s">
        <v>63</v>
      </c>
      <c r="G356" s="3" t="s">
        <v>663</v>
      </c>
      <c r="H356" s="3" t="s">
        <v>664</v>
      </c>
      <c r="I356" s="3">
        <v>2024</v>
      </c>
      <c r="J356" s="3" t="str">
        <f>CONCATENATE("44820173100")</f>
        <v>44820173100</v>
      </c>
      <c r="K356" s="3" t="s">
        <v>33</v>
      </c>
      <c r="L356" s="3" t="str">
        <f t="shared" si="18"/>
        <v/>
      </c>
      <c r="M356" s="3" t="str">
        <f>CONCATENATE("SRB01")</f>
        <v>SRB01</v>
      </c>
      <c r="N356" s="3" t="str">
        <f>CONCATENATE("LMNNCH53B46D909L")</f>
        <v>LMNNCH53B46D909L</v>
      </c>
      <c r="O356" s="3" t="s">
        <v>665</v>
      </c>
      <c r="P356" s="3" t="s">
        <v>35</v>
      </c>
      <c r="Q356" s="3" t="s">
        <v>666</v>
      </c>
      <c r="R356" s="4">
        <v>45915</v>
      </c>
      <c r="S356" s="3" t="s">
        <v>37</v>
      </c>
      <c r="T356" s="3" t="s">
        <v>38</v>
      </c>
      <c r="U356" s="3" t="s">
        <v>39</v>
      </c>
      <c r="V356" s="3">
        <v>944.74</v>
      </c>
      <c r="W356" s="3">
        <v>477.09</v>
      </c>
      <c r="X356" s="3">
        <v>327.35000000000002</v>
      </c>
      <c r="Y356" s="3">
        <v>140.30000000000001</v>
      </c>
    </row>
    <row r="357" spans="1:25" ht="41.5" hidden="1" x14ac:dyDescent="0.35">
      <c r="A357" s="3" t="s">
        <v>26</v>
      </c>
      <c r="B357" s="3" t="s">
        <v>27</v>
      </c>
      <c r="C357" s="3" t="s">
        <v>478</v>
      </c>
      <c r="D357" s="3" t="s">
        <v>41</v>
      </c>
      <c r="E357" s="3" t="s">
        <v>667</v>
      </c>
      <c r="F357" s="3" t="s">
        <v>43</v>
      </c>
      <c r="G357" s="3" t="s">
        <v>667</v>
      </c>
      <c r="H357" s="3" t="s">
        <v>604</v>
      </c>
      <c r="I357" s="3">
        <v>2024</v>
      </c>
      <c r="J357" s="3" t="str">
        <f>CONCATENATE("44810385219")</f>
        <v>44810385219</v>
      </c>
      <c r="K357" s="3" t="s">
        <v>33</v>
      </c>
      <c r="L357" s="3" t="str">
        <f t="shared" si="18"/>
        <v/>
      </c>
      <c r="M357" s="3" t="str">
        <f>CONCATENATE("SRA14")</f>
        <v>SRA14</v>
      </c>
      <c r="N357" s="3" t="str">
        <f>CONCATENATE("SLVLSN86S51A509P")</f>
        <v>SLVLSN86S51A509P</v>
      </c>
      <c r="O357" s="3" t="s">
        <v>668</v>
      </c>
      <c r="P357" s="3" t="s">
        <v>35</v>
      </c>
      <c r="Q357" s="3" t="s">
        <v>669</v>
      </c>
      <c r="R357" s="4">
        <v>45915</v>
      </c>
      <c r="S357" s="3" t="s">
        <v>37</v>
      </c>
      <c r="T357" s="3" t="s">
        <v>38</v>
      </c>
      <c r="U357" s="3" t="s">
        <v>39</v>
      </c>
      <c r="V357" s="5">
        <v>9648</v>
      </c>
      <c r="W357" s="5">
        <v>4872.24</v>
      </c>
      <c r="X357" s="5">
        <v>3343.03</v>
      </c>
      <c r="Y357" s="5">
        <v>1432.73</v>
      </c>
    </row>
    <row r="358" spans="1:25" ht="25.5" hidden="1" x14ac:dyDescent="0.35">
      <c r="A358" s="3" t="s">
        <v>26</v>
      </c>
      <c r="B358" s="3" t="s">
        <v>27</v>
      </c>
      <c r="C358" s="3" t="s">
        <v>465</v>
      </c>
      <c r="D358" s="3" t="s">
        <v>29</v>
      </c>
      <c r="E358" s="3" t="s">
        <v>466</v>
      </c>
      <c r="F358" s="3" t="s">
        <v>31</v>
      </c>
      <c r="G358" s="3" t="s">
        <v>466</v>
      </c>
      <c r="H358" s="3" t="s">
        <v>467</v>
      </c>
      <c r="I358" s="3">
        <v>2024</v>
      </c>
      <c r="J358" s="3" t="str">
        <f>CONCATENATE("44811316668")</f>
        <v>44811316668</v>
      </c>
      <c r="K358" s="3" t="s">
        <v>33</v>
      </c>
      <c r="L358" s="3" t="str">
        <f t="shared" si="18"/>
        <v/>
      </c>
      <c r="M358" s="3" t="str">
        <f>CONCATENATE("SRA08")</f>
        <v>SRA08</v>
      </c>
      <c r="N358" s="3" t="str">
        <f>CONCATENATE("01771010665")</f>
        <v>01771010665</v>
      </c>
      <c r="O358" s="3" t="s">
        <v>670</v>
      </c>
      <c r="P358" s="3" t="s">
        <v>35</v>
      </c>
      <c r="Q358" s="3" t="s">
        <v>566</v>
      </c>
      <c r="R358" s="4">
        <v>45926</v>
      </c>
      <c r="S358" s="3" t="s">
        <v>37</v>
      </c>
      <c r="T358" s="3" t="s">
        <v>38</v>
      </c>
      <c r="U358" s="3" t="s">
        <v>39</v>
      </c>
      <c r="V358" s="5">
        <v>1876.66</v>
      </c>
      <c r="W358" s="3">
        <v>797.58</v>
      </c>
      <c r="X358" s="3">
        <v>755.36</v>
      </c>
      <c r="Y358" s="3">
        <v>323.72000000000003</v>
      </c>
    </row>
    <row r="359" spans="1:25" ht="49.5" hidden="1" x14ac:dyDescent="0.35">
      <c r="A359" s="3" t="s">
        <v>26</v>
      </c>
      <c r="B359" s="3" t="s">
        <v>27</v>
      </c>
      <c r="C359" s="3" t="s">
        <v>465</v>
      </c>
      <c r="D359" s="3" t="s">
        <v>41</v>
      </c>
      <c r="E359" s="3" t="s">
        <v>671</v>
      </c>
      <c r="F359" s="3" t="s">
        <v>43</v>
      </c>
      <c r="G359" s="3" t="s">
        <v>671</v>
      </c>
      <c r="H359" s="3" t="s">
        <v>467</v>
      </c>
      <c r="I359" s="3">
        <v>2024</v>
      </c>
      <c r="J359" s="3" t="str">
        <f>CONCATENATE("44820453130")</f>
        <v>44820453130</v>
      </c>
      <c r="K359" s="3" t="s">
        <v>33</v>
      </c>
      <c r="L359" s="3" t="str">
        <f t="shared" si="18"/>
        <v/>
      </c>
      <c r="M359" s="3" t="str">
        <f>CONCATENATE("SRB01")</f>
        <v>SRB01</v>
      </c>
      <c r="N359" s="3" t="str">
        <f>CONCATENATE("CMRFNN84R08A345H")</f>
        <v>CMRFNN84R08A345H</v>
      </c>
      <c r="O359" s="3" t="s">
        <v>672</v>
      </c>
      <c r="P359" s="3" t="s">
        <v>35</v>
      </c>
      <c r="Q359" s="3" t="s">
        <v>469</v>
      </c>
      <c r="R359" s="4">
        <v>45926</v>
      </c>
      <c r="S359" s="3" t="s">
        <v>37</v>
      </c>
      <c r="T359" s="3" t="s">
        <v>38</v>
      </c>
      <c r="U359" s="3" t="s">
        <v>39</v>
      </c>
      <c r="V359" s="5">
        <v>2337.54</v>
      </c>
      <c r="W359" s="3">
        <v>993.45</v>
      </c>
      <c r="X359" s="3">
        <v>940.86</v>
      </c>
      <c r="Y359" s="3">
        <v>403.23</v>
      </c>
    </row>
    <row r="360" spans="1:25" ht="41.5" hidden="1" x14ac:dyDescent="0.35">
      <c r="A360" s="3" t="s">
        <v>26</v>
      </c>
      <c r="B360" s="3" t="s">
        <v>27</v>
      </c>
      <c r="C360" s="3" t="s">
        <v>465</v>
      </c>
      <c r="D360" s="3" t="s">
        <v>29</v>
      </c>
      <c r="E360" s="3" t="s">
        <v>466</v>
      </c>
      <c r="F360" s="3" t="s">
        <v>31</v>
      </c>
      <c r="G360" s="3" t="s">
        <v>466</v>
      </c>
      <c r="H360" s="3" t="s">
        <v>467</v>
      </c>
      <c r="I360" s="3">
        <v>2024</v>
      </c>
      <c r="J360" s="3" t="str">
        <f>CONCATENATE("44820416236")</f>
        <v>44820416236</v>
      </c>
      <c r="K360" s="3" t="s">
        <v>33</v>
      </c>
      <c r="L360" s="3" t="str">
        <f t="shared" si="18"/>
        <v/>
      </c>
      <c r="M360" s="3" t="str">
        <f>CONCATENATE("SRB01")</f>
        <v>SRB01</v>
      </c>
      <c r="N360" s="3" t="str">
        <f>CONCATENATE("DMRFNC63P26C492N")</f>
        <v>DMRFNC63P26C492N</v>
      </c>
      <c r="O360" s="3" t="s">
        <v>673</v>
      </c>
      <c r="P360" s="3" t="s">
        <v>35</v>
      </c>
      <c r="Q360" s="3" t="s">
        <v>469</v>
      </c>
      <c r="R360" s="4">
        <v>45926</v>
      </c>
      <c r="S360" s="3" t="s">
        <v>37</v>
      </c>
      <c r="T360" s="3" t="s">
        <v>38</v>
      </c>
      <c r="U360" s="3" t="s">
        <v>39</v>
      </c>
      <c r="V360" s="5">
        <v>3345.84</v>
      </c>
      <c r="W360" s="5">
        <v>1421.98</v>
      </c>
      <c r="X360" s="5">
        <v>1346.7</v>
      </c>
      <c r="Y360" s="3">
        <v>577.16</v>
      </c>
    </row>
    <row r="361" spans="1:25" ht="41.5" hidden="1" x14ac:dyDescent="0.35">
      <c r="A361" s="3" t="s">
        <v>26</v>
      </c>
      <c r="B361" s="3" t="s">
        <v>27</v>
      </c>
      <c r="C361" s="3" t="s">
        <v>465</v>
      </c>
      <c r="D361" s="3" t="s">
        <v>41</v>
      </c>
      <c r="E361" s="3" t="s">
        <v>671</v>
      </c>
      <c r="F361" s="3" t="s">
        <v>43</v>
      </c>
      <c r="G361" s="3" t="s">
        <v>671</v>
      </c>
      <c r="H361" s="3" t="s">
        <v>467</v>
      </c>
      <c r="I361" s="3">
        <v>2024</v>
      </c>
      <c r="J361" s="3" t="str">
        <f>CONCATENATE("44820214532")</f>
        <v>44820214532</v>
      </c>
      <c r="K361" s="3" t="s">
        <v>33</v>
      </c>
      <c r="L361" s="3" t="str">
        <f t="shared" si="18"/>
        <v/>
      </c>
      <c r="M361" s="3" t="str">
        <f>CONCATENATE("SRB01")</f>
        <v>SRB01</v>
      </c>
      <c r="N361" s="3" t="str">
        <f>CONCATENATE("DRCDNL79R26A515L")</f>
        <v>DRCDNL79R26A515L</v>
      </c>
      <c r="O361" s="3" t="s">
        <v>674</v>
      </c>
      <c r="P361" s="3" t="s">
        <v>35</v>
      </c>
      <c r="Q361" s="3" t="s">
        <v>469</v>
      </c>
      <c r="R361" s="4">
        <v>45926</v>
      </c>
      <c r="S361" s="3" t="s">
        <v>37</v>
      </c>
      <c r="T361" s="3" t="s">
        <v>38</v>
      </c>
      <c r="U361" s="3" t="s">
        <v>39</v>
      </c>
      <c r="V361" s="5">
        <v>1955.78</v>
      </c>
      <c r="W361" s="3">
        <v>831.21</v>
      </c>
      <c r="X361" s="3">
        <v>787.2</v>
      </c>
      <c r="Y361" s="3">
        <v>337.37</v>
      </c>
    </row>
    <row r="362" spans="1:25" ht="41.5" hidden="1" x14ac:dyDescent="0.35">
      <c r="A362" s="3" t="s">
        <v>26</v>
      </c>
      <c r="B362" s="3" t="s">
        <v>27</v>
      </c>
      <c r="C362" s="3" t="s">
        <v>470</v>
      </c>
      <c r="D362" s="3" t="s">
        <v>41</v>
      </c>
      <c r="E362" s="3" t="s">
        <v>675</v>
      </c>
      <c r="F362" s="3" t="s">
        <v>43</v>
      </c>
      <c r="G362" s="3" t="s">
        <v>675</v>
      </c>
      <c r="H362" s="3" t="s">
        <v>664</v>
      </c>
      <c r="I362" s="3">
        <v>2024</v>
      </c>
      <c r="J362" s="3" t="str">
        <f>CONCATENATE("44811347283")</f>
        <v>44811347283</v>
      </c>
      <c r="K362" s="3" t="s">
        <v>33</v>
      </c>
      <c r="L362" s="3" t="str">
        <f t="shared" si="18"/>
        <v/>
      </c>
      <c r="M362" s="3" t="str">
        <f>CONCATENATE("SRA14")</f>
        <v>SRA14</v>
      </c>
      <c r="N362" s="3" t="str">
        <f>CONCATENATE("CSTGTN62T12B743G")</f>
        <v>CSTGTN62T12B743G</v>
      </c>
      <c r="O362" s="3" t="s">
        <v>676</v>
      </c>
      <c r="P362" s="3" t="s">
        <v>35</v>
      </c>
      <c r="Q362" s="3" t="s">
        <v>677</v>
      </c>
      <c r="R362" s="4">
        <v>45915</v>
      </c>
      <c r="S362" s="3" t="s">
        <v>37</v>
      </c>
      <c r="T362" s="3" t="s">
        <v>38</v>
      </c>
      <c r="U362" s="3" t="s">
        <v>39</v>
      </c>
      <c r="V362" s="5">
        <v>1982.79</v>
      </c>
      <c r="W362" s="5">
        <v>1001.31</v>
      </c>
      <c r="X362" s="3">
        <v>687.04</v>
      </c>
      <c r="Y362" s="3">
        <v>294.44</v>
      </c>
    </row>
    <row r="363" spans="1:25" ht="41.5" hidden="1" x14ac:dyDescent="0.35">
      <c r="A363" s="3" t="s">
        <v>26</v>
      </c>
      <c r="B363" s="3" t="s">
        <v>27</v>
      </c>
      <c r="C363" s="3" t="s">
        <v>470</v>
      </c>
      <c r="D363" s="3" t="s">
        <v>41</v>
      </c>
      <c r="E363" s="3" t="s">
        <v>678</v>
      </c>
      <c r="F363" s="3" t="s">
        <v>43</v>
      </c>
      <c r="G363" s="3" t="s">
        <v>678</v>
      </c>
      <c r="H363" s="3" t="s">
        <v>472</v>
      </c>
      <c r="I363" s="3">
        <v>2024</v>
      </c>
      <c r="J363" s="3" t="str">
        <f>CONCATENATE("44811918034")</f>
        <v>44811918034</v>
      </c>
      <c r="K363" s="3" t="s">
        <v>33</v>
      </c>
      <c r="L363" s="3" t="str">
        <f t="shared" si="18"/>
        <v/>
      </c>
      <c r="M363" s="3" t="str">
        <f>CONCATENATE("SRA03")</f>
        <v>SRA03</v>
      </c>
      <c r="N363" s="3" t="str">
        <f>CONCATENATE("PTTNTN50H21F104S")</f>
        <v>PTTNTN50H21F104S</v>
      </c>
      <c r="O363" s="3" t="s">
        <v>679</v>
      </c>
      <c r="P363" s="3" t="s">
        <v>35</v>
      </c>
      <c r="Q363" s="3" t="s">
        <v>474</v>
      </c>
      <c r="R363" s="4">
        <v>45916</v>
      </c>
      <c r="S363" s="3" t="s">
        <v>37</v>
      </c>
      <c r="T363" s="3" t="s">
        <v>38</v>
      </c>
      <c r="U363" s="3" t="s">
        <v>39</v>
      </c>
      <c r="V363" s="5">
        <v>3108.78</v>
      </c>
      <c r="W363" s="5">
        <v>1569.93</v>
      </c>
      <c r="X363" s="5">
        <v>1077.19</v>
      </c>
      <c r="Y363" s="3">
        <v>461.66</v>
      </c>
    </row>
    <row r="364" spans="1:25" ht="41.5" hidden="1" x14ac:dyDescent="0.35">
      <c r="A364" s="3" t="s">
        <v>26</v>
      </c>
      <c r="B364" s="3" t="s">
        <v>27</v>
      </c>
      <c r="C364" s="3" t="s">
        <v>470</v>
      </c>
      <c r="D364" s="3" t="s">
        <v>364</v>
      </c>
      <c r="E364" s="3" t="s">
        <v>680</v>
      </c>
      <c r="F364" s="3" t="s">
        <v>43</v>
      </c>
      <c r="G364" s="3" t="s">
        <v>681</v>
      </c>
      <c r="H364" s="3" t="s">
        <v>664</v>
      </c>
      <c r="I364" s="3">
        <v>2024</v>
      </c>
      <c r="J364" s="3" t="str">
        <f>CONCATENATE("44811327798")</f>
        <v>44811327798</v>
      </c>
      <c r="K364" s="3" t="s">
        <v>33</v>
      </c>
      <c r="L364" s="3" t="str">
        <f t="shared" si="18"/>
        <v/>
      </c>
      <c r="M364" s="3" t="str">
        <f>CONCATENATE("SRA14")</f>
        <v>SRA14</v>
      </c>
      <c r="N364" s="3" t="str">
        <f>CONCATENATE("DCNGPR85D26E919U")</f>
        <v>DCNGPR85D26E919U</v>
      </c>
      <c r="O364" s="3" t="s">
        <v>682</v>
      </c>
      <c r="P364" s="3" t="s">
        <v>35</v>
      </c>
      <c r="Q364" s="3" t="s">
        <v>677</v>
      </c>
      <c r="R364" s="4">
        <v>45915</v>
      </c>
      <c r="S364" s="3" t="s">
        <v>37</v>
      </c>
      <c r="T364" s="3" t="s">
        <v>38</v>
      </c>
      <c r="U364" s="3" t="s">
        <v>39</v>
      </c>
      <c r="V364" s="5">
        <v>4634.57</v>
      </c>
      <c r="W364" s="5">
        <v>2340.46</v>
      </c>
      <c r="X364" s="5">
        <v>1605.88</v>
      </c>
      <c r="Y364" s="3">
        <v>688.23</v>
      </c>
    </row>
    <row r="365" spans="1:25" ht="41.5" hidden="1" x14ac:dyDescent="0.35">
      <c r="A365" s="3" t="s">
        <v>26</v>
      </c>
      <c r="B365" s="3" t="s">
        <v>27</v>
      </c>
      <c r="C365" s="3" t="s">
        <v>470</v>
      </c>
      <c r="D365" s="3" t="s">
        <v>41</v>
      </c>
      <c r="E365" s="3" t="s">
        <v>683</v>
      </c>
      <c r="F365" s="3" t="s">
        <v>43</v>
      </c>
      <c r="G365" s="3" t="s">
        <v>683</v>
      </c>
      <c r="H365" s="3" t="s">
        <v>472</v>
      </c>
      <c r="I365" s="3">
        <v>2024</v>
      </c>
      <c r="J365" s="3" t="str">
        <f>CONCATENATE("44810356442")</f>
        <v>44810356442</v>
      </c>
      <c r="K365" s="3" t="s">
        <v>33</v>
      </c>
      <c r="L365" s="3" t="str">
        <f t="shared" si="18"/>
        <v/>
      </c>
      <c r="M365" s="3" t="str">
        <f t="shared" ref="M365:M370" si="20">CONCATENATE("SRA03")</f>
        <v>SRA03</v>
      </c>
      <c r="N365" s="3" t="str">
        <f>CONCATENATE("GRDSVR92L04E977N")</f>
        <v>GRDSVR92L04E977N</v>
      </c>
      <c r="O365" s="3" t="s">
        <v>684</v>
      </c>
      <c r="P365" s="3" t="s">
        <v>35</v>
      </c>
      <c r="Q365" s="3" t="s">
        <v>474</v>
      </c>
      <c r="R365" s="4">
        <v>45916</v>
      </c>
      <c r="S365" s="3" t="s">
        <v>37</v>
      </c>
      <c r="T365" s="3" t="s">
        <v>38</v>
      </c>
      <c r="U365" s="3" t="s">
        <v>39</v>
      </c>
      <c r="V365" s="5">
        <v>1779.92</v>
      </c>
      <c r="W365" s="3">
        <v>898.86</v>
      </c>
      <c r="X365" s="3">
        <v>616.74</v>
      </c>
      <c r="Y365" s="3">
        <v>264.32</v>
      </c>
    </row>
    <row r="366" spans="1:25" ht="49.5" hidden="1" x14ac:dyDescent="0.35">
      <c r="A366" s="3" t="s">
        <v>26</v>
      </c>
      <c r="B366" s="3" t="s">
        <v>27</v>
      </c>
      <c r="C366" s="3" t="s">
        <v>470</v>
      </c>
      <c r="D366" s="3" t="s">
        <v>29</v>
      </c>
      <c r="E366" s="3" t="s">
        <v>685</v>
      </c>
      <c r="F366" s="3" t="s">
        <v>31</v>
      </c>
      <c r="G366" s="3" t="s">
        <v>685</v>
      </c>
      <c r="H366" s="3" t="s">
        <v>472</v>
      </c>
      <c r="I366" s="3">
        <v>2024</v>
      </c>
      <c r="J366" s="3" t="str">
        <f>CONCATENATE("44811019551")</f>
        <v>44811019551</v>
      </c>
      <c r="K366" s="3" t="s">
        <v>33</v>
      </c>
      <c r="L366" s="3" t="str">
        <f t="shared" si="18"/>
        <v/>
      </c>
      <c r="M366" s="3" t="str">
        <f t="shared" si="20"/>
        <v>SRA03</v>
      </c>
      <c r="N366" s="3" t="str">
        <f>CONCATENATE("GRSCRN80M44A225H")</f>
        <v>GRSCRN80M44A225H</v>
      </c>
      <c r="O366" s="3" t="s">
        <v>686</v>
      </c>
      <c r="P366" s="3" t="s">
        <v>35</v>
      </c>
      <c r="Q366" s="3" t="s">
        <v>474</v>
      </c>
      <c r="R366" s="4">
        <v>45916</v>
      </c>
      <c r="S366" s="3" t="s">
        <v>37</v>
      </c>
      <c r="T366" s="3" t="s">
        <v>38</v>
      </c>
      <c r="U366" s="3" t="s">
        <v>39</v>
      </c>
      <c r="V366" s="5">
        <v>14298.81</v>
      </c>
      <c r="W366" s="5">
        <v>7220.9</v>
      </c>
      <c r="X366" s="5">
        <v>4954.54</v>
      </c>
      <c r="Y366" s="5">
        <v>2123.37</v>
      </c>
    </row>
    <row r="367" spans="1:25" ht="41.5" hidden="1" x14ac:dyDescent="0.35">
      <c r="A367" s="3" t="s">
        <v>26</v>
      </c>
      <c r="B367" s="3" t="s">
        <v>27</v>
      </c>
      <c r="C367" s="3" t="s">
        <v>470</v>
      </c>
      <c r="D367" s="3" t="s">
        <v>41</v>
      </c>
      <c r="E367" s="3" t="s">
        <v>687</v>
      </c>
      <c r="F367" s="3" t="s">
        <v>43</v>
      </c>
      <c r="G367" s="3" t="s">
        <v>687</v>
      </c>
      <c r="H367" s="3" t="s">
        <v>472</v>
      </c>
      <c r="I367" s="3">
        <v>2024</v>
      </c>
      <c r="J367" s="3" t="str">
        <f>CONCATENATE("44810335024")</f>
        <v>44810335024</v>
      </c>
      <c r="K367" s="3" t="s">
        <v>33</v>
      </c>
      <c r="L367" s="3" t="str">
        <f t="shared" si="18"/>
        <v/>
      </c>
      <c r="M367" s="3" t="str">
        <f t="shared" si="20"/>
        <v>SRA03</v>
      </c>
      <c r="N367" s="3" t="str">
        <f>CONCATENATE("GRSGPP45L23F006M")</f>
        <v>GRSGPP45L23F006M</v>
      </c>
      <c r="O367" s="3" t="s">
        <v>688</v>
      </c>
      <c r="P367" s="3" t="s">
        <v>35</v>
      </c>
      <c r="Q367" s="3" t="s">
        <v>474</v>
      </c>
      <c r="R367" s="4">
        <v>45916</v>
      </c>
      <c r="S367" s="3" t="s">
        <v>37</v>
      </c>
      <c r="T367" s="3" t="s">
        <v>38</v>
      </c>
      <c r="U367" s="3" t="s">
        <v>39</v>
      </c>
      <c r="V367" s="3">
        <v>425.76</v>
      </c>
      <c r="W367" s="3">
        <v>215.01</v>
      </c>
      <c r="X367" s="3">
        <v>147.53</v>
      </c>
      <c r="Y367" s="3">
        <v>63.22</v>
      </c>
    </row>
    <row r="368" spans="1:25" ht="41.5" hidden="1" x14ac:dyDescent="0.35">
      <c r="A368" s="3" t="s">
        <v>26</v>
      </c>
      <c r="B368" s="3" t="s">
        <v>27</v>
      </c>
      <c r="C368" s="3" t="s">
        <v>470</v>
      </c>
      <c r="D368" s="3" t="s">
        <v>41</v>
      </c>
      <c r="E368" s="3" t="s">
        <v>689</v>
      </c>
      <c r="F368" s="3" t="s">
        <v>43</v>
      </c>
      <c r="G368" s="3" t="s">
        <v>689</v>
      </c>
      <c r="H368" s="3" t="s">
        <v>472</v>
      </c>
      <c r="I368" s="3">
        <v>2024</v>
      </c>
      <c r="J368" s="3" t="str">
        <f>CONCATENATE("44810498525")</f>
        <v>44810498525</v>
      </c>
      <c r="K368" s="3" t="s">
        <v>33</v>
      </c>
      <c r="L368" s="3" t="str">
        <f t="shared" si="18"/>
        <v/>
      </c>
      <c r="M368" s="3" t="str">
        <f t="shared" si="20"/>
        <v>SRA03</v>
      </c>
      <c r="N368" s="3" t="str">
        <f>CONCATENATE("MAILCN75B22L738P")</f>
        <v>MAILCN75B22L738P</v>
      </c>
      <c r="O368" s="3" t="s">
        <v>690</v>
      </c>
      <c r="P368" s="3" t="s">
        <v>35</v>
      </c>
      <c r="Q368" s="3" t="s">
        <v>474</v>
      </c>
      <c r="R368" s="4">
        <v>45916</v>
      </c>
      <c r="S368" s="3" t="s">
        <v>37</v>
      </c>
      <c r="T368" s="3" t="s">
        <v>38</v>
      </c>
      <c r="U368" s="3" t="s">
        <v>39</v>
      </c>
      <c r="V368" s="5">
        <v>4885.0200000000004</v>
      </c>
      <c r="W368" s="5">
        <v>2466.94</v>
      </c>
      <c r="X368" s="5">
        <v>1692.66</v>
      </c>
      <c r="Y368" s="3">
        <v>725.42</v>
      </c>
    </row>
    <row r="369" spans="1:25" ht="41.5" hidden="1" x14ac:dyDescent="0.35">
      <c r="A369" s="3" t="s">
        <v>26</v>
      </c>
      <c r="B369" s="3" t="s">
        <v>27</v>
      </c>
      <c r="C369" s="3" t="s">
        <v>470</v>
      </c>
      <c r="D369" s="3" t="s">
        <v>41</v>
      </c>
      <c r="E369" s="3" t="s">
        <v>687</v>
      </c>
      <c r="F369" s="3" t="s">
        <v>43</v>
      </c>
      <c r="G369" s="3" t="s">
        <v>687</v>
      </c>
      <c r="H369" s="3" t="s">
        <v>472</v>
      </c>
      <c r="I369" s="3">
        <v>2024</v>
      </c>
      <c r="J369" s="3" t="str">
        <f>CONCATENATE("44810236685")</f>
        <v>44810236685</v>
      </c>
      <c r="K369" s="3" t="s">
        <v>33</v>
      </c>
      <c r="L369" s="3" t="str">
        <f t="shared" si="18"/>
        <v/>
      </c>
      <c r="M369" s="3" t="str">
        <f t="shared" si="20"/>
        <v>SRA03</v>
      </c>
      <c r="N369" s="3" t="str">
        <f>CONCATENATE("RNLDNT93T15L738N")</f>
        <v>RNLDNT93T15L738N</v>
      </c>
      <c r="O369" s="3" t="s">
        <v>691</v>
      </c>
      <c r="P369" s="3" t="s">
        <v>35</v>
      </c>
      <c r="Q369" s="3" t="s">
        <v>474</v>
      </c>
      <c r="R369" s="4">
        <v>45916</v>
      </c>
      <c r="S369" s="3" t="s">
        <v>37</v>
      </c>
      <c r="T369" s="3" t="s">
        <v>38</v>
      </c>
      <c r="U369" s="3" t="s">
        <v>39</v>
      </c>
      <c r="V369" s="5">
        <v>6066.03</v>
      </c>
      <c r="W369" s="5">
        <v>3063.35</v>
      </c>
      <c r="X369" s="5">
        <v>2101.88</v>
      </c>
      <c r="Y369" s="3">
        <v>900.8</v>
      </c>
    </row>
    <row r="370" spans="1:25" ht="41.5" hidden="1" x14ac:dyDescent="0.35">
      <c r="A370" s="3" t="s">
        <v>26</v>
      </c>
      <c r="B370" s="3" t="s">
        <v>27</v>
      </c>
      <c r="C370" s="3" t="s">
        <v>470</v>
      </c>
      <c r="D370" s="3" t="s">
        <v>75</v>
      </c>
      <c r="E370" s="3" t="s">
        <v>471</v>
      </c>
      <c r="F370" s="3" t="s">
        <v>77</v>
      </c>
      <c r="G370" s="3" t="s">
        <v>471</v>
      </c>
      <c r="H370" s="3" t="s">
        <v>472</v>
      </c>
      <c r="I370" s="3">
        <v>2024</v>
      </c>
      <c r="J370" s="3" t="str">
        <f>CONCATENATE("44810647469")</f>
        <v>44810647469</v>
      </c>
      <c r="K370" s="3" t="s">
        <v>33</v>
      </c>
      <c r="L370" s="3" t="str">
        <f t="shared" si="18"/>
        <v/>
      </c>
      <c r="M370" s="3" t="str">
        <f t="shared" si="20"/>
        <v>SRA03</v>
      </c>
      <c r="N370" s="3" t="str">
        <f>CONCATENATE("PTTMRZ68C21F104V")</f>
        <v>PTTMRZ68C21F104V</v>
      </c>
      <c r="O370" s="3" t="s">
        <v>692</v>
      </c>
      <c r="P370" s="3" t="s">
        <v>35</v>
      </c>
      <c r="Q370" s="3" t="s">
        <v>474</v>
      </c>
      <c r="R370" s="4">
        <v>45916</v>
      </c>
      <c r="S370" s="3" t="s">
        <v>37</v>
      </c>
      <c r="T370" s="3" t="s">
        <v>38</v>
      </c>
      <c r="U370" s="3" t="s">
        <v>39</v>
      </c>
      <c r="V370" s="5">
        <v>1319.49</v>
      </c>
      <c r="W370" s="3">
        <v>666.34</v>
      </c>
      <c r="X370" s="3">
        <v>457.2</v>
      </c>
      <c r="Y370" s="3">
        <v>195.95</v>
      </c>
    </row>
    <row r="371" spans="1:25" ht="41.5" hidden="1" x14ac:dyDescent="0.35">
      <c r="A371" s="3" t="s">
        <v>26</v>
      </c>
      <c r="B371" s="3" t="s">
        <v>27</v>
      </c>
      <c r="C371" s="3" t="s">
        <v>478</v>
      </c>
      <c r="D371" s="3" t="s">
        <v>75</v>
      </c>
      <c r="E371" s="3" t="s">
        <v>582</v>
      </c>
      <c r="F371" s="3" t="s">
        <v>77</v>
      </c>
      <c r="G371" s="3" t="s">
        <v>582</v>
      </c>
      <c r="H371" s="3" t="s">
        <v>484</v>
      </c>
      <c r="I371" s="3">
        <v>2024</v>
      </c>
      <c r="J371" s="3" t="str">
        <f>CONCATENATE("44810485332")</f>
        <v>44810485332</v>
      </c>
      <c r="K371" s="3" t="s">
        <v>33</v>
      </c>
      <c r="L371" s="3" t="str">
        <f t="shared" si="18"/>
        <v/>
      </c>
      <c r="M371" s="3" t="str">
        <f t="shared" ref="M371:M380" si="21">CONCATENATE("SRA30")</f>
        <v>SRA30</v>
      </c>
      <c r="N371" s="3" t="str">
        <f>CONCATENATE("GRNMRA72D70L259S")</f>
        <v>GRNMRA72D70L259S</v>
      </c>
      <c r="O371" s="3" t="s">
        <v>693</v>
      </c>
      <c r="P371" s="3" t="s">
        <v>35</v>
      </c>
      <c r="Q371" s="3" t="s">
        <v>482</v>
      </c>
      <c r="R371" s="4">
        <v>45917</v>
      </c>
      <c r="S371" s="3" t="s">
        <v>37</v>
      </c>
      <c r="T371" s="3" t="s">
        <v>38</v>
      </c>
      <c r="U371" s="3" t="s">
        <v>39</v>
      </c>
      <c r="V371" s="5">
        <v>15865.01</v>
      </c>
      <c r="W371" s="5">
        <v>8011.83</v>
      </c>
      <c r="X371" s="5">
        <v>5497.23</v>
      </c>
      <c r="Y371" s="5">
        <v>2355.9499999999998</v>
      </c>
    </row>
    <row r="372" spans="1:25" ht="41.5" hidden="1" x14ac:dyDescent="0.35">
      <c r="A372" s="3" t="s">
        <v>26</v>
      </c>
      <c r="B372" s="3" t="s">
        <v>27</v>
      </c>
      <c r="C372" s="3" t="s">
        <v>478</v>
      </c>
      <c r="D372" s="3" t="s">
        <v>41</v>
      </c>
      <c r="E372" s="3" t="s">
        <v>694</v>
      </c>
      <c r="F372" s="3" t="s">
        <v>43</v>
      </c>
      <c r="G372" s="3" t="s">
        <v>694</v>
      </c>
      <c r="H372" s="3" t="s">
        <v>484</v>
      </c>
      <c r="I372" s="3">
        <v>2024</v>
      </c>
      <c r="J372" s="3" t="str">
        <f>CONCATENATE("44810618387")</f>
        <v>44810618387</v>
      </c>
      <c r="K372" s="3" t="s">
        <v>33</v>
      </c>
      <c r="L372" s="3" t="str">
        <f t="shared" si="18"/>
        <v/>
      </c>
      <c r="M372" s="3" t="str">
        <f t="shared" si="21"/>
        <v>SRA30</v>
      </c>
      <c r="N372" s="3" t="str">
        <f>CONCATENATE("MRTGNN86D29B715T")</f>
        <v>MRTGNN86D29B715T</v>
      </c>
      <c r="O372" s="3" t="s">
        <v>695</v>
      </c>
      <c r="P372" s="3" t="s">
        <v>35</v>
      </c>
      <c r="Q372" s="3" t="s">
        <v>482</v>
      </c>
      <c r="R372" s="4">
        <v>45917</v>
      </c>
      <c r="S372" s="3" t="s">
        <v>37</v>
      </c>
      <c r="T372" s="3" t="s">
        <v>38</v>
      </c>
      <c r="U372" s="3" t="s">
        <v>39</v>
      </c>
      <c r="V372" s="5">
        <v>35661.480000000003</v>
      </c>
      <c r="W372" s="5">
        <v>18009.05</v>
      </c>
      <c r="X372" s="5">
        <v>12356.7</v>
      </c>
      <c r="Y372" s="5">
        <v>5295.73</v>
      </c>
    </row>
    <row r="373" spans="1:25" ht="49.5" hidden="1" x14ac:dyDescent="0.35">
      <c r="A373" s="3" t="s">
        <v>26</v>
      </c>
      <c r="B373" s="3" t="s">
        <v>27</v>
      </c>
      <c r="C373" s="3" t="s">
        <v>478</v>
      </c>
      <c r="D373" s="3" t="s">
        <v>29</v>
      </c>
      <c r="E373" s="3" t="s">
        <v>588</v>
      </c>
      <c r="F373" s="3" t="s">
        <v>31</v>
      </c>
      <c r="G373" s="3" t="s">
        <v>588</v>
      </c>
      <c r="H373" s="3" t="s">
        <v>484</v>
      </c>
      <c r="I373" s="3">
        <v>2024</v>
      </c>
      <c r="J373" s="3" t="str">
        <f>CONCATENATE("44810336402")</f>
        <v>44810336402</v>
      </c>
      <c r="K373" s="3" t="s">
        <v>33</v>
      </c>
      <c r="L373" s="3" t="str">
        <f t="shared" si="18"/>
        <v/>
      </c>
      <c r="M373" s="3" t="str">
        <f t="shared" si="21"/>
        <v>SRA30</v>
      </c>
      <c r="N373" s="3" t="str">
        <f>CONCATENATE("PTRFNC76D06B963H")</f>
        <v>PTRFNC76D06B963H</v>
      </c>
      <c r="O373" s="3" t="s">
        <v>696</v>
      </c>
      <c r="P373" s="3" t="s">
        <v>35</v>
      </c>
      <c r="Q373" s="3" t="s">
        <v>482</v>
      </c>
      <c r="R373" s="4">
        <v>45917</v>
      </c>
      <c r="S373" s="3" t="s">
        <v>37</v>
      </c>
      <c r="T373" s="3" t="s">
        <v>38</v>
      </c>
      <c r="U373" s="3" t="s">
        <v>39</v>
      </c>
      <c r="V373" s="5">
        <v>40000</v>
      </c>
      <c r="W373" s="5">
        <v>20200</v>
      </c>
      <c r="X373" s="5">
        <v>13860</v>
      </c>
      <c r="Y373" s="5">
        <v>5940</v>
      </c>
    </row>
    <row r="374" spans="1:25" ht="41.5" hidden="1" x14ac:dyDescent="0.35">
      <c r="A374" s="3" t="s">
        <v>26</v>
      </c>
      <c r="B374" s="3" t="s">
        <v>27</v>
      </c>
      <c r="C374" s="3" t="s">
        <v>478</v>
      </c>
      <c r="D374" s="3" t="s">
        <v>41</v>
      </c>
      <c r="E374" s="3" t="s">
        <v>483</v>
      </c>
      <c r="F374" s="3" t="s">
        <v>43</v>
      </c>
      <c r="G374" s="3" t="s">
        <v>697</v>
      </c>
      <c r="H374" s="3" t="s">
        <v>484</v>
      </c>
      <c r="I374" s="3">
        <v>2024</v>
      </c>
      <c r="J374" s="3" t="str">
        <f>CONCATENATE("44810327294")</f>
        <v>44810327294</v>
      </c>
      <c r="K374" s="3" t="s">
        <v>33</v>
      </c>
      <c r="L374" s="3" t="str">
        <f t="shared" si="18"/>
        <v/>
      </c>
      <c r="M374" s="3" t="str">
        <f t="shared" si="21"/>
        <v>SRA30</v>
      </c>
      <c r="N374" s="3" t="str">
        <f>CONCATENATE("RSTMRA63B64I234O")</f>
        <v>RSTMRA63B64I234O</v>
      </c>
      <c r="O374" s="3" t="s">
        <v>698</v>
      </c>
      <c r="P374" s="3" t="s">
        <v>35</v>
      </c>
      <c r="Q374" s="3" t="s">
        <v>482</v>
      </c>
      <c r="R374" s="4">
        <v>45917</v>
      </c>
      <c r="S374" s="3" t="s">
        <v>37</v>
      </c>
      <c r="T374" s="3" t="s">
        <v>38</v>
      </c>
      <c r="U374" s="3" t="s">
        <v>39</v>
      </c>
      <c r="V374" s="5">
        <v>40000</v>
      </c>
      <c r="W374" s="5">
        <v>20200</v>
      </c>
      <c r="X374" s="5">
        <v>13860</v>
      </c>
      <c r="Y374" s="5">
        <v>5940</v>
      </c>
    </row>
    <row r="375" spans="1:25" ht="41.5" hidden="1" x14ac:dyDescent="0.35">
      <c r="A375" s="3" t="s">
        <v>26</v>
      </c>
      <c r="B375" s="3" t="s">
        <v>27</v>
      </c>
      <c r="C375" s="3" t="s">
        <v>478</v>
      </c>
      <c r="D375" s="3" t="s">
        <v>41</v>
      </c>
      <c r="E375" s="3" t="s">
        <v>699</v>
      </c>
      <c r="F375" s="3" t="s">
        <v>43</v>
      </c>
      <c r="G375" s="3" t="s">
        <v>699</v>
      </c>
      <c r="H375" s="3" t="s">
        <v>484</v>
      </c>
      <c r="I375" s="3">
        <v>2024</v>
      </c>
      <c r="J375" s="3" t="str">
        <f>CONCATENATE("44810089175")</f>
        <v>44810089175</v>
      </c>
      <c r="K375" s="3" t="s">
        <v>33</v>
      </c>
      <c r="L375" s="3" t="str">
        <f t="shared" si="18"/>
        <v/>
      </c>
      <c r="M375" s="3" t="str">
        <f t="shared" si="21"/>
        <v>SRA30</v>
      </c>
      <c r="N375" s="3" t="str">
        <f>CONCATENATE("ZRANTM93R11F839F")</f>
        <v>ZRANTM93R11F839F</v>
      </c>
      <c r="O375" s="3" t="s">
        <v>700</v>
      </c>
      <c r="P375" s="3" t="s">
        <v>35</v>
      </c>
      <c r="Q375" s="3" t="s">
        <v>482</v>
      </c>
      <c r="R375" s="4">
        <v>45917</v>
      </c>
      <c r="S375" s="3" t="s">
        <v>37</v>
      </c>
      <c r="T375" s="3" t="s">
        <v>38</v>
      </c>
      <c r="U375" s="3" t="s">
        <v>39</v>
      </c>
      <c r="V375" s="5">
        <v>40000</v>
      </c>
      <c r="W375" s="5">
        <v>20200</v>
      </c>
      <c r="X375" s="5">
        <v>13860</v>
      </c>
      <c r="Y375" s="5">
        <v>5940</v>
      </c>
    </row>
    <row r="376" spans="1:25" ht="41.5" hidden="1" x14ac:dyDescent="0.35">
      <c r="A376" s="3" t="s">
        <v>26</v>
      </c>
      <c r="B376" s="3" t="s">
        <v>27</v>
      </c>
      <c r="C376" s="3" t="s">
        <v>478</v>
      </c>
      <c r="D376" s="3" t="s">
        <v>41</v>
      </c>
      <c r="E376" s="3" t="s">
        <v>694</v>
      </c>
      <c r="F376" s="3" t="s">
        <v>43</v>
      </c>
      <c r="G376" s="3" t="s">
        <v>694</v>
      </c>
      <c r="H376" s="3" t="s">
        <v>484</v>
      </c>
      <c r="I376" s="3">
        <v>2024</v>
      </c>
      <c r="J376" s="3" t="str">
        <f>CONCATENATE("44810396174")</f>
        <v>44810396174</v>
      </c>
      <c r="K376" s="3" t="s">
        <v>33</v>
      </c>
      <c r="L376" s="3" t="str">
        <f t="shared" si="18"/>
        <v/>
      </c>
      <c r="M376" s="3" t="str">
        <f t="shared" si="21"/>
        <v>SRA30</v>
      </c>
      <c r="N376" s="3" t="str">
        <f>CONCATENATE("TRTCTD63B66C291P")</f>
        <v>TRTCTD63B66C291P</v>
      </c>
      <c r="O376" s="3" t="s">
        <v>701</v>
      </c>
      <c r="P376" s="3" t="s">
        <v>35</v>
      </c>
      <c r="Q376" s="3" t="s">
        <v>576</v>
      </c>
      <c r="R376" s="4">
        <v>45926</v>
      </c>
      <c r="S376" s="3" t="s">
        <v>37</v>
      </c>
      <c r="T376" s="3" t="s">
        <v>38</v>
      </c>
      <c r="U376" s="3" t="s">
        <v>39</v>
      </c>
      <c r="V376" s="3">
        <v>602.95000000000005</v>
      </c>
      <c r="W376" s="3">
        <v>304.49</v>
      </c>
      <c r="X376" s="3">
        <v>208.92</v>
      </c>
      <c r="Y376" s="3">
        <v>89.54</v>
      </c>
    </row>
    <row r="377" spans="1:25" ht="25.5" hidden="1" x14ac:dyDescent="0.35">
      <c r="A377" s="3" t="s">
        <v>26</v>
      </c>
      <c r="B377" s="3" t="s">
        <v>27</v>
      </c>
      <c r="C377" s="3" t="s">
        <v>478</v>
      </c>
      <c r="D377" s="3" t="s">
        <v>51</v>
      </c>
      <c r="E377" s="3" t="s">
        <v>702</v>
      </c>
      <c r="F377" s="3" t="s">
        <v>51</v>
      </c>
      <c r="G377" s="3" t="s">
        <v>702</v>
      </c>
      <c r="H377" s="3" t="s">
        <v>480</v>
      </c>
      <c r="I377" s="3">
        <v>2024</v>
      </c>
      <c r="J377" s="3" t="str">
        <f>CONCATENATE("44811323144")</f>
        <v>44811323144</v>
      </c>
      <c r="K377" s="3" t="s">
        <v>33</v>
      </c>
      <c r="L377" s="3" t="str">
        <f t="shared" si="18"/>
        <v/>
      </c>
      <c r="M377" s="3" t="str">
        <f t="shared" si="21"/>
        <v>SRA30</v>
      </c>
      <c r="N377" s="3" t="str">
        <f>CONCATENATE("05908720658")</f>
        <v>05908720658</v>
      </c>
      <c r="O377" s="3" t="s">
        <v>703</v>
      </c>
      <c r="P377" s="3" t="s">
        <v>35</v>
      </c>
      <c r="Q377" s="3" t="s">
        <v>576</v>
      </c>
      <c r="R377" s="4">
        <v>45926</v>
      </c>
      <c r="S377" s="3" t="s">
        <v>37</v>
      </c>
      <c r="T377" s="3" t="s">
        <v>38</v>
      </c>
      <c r="U377" s="3" t="s">
        <v>39</v>
      </c>
      <c r="V377" s="5">
        <v>40000</v>
      </c>
      <c r="W377" s="5">
        <v>20200</v>
      </c>
      <c r="X377" s="5">
        <v>13860</v>
      </c>
      <c r="Y377" s="5">
        <v>5940</v>
      </c>
    </row>
    <row r="378" spans="1:25" ht="41.5" hidden="1" x14ac:dyDescent="0.35">
      <c r="A378" s="3" t="s">
        <v>26</v>
      </c>
      <c r="B378" s="3" t="s">
        <v>27</v>
      </c>
      <c r="C378" s="3" t="s">
        <v>478</v>
      </c>
      <c r="D378" s="3" t="s">
        <v>41</v>
      </c>
      <c r="E378" s="3" t="s">
        <v>483</v>
      </c>
      <c r="F378" s="3" t="s">
        <v>43</v>
      </c>
      <c r="G378" s="3" t="s">
        <v>483</v>
      </c>
      <c r="H378" s="3" t="s">
        <v>484</v>
      </c>
      <c r="I378" s="3">
        <v>2024</v>
      </c>
      <c r="J378" s="3" t="str">
        <f>CONCATENATE("44811148491")</f>
        <v>44811148491</v>
      </c>
      <c r="K378" s="3" t="s">
        <v>33</v>
      </c>
      <c r="L378" s="3" t="str">
        <f t="shared" si="18"/>
        <v/>
      </c>
      <c r="M378" s="3" t="str">
        <f t="shared" si="21"/>
        <v>SRA30</v>
      </c>
      <c r="N378" s="3" t="str">
        <f>CONCATENATE("MCANRC71C27B715O")</f>
        <v>MCANRC71C27B715O</v>
      </c>
      <c r="O378" s="3" t="s">
        <v>704</v>
      </c>
      <c r="P378" s="3" t="s">
        <v>35</v>
      </c>
      <c r="Q378" s="3" t="s">
        <v>576</v>
      </c>
      <c r="R378" s="4">
        <v>45926</v>
      </c>
      <c r="S378" s="3" t="s">
        <v>37</v>
      </c>
      <c r="T378" s="3" t="s">
        <v>38</v>
      </c>
      <c r="U378" s="3" t="s">
        <v>39</v>
      </c>
      <c r="V378" s="5">
        <v>1386.2</v>
      </c>
      <c r="W378" s="3">
        <v>700.03</v>
      </c>
      <c r="X378" s="3">
        <v>480.32</v>
      </c>
      <c r="Y378" s="3">
        <v>205.85</v>
      </c>
    </row>
    <row r="379" spans="1:25" ht="49.5" hidden="1" x14ac:dyDescent="0.35">
      <c r="A379" s="3" t="s">
        <v>26</v>
      </c>
      <c r="B379" s="3" t="s">
        <v>27</v>
      </c>
      <c r="C379" s="3" t="s">
        <v>478</v>
      </c>
      <c r="D379" s="3" t="s">
        <v>61</v>
      </c>
      <c r="E379" s="3" t="s">
        <v>705</v>
      </c>
      <c r="F379" s="3" t="s">
        <v>63</v>
      </c>
      <c r="G379" s="3" t="s">
        <v>705</v>
      </c>
      <c r="H379" s="3" t="s">
        <v>484</v>
      </c>
      <c r="I379" s="3">
        <v>2024</v>
      </c>
      <c r="J379" s="3" t="str">
        <f>CONCATENATE("44811426236")</f>
        <v>44811426236</v>
      </c>
      <c r="K379" s="3" t="s">
        <v>33</v>
      </c>
      <c r="L379" s="3" t="str">
        <f t="shared" si="18"/>
        <v/>
      </c>
      <c r="M379" s="3" t="str">
        <f t="shared" si="21"/>
        <v>SRA30</v>
      </c>
      <c r="N379" s="3" t="str">
        <f>CONCATENATE("PGNRTR45D01H798U")</f>
        <v>PGNRTR45D01H798U</v>
      </c>
      <c r="O379" s="3" t="s">
        <v>706</v>
      </c>
      <c r="P379" s="3" t="s">
        <v>35</v>
      </c>
      <c r="Q379" s="3" t="s">
        <v>576</v>
      </c>
      <c r="R379" s="4">
        <v>45926</v>
      </c>
      <c r="S379" s="3" t="s">
        <v>37</v>
      </c>
      <c r="T379" s="3" t="s">
        <v>38</v>
      </c>
      <c r="U379" s="3" t="s">
        <v>39</v>
      </c>
      <c r="V379" s="5">
        <v>2060.1999999999998</v>
      </c>
      <c r="W379" s="5">
        <v>1040.4000000000001</v>
      </c>
      <c r="X379" s="3">
        <v>713.86</v>
      </c>
      <c r="Y379" s="3">
        <v>305.94</v>
      </c>
    </row>
    <row r="380" spans="1:25" ht="41.5" hidden="1" x14ac:dyDescent="0.35">
      <c r="A380" s="3" t="s">
        <v>26</v>
      </c>
      <c r="B380" s="3" t="s">
        <v>27</v>
      </c>
      <c r="C380" s="3" t="s">
        <v>478</v>
      </c>
      <c r="D380" s="3" t="s">
        <v>61</v>
      </c>
      <c r="E380" s="3" t="s">
        <v>707</v>
      </c>
      <c r="F380" s="3" t="s">
        <v>63</v>
      </c>
      <c r="G380" s="3" t="s">
        <v>707</v>
      </c>
      <c r="H380" s="3" t="s">
        <v>480</v>
      </c>
      <c r="I380" s="3">
        <v>2024</v>
      </c>
      <c r="J380" s="3" t="str">
        <f>CONCATENATE("44811427531")</f>
        <v>44811427531</v>
      </c>
      <c r="K380" s="3" t="s">
        <v>33</v>
      </c>
      <c r="L380" s="3" t="str">
        <f t="shared" si="18"/>
        <v/>
      </c>
      <c r="M380" s="3" t="str">
        <f t="shared" si="21"/>
        <v>SRA30</v>
      </c>
      <c r="N380" s="3" t="str">
        <f>CONCATENATE("SDNMRA62S59G793T")</f>
        <v>SDNMRA62S59G793T</v>
      </c>
      <c r="O380" s="3" t="s">
        <v>708</v>
      </c>
      <c r="P380" s="3" t="s">
        <v>35</v>
      </c>
      <c r="Q380" s="3" t="s">
        <v>576</v>
      </c>
      <c r="R380" s="4">
        <v>45926</v>
      </c>
      <c r="S380" s="3" t="s">
        <v>37</v>
      </c>
      <c r="T380" s="3" t="s">
        <v>38</v>
      </c>
      <c r="U380" s="3" t="s">
        <v>39</v>
      </c>
      <c r="V380" s="5">
        <v>1316.91</v>
      </c>
      <c r="W380" s="3">
        <v>665.04</v>
      </c>
      <c r="X380" s="3">
        <v>456.31</v>
      </c>
      <c r="Y380" s="3">
        <v>195.56</v>
      </c>
    </row>
    <row r="381" spans="1:25" ht="41.5" hidden="1" x14ac:dyDescent="0.35">
      <c r="A381" s="3" t="s">
        <v>26</v>
      </c>
      <c r="B381" s="3" t="s">
        <v>27</v>
      </c>
      <c r="C381" s="3" t="s">
        <v>478</v>
      </c>
      <c r="D381" s="3" t="s">
        <v>41</v>
      </c>
      <c r="E381" s="3" t="s">
        <v>709</v>
      </c>
      <c r="F381" s="3" t="s">
        <v>43</v>
      </c>
      <c r="G381" s="3" t="s">
        <v>709</v>
      </c>
      <c r="H381" s="3" t="s">
        <v>484</v>
      </c>
      <c r="I381" s="3">
        <v>2024</v>
      </c>
      <c r="J381" s="3" t="str">
        <f>CONCATENATE("44810160679")</f>
        <v>44810160679</v>
      </c>
      <c r="K381" s="3" t="s">
        <v>33</v>
      </c>
      <c r="L381" s="3" t="str">
        <f t="shared" si="18"/>
        <v/>
      </c>
      <c r="M381" s="3" t="str">
        <f>CONCATENATE("SRA29")</f>
        <v>SRA29</v>
      </c>
      <c r="N381" s="3" t="str">
        <f>CONCATENATE("NTNMRA91D05L725I")</f>
        <v>NTNMRA91D05L725I</v>
      </c>
      <c r="O381" s="3" t="s">
        <v>710</v>
      </c>
      <c r="P381" s="3" t="s">
        <v>35</v>
      </c>
      <c r="Q381" s="3" t="s">
        <v>578</v>
      </c>
      <c r="R381" s="4">
        <v>45931</v>
      </c>
      <c r="S381" s="3" t="s">
        <v>37</v>
      </c>
      <c r="T381" s="3" t="s">
        <v>38</v>
      </c>
      <c r="U381" s="3" t="s">
        <v>39</v>
      </c>
      <c r="V381" s="5">
        <v>1497.42</v>
      </c>
      <c r="W381" s="3">
        <v>756.2</v>
      </c>
      <c r="X381" s="3">
        <v>518.86</v>
      </c>
      <c r="Y381" s="3">
        <v>222.36</v>
      </c>
    </row>
    <row r="382" spans="1:25" ht="41.5" hidden="1" x14ac:dyDescent="0.35">
      <c r="A382" s="3" t="s">
        <v>26</v>
      </c>
      <c r="B382" s="3" t="s">
        <v>27</v>
      </c>
      <c r="C382" s="3" t="s">
        <v>478</v>
      </c>
      <c r="D382" s="3" t="s">
        <v>61</v>
      </c>
      <c r="E382" s="3" t="s">
        <v>579</v>
      </c>
      <c r="F382" s="3" t="s">
        <v>51</v>
      </c>
      <c r="G382" s="3" t="s">
        <v>585</v>
      </c>
      <c r="H382" s="3" t="s">
        <v>484</v>
      </c>
      <c r="I382" s="3">
        <v>2024</v>
      </c>
      <c r="J382" s="3" t="str">
        <f>CONCATENATE("44810914679")</f>
        <v>44810914679</v>
      </c>
      <c r="K382" s="3" t="s">
        <v>33</v>
      </c>
      <c r="L382" s="3" t="str">
        <f t="shared" si="18"/>
        <v/>
      </c>
      <c r="M382" s="3" t="str">
        <f>CONCATENATE("SRA29")</f>
        <v>SRA29</v>
      </c>
      <c r="N382" s="3" t="str">
        <f>CONCATENATE("BNNCHR63C55D708T")</f>
        <v>BNNCHR63C55D708T</v>
      </c>
      <c r="O382" s="3" t="s">
        <v>711</v>
      </c>
      <c r="P382" s="3" t="s">
        <v>35</v>
      </c>
      <c r="Q382" s="3" t="s">
        <v>578</v>
      </c>
      <c r="R382" s="4">
        <v>45931</v>
      </c>
      <c r="S382" s="3" t="s">
        <v>37</v>
      </c>
      <c r="T382" s="3" t="s">
        <v>38</v>
      </c>
      <c r="U382" s="3" t="s">
        <v>39</v>
      </c>
      <c r="V382" s="5">
        <v>3471.55</v>
      </c>
      <c r="W382" s="5">
        <v>1753.13</v>
      </c>
      <c r="X382" s="5">
        <v>1202.8900000000001</v>
      </c>
      <c r="Y382" s="3">
        <v>515.53</v>
      </c>
    </row>
    <row r="383" spans="1:25" ht="41.5" hidden="1" x14ac:dyDescent="0.35">
      <c r="A383" s="3" t="s">
        <v>26</v>
      </c>
      <c r="B383" s="3" t="s">
        <v>27</v>
      </c>
      <c r="C383" s="3" t="s">
        <v>478</v>
      </c>
      <c r="D383" s="3" t="s">
        <v>99</v>
      </c>
      <c r="E383" s="3" t="s">
        <v>712</v>
      </c>
      <c r="F383" s="3" t="s">
        <v>101</v>
      </c>
      <c r="G383" s="3" t="s">
        <v>712</v>
      </c>
      <c r="H383" s="3" t="s">
        <v>484</v>
      </c>
      <c r="I383" s="3">
        <v>2024</v>
      </c>
      <c r="J383" s="3" t="str">
        <f>CONCATENATE("44810940526")</f>
        <v>44810940526</v>
      </c>
      <c r="K383" s="3" t="s">
        <v>33</v>
      </c>
      <c r="L383" s="3" t="str">
        <f t="shared" si="18"/>
        <v/>
      </c>
      <c r="M383" s="3" t="str">
        <f>CONCATENATE("SRA29")</f>
        <v>SRA29</v>
      </c>
      <c r="N383" s="3" t="str">
        <f>CONCATENATE("CPRFNC70E20A512Z")</f>
        <v>CPRFNC70E20A512Z</v>
      </c>
      <c r="O383" s="3" t="s">
        <v>713</v>
      </c>
      <c r="P383" s="3" t="s">
        <v>35</v>
      </c>
      <c r="Q383" s="3" t="s">
        <v>578</v>
      </c>
      <c r="R383" s="4">
        <v>45931</v>
      </c>
      <c r="S383" s="3" t="s">
        <v>37</v>
      </c>
      <c r="T383" s="3" t="s">
        <v>38</v>
      </c>
      <c r="U383" s="3" t="s">
        <v>39</v>
      </c>
      <c r="V383" s="5">
        <v>2863.38</v>
      </c>
      <c r="W383" s="5">
        <v>1446.01</v>
      </c>
      <c r="X383" s="3">
        <v>992.16</v>
      </c>
      <c r="Y383" s="3">
        <v>425.21</v>
      </c>
    </row>
    <row r="384" spans="1:25" ht="41.5" hidden="1" x14ac:dyDescent="0.35">
      <c r="A384" s="3" t="s">
        <v>26</v>
      </c>
      <c r="B384" s="3" t="s">
        <v>27</v>
      </c>
      <c r="C384" s="3" t="s">
        <v>478</v>
      </c>
      <c r="D384" s="3" t="s">
        <v>41</v>
      </c>
      <c r="E384" s="3" t="s">
        <v>709</v>
      </c>
      <c r="F384" s="3" t="s">
        <v>43</v>
      </c>
      <c r="G384" s="3" t="s">
        <v>709</v>
      </c>
      <c r="H384" s="3" t="s">
        <v>484</v>
      </c>
      <c r="I384" s="3">
        <v>2024</v>
      </c>
      <c r="J384" s="3" t="str">
        <f>CONCATENATE("44811172780")</f>
        <v>44811172780</v>
      </c>
      <c r="K384" s="3" t="s">
        <v>33</v>
      </c>
      <c r="L384" s="3" t="str">
        <f t="shared" si="18"/>
        <v/>
      </c>
      <c r="M384" s="3" t="str">
        <f>CONCATENATE("SRA29")</f>
        <v>SRA29</v>
      </c>
      <c r="N384" s="3" t="str">
        <f>CONCATENATE("DSMCTN48A21B361C")</f>
        <v>DSMCTN48A21B361C</v>
      </c>
      <c r="O384" s="3" t="s">
        <v>714</v>
      </c>
      <c r="P384" s="3" t="s">
        <v>35</v>
      </c>
      <c r="Q384" s="3" t="s">
        <v>578</v>
      </c>
      <c r="R384" s="4">
        <v>45931</v>
      </c>
      <c r="S384" s="3" t="s">
        <v>37</v>
      </c>
      <c r="T384" s="3" t="s">
        <v>38</v>
      </c>
      <c r="U384" s="3" t="s">
        <v>39</v>
      </c>
      <c r="V384" s="5">
        <v>4545.12</v>
      </c>
      <c r="W384" s="5">
        <v>2295.29</v>
      </c>
      <c r="X384" s="5">
        <v>1574.88</v>
      </c>
      <c r="Y384" s="3">
        <v>674.95</v>
      </c>
    </row>
    <row r="385" spans="1:25" ht="41.5" hidden="1" x14ac:dyDescent="0.35">
      <c r="A385" s="3" t="s">
        <v>26</v>
      </c>
      <c r="B385" s="3" t="s">
        <v>27</v>
      </c>
      <c r="C385" s="3" t="s">
        <v>478</v>
      </c>
      <c r="D385" s="3" t="s">
        <v>41</v>
      </c>
      <c r="E385" s="3" t="s">
        <v>709</v>
      </c>
      <c r="F385" s="3" t="s">
        <v>43</v>
      </c>
      <c r="G385" s="3" t="s">
        <v>709</v>
      </c>
      <c r="H385" s="3" t="s">
        <v>484</v>
      </c>
      <c r="I385" s="3">
        <v>2024</v>
      </c>
      <c r="J385" s="3" t="str">
        <f>CONCATENATE("44810192946")</f>
        <v>44810192946</v>
      </c>
      <c r="K385" s="3" t="s">
        <v>33</v>
      </c>
      <c r="L385" s="3" t="str">
        <f t="shared" si="18"/>
        <v/>
      </c>
      <c r="M385" s="3" t="str">
        <f>CONCATENATE("SRA29")</f>
        <v>SRA29</v>
      </c>
      <c r="N385" s="3" t="str">
        <f>CONCATENATE("FLCMCV74E43C034T")</f>
        <v>FLCMCV74E43C034T</v>
      </c>
      <c r="O385" s="3" t="s">
        <v>715</v>
      </c>
      <c r="P385" s="3" t="s">
        <v>35</v>
      </c>
      <c r="Q385" s="3" t="s">
        <v>578</v>
      </c>
      <c r="R385" s="4">
        <v>45931</v>
      </c>
      <c r="S385" s="3" t="s">
        <v>37</v>
      </c>
      <c r="T385" s="3" t="s">
        <v>38</v>
      </c>
      <c r="U385" s="3" t="s">
        <v>39</v>
      </c>
      <c r="V385" s="5">
        <v>4365.63</v>
      </c>
      <c r="W385" s="5">
        <v>2204.64</v>
      </c>
      <c r="X385" s="5">
        <v>1512.69</v>
      </c>
      <c r="Y385" s="3">
        <v>648.29999999999995</v>
      </c>
    </row>
    <row r="386" spans="1:25" ht="49.5" hidden="1" x14ac:dyDescent="0.35">
      <c r="A386" s="3" t="s">
        <v>26</v>
      </c>
      <c r="B386" s="3" t="s">
        <v>27</v>
      </c>
      <c r="C386" s="3" t="s">
        <v>478</v>
      </c>
      <c r="D386" s="3" t="s">
        <v>137</v>
      </c>
      <c r="E386" s="3" t="s">
        <v>590</v>
      </c>
      <c r="F386" s="3" t="s">
        <v>139</v>
      </c>
      <c r="G386" s="3" t="s">
        <v>590</v>
      </c>
      <c r="H386" s="3" t="s">
        <v>484</v>
      </c>
      <c r="I386" s="3">
        <v>2024</v>
      </c>
      <c r="J386" s="3" t="str">
        <f>CONCATENATE("44810543569")</f>
        <v>44810543569</v>
      </c>
      <c r="K386" s="3" t="s">
        <v>33</v>
      </c>
      <c r="L386" s="3" t="str">
        <f t="shared" si="18"/>
        <v/>
      </c>
      <c r="M386" s="3" t="str">
        <f>CONCATENATE("SRA01")</f>
        <v>SRA01</v>
      </c>
      <c r="N386" s="3" t="str">
        <f>CONCATENATE("CMMGDU86E24F839F")</f>
        <v>CMMGDU86E24F839F</v>
      </c>
      <c r="O386" s="3" t="s">
        <v>716</v>
      </c>
      <c r="P386" s="3" t="s">
        <v>35</v>
      </c>
      <c r="Q386" s="3" t="s">
        <v>587</v>
      </c>
      <c r="R386" s="4">
        <v>45917</v>
      </c>
      <c r="S386" s="3" t="s">
        <v>37</v>
      </c>
      <c r="T386" s="3" t="s">
        <v>38</v>
      </c>
      <c r="U386" s="3" t="s">
        <v>39</v>
      </c>
      <c r="V386" s="3">
        <v>337.31</v>
      </c>
      <c r="W386" s="3">
        <v>170.34</v>
      </c>
      <c r="X386" s="3">
        <v>116.88</v>
      </c>
      <c r="Y386" s="3">
        <v>50.09</v>
      </c>
    </row>
    <row r="387" spans="1:25" ht="41.5" hidden="1" x14ac:dyDescent="0.35">
      <c r="A387" s="3" t="s">
        <v>26</v>
      </c>
      <c r="B387" s="3" t="s">
        <v>27</v>
      </c>
      <c r="C387" s="3" t="s">
        <v>478</v>
      </c>
      <c r="D387" s="3" t="s">
        <v>61</v>
      </c>
      <c r="E387" s="3" t="s">
        <v>579</v>
      </c>
      <c r="F387" s="3" t="s">
        <v>51</v>
      </c>
      <c r="G387" s="3" t="s">
        <v>585</v>
      </c>
      <c r="H387" s="3" t="s">
        <v>484</v>
      </c>
      <c r="I387" s="3">
        <v>2024</v>
      </c>
      <c r="J387" s="3" t="str">
        <f>CONCATENATE("44811134855")</f>
        <v>44811134855</v>
      </c>
      <c r="K387" s="3" t="s">
        <v>33</v>
      </c>
      <c r="L387" s="3" t="str">
        <f t="shared" si="18"/>
        <v/>
      </c>
      <c r="M387" s="3" t="str">
        <f>CONCATENATE("SRA29")</f>
        <v>SRA29</v>
      </c>
      <c r="N387" s="3" t="str">
        <f>CONCATENATE("NNLVCN60M12H423K")</f>
        <v>NNLVCN60M12H423K</v>
      </c>
      <c r="O387" s="3" t="s">
        <v>717</v>
      </c>
      <c r="P387" s="3" t="s">
        <v>35</v>
      </c>
      <c r="Q387" s="3" t="s">
        <v>578</v>
      </c>
      <c r="R387" s="4">
        <v>45931</v>
      </c>
      <c r="S387" s="3" t="s">
        <v>37</v>
      </c>
      <c r="T387" s="3" t="s">
        <v>38</v>
      </c>
      <c r="U387" s="3" t="s">
        <v>39</v>
      </c>
      <c r="V387" s="5">
        <v>3378.52</v>
      </c>
      <c r="W387" s="5">
        <v>1706.15</v>
      </c>
      <c r="X387" s="5">
        <v>1170.6600000000001</v>
      </c>
      <c r="Y387" s="3">
        <v>501.71</v>
      </c>
    </row>
    <row r="388" spans="1:25" ht="41.5" hidden="1" x14ac:dyDescent="0.35">
      <c r="A388" s="3" t="s">
        <v>26</v>
      </c>
      <c r="B388" s="3" t="s">
        <v>27</v>
      </c>
      <c r="C388" s="3" t="s">
        <v>478</v>
      </c>
      <c r="D388" s="3" t="s">
        <v>137</v>
      </c>
      <c r="E388" s="3" t="s">
        <v>590</v>
      </c>
      <c r="F388" s="3" t="s">
        <v>139</v>
      </c>
      <c r="G388" s="3" t="s">
        <v>590</v>
      </c>
      <c r="H388" s="3" t="s">
        <v>484</v>
      </c>
      <c r="I388" s="3">
        <v>2024</v>
      </c>
      <c r="J388" s="3" t="str">
        <f>CONCATENATE("44810019404")</f>
        <v>44810019404</v>
      </c>
      <c r="K388" s="3" t="s">
        <v>33</v>
      </c>
      <c r="L388" s="3" t="str">
        <f t="shared" ref="L388:L451" si="22">CONCATENATE("")</f>
        <v/>
      </c>
      <c r="M388" s="3" t="str">
        <f t="shared" ref="M388:M394" si="23">CONCATENATE("SRA01")</f>
        <v>SRA01</v>
      </c>
      <c r="N388" s="3" t="str">
        <f>CONCATENATE("NTGNTN89A03G309I")</f>
        <v>NTGNTN89A03G309I</v>
      </c>
      <c r="O388" s="3" t="s">
        <v>718</v>
      </c>
      <c r="P388" s="3" t="s">
        <v>35</v>
      </c>
      <c r="Q388" s="3" t="s">
        <v>587</v>
      </c>
      <c r="R388" s="4">
        <v>45917</v>
      </c>
      <c r="S388" s="3" t="s">
        <v>37</v>
      </c>
      <c r="T388" s="3" t="s">
        <v>38</v>
      </c>
      <c r="U388" s="3" t="s">
        <v>39</v>
      </c>
      <c r="V388" s="3">
        <v>689.01</v>
      </c>
      <c r="W388" s="3">
        <v>347.95</v>
      </c>
      <c r="X388" s="3">
        <v>238.74</v>
      </c>
      <c r="Y388" s="3">
        <v>102.32</v>
      </c>
    </row>
    <row r="389" spans="1:25" ht="41.5" hidden="1" x14ac:dyDescent="0.35">
      <c r="A389" s="3" t="s">
        <v>26</v>
      </c>
      <c r="B389" s="3" t="s">
        <v>27</v>
      </c>
      <c r="C389" s="3" t="s">
        <v>478</v>
      </c>
      <c r="D389" s="3" t="s">
        <v>75</v>
      </c>
      <c r="E389" s="3" t="s">
        <v>719</v>
      </c>
      <c r="F389" s="3" t="s">
        <v>77</v>
      </c>
      <c r="G389" s="3" t="s">
        <v>719</v>
      </c>
      <c r="H389" s="3" t="s">
        <v>484</v>
      </c>
      <c r="I389" s="3">
        <v>2024</v>
      </c>
      <c r="J389" s="3" t="str">
        <f>CONCATENATE("44810092237")</f>
        <v>44810092237</v>
      </c>
      <c r="K389" s="3" t="s">
        <v>33</v>
      </c>
      <c r="L389" s="3" t="str">
        <f t="shared" si="22"/>
        <v/>
      </c>
      <c r="M389" s="3" t="str">
        <f t="shared" si="23"/>
        <v>SRA01</v>
      </c>
      <c r="N389" s="3" t="str">
        <f>CONCATENATE("BTTGNR76A20F839V")</f>
        <v>BTTGNR76A20F839V</v>
      </c>
      <c r="O389" s="3" t="s">
        <v>720</v>
      </c>
      <c r="P389" s="3" t="s">
        <v>35</v>
      </c>
      <c r="Q389" s="3" t="s">
        <v>587</v>
      </c>
      <c r="R389" s="4">
        <v>45917</v>
      </c>
      <c r="S389" s="3" t="s">
        <v>37</v>
      </c>
      <c r="T389" s="3" t="s">
        <v>38</v>
      </c>
      <c r="U389" s="3" t="s">
        <v>39</v>
      </c>
      <c r="V389" s="5">
        <v>2818.28</v>
      </c>
      <c r="W389" s="5">
        <v>1423.23</v>
      </c>
      <c r="X389" s="3">
        <v>976.53</v>
      </c>
      <c r="Y389" s="3">
        <v>418.52</v>
      </c>
    </row>
    <row r="390" spans="1:25" ht="25.5" hidden="1" x14ac:dyDescent="0.35">
      <c r="A390" s="3" t="s">
        <v>26</v>
      </c>
      <c r="B390" s="3" t="s">
        <v>27</v>
      </c>
      <c r="C390" s="3" t="s">
        <v>478</v>
      </c>
      <c r="D390" s="3" t="s">
        <v>99</v>
      </c>
      <c r="E390" s="3" t="s">
        <v>574</v>
      </c>
      <c r="F390" s="3" t="s">
        <v>101</v>
      </c>
      <c r="G390" s="3" t="s">
        <v>574</v>
      </c>
      <c r="H390" s="3" t="s">
        <v>484</v>
      </c>
      <c r="I390" s="3">
        <v>2024</v>
      </c>
      <c r="J390" s="3" t="str">
        <f>CONCATENATE("44811431681")</f>
        <v>44811431681</v>
      </c>
      <c r="K390" s="3" t="s">
        <v>33</v>
      </c>
      <c r="L390" s="3" t="str">
        <f t="shared" si="22"/>
        <v/>
      </c>
      <c r="M390" s="3" t="str">
        <f t="shared" si="23"/>
        <v>SRA01</v>
      </c>
      <c r="N390" s="3" t="str">
        <f>CONCATENATE("01737310613")</f>
        <v>01737310613</v>
      </c>
      <c r="O390" s="3" t="s">
        <v>721</v>
      </c>
      <c r="P390" s="3" t="s">
        <v>35</v>
      </c>
      <c r="Q390" s="3" t="s">
        <v>587</v>
      </c>
      <c r="R390" s="4">
        <v>45917</v>
      </c>
      <c r="S390" s="3" t="s">
        <v>37</v>
      </c>
      <c r="T390" s="3" t="s">
        <v>38</v>
      </c>
      <c r="U390" s="3" t="s">
        <v>39</v>
      </c>
      <c r="V390" s="3">
        <v>309.58</v>
      </c>
      <c r="W390" s="3">
        <v>156.34</v>
      </c>
      <c r="X390" s="3">
        <v>107.27</v>
      </c>
      <c r="Y390" s="3">
        <v>45.97</v>
      </c>
    </row>
    <row r="391" spans="1:25" ht="49.5" hidden="1" x14ac:dyDescent="0.35">
      <c r="A391" s="3" t="s">
        <v>26</v>
      </c>
      <c r="B391" s="3" t="s">
        <v>27</v>
      </c>
      <c r="C391" s="3" t="s">
        <v>478</v>
      </c>
      <c r="D391" s="3" t="s">
        <v>234</v>
      </c>
      <c r="E391" s="3" t="s">
        <v>722</v>
      </c>
      <c r="F391" s="3" t="s">
        <v>119</v>
      </c>
      <c r="G391" s="3" t="s">
        <v>722</v>
      </c>
      <c r="H391" s="3" t="s">
        <v>484</v>
      </c>
      <c r="I391" s="3">
        <v>2024</v>
      </c>
      <c r="J391" s="3" t="str">
        <f>CONCATENATE("44810015394")</f>
        <v>44810015394</v>
      </c>
      <c r="K391" s="3" t="s">
        <v>33</v>
      </c>
      <c r="L391" s="3" t="str">
        <f t="shared" si="22"/>
        <v/>
      </c>
      <c r="M391" s="3" t="str">
        <f t="shared" si="23"/>
        <v>SRA01</v>
      </c>
      <c r="N391" s="3" t="str">
        <f>CONCATENATE("GRNCMN61B13G309N")</f>
        <v>GRNCMN61B13G309N</v>
      </c>
      <c r="O391" s="3" t="s">
        <v>723</v>
      </c>
      <c r="P391" s="3" t="s">
        <v>35</v>
      </c>
      <c r="Q391" s="3" t="s">
        <v>587</v>
      </c>
      <c r="R391" s="4">
        <v>45917</v>
      </c>
      <c r="S391" s="3" t="s">
        <v>37</v>
      </c>
      <c r="T391" s="3" t="s">
        <v>38</v>
      </c>
      <c r="U391" s="3" t="s">
        <v>39</v>
      </c>
      <c r="V391" s="3">
        <v>842.63</v>
      </c>
      <c r="W391" s="3">
        <v>425.53</v>
      </c>
      <c r="X391" s="3">
        <v>291.97000000000003</v>
      </c>
      <c r="Y391" s="3">
        <v>125.13</v>
      </c>
    </row>
    <row r="392" spans="1:25" ht="41.5" hidden="1" x14ac:dyDescent="0.35">
      <c r="A392" s="3" t="s">
        <v>26</v>
      </c>
      <c r="B392" s="3" t="s">
        <v>27</v>
      </c>
      <c r="C392" s="3" t="s">
        <v>478</v>
      </c>
      <c r="D392" s="3" t="s">
        <v>61</v>
      </c>
      <c r="E392" s="3" t="s">
        <v>705</v>
      </c>
      <c r="F392" s="3" t="s">
        <v>63</v>
      </c>
      <c r="G392" s="3" t="s">
        <v>705</v>
      </c>
      <c r="H392" s="3" t="s">
        <v>484</v>
      </c>
      <c r="I392" s="3">
        <v>2024</v>
      </c>
      <c r="J392" s="3" t="str">
        <f>CONCATENATE("44810130045")</f>
        <v>44810130045</v>
      </c>
      <c r="K392" s="3" t="s">
        <v>33</v>
      </c>
      <c r="L392" s="3" t="str">
        <f t="shared" si="22"/>
        <v/>
      </c>
      <c r="M392" s="3" t="str">
        <f t="shared" si="23"/>
        <v>SRA01</v>
      </c>
      <c r="N392" s="3" t="str">
        <f>CONCATENATE("PGLNNT56B46B781Z")</f>
        <v>PGLNNT56B46B781Z</v>
      </c>
      <c r="O392" s="3" t="s">
        <v>724</v>
      </c>
      <c r="P392" s="3" t="s">
        <v>35</v>
      </c>
      <c r="Q392" s="3" t="s">
        <v>587</v>
      </c>
      <c r="R392" s="4">
        <v>45917</v>
      </c>
      <c r="S392" s="3" t="s">
        <v>37</v>
      </c>
      <c r="T392" s="3" t="s">
        <v>38</v>
      </c>
      <c r="U392" s="3" t="s">
        <v>39</v>
      </c>
      <c r="V392" s="5">
        <v>2759.35</v>
      </c>
      <c r="W392" s="5">
        <v>1393.47</v>
      </c>
      <c r="X392" s="3">
        <v>956.11</v>
      </c>
      <c r="Y392" s="3">
        <v>409.77</v>
      </c>
    </row>
    <row r="393" spans="1:25" ht="41.5" hidden="1" x14ac:dyDescent="0.35">
      <c r="A393" s="3" t="s">
        <v>26</v>
      </c>
      <c r="B393" s="3" t="s">
        <v>27</v>
      </c>
      <c r="C393" s="3" t="s">
        <v>478</v>
      </c>
      <c r="D393" s="3" t="s">
        <v>75</v>
      </c>
      <c r="E393" s="3" t="s">
        <v>719</v>
      </c>
      <c r="F393" s="3" t="s">
        <v>77</v>
      </c>
      <c r="G393" s="3" t="s">
        <v>719</v>
      </c>
      <c r="H393" s="3" t="s">
        <v>484</v>
      </c>
      <c r="I393" s="3">
        <v>2024</v>
      </c>
      <c r="J393" s="3" t="str">
        <f>CONCATENATE("44810257889")</f>
        <v>44810257889</v>
      </c>
      <c r="K393" s="3" t="s">
        <v>33</v>
      </c>
      <c r="L393" s="3" t="str">
        <f t="shared" si="22"/>
        <v/>
      </c>
      <c r="M393" s="3" t="str">
        <f t="shared" si="23"/>
        <v>SRA01</v>
      </c>
      <c r="N393" s="3" t="str">
        <f>CONCATENATE("PTRFNC68R22B872X")</f>
        <v>PTRFNC68R22B872X</v>
      </c>
      <c r="O393" s="3" t="s">
        <v>725</v>
      </c>
      <c r="P393" s="3" t="s">
        <v>35</v>
      </c>
      <c r="Q393" s="3" t="s">
        <v>587</v>
      </c>
      <c r="R393" s="4">
        <v>45917</v>
      </c>
      <c r="S393" s="3" t="s">
        <v>37</v>
      </c>
      <c r="T393" s="3" t="s">
        <v>38</v>
      </c>
      <c r="U393" s="3" t="s">
        <v>39</v>
      </c>
      <c r="V393" s="3">
        <v>918.98</v>
      </c>
      <c r="W393" s="3">
        <v>464.08</v>
      </c>
      <c r="X393" s="3">
        <v>318.43</v>
      </c>
      <c r="Y393" s="3">
        <v>136.47</v>
      </c>
    </row>
    <row r="394" spans="1:25" ht="41.5" hidden="1" x14ac:dyDescent="0.35">
      <c r="A394" s="3" t="s">
        <v>26</v>
      </c>
      <c r="B394" s="3" t="s">
        <v>27</v>
      </c>
      <c r="C394" s="3" t="s">
        <v>478</v>
      </c>
      <c r="D394" s="3" t="s">
        <v>61</v>
      </c>
      <c r="E394" s="3" t="s">
        <v>705</v>
      </c>
      <c r="F394" s="3" t="s">
        <v>63</v>
      </c>
      <c r="G394" s="3" t="s">
        <v>705</v>
      </c>
      <c r="H394" s="3" t="s">
        <v>484</v>
      </c>
      <c r="I394" s="3">
        <v>2024</v>
      </c>
      <c r="J394" s="3" t="str">
        <f>CONCATENATE("44811325933")</f>
        <v>44811325933</v>
      </c>
      <c r="K394" s="3" t="s">
        <v>33</v>
      </c>
      <c r="L394" s="3" t="str">
        <f t="shared" si="22"/>
        <v/>
      </c>
      <c r="M394" s="3" t="str">
        <f t="shared" si="23"/>
        <v>SRA01</v>
      </c>
      <c r="N394" s="3" t="str">
        <f>CONCATENATE("RBBNTN90R03G596Y")</f>
        <v>RBBNTN90R03G596Y</v>
      </c>
      <c r="O394" s="3" t="s">
        <v>726</v>
      </c>
      <c r="P394" s="3" t="s">
        <v>35</v>
      </c>
      <c r="Q394" s="3" t="s">
        <v>587</v>
      </c>
      <c r="R394" s="4">
        <v>45917</v>
      </c>
      <c r="S394" s="3" t="s">
        <v>37</v>
      </c>
      <c r="T394" s="3" t="s">
        <v>38</v>
      </c>
      <c r="U394" s="3" t="s">
        <v>39</v>
      </c>
      <c r="V394" s="3">
        <v>892.71</v>
      </c>
      <c r="W394" s="3">
        <v>450.82</v>
      </c>
      <c r="X394" s="3">
        <v>309.32</v>
      </c>
      <c r="Y394" s="3">
        <v>132.57</v>
      </c>
    </row>
    <row r="395" spans="1:25" ht="25.5" hidden="1" x14ac:dyDescent="0.35">
      <c r="A395" s="3" t="s">
        <v>26</v>
      </c>
      <c r="B395" s="3" t="s">
        <v>27</v>
      </c>
      <c r="C395" s="3" t="s">
        <v>40</v>
      </c>
      <c r="D395" s="3" t="s">
        <v>29</v>
      </c>
      <c r="E395" s="3" t="s">
        <v>727</v>
      </c>
      <c r="F395" s="3" t="s">
        <v>31</v>
      </c>
      <c r="G395" s="3" t="s">
        <v>727</v>
      </c>
      <c r="H395" s="3" t="s">
        <v>64</v>
      </c>
      <c r="I395" s="3">
        <v>2024</v>
      </c>
      <c r="J395" s="3" t="str">
        <f>CONCATENATE("44810800902")</f>
        <v>44810800902</v>
      </c>
      <c r="K395" s="3" t="s">
        <v>33</v>
      </c>
      <c r="L395" s="3" t="str">
        <f t="shared" si="22"/>
        <v/>
      </c>
      <c r="M395" s="3" t="str">
        <f>CONCATENATE("SRA03")</f>
        <v>SRA03</v>
      </c>
      <c r="N395" s="3" t="str">
        <f>CONCATENATE("00452860588")</f>
        <v>00452860588</v>
      </c>
      <c r="O395" s="3" t="s">
        <v>728</v>
      </c>
      <c r="P395" s="3" t="s">
        <v>35</v>
      </c>
      <c r="Q395" s="3" t="s">
        <v>66</v>
      </c>
      <c r="R395" s="4">
        <v>45933</v>
      </c>
      <c r="S395" s="3" t="s">
        <v>37</v>
      </c>
      <c r="T395" s="3" t="s">
        <v>38</v>
      </c>
      <c r="U395" s="3" t="s">
        <v>39</v>
      </c>
      <c r="V395" s="5">
        <v>43033.95</v>
      </c>
      <c r="W395" s="5">
        <v>17514.82</v>
      </c>
      <c r="X395" s="5">
        <v>17863.39</v>
      </c>
      <c r="Y395" s="5">
        <v>7655.74</v>
      </c>
    </row>
    <row r="396" spans="1:25" ht="49.5" hidden="1" x14ac:dyDescent="0.35">
      <c r="A396" s="3" t="s">
        <v>26</v>
      </c>
      <c r="B396" s="3" t="s">
        <v>27</v>
      </c>
      <c r="C396" s="3" t="s">
        <v>90</v>
      </c>
      <c r="D396" s="3" t="s">
        <v>41</v>
      </c>
      <c r="E396" s="3" t="s">
        <v>493</v>
      </c>
      <c r="F396" s="3" t="s">
        <v>43</v>
      </c>
      <c r="G396" s="3" t="s">
        <v>493</v>
      </c>
      <c r="H396" s="3" t="s">
        <v>488</v>
      </c>
      <c r="I396" s="3">
        <v>2024</v>
      </c>
      <c r="J396" s="3" t="str">
        <f>CONCATENATE("44810247898")</f>
        <v>44810247898</v>
      </c>
      <c r="K396" s="3" t="s">
        <v>33</v>
      </c>
      <c r="L396" s="3" t="str">
        <f t="shared" si="22"/>
        <v/>
      </c>
      <c r="M396" s="3" t="str">
        <f>CONCATENATE("SRA29")</f>
        <v>SRA29</v>
      </c>
      <c r="N396" s="3" t="str">
        <f>CONCATENATE("MNGCRL60T28B521D")</f>
        <v>MNGCRL60T28B521D</v>
      </c>
      <c r="O396" s="3" t="s">
        <v>729</v>
      </c>
      <c r="P396" s="3" t="s">
        <v>35</v>
      </c>
      <c r="Q396" s="3" t="s">
        <v>490</v>
      </c>
      <c r="R396" s="4">
        <v>45919</v>
      </c>
      <c r="S396" s="3" t="s">
        <v>37</v>
      </c>
      <c r="T396" s="3" t="s">
        <v>38</v>
      </c>
      <c r="U396" s="3" t="s">
        <v>39</v>
      </c>
      <c r="V396" s="5">
        <v>15119.27</v>
      </c>
      <c r="W396" s="5">
        <v>7635.23</v>
      </c>
      <c r="X396" s="5">
        <v>5238.83</v>
      </c>
      <c r="Y396" s="5">
        <v>2245.21</v>
      </c>
    </row>
    <row r="397" spans="1:25" ht="41.5" hidden="1" x14ac:dyDescent="0.35">
      <c r="A397" s="3" t="s">
        <v>26</v>
      </c>
      <c r="B397" s="3" t="s">
        <v>27</v>
      </c>
      <c r="C397" s="3" t="s">
        <v>478</v>
      </c>
      <c r="D397" s="3" t="s">
        <v>75</v>
      </c>
      <c r="E397" s="3" t="s">
        <v>582</v>
      </c>
      <c r="F397" s="3" t="s">
        <v>77</v>
      </c>
      <c r="G397" s="3" t="s">
        <v>582</v>
      </c>
      <c r="H397" s="3" t="s">
        <v>614</v>
      </c>
      <c r="I397" s="3">
        <v>2024</v>
      </c>
      <c r="J397" s="3" t="str">
        <f>CONCATENATE("44811455326")</f>
        <v>44811455326</v>
      </c>
      <c r="K397" s="3" t="s">
        <v>33</v>
      </c>
      <c r="L397" s="3" t="str">
        <f t="shared" si="22"/>
        <v/>
      </c>
      <c r="M397" s="3" t="str">
        <f>CONCATENATE("SRA03")</f>
        <v>SRA03</v>
      </c>
      <c r="N397" s="3" t="str">
        <f>CONCATENATE("VLLNCL83L31A783L")</f>
        <v>VLLNCL83L31A783L</v>
      </c>
      <c r="O397" s="3" t="s">
        <v>730</v>
      </c>
      <c r="P397" s="3" t="s">
        <v>35</v>
      </c>
      <c r="Q397" s="3" t="s">
        <v>616</v>
      </c>
      <c r="R397" s="4">
        <v>45933</v>
      </c>
      <c r="S397" s="3" t="s">
        <v>37</v>
      </c>
      <c r="T397" s="3" t="s">
        <v>38</v>
      </c>
      <c r="U397" s="3" t="s">
        <v>39</v>
      </c>
      <c r="V397" s="3">
        <v>519.74</v>
      </c>
      <c r="W397" s="3">
        <v>262.47000000000003</v>
      </c>
      <c r="X397" s="3">
        <v>180.09</v>
      </c>
      <c r="Y397" s="3">
        <v>77.180000000000007</v>
      </c>
    </row>
    <row r="398" spans="1:25" ht="41.5" hidden="1" x14ac:dyDescent="0.35">
      <c r="A398" s="3" t="s">
        <v>26</v>
      </c>
      <c r="B398" s="3" t="s">
        <v>27</v>
      </c>
      <c r="C398" s="3" t="s">
        <v>478</v>
      </c>
      <c r="D398" s="3" t="s">
        <v>75</v>
      </c>
      <c r="E398" s="3" t="s">
        <v>582</v>
      </c>
      <c r="F398" s="3" t="s">
        <v>77</v>
      </c>
      <c r="G398" s="3" t="s">
        <v>582</v>
      </c>
      <c r="H398" s="3" t="s">
        <v>614</v>
      </c>
      <c r="I398" s="3">
        <v>2024</v>
      </c>
      <c r="J398" s="3" t="str">
        <f>CONCATENATE("44811454576")</f>
        <v>44811454576</v>
      </c>
      <c r="K398" s="3" t="s">
        <v>33</v>
      </c>
      <c r="L398" s="3" t="str">
        <f t="shared" si="22"/>
        <v/>
      </c>
      <c r="M398" s="3" t="str">
        <f>CONCATENATE("SRA03")</f>
        <v>SRA03</v>
      </c>
      <c r="N398" s="3" t="str">
        <f>CONCATENATE("VLLPLA68C54H898K")</f>
        <v>VLLPLA68C54H898K</v>
      </c>
      <c r="O398" s="3" t="s">
        <v>731</v>
      </c>
      <c r="P398" s="3" t="s">
        <v>35</v>
      </c>
      <c r="Q398" s="3" t="s">
        <v>616</v>
      </c>
      <c r="R398" s="4">
        <v>45933</v>
      </c>
      <c r="S398" s="3" t="s">
        <v>37</v>
      </c>
      <c r="T398" s="3" t="s">
        <v>38</v>
      </c>
      <c r="U398" s="3" t="s">
        <v>39</v>
      </c>
      <c r="V398" s="5">
        <v>3056.03</v>
      </c>
      <c r="W398" s="5">
        <v>1543.3</v>
      </c>
      <c r="X398" s="5">
        <v>1058.9100000000001</v>
      </c>
      <c r="Y398" s="3">
        <v>453.82</v>
      </c>
    </row>
    <row r="399" spans="1:25" ht="41.5" hidden="1" x14ac:dyDescent="0.35">
      <c r="A399" s="3" t="s">
        <v>26</v>
      </c>
      <c r="B399" s="3" t="s">
        <v>27</v>
      </c>
      <c r="C399" s="3" t="s">
        <v>478</v>
      </c>
      <c r="D399" s="3" t="s">
        <v>234</v>
      </c>
      <c r="E399" s="3" t="s">
        <v>732</v>
      </c>
      <c r="F399" s="3" t="s">
        <v>119</v>
      </c>
      <c r="G399" s="3" t="s">
        <v>732</v>
      </c>
      <c r="H399" s="3" t="s">
        <v>614</v>
      </c>
      <c r="I399" s="3">
        <v>2024</v>
      </c>
      <c r="J399" s="3" t="str">
        <f>CONCATENATE("44810472447")</f>
        <v>44810472447</v>
      </c>
      <c r="K399" s="3" t="s">
        <v>33</v>
      </c>
      <c r="L399" s="3" t="str">
        <f t="shared" si="22"/>
        <v/>
      </c>
      <c r="M399" s="3" t="str">
        <f>CONCATENATE("SRA03")</f>
        <v>SRA03</v>
      </c>
      <c r="N399" s="3" t="str">
        <f>CONCATENATE("VRRGNN55S29C106O")</f>
        <v>VRRGNN55S29C106O</v>
      </c>
      <c r="O399" s="3" t="s">
        <v>733</v>
      </c>
      <c r="P399" s="3" t="s">
        <v>35</v>
      </c>
      <c r="Q399" s="3" t="s">
        <v>616</v>
      </c>
      <c r="R399" s="4">
        <v>45933</v>
      </c>
      <c r="S399" s="3" t="s">
        <v>37</v>
      </c>
      <c r="T399" s="3" t="s">
        <v>38</v>
      </c>
      <c r="U399" s="3" t="s">
        <v>39</v>
      </c>
      <c r="V399" s="5">
        <v>1028.23</v>
      </c>
      <c r="W399" s="3">
        <v>519.26</v>
      </c>
      <c r="X399" s="3">
        <v>356.28</v>
      </c>
      <c r="Y399" s="3">
        <v>152.69</v>
      </c>
    </row>
    <row r="400" spans="1:25" ht="41.5" hidden="1" x14ac:dyDescent="0.35">
      <c r="A400" s="3" t="s">
        <v>26</v>
      </c>
      <c r="B400" s="3" t="s">
        <v>27</v>
      </c>
      <c r="C400" s="3" t="s">
        <v>478</v>
      </c>
      <c r="D400" s="3" t="s">
        <v>75</v>
      </c>
      <c r="E400" s="3" t="s">
        <v>582</v>
      </c>
      <c r="F400" s="3" t="s">
        <v>77</v>
      </c>
      <c r="G400" s="3" t="s">
        <v>582</v>
      </c>
      <c r="H400" s="3" t="s">
        <v>614</v>
      </c>
      <c r="I400" s="3">
        <v>2024</v>
      </c>
      <c r="J400" s="3" t="str">
        <f>CONCATENATE("44811454527")</f>
        <v>44811454527</v>
      </c>
      <c r="K400" s="3" t="s">
        <v>33</v>
      </c>
      <c r="L400" s="3" t="str">
        <f t="shared" si="22"/>
        <v/>
      </c>
      <c r="M400" s="3" t="str">
        <f>CONCATENATE("SRA03")</f>
        <v>SRA03</v>
      </c>
      <c r="N400" s="3" t="str">
        <f>CONCATENATE("VTTGRZ72M62H898C")</f>
        <v>VTTGRZ72M62H898C</v>
      </c>
      <c r="O400" s="3" t="s">
        <v>734</v>
      </c>
      <c r="P400" s="3" t="s">
        <v>35</v>
      </c>
      <c r="Q400" s="3" t="s">
        <v>616</v>
      </c>
      <c r="R400" s="4">
        <v>45933</v>
      </c>
      <c r="S400" s="3" t="s">
        <v>37</v>
      </c>
      <c r="T400" s="3" t="s">
        <v>38</v>
      </c>
      <c r="U400" s="3" t="s">
        <v>39</v>
      </c>
      <c r="V400" s="5">
        <v>4916.0600000000004</v>
      </c>
      <c r="W400" s="5">
        <v>2482.61</v>
      </c>
      <c r="X400" s="5">
        <v>1703.41</v>
      </c>
      <c r="Y400" s="3">
        <v>730.04</v>
      </c>
    </row>
    <row r="401" spans="1:25" ht="41.5" hidden="1" x14ac:dyDescent="0.35">
      <c r="A401" s="3" t="s">
        <v>26</v>
      </c>
      <c r="B401" s="3" t="s">
        <v>27</v>
      </c>
      <c r="C401" s="3" t="s">
        <v>478</v>
      </c>
      <c r="D401" s="3" t="s">
        <v>75</v>
      </c>
      <c r="E401" s="3" t="s">
        <v>582</v>
      </c>
      <c r="F401" s="3" t="s">
        <v>77</v>
      </c>
      <c r="G401" s="3" t="s">
        <v>582</v>
      </c>
      <c r="H401" s="3" t="s">
        <v>614</v>
      </c>
      <c r="I401" s="3">
        <v>2024</v>
      </c>
      <c r="J401" s="3" t="str">
        <f>CONCATENATE("44811427192")</f>
        <v>44811427192</v>
      </c>
      <c r="K401" s="3" t="s">
        <v>33</v>
      </c>
      <c r="L401" s="3" t="str">
        <f t="shared" si="22"/>
        <v/>
      </c>
      <c r="M401" s="3" t="str">
        <f>CONCATENATE("SRA03")</f>
        <v>SRA03</v>
      </c>
      <c r="N401" s="3" t="str">
        <f>CONCATENATE("ZRLRSO55C61B267P")</f>
        <v>ZRLRSO55C61B267P</v>
      </c>
      <c r="O401" s="3" t="s">
        <v>735</v>
      </c>
      <c r="P401" s="3" t="s">
        <v>35</v>
      </c>
      <c r="Q401" s="3" t="s">
        <v>616</v>
      </c>
      <c r="R401" s="4">
        <v>45933</v>
      </c>
      <c r="S401" s="3" t="s">
        <v>37</v>
      </c>
      <c r="T401" s="3" t="s">
        <v>38</v>
      </c>
      <c r="U401" s="3" t="s">
        <v>39</v>
      </c>
      <c r="V401" s="5">
        <v>1251.69</v>
      </c>
      <c r="W401" s="3">
        <v>632.1</v>
      </c>
      <c r="X401" s="3">
        <v>433.71</v>
      </c>
      <c r="Y401" s="3">
        <v>185.88</v>
      </c>
    </row>
    <row r="402" spans="1:25" ht="41.5" hidden="1" x14ac:dyDescent="0.35">
      <c r="A402" s="3" t="s">
        <v>26</v>
      </c>
      <c r="B402" s="3" t="s">
        <v>27</v>
      </c>
      <c r="C402" s="3" t="s">
        <v>451</v>
      </c>
      <c r="D402" s="3" t="s">
        <v>29</v>
      </c>
      <c r="E402" s="3" t="s">
        <v>651</v>
      </c>
      <c r="F402" s="3" t="s">
        <v>31</v>
      </c>
      <c r="G402" s="3" t="s">
        <v>651</v>
      </c>
      <c r="H402" s="3" t="s">
        <v>453</v>
      </c>
      <c r="I402" s="3">
        <v>2024</v>
      </c>
      <c r="J402" s="3" t="str">
        <f>CONCATENATE("44810683902")</f>
        <v>44810683902</v>
      </c>
      <c r="K402" s="3" t="s">
        <v>33</v>
      </c>
      <c r="L402" s="3" t="str">
        <f t="shared" si="22"/>
        <v/>
      </c>
      <c r="M402" s="3" t="str">
        <f>CONCATENATE("SRA01")</f>
        <v>SRA01</v>
      </c>
      <c r="N402" s="3" t="str">
        <f>CONCATENATE("DCMFRC91P23D653C")</f>
        <v>DCMFRC91P23D653C</v>
      </c>
      <c r="O402" s="3" t="s">
        <v>736</v>
      </c>
      <c r="P402" s="3" t="s">
        <v>35</v>
      </c>
      <c r="Q402" s="3" t="s">
        <v>737</v>
      </c>
      <c r="R402" s="4">
        <v>45917</v>
      </c>
      <c r="S402" s="3" t="s">
        <v>37</v>
      </c>
      <c r="T402" s="3" t="s">
        <v>38</v>
      </c>
      <c r="U402" s="3" t="s">
        <v>39</v>
      </c>
      <c r="V402" s="5">
        <v>12223.76</v>
      </c>
      <c r="W402" s="5">
        <v>5195.1000000000004</v>
      </c>
      <c r="X402" s="5">
        <v>4920.0600000000004</v>
      </c>
      <c r="Y402" s="5">
        <v>2108.6</v>
      </c>
    </row>
    <row r="403" spans="1:25" ht="33.5" hidden="1" x14ac:dyDescent="0.35">
      <c r="A403" s="3" t="s">
        <v>26</v>
      </c>
      <c r="B403" s="3" t="s">
        <v>27</v>
      </c>
      <c r="C403" s="3" t="s">
        <v>451</v>
      </c>
      <c r="D403" s="3" t="s">
        <v>61</v>
      </c>
      <c r="E403" s="3" t="s">
        <v>636</v>
      </c>
      <c r="F403" s="3" t="s">
        <v>63</v>
      </c>
      <c r="G403" s="3" t="s">
        <v>636</v>
      </c>
      <c r="H403" s="3" t="s">
        <v>453</v>
      </c>
      <c r="I403" s="3">
        <v>2024</v>
      </c>
      <c r="J403" s="3" t="str">
        <f>CONCATENATE("44811030160")</f>
        <v>44811030160</v>
      </c>
      <c r="K403" s="3" t="s">
        <v>33</v>
      </c>
      <c r="L403" s="3" t="str">
        <f t="shared" si="22"/>
        <v/>
      </c>
      <c r="M403" s="3" t="str">
        <f>CONCATENATE("SRA01")</f>
        <v>SRA01</v>
      </c>
      <c r="N403" s="3" t="str">
        <f>CONCATENATE("PLLPLA56E60C289E")</f>
        <v>PLLPLA56E60C289E</v>
      </c>
      <c r="O403" s="3" t="s">
        <v>738</v>
      </c>
      <c r="P403" s="3" t="s">
        <v>35</v>
      </c>
      <c r="Q403" s="3" t="s">
        <v>737</v>
      </c>
      <c r="R403" s="4">
        <v>45917</v>
      </c>
      <c r="S403" s="3" t="s">
        <v>37</v>
      </c>
      <c r="T403" s="3" t="s">
        <v>38</v>
      </c>
      <c r="U403" s="3" t="s">
        <v>39</v>
      </c>
      <c r="V403" s="3">
        <v>1.02</v>
      </c>
      <c r="W403" s="3">
        <v>0.43</v>
      </c>
      <c r="X403" s="3">
        <v>0.41</v>
      </c>
      <c r="Y403" s="3">
        <v>0.18</v>
      </c>
    </row>
    <row r="404" spans="1:25" ht="41.5" hidden="1" x14ac:dyDescent="0.35">
      <c r="A404" s="3" t="s">
        <v>26</v>
      </c>
      <c r="B404" s="3" t="s">
        <v>27</v>
      </c>
      <c r="C404" s="3" t="s">
        <v>451</v>
      </c>
      <c r="D404" s="3" t="s">
        <v>29</v>
      </c>
      <c r="E404" s="3" t="s">
        <v>646</v>
      </c>
      <c r="F404" s="3" t="s">
        <v>31</v>
      </c>
      <c r="G404" s="3" t="s">
        <v>646</v>
      </c>
      <c r="H404" s="3" t="s">
        <v>453</v>
      </c>
      <c r="I404" s="3">
        <v>2024</v>
      </c>
      <c r="J404" s="3" t="str">
        <f>CONCATENATE("44810155711")</f>
        <v>44810155711</v>
      </c>
      <c r="K404" s="3" t="s">
        <v>33</v>
      </c>
      <c r="L404" s="3" t="str">
        <f t="shared" si="22"/>
        <v/>
      </c>
      <c r="M404" s="3" t="str">
        <f>CONCATENATE("SRA01")</f>
        <v>SRA01</v>
      </c>
      <c r="N404" s="3" t="str">
        <f>CONCATENATE("RNRRST54E42G478X")</f>
        <v>RNRRST54E42G478X</v>
      </c>
      <c r="O404" s="3" t="s">
        <v>739</v>
      </c>
      <c r="P404" s="3" t="s">
        <v>35</v>
      </c>
      <c r="Q404" s="3" t="s">
        <v>737</v>
      </c>
      <c r="R404" s="4">
        <v>45917</v>
      </c>
      <c r="S404" s="3" t="s">
        <v>37</v>
      </c>
      <c r="T404" s="3" t="s">
        <v>38</v>
      </c>
      <c r="U404" s="3" t="s">
        <v>39</v>
      </c>
      <c r="V404" s="5">
        <v>8782.41</v>
      </c>
      <c r="W404" s="5">
        <v>3732.52</v>
      </c>
      <c r="X404" s="5">
        <v>3534.92</v>
      </c>
      <c r="Y404" s="5">
        <v>1514.97</v>
      </c>
    </row>
    <row r="405" spans="1:25" ht="25.5" hidden="1" x14ac:dyDescent="0.35">
      <c r="A405" s="3" t="s">
        <v>26</v>
      </c>
      <c r="B405" s="3" t="s">
        <v>27</v>
      </c>
      <c r="C405" s="3" t="s">
        <v>451</v>
      </c>
      <c r="D405" s="3" t="s">
        <v>41</v>
      </c>
      <c r="E405" s="3" t="s">
        <v>740</v>
      </c>
      <c r="F405" s="3" t="s">
        <v>43</v>
      </c>
      <c r="G405" s="3" t="s">
        <v>740</v>
      </c>
      <c r="H405" s="3" t="s">
        <v>453</v>
      </c>
      <c r="I405" s="3">
        <v>2024</v>
      </c>
      <c r="J405" s="3" t="str">
        <f>CONCATENATE("44811247038")</f>
        <v>44811247038</v>
      </c>
      <c r="K405" s="3" t="s">
        <v>33</v>
      </c>
      <c r="L405" s="3" t="str">
        <f t="shared" si="22"/>
        <v/>
      </c>
      <c r="M405" s="3" t="str">
        <f>CONCATENATE("SRA01")</f>
        <v>SRA01</v>
      </c>
      <c r="N405" s="3" t="str">
        <f>CONCATENATE("03032040549")</f>
        <v>03032040549</v>
      </c>
      <c r="O405" s="3" t="s">
        <v>741</v>
      </c>
      <c r="P405" s="3" t="s">
        <v>35</v>
      </c>
      <c r="Q405" s="3" t="s">
        <v>737</v>
      </c>
      <c r="R405" s="4">
        <v>45917</v>
      </c>
      <c r="S405" s="3" t="s">
        <v>37</v>
      </c>
      <c r="T405" s="3" t="s">
        <v>38</v>
      </c>
      <c r="U405" s="3" t="s">
        <v>39</v>
      </c>
      <c r="V405" s="3">
        <v>4.32</v>
      </c>
      <c r="W405" s="3">
        <v>1.84</v>
      </c>
      <c r="X405" s="3">
        <v>1.74</v>
      </c>
      <c r="Y405" s="3">
        <v>0.74</v>
      </c>
    </row>
    <row r="406" spans="1:25" ht="41.5" hidden="1" x14ac:dyDescent="0.35">
      <c r="A406" s="3" t="s">
        <v>26</v>
      </c>
      <c r="B406" s="3" t="s">
        <v>27</v>
      </c>
      <c r="C406" s="3" t="s">
        <v>478</v>
      </c>
      <c r="D406" s="3" t="s">
        <v>61</v>
      </c>
      <c r="E406" s="3" t="s">
        <v>742</v>
      </c>
      <c r="F406" s="3" t="s">
        <v>63</v>
      </c>
      <c r="G406" s="3" t="s">
        <v>742</v>
      </c>
      <c r="H406" s="3" t="s">
        <v>604</v>
      </c>
      <c r="I406" s="3">
        <v>2024</v>
      </c>
      <c r="J406" s="3" t="str">
        <f>CONCATENATE("44810742377")</f>
        <v>44810742377</v>
      </c>
      <c r="K406" s="3" t="s">
        <v>33</v>
      </c>
      <c r="L406" s="3" t="str">
        <f t="shared" si="22"/>
        <v/>
      </c>
      <c r="M406" s="3" t="str">
        <f t="shared" ref="M406:M417" si="24">CONCATENATE("SRA30")</f>
        <v>SRA30</v>
      </c>
      <c r="N406" s="3" t="str">
        <f>CONCATENATE("LCNVCN50D21F448U")</f>
        <v>LCNVCN50D21F448U</v>
      </c>
      <c r="O406" s="3" t="s">
        <v>743</v>
      </c>
      <c r="P406" s="3" t="s">
        <v>35</v>
      </c>
      <c r="Q406" s="3" t="s">
        <v>606</v>
      </c>
      <c r="R406" s="4">
        <v>45915</v>
      </c>
      <c r="S406" s="3" t="s">
        <v>37</v>
      </c>
      <c r="T406" s="3" t="s">
        <v>38</v>
      </c>
      <c r="U406" s="3" t="s">
        <v>39</v>
      </c>
      <c r="V406" s="5">
        <v>7435.76</v>
      </c>
      <c r="W406" s="5">
        <v>3755.06</v>
      </c>
      <c r="X406" s="5">
        <v>2576.4899999999998</v>
      </c>
      <c r="Y406" s="5">
        <v>1104.21</v>
      </c>
    </row>
    <row r="407" spans="1:25" ht="41.5" hidden="1" x14ac:dyDescent="0.35">
      <c r="A407" s="3" t="s">
        <v>26</v>
      </c>
      <c r="B407" s="3" t="s">
        <v>27</v>
      </c>
      <c r="C407" s="3" t="s">
        <v>478</v>
      </c>
      <c r="D407" s="3" t="s">
        <v>61</v>
      </c>
      <c r="E407" s="3" t="s">
        <v>744</v>
      </c>
      <c r="F407" s="3" t="s">
        <v>63</v>
      </c>
      <c r="G407" s="3" t="s">
        <v>744</v>
      </c>
      <c r="H407" s="3" t="s">
        <v>604</v>
      </c>
      <c r="I407" s="3">
        <v>2024</v>
      </c>
      <c r="J407" s="3" t="str">
        <f>CONCATENATE("44811428984")</f>
        <v>44811428984</v>
      </c>
      <c r="K407" s="3" t="s">
        <v>33</v>
      </c>
      <c r="L407" s="3" t="str">
        <f t="shared" si="22"/>
        <v/>
      </c>
      <c r="M407" s="3" t="str">
        <f t="shared" si="24"/>
        <v>SRA30</v>
      </c>
      <c r="N407" s="3" t="str">
        <f>CONCATENATE("NGRNTN72E17A566Y")</f>
        <v>NGRNTN72E17A566Y</v>
      </c>
      <c r="O407" s="3" t="s">
        <v>745</v>
      </c>
      <c r="P407" s="3" t="s">
        <v>35</v>
      </c>
      <c r="Q407" s="3" t="s">
        <v>606</v>
      </c>
      <c r="R407" s="4">
        <v>45915</v>
      </c>
      <c r="S407" s="3" t="s">
        <v>37</v>
      </c>
      <c r="T407" s="3" t="s">
        <v>38</v>
      </c>
      <c r="U407" s="3" t="s">
        <v>39</v>
      </c>
      <c r="V407" s="5">
        <v>8915.31</v>
      </c>
      <c r="W407" s="5">
        <v>4502.2299999999996</v>
      </c>
      <c r="X407" s="5">
        <v>3089.15</v>
      </c>
      <c r="Y407" s="5">
        <v>1323.93</v>
      </c>
    </row>
    <row r="408" spans="1:25" ht="41.5" hidden="1" x14ac:dyDescent="0.35">
      <c r="A408" s="3" t="s">
        <v>26</v>
      </c>
      <c r="B408" s="3" t="s">
        <v>27</v>
      </c>
      <c r="C408" s="3" t="s">
        <v>478</v>
      </c>
      <c r="D408" s="3" t="s">
        <v>61</v>
      </c>
      <c r="E408" s="3" t="s">
        <v>746</v>
      </c>
      <c r="F408" s="3" t="s">
        <v>63</v>
      </c>
      <c r="G408" s="3" t="s">
        <v>746</v>
      </c>
      <c r="H408" s="3" t="s">
        <v>604</v>
      </c>
      <c r="I408" s="3">
        <v>2024</v>
      </c>
      <c r="J408" s="3" t="str">
        <f>CONCATENATE("44810683985")</f>
        <v>44810683985</v>
      </c>
      <c r="K408" s="3" t="s">
        <v>33</v>
      </c>
      <c r="L408" s="3" t="str">
        <f t="shared" si="22"/>
        <v/>
      </c>
      <c r="M408" s="3" t="str">
        <f t="shared" si="24"/>
        <v>SRA30</v>
      </c>
      <c r="N408" s="3" t="str">
        <f>CONCATENATE("PGLNNL93H49A399E")</f>
        <v>PGLNNL93H49A399E</v>
      </c>
      <c r="O408" s="3" t="s">
        <v>747</v>
      </c>
      <c r="P408" s="3" t="s">
        <v>35</v>
      </c>
      <c r="Q408" s="3" t="s">
        <v>606</v>
      </c>
      <c r="R408" s="4">
        <v>45915</v>
      </c>
      <c r="S408" s="3" t="s">
        <v>37</v>
      </c>
      <c r="T408" s="3" t="s">
        <v>38</v>
      </c>
      <c r="U408" s="3" t="s">
        <v>39</v>
      </c>
      <c r="V408" s="5">
        <v>5226.34</v>
      </c>
      <c r="W408" s="5">
        <v>2639.3</v>
      </c>
      <c r="X408" s="5">
        <v>1810.93</v>
      </c>
      <c r="Y408" s="3">
        <v>776.11</v>
      </c>
    </row>
    <row r="409" spans="1:25" ht="41.5" hidden="1" x14ac:dyDescent="0.35">
      <c r="A409" s="3" t="s">
        <v>26</v>
      </c>
      <c r="B409" s="3" t="s">
        <v>27</v>
      </c>
      <c r="C409" s="3" t="s">
        <v>90</v>
      </c>
      <c r="D409" s="3" t="s">
        <v>215</v>
      </c>
      <c r="E409" s="3" t="s">
        <v>216</v>
      </c>
      <c r="F409" s="3" t="s">
        <v>217</v>
      </c>
      <c r="G409" s="3" t="s">
        <v>216</v>
      </c>
      <c r="H409" s="3" t="s">
        <v>218</v>
      </c>
      <c r="I409" s="3">
        <v>2024</v>
      </c>
      <c r="J409" s="3" t="str">
        <f>CONCATENATE("44810294387")</f>
        <v>44810294387</v>
      </c>
      <c r="K409" s="3" t="s">
        <v>33</v>
      </c>
      <c r="L409" s="3" t="str">
        <f t="shared" si="22"/>
        <v/>
      </c>
      <c r="M409" s="3" t="str">
        <f t="shared" si="24"/>
        <v>SRA30</v>
      </c>
      <c r="N409" s="3" t="str">
        <f>CONCATENATE("CLNSST64C19L308M")</f>
        <v>CLNSST64C19L308M</v>
      </c>
      <c r="O409" s="3" t="s">
        <v>748</v>
      </c>
      <c r="P409" s="3" t="s">
        <v>35</v>
      </c>
      <c r="Q409" s="3" t="s">
        <v>607</v>
      </c>
      <c r="R409" s="4">
        <v>45932</v>
      </c>
      <c r="S409" s="3" t="s">
        <v>37</v>
      </c>
      <c r="T409" s="3" t="s">
        <v>38</v>
      </c>
      <c r="U409" s="3" t="s">
        <v>39</v>
      </c>
      <c r="V409" s="5">
        <v>1530</v>
      </c>
      <c r="W409" s="3">
        <v>772.65</v>
      </c>
      <c r="X409" s="3">
        <v>530.15</v>
      </c>
      <c r="Y409" s="3">
        <v>227.2</v>
      </c>
    </row>
    <row r="410" spans="1:25" ht="41.5" hidden="1" x14ac:dyDescent="0.35">
      <c r="A410" s="3" t="s">
        <v>26</v>
      </c>
      <c r="B410" s="3" t="s">
        <v>27</v>
      </c>
      <c r="C410" s="3" t="s">
        <v>90</v>
      </c>
      <c r="D410" s="3" t="s">
        <v>107</v>
      </c>
      <c r="E410" s="3" t="s">
        <v>242</v>
      </c>
      <c r="F410" s="3" t="s">
        <v>115</v>
      </c>
      <c r="G410" s="3" t="s">
        <v>242</v>
      </c>
      <c r="H410" s="3" t="s">
        <v>218</v>
      </c>
      <c r="I410" s="3">
        <v>2024</v>
      </c>
      <c r="J410" s="3" t="str">
        <f>CONCATENATE("44810471613")</f>
        <v>44810471613</v>
      </c>
      <c r="K410" s="3" t="s">
        <v>33</v>
      </c>
      <c r="L410" s="3" t="str">
        <f t="shared" si="22"/>
        <v/>
      </c>
      <c r="M410" s="3" t="str">
        <f t="shared" si="24"/>
        <v>SRA30</v>
      </c>
      <c r="N410" s="3" t="str">
        <f>CONCATENATE("CLARSL74P07I328E")</f>
        <v>CLARSL74P07I328E</v>
      </c>
      <c r="O410" s="3" t="s">
        <v>749</v>
      </c>
      <c r="P410" s="3" t="s">
        <v>35</v>
      </c>
      <c r="Q410" s="3" t="s">
        <v>607</v>
      </c>
      <c r="R410" s="4">
        <v>45932</v>
      </c>
      <c r="S410" s="3" t="s">
        <v>37</v>
      </c>
      <c r="T410" s="3" t="s">
        <v>38</v>
      </c>
      <c r="U410" s="3" t="s">
        <v>39</v>
      </c>
      <c r="V410" s="5">
        <v>4329</v>
      </c>
      <c r="W410" s="5">
        <v>2186.15</v>
      </c>
      <c r="X410" s="5">
        <v>1500</v>
      </c>
      <c r="Y410" s="3">
        <v>642.85</v>
      </c>
    </row>
    <row r="411" spans="1:25" ht="41.5" hidden="1" x14ac:dyDescent="0.35">
      <c r="A411" s="3" t="s">
        <v>26</v>
      </c>
      <c r="B411" s="3" t="s">
        <v>27</v>
      </c>
      <c r="C411" s="3" t="s">
        <v>90</v>
      </c>
      <c r="D411" s="3" t="s">
        <v>215</v>
      </c>
      <c r="E411" s="3" t="s">
        <v>216</v>
      </c>
      <c r="F411" s="3" t="s">
        <v>217</v>
      </c>
      <c r="G411" s="3" t="s">
        <v>216</v>
      </c>
      <c r="H411" s="3" t="s">
        <v>218</v>
      </c>
      <c r="I411" s="3">
        <v>2024</v>
      </c>
      <c r="J411" s="3" t="str">
        <f>CONCATENATE("44810981603")</f>
        <v>44810981603</v>
      </c>
      <c r="K411" s="3" t="s">
        <v>33</v>
      </c>
      <c r="L411" s="3" t="str">
        <f t="shared" si="22"/>
        <v/>
      </c>
      <c r="M411" s="3" t="str">
        <f t="shared" si="24"/>
        <v>SRA30</v>
      </c>
      <c r="N411" s="3" t="str">
        <f>CONCATENATE("CTLGNN67E14L308P")</f>
        <v>CTLGNN67E14L308P</v>
      </c>
      <c r="O411" s="3" t="s">
        <v>750</v>
      </c>
      <c r="P411" s="3" t="s">
        <v>35</v>
      </c>
      <c r="Q411" s="3" t="s">
        <v>607</v>
      </c>
      <c r="R411" s="4">
        <v>45932</v>
      </c>
      <c r="S411" s="3" t="s">
        <v>37</v>
      </c>
      <c r="T411" s="3" t="s">
        <v>38</v>
      </c>
      <c r="U411" s="3" t="s">
        <v>39</v>
      </c>
      <c r="V411" s="5">
        <v>1683</v>
      </c>
      <c r="W411" s="3">
        <v>849.92</v>
      </c>
      <c r="X411" s="3">
        <v>583.16</v>
      </c>
      <c r="Y411" s="3">
        <v>249.92</v>
      </c>
    </row>
    <row r="412" spans="1:25" ht="41.5" hidden="1" x14ac:dyDescent="0.35">
      <c r="A412" s="3" t="s">
        <v>26</v>
      </c>
      <c r="B412" s="3" t="s">
        <v>27</v>
      </c>
      <c r="C412" s="3" t="s">
        <v>90</v>
      </c>
      <c r="D412" s="3" t="s">
        <v>107</v>
      </c>
      <c r="E412" s="3" t="s">
        <v>242</v>
      </c>
      <c r="F412" s="3" t="s">
        <v>115</v>
      </c>
      <c r="G412" s="3" t="s">
        <v>242</v>
      </c>
      <c r="H412" s="3" t="s">
        <v>218</v>
      </c>
      <c r="I412" s="3">
        <v>2024</v>
      </c>
      <c r="J412" s="3" t="str">
        <f>CONCATENATE("44811079795")</f>
        <v>44811079795</v>
      </c>
      <c r="K412" s="3" t="s">
        <v>33</v>
      </c>
      <c r="L412" s="3" t="str">
        <f t="shared" si="22"/>
        <v/>
      </c>
      <c r="M412" s="3" t="str">
        <f t="shared" si="24"/>
        <v>SRA30</v>
      </c>
      <c r="N412" s="3" t="str">
        <f>CONCATENATE("FTOSNT81E05B202X")</f>
        <v>FTOSNT81E05B202X</v>
      </c>
      <c r="O412" s="3" t="s">
        <v>751</v>
      </c>
      <c r="P412" s="3" t="s">
        <v>35</v>
      </c>
      <c r="Q412" s="3" t="s">
        <v>607</v>
      </c>
      <c r="R412" s="4">
        <v>45932</v>
      </c>
      <c r="S412" s="3" t="s">
        <v>37</v>
      </c>
      <c r="T412" s="3" t="s">
        <v>38</v>
      </c>
      <c r="U412" s="3" t="s">
        <v>39</v>
      </c>
      <c r="V412" s="5">
        <v>5094</v>
      </c>
      <c r="W412" s="5">
        <v>2572.4699999999998</v>
      </c>
      <c r="X412" s="5">
        <v>1765.07</v>
      </c>
      <c r="Y412" s="3">
        <v>756.46</v>
      </c>
    </row>
    <row r="413" spans="1:25" ht="25.5" hidden="1" x14ac:dyDescent="0.35">
      <c r="A413" s="3" t="s">
        <v>26</v>
      </c>
      <c r="B413" s="3" t="s">
        <v>27</v>
      </c>
      <c r="C413" s="3" t="s">
        <v>90</v>
      </c>
      <c r="D413" s="3" t="s">
        <v>215</v>
      </c>
      <c r="E413" s="3" t="s">
        <v>216</v>
      </c>
      <c r="F413" s="3" t="s">
        <v>217</v>
      </c>
      <c r="G413" s="3" t="s">
        <v>216</v>
      </c>
      <c r="H413" s="3" t="s">
        <v>218</v>
      </c>
      <c r="I413" s="3">
        <v>2024</v>
      </c>
      <c r="J413" s="3" t="str">
        <f>CONCATENATE("44810368769")</f>
        <v>44810368769</v>
      </c>
      <c r="K413" s="3" t="s">
        <v>33</v>
      </c>
      <c r="L413" s="3" t="str">
        <f t="shared" si="22"/>
        <v/>
      </c>
      <c r="M413" s="3" t="str">
        <f t="shared" si="24"/>
        <v>SRA30</v>
      </c>
      <c r="N413" s="3" t="str">
        <f>CONCATENATE("03515040834")</f>
        <v>03515040834</v>
      </c>
      <c r="O413" s="3" t="s">
        <v>752</v>
      </c>
      <c r="P413" s="3" t="s">
        <v>35</v>
      </c>
      <c r="Q413" s="3" t="s">
        <v>607</v>
      </c>
      <c r="R413" s="4">
        <v>45932</v>
      </c>
      <c r="S413" s="3" t="s">
        <v>37</v>
      </c>
      <c r="T413" s="3" t="s">
        <v>38</v>
      </c>
      <c r="U413" s="3" t="s">
        <v>39</v>
      </c>
      <c r="V413" s="5">
        <v>3549.6</v>
      </c>
      <c r="W413" s="5">
        <v>1792.55</v>
      </c>
      <c r="X413" s="5">
        <v>1229.94</v>
      </c>
      <c r="Y413" s="3">
        <v>527.11</v>
      </c>
    </row>
    <row r="414" spans="1:25" ht="25.5" hidden="1" x14ac:dyDescent="0.35">
      <c r="A414" s="3" t="s">
        <v>26</v>
      </c>
      <c r="B414" s="3" t="s">
        <v>27</v>
      </c>
      <c r="C414" s="3" t="s">
        <v>90</v>
      </c>
      <c r="D414" s="3" t="s">
        <v>61</v>
      </c>
      <c r="E414" s="3" t="s">
        <v>240</v>
      </c>
      <c r="F414" s="3" t="s">
        <v>63</v>
      </c>
      <c r="G414" s="3" t="s">
        <v>240</v>
      </c>
      <c r="H414" s="3" t="s">
        <v>218</v>
      </c>
      <c r="I414" s="3">
        <v>2024</v>
      </c>
      <c r="J414" s="3" t="str">
        <f>CONCATENATE("44810777951")</f>
        <v>44810777951</v>
      </c>
      <c r="K414" s="3" t="s">
        <v>33</v>
      </c>
      <c r="L414" s="3" t="str">
        <f t="shared" si="22"/>
        <v/>
      </c>
      <c r="M414" s="3" t="str">
        <f t="shared" si="24"/>
        <v>SRA30</v>
      </c>
      <c r="N414" s="3" t="str">
        <f>CONCATENATE("03566230839")</f>
        <v>03566230839</v>
      </c>
      <c r="O414" s="3" t="s">
        <v>753</v>
      </c>
      <c r="P414" s="3" t="s">
        <v>35</v>
      </c>
      <c r="Q414" s="3" t="s">
        <v>607</v>
      </c>
      <c r="R414" s="4">
        <v>45932</v>
      </c>
      <c r="S414" s="3" t="s">
        <v>37</v>
      </c>
      <c r="T414" s="3" t="s">
        <v>38</v>
      </c>
      <c r="U414" s="3" t="s">
        <v>39</v>
      </c>
      <c r="V414" s="5">
        <v>2754</v>
      </c>
      <c r="W414" s="5">
        <v>1390.77</v>
      </c>
      <c r="X414" s="3">
        <v>954.26</v>
      </c>
      <c r="Y414" s="3">
        <v>408.97</v>
      </c>
    </row>
    <row r="415" spans="1:25" ht="41.5" hidden="1" x14ac:dyDescent="0.35">
      <c r="A415" s="3" t="s">
        <v>26</v>
      </c>
      <c r="B415" s="3" t="s">
        <v>27</v>
      </c>
      <c r="C415" s="3" t="s">
        <v>90</v>
      </c>
      <c r="D415" s="3" t="s">
        <v>51</v>
      </c>
      <c r="E415" s="3" t="s">
        <v>754</v>
      </c>
      <c r="F415" s="3" t="s">
        <v>51</v>
      </c>
      <c r="G415" s="3" t="s">
        <v>754</v>
      </c>
      <c r="H415" s="3" t="s">
        <v>218</v>
      </c>
      <c r="I415" s="3">
        <v>2024</v>
      </c>
      <c r="J415" s="3" t="str">
        <f>CONCATENATE("44811251717")</f>
        <v>44811251717</v>
      </c>
      <c r="K415" s="3" t="s">
        <v>33</v>
      </c>
      <c r="L415" s="3" t="str">
        <f t="shared" si="22"/>
        <v/>
      </c>
      <c r="M415" s="3" t="str">
        <f t="shared" si="24"/>
        <v>SRA30</v>
      </c>
      <c r="N415" s="3" t="str">
        <f>CONCATENATE("LZZPRZ69A43L308R")</f>
        <v>LZZPRZ69A43L308R</v>
      </c>
      <c r="O415" s="3" t="s">
        <v>755</v>
      </c>
      <c r="P415" s="3" t="s">
        <v>35</v>
      </c>
      <c r="Q415" s="3" t="s">
        <v>607</v>
      </c>
      <c r="R415" s="4">
        <v>45932</v>
      </c>
      <c r="S415" s="3" t="s">
        <v>37</v>
      </c>
      <c r="T415" s="3" t="s">
        <v>38</v>
      </c>
      <c r="U415" s="3" t="s">
        <v>39</v>
      </c>
      <c r="V415" s="5">
        <v>3722.22</v>
      </c>
      <c r="W415" s="5">
        <v>1879.72</v>
      </c>
      <c r="X415" s="5">
        <v>1289.75</v>
      </c>
      <c r="Y415" s="3">
        <v>552.75</v>
      </c>
    </row>
    <row r="416" spans="1:25" ht="41.5" hidden="1" x14ac:dyDescent="0.35">
      <c r="A416" s="3" t="s">
        <v>26</v>
      </c>
      <c r="B416" s="3" t="s">
        <v>27</v>
      </c>
      <c r="C416" s="3" t="s">
        <v>90</v>
      </c>
      <c r="D416" s="3" t="s">
        <v>164</v>
      </c>
      <c r="E416" s="3" t="s">
        <v>280</v>
      </c>
      <c r="F416" s="3" t="s">
        <v>166</v>
      </c>
      <c r="G416" s="3" t="s">
        <v>280</v>
      </c>
      <c r="H416" s="3" t="s">
        <v>218</v>
      </c>
      <c r="I416" s="3">
        <v>2024</v>
      </c>
      <c r="J416" s="3" t="str">
        <f>CONCATENATE("44811300134")</f>
        <v>44811300134</v>
      </c>
      <c r="K416" s="3" t="s">
        <v>33</v>
      </c>
      <c r="L416" s="3" t="str">
        <f t="shared" si="22"/>
        <v/>
      </c>
      <c r="M416" s="3" t="str">
        <f t="shared" si="24"/>
        <v>SRA30</v>
      </c>
      <c r="N416" s="3" t="str">
        <f>CONCATENATE("CLNMGS82E68G371A")</f>
        <v>CLNMGS82E68G371A</v>
      </c>
      <c r="O416" s="3" t="s">
        <v>756</v>
      </c>
      <c r="P416" s="3" t="s">
        <v>35</v>
      </c>
      <c r="Q416" s="3" t="s">
        <v>607</v>
      </c>
      <c r="R416" s="4">
        <v>45932</v>
      </c>
      <c r="S416" s="3" t="s">
        <v>37</v>
      </c>
      <c r="T416" s="3" t="s">
        <v>38</v>
      </c>
      <c r="U416" s="3" t="s">
        <v>39</v>
      </c>
      <c r="V416" s="5">
        <v>4385.5600000000004</v>
      </c>
      <c r="W416" s="5">
        <v>2214.71</v>
      </c>
      <c r="X416" s="5">
        <v>1519.6</v>
      </c>
      <c r="Y416" s="3">
        <v>651.25</v>
      </c>
    </row>
    <row r="417" spans="1:25" ht="41.5" hidden="1" x14ac:dyDescent="0.35">
      <c r="A417" s="3" t="s">
        <v>26</v>
      </c>
      <c r="B417" s="3" t="s">
        <v>27</v>
      </c>
      <c r="C417" s="3" t="s">
        <v>90</v>
      </c>
      <c r="D417" s="3" t="s">
        <v>61</v>
      </c>
      <c r="E417" s="3" t="s">
        <v>207</v>
      </c>
      <c r="F417" s="3" t="s">
        <v>63</v>
      </c>
      <c r="G417" s="3" t="s">
        <v>207</v>
      </c>
      <c r="H417" s="3" t="s">
        <v>218</v>
      </c>
      <c r="I417" s="3">
        <v>2024</v>
      </c>
      <c r="J417" s="3" t="str">
        <f>CONCATENATE("44810749620")</f>
        <v>44810749620</v>
      </c>
      <c r="K417" s="3" t="s">
        <v>33</v>
      </c>
      <c r="L417" s="3" t="str">
        <f t="shared" si="22"/>
        <v/>
      </c>
      <c r="M417" s="3" t="str">
        <f t="shared" si="24"/>
        <v>SRA30</v>
      </c>
      <c r="N417" s="3" t="str">
        <f>CONCATENATE("LNZFNC68A01C351B")</f>
        <v>LNZFNC68A01C351B</v>
      </c>
      <c r="O417" s="3" t="s">
        <v>757</v>
      </c>
      <c r="P417" s="3" t="s">
        <v>35</v>
      </c>
      <c r="Q417" s="3" t="s">
        <v>607</v>
      </c>
      <c r="R417" s="4">
        <v>45932</v>
      </c>
      <c r="S417" s="3" t="s">
        <v>37</v>
      </c>
      <c r="T417" s="3" t="s">
        <v>38</v>
      </c>
      <c r="U417" s="3" t="s">
        <v>39</v>
      </c>
      <c r="V417" s="5">
        <v>1870</v>
      </c>
      <c r="W417" s="3">
        <v>944.35</v>
      </c>
      <c r="X417" s="3">
        <v>647.96</v>
      </c>
      <c r="Y417" s="3">
        <v>277.69</v>
      </c>
    </row>
    <row r="418" spans="1:25" ht="49.5" hidden="1" x14ac:dyDescent="0.35">
      <c r="A418" s="3" t="s">
        <v>26</v>
      </c>
      <c r="B418" s="3" t="s">
        <v>27</v>
      </c>
      <c r="C418" s="3" t="s">
        <v>40</v>
      </c>
      <c r="D418" s="3" t="s">
        <v>51</v>
      </c>
      <c r="E418" s="3" t="s">
        <v>52</v>
      </c>
      <c r="F418" s="3" t="s">
        <v>43</v>
      </c>
      <c r="G418" s="3" t="s">
        <v>42</v>
      </c>
      <c r="H418" s="3" t="s">
        <v>44</v>
      </c>
      <c r="I418" s="3">
        <v>2024</v>
      </c>
      <c r="J418" s="3" t="str">
        <f>CONCATENATE("44820295069")</f>
        <v>44820295069</v>
      </c>
      <c r="K418" s="3" t="s">
        <v>33</v>
      </c>
      <c r="L418" s="3" t="str">
        <f t="shared" si="22"/>
        <v/>
      </c>
      <c r="M418" s="3" t="str">
        <f>CONCATENATE("SRB01")</f>
        <v>SRB01</v>
      </c>
      <c r="N418" s="3" t="str">
        <f>CONCATENATE("FRNSVN82B06H282W")</f>
        <v>FRNSVN82B06H282W</v>
      </c>
      <c r="O418" s="3" t="s">
        <v>758</v>
      </c>
      <c r="P418" s="3" t="s">
        <v>35</v>
      </c>
      <c r="Q418" s="3" t="s">
        <v>759</v>
      </c>
      <c r="R418" s="4">
        <v>45933</v>
      </c>
      <c r="S418" s="3" t="s">
        <v>37</v>
      </c>
      <c r="T418" s="3" t="s">
        <v>38</v>
      </c>
      <c r="U418" s="3" t="s">
        <v>39</v>
      </c>
      <c r="V418" s="5">
        <v>4893.4799999999996</v>
      </c>
      <c r="W418" s="5">
        <v>1991.65</v>
      </c>
      <c r="X418" s="5">
        <v>2031.28</v>
      </c>
      <c r="Y418" s="3">
        <v>870.55</v>
      </c>
    </row>
    <row r="419" spans="1:25" ht="41.5" hidden="1" x14ac:dyDescent="0.35">
      <c r="A419" s="3" t="s">
        <v>26</v>
      </c>
      <c r="B419" s="3" t="s">
        <v>27</v>
      </c>
      <c r="C419" s="3" t="s">
        <v>40</v>
      </c>
      <c r="D419" s="3" t="s">
        <v>41</v>
      </c>
      <c r="E419" s="3" t="s">
        <v>143</v>
      </c>
      <c r="F419" s="3" t="s">
        <v>43</v>
      </c>
      <c r="G419" s="3" t="s">
        <v>143</v>
      </c>
      <c r="H419" s="3" t="s">
        <v>64</v>
      </c>
      <c r="I419" s="3">
        <v>2024</v>
      </c>
      <c r="J419" s="3" t="str">
        <f>CONCATENATE("44820543625")</f>
        <v>44820543625</v>
      </c>
      <c r="K419" s="3" t="s">
        <v>33</v>
      </c>
      <c r="L419" s="3" t="str">
        <f t="shared" si="22"/>
        <v/>
      </c>
      <c r="M419" s="3" t="str">
        <f>CONCATENATE("SRB01")</f>
        <v>SRB01</v>
      </c>
      <c r="N419" s="3" t="str">
        <f>CONCATENATE("KSZRLD75C43Z127T")</f>
        <v>KSZRLD75C43Z127T</v>
      </c>
      <c r="O419" s="3" t="s">
        <v>760</v>
      </c>
      <c r="P419" s="3" t="s">
        <v>35</v>
      </c>
      <c r="Q419" s="3" t="s">
        <v>759</v>
      </c>
      <c r="R419" s="4">
        <v>45933</v>
      </c>
      <c r="S419" s="3" t="s">
        <v>37</v>
      </c>
      <c r="T419" s="3" t="s">
        <v>38</v>
      </c>
      <c r="U419" s="3" t="s">
        <v>39</v>
      </c>
      <c r="V419" s="5">
        <v>1335.12</v>
      </c>
      <c r="W419" s="3">
        <v>543.39</v>
      </c>
      <c r="X419" s="3">
        <v>554.21</v>
      </c>
      <c r="Y419" s="3">
        <v>237.52</v>
      </c>
    </row>
    <row r="420" spans="1:25" ht="41.5" hidden="1" x14ac:dyDescent="0.35">
      <c r="A420" s="3" t="s">
        <v>26</v>
      </c>
      <c r="B420" s="3" t="s">
        <v>27</v>
      </c>
      <c r="C420" s="3" t="s">
        <v>40</v>
      </c>
      <c r="D420" s="3" t="s">
        <v>41</v>
      </c>
      <c r="E420" s="3" t="s">
        <v>761</v>
      </c>
      <c r="F420" s="3" t="s">
        <v>43</v>
      </c>
      <c r="G420" s="3" t="s">
        <v>761</v>
      </c>
      <c r="H420" s="3" t="s">
        <v>44</v>
      </c>
      <c r="I420" s="3">
        <v>2024</v>
      </c>
      <c r="J420" s="3" t="str">
        <f>CONCATENATE("44820311841")</f>
        <v>44820311841</v>
      </c>
      <c r="K420" s="3" t="s">
        <v>33</v>
      </c>
      <c r="L420" s="3" t="str">
        <f t="shared" si="22"/>
        <v/>
      </c>
      <c r="M420" s="3" t="str">
        <f>CONCATENATE("SRB01")</f>
        <v>SRB01</v>
      </c>
      <c r="N420" s="3" t="str">
        <f>CONCATENATE("PCIRLD82D22H282E")</f>
        <v>PCIRLD82D22H282E</v>
      </c>
      <c r="O420" s="3" t="s">
        <v>762</v>
      </c>
      <c r="P420" s="3" t="s">
        <v>35</v>
      </c>
      <c r="Q420" s="3" t="s">
        <v>759</v>
      </c>
      <c r="R420" s="4">
        <v>45933</v>
      </c>
      <c r="S420" s="3" t="s">
        <v>37</v>
      </c>
      <c r="T420" s="3" t="s">
        <v>38</v>
      </c>
      <c r="U420" s="3" t="s">
        <v>39</v>
      </c>
      <c r="V420" s="3">
        <v>61.23</v>
      </c>
      <c r="W420" s="3">
        <v>24.92</v>
      </c>
      <c r="X420" s="3">
        <v>25.42</v>
      </c>
      <c r="Y420" s="3">
        <v>10.89</v>
      </c>
    </row>
    <row r="421" spans="1:25" ht="41.5" hidden="1" x14ac:dyDescent="0.35">
      <c r="A421" s="3" t="s">
        <v>26</v>
      </c>
      <c r="B421" s="3" t="s">
        <v>27</v>
      </c>
      <c r="C421" s="3" t="s">
        <v>40</v>
      </c>
      <c r="D421" s="3" t="s">
        <v>41</v>
      </c>
      <c r="E421" s="3" t="s">
        <v>125</v>
      </c>
      <c r="F421" s="3" t="s">
        <v>43</v>
      </c>
      <c r="G421" s="3" t="s">
        <v>125</v>
      </c>
      <c r="H421" s="3" t="s">
        <v>116</v>
      </c>
      <c r="I421" s="3">
        <v>2024</v>
      </c>
      <c r="J421" s="3" t="str">
        <f>CONCATENATE("44810323236")</f>
        <v>44810323236</v>
      </c>
      <c r="K421" s="3" t="s">
        <v>33</v>
      </c>
      <c r="L421" s="3" t="str">
        <f t="shared" si="22"/>
        <v/>
      </c>
      <c r="M421" s="3" t="str">
        <f>CONCATENATE("SRA14")</f>
        <v>SRA14</v>
      </c>
      <c r="N421" s="3" t="str">
        <f>CONCATENATE("LRTGPP68C18D662G")</f>
        <v>LRTGPP68C18D662G</v>
      </c>
      <c r="O421" s="3" t="s">
        <v>763</v>
      </c>
      <c r="P421" s="3" t="s">
        <v>35</v>
      </c>
      <c r="Q421" s="3" t="s">
        <v>764</v>
      </c>
      <c r="R421" s="4">
        <v>45933</v>
      </c>
      <c r="S421" s="3" t="s">
        <v>37</v>
      </c>
      <c r="T421" s="3" t="s">
        <v>38</v>
      </c>
      <c r="U421" s="3" t="s">
        <v>39</v>
      </c>
      <c r="V421" s="3">
        <v>750</v>
      </c>
      <c r="W421" s="3">
        <v>305.25</v>
      </c>
      <c r="X421" s="3">
        <v>311.33</v>
      </c>
      <c r="Y421" s="3">
        <v>133.41999999999999</v>
      </c>
    </row>
    <row r="422" spans="1:25" ht="41.5" hidden="1" x14ac:dyDescent="0.35">
      <c r="A422" s="3" t="s">
        <v>26</v>
      </c>
      <c r="B422" s="3" t="s">
        <v>27</v>
      </c>
      <c r="C422" s="3" t="s">
        <v>90</v>
      </c>
      <c r="D422" s="3" t="s">
        <v>51</v>
      </c>
      <c r="E422" s="3" t="s">
        <v>754</v>
      </c>
      <c r="F422" s="3" t="s">
        <v>51</v>
      </c>
      <c r="G422" s="3" t="s">
        <v>754</v>
      </c>
      <c r="H422" s="3" t="s">
        <v>218</v>
      </c>
      <c r="I422" s="3">
        <v>2024</v>
      </c>
      <c r="J422" s="3" t="str">
        <f>CONCATENATE("44810059772")</f>
        <v>44810059772</v>
      </c>
      <c r="K422" s="3" t="s">
        <v>33</v>
      </c>
      <c r="L422" s="3" t="str">
        <f t="shared" si="22"/>
        <v/>
      </c>
      <c r="M422" s="3" t="str">
        <f t="shared" ref="M422:M427" si="25">CONCATENATE("SRA29")</f>
        <v>SRA29</v>
      </c>
      <c r="N422" s="3" t="str">
        <f>CONCATENATE("BBTCML62L20A638D")</f>
        <v>BBTCML62L20A638D</v>
      </c>
      <c r="O422" s="3" t="s">
        <v>765</v>
      </c>
      <c r="P422" s="3" t="s">
        <v>35</v>
      </c>
      <c r="Q422" s="3" t="s">
        <v>766</v>
      </c>
      <c r="R422" s="4">
        <v>45931</v>
      </c>
      <c r="S422" s="3" t="s">
        <v>37</v>
      </c>
      <c r="T422" s="3" t="s">
        <v>38</v>
      </c>
      <c r="U422" s="3" t="s">
        <v>39</v>
      </c>
      <c r="V422" s="5">
        <v>1625.5</v>
      </c>
      <c r="W422" s="3">
        <v>820.88</v>
      </c>
      <c r="X422" s="3">
        <v>563.24</v>
      </c>
      <c r="Y422" s="3">
        <v>241.38</v>
      </c>
    </row>
    <row r="423" spans="1:25" ht="41.5" hidden="1" x14ac:dyDescent="0.35">
      <c r="A423" s="3" t="s">
        <v>26</v>
      </c>
      <c r="B423" s="3" t="s">
        <v>27</v>
      </c>
      <c r="C423" s="3" t="s">
        <v>90</v>
      </c>
      <c r="D423" s="3" t="s">
        <v>164</v>
      </c>
      <c r="E423" s="3" t="s">
        <v>280</v>
      </c>
      <c r="F423" s="3" t="s">
        <v>166</v>
      </c>
      <c r="G423" s="3" t="s">
        <v>280</v>
      </c>
      <c r="H423" s="3" t="s">
        <v>218</v>
      </c>
      <c r="I423" s="3">
        <v>2024</v>
      </c>
      <c r="J423" s="3" t="str">
        <f>CONCATENATE("44811263449")</f>
        <v>44811263449</v>
      </c>
      <c r="K423" s="3" t="s">
        <v>33</v>
      </c>
      <c r="L423" s="3" t="str">
        <f t="shared" si="22"/>
        <v/>
      </c>
      <c r="M423" s="3" t="str">
        <f t="shared" si="25"/>
        <v>SRA29</v>
      </c>
      <c r="N423" s="3" t="str">
        <f>CONCATENATE("MTSRSR93R05F251Z")</f>
        <v>MTSRSR93R05F251Z</v>
      </c>
      <c r="O423" s="3" t="s">
        <v>767</v>
      </c>
      <c r="P423" s="3" t="s">
        <v>35</v>
      </c>
      <c r="Q423" s="3" t="s">
        <v>766</v>
      </c>
      <c r="R423" s="4">
        <v>45931</v>
      </c>
      <c r="S423" s="3" t="s">
        <v>37</v>
      </c>
      <c r="T423" s="3" t="s">
        <v>38</v>
      </c>
      <c r="U423" s="3" t="s">
        <v>39</v>
      </c>
      <c r="V423" s="5">
        <v>6971.91</v>
      </c>
      <c r="W423" s="5">
        <v>3520.81</v>
      </c>
      <c r="X423" s="5">
        <v>2415.77</v>
      </c>
      <c r="Y423" s="5">
        <v>1035.33</v>
      </c>
    </row>
    <row r="424" spans="1:25" ht="41.5" hidden="1" x14ac:dyDescent="0.35">
      <c r="A424" s="3" t="s">
        <v>26</v>
      </c>
      <c r="B424" s="3" t="s">
        <v>27</v>
      </c>
      <c r="C424" s="3" t="s">
        <v>90</v>
      </c>
      <c r="D424" s="3" t="s">
        <v>61</v>
      </c>
      <c r="E424" s="3" t="s">
        <v>240</v>
      </c>
      <c r="F424" s="3" t="s">
        <v>63</v>
      </c>
      <c r="G424" s="3" t="s">
        <v>240</v>
      </c>
      <c r="H424" s="3" t="s">
        <v>218</v>
      </c>
      <c r="I424" s="3">
        <v>2024</v>
      </c>
      <c r="J424" s="3" t="str">
        <f>CONCATENATE("44810787737")</f>
        <v>44810787737</v>
      </c>
      <c r="K424" s="3" t="s">
        <v>33</v>
      </c>
      <c r="L424" s="3" t="str">
        <f t="shared" si="22"/>
        <v/>
      </c>
      <c r="M424" s="3" t="str">
        <f t="shared" si="25"/>
        <v>SRA29</v>
      </c>
      <c r="N424" s="3" t="str">
        <f>CONCATENATE("LBLCRN58S16H850J")</f>
        <v>LBLCRN58S16H850J</v>
      </c>
      <c r="O424" s="3" t="s">
        <v>768</v>
      </c>
      <c r="P424" s="3" t="s">
        <v>35</v>
      </c>
      <c r="Q424" s="3" t="s">
        <v>766</v>
      </c>
      <c r="R424" s="4">
        <v>45931</v>
      </c>
      <c r="S424" s="3" t="s">
        <v>37</v>
      </c>
      <c r="T424" s="3" t="s">
        <v>38</v>
      </c>
      <c r="U424" s="3" t="s">
        <v>39</v>
      </c>
      <c r="V424" s="5">
        <v>2996.87</v>
      </c>
      <c r="W424" s="5">
        <v>1513.42</v>
      </c>
      <c r="X424" s="5">
        <v>1038.42</v>
      </c>
      <c r="Y424" s="3">
        <v>445.03</v>
      </c>
    </row>
    <row r="425" spans="1:25" ht="49.5" hidden="1" x14ac:dyDescent="0.35">
      <c r="A425" s="3" t="s">
        <v>26</v>
      </c>
      <c r="B425" s="3" t="s">
        <v>27</v>
      </c>
      <c r="C425" s="3" t="s">
        <v>90</v>
      </c>
      <c r="D425" s="3" t="s">
        <v>41</v>
      </c>
      <c r="E425" s="3" t="s">
        <v>224</v>
      </c>
      <c r="F425" s="3" t="s">
        <v>43</v>
      </c>
      <c r="G425" s="3" t="s">
        <v>224</v>
      </c>
      <c r="H425" s="3" t="s">
        <v>218</v>
      </c>
      <c r="I425" s="3">
        <v>2024</v>
      </c>
      <c r="J425" s="3" t="str">
        <f>CONCATENATE("44810782993")</f>
        <v>44810782993</v>
      </c>
      <c r="K425" s="3" t="s">
        <v>33</v>
      </c>
      <c r="L425" s="3" t="str">
        <f t="shared" si="22"/>
        <v/>
      </c>
      <c r="M425" s="3" t="str">
        <f t="shared" si="25"/>
        <v>SRA29</v>
      </c>
      <c r="N425" s="3" t="str">
        <f>CONCATENATE("MNSMNN87M67F158C")</f>
        <v>MNSMNN87M67F158C</v>
      </c>
      <c r="O425" s="3" t="s">
        <v>769</v>
      </c>
      <c r="P425" s="3" t="s">
        <v>35</v>
      </c>
      <c r="Q425" s="3" t="s">
        <v>766</v>
      </c>
      <c r="R425" s="4">
        <v>45931</v>
      </c>
      <c r="S425" s="3" t="s">
        <v>37</v>
      </c>
      <c r="T425" s="3" t="s">
        <v>38</v>
      </c>
      <c r="U425" s="3" t="s">
        <v>39</v>
      </c>
      <c r="V425" s="5">
        <v>3525.33</v>
      </c>
      <c r="W425" s="5">
        <v>1780.29</v>
      </c>
      <c r="X425" s="5">
        <v>1221.53</v>
      </c>
      <c r="Y425" s="3">
        <v>523.51</v>
      </c>
    </row>
    <row r="426" spans="1:25" ht="49.5" hidden="1" x14ac:dyDescent="0.35">
      <c r="A426" s="3" t="s">
        <v>26</v>
      </c>
      <c r="B426" s="3" t="s">
        <v>27</v>
      </c>
      <c r="C426" s="3" t="s">
        <v>90</v>
      </c>
      <c r="D426" s="3" t="s">
        <v>41</v>
      </c>
      <c r="E426" s="3" t="s">
        <v>224</v>
      </c>
      <c r="F426" s="3" t="s">
        <v>43</v>
      </c>
      <c r="G426" s="3" t="s">
        <v>224</v>
      </c>
      <c r="H426" s="3" t="s">
        <v>218</v>
      </c>
      <c r="I426" s="3">
        <v>2023</v>
      </c>
      <c r="J426" s="3" t="str">
        <f>CONCATENATE("34810268218")</f>
        <v>34810268218</v>
      </c>
      <c r="K426" s="3" t="s">
        <v>33</v>
      </c>
      <c r="L426" s="3" t="str">
        <f t="shared" si="22"/>
        <v/>
      </c>
      <c r="M426" s="3" t="str">
        <f t="shared" si="25"/>
        <v>SRA29</v>
      </c>
      <c r="N426" s="3" t="str">
        <f>CONCATENATE("MNSMNN87M67F158C")</f>
        <v>MNSMNN87M67F158C</v>
      </c>
      <c r="O426" s="3" t="s">
        <v>769</v>
      </c>
      <c r="P426" s="3" t="s">
        <v>35</v>
      </c>
      <c r="Q426" s="3" t="s">
        <v>766</v>
      </c>
      <c r="R426" s="4">
        <v>45931</v>
      </c>
      <c r="S426" s="3" t="s">
        <v>37</v>
      </c>
      <c r="T426" s="3" t="s">
        <v>38</v>
      </c>
      <c r="U426" s="3" t="s">
        <v>39</v>
      </c>
      <c r="V426" s="5">
        <v>3759.8</v>
      </c>
      <c r="W426" s="5">
        <v>1898.7</v>
      </c>
      <c r="X426" s="5">
        <v>1302.77</v>
      </c>
      <c r="Y426" s="3">
        <v>558.33000000000004</v>
      </c>
    </row>
    <row r="427" spans="1:25" ht="41.5" hidden="1" x14ac:dyDescent="0.35">
      <c r="A427" s="3" t="s">
        <v>26</v>
      </c>
      <c r="B427" s="3" t="s">
        <v>27</v>
      </c>
      <c r="C427" s="3" t="s">
        <v>470</v>
      </c>
      <c r="D427" s="3" t="s">
        <v>41</v>
      </c>
      <c r="E427" s="3" t="s">
        <v>770</v>
      </c>
      <c r="F427" s="3" t="s">
        <v>43</v>
      </c>
      <c r="G427" s="3" t="s">
        <v>770</v>
      </c>
      <c r="H427" s="3" t="s">
        <v>664</v>
      </c>
      <c r="I427" s="3">
        <v>2024</v>
      </c>
      <c r="J427" s="3" t="str">
        <f>CONCATENATE("44810217453")</f>
        <v>44810217453</v>
      </c>
      <c r="K427" s="3" t="s">
        <v>33</v>
      </c>
      <c r="L427" s="3" t="str">
        <f t="shared" si="22"/>
        <v/>
      </c>
      <c r="M427" s="3" t="str">
        <f t="shared" si="25"/>
        <v>SRA29</v>
      </c>
      <c r="N427" s="3" t="str">
        <f>CONCATENATE("CRGNCL72C14F052M")</f>
        <v>CRGNCL72C14F052M</v>
      </c>
      <c r="O427" s="3" t="s">
        <v>771</v>
      </c>
      <c r="P427" s="3" t="s">
        <v>35</v>
      </c>
      <c r="Q427" s="3" t="s">
        <v>772</v>
      </c>
      <c r="R427" s="4">
        <v>45915</v>
      </c>
      <c r="S427" s="3" t="s">
        <v>37</v>
      </c>
      <c r="T427" s="3" t="s">
        <v>38</v>
      </c>
      <c r="U427" s="3" t="s">
        <v>39</v>
      </c>
      <c r="V427" s="3">
        <v>355.11</v>
      </c>
      <c r="W427" s="3">
        <v>179.33</v>
      </c>
      <c r="X427" s="3">
        <v>123.05</v>
      </c>
      <c r="Y427" s="3">
        <v>52.73</v>
      </c>
    </row>
    <row r="428" spans="1:25" ht="41.5" hidden="1" x14ac:dyDescent="0.35">
      <c r="A428" s="3" t="s">
        <v>26</v>
      </c>
      <c r="B428" s="3" t="s">
        <v>27</v>
      </c>
      <c r="C428" s="3" t="s">
        <v>90</v>
      </c>
      <c r="D428" s="3" t="s">
        <v>364</v>
      </c>
      <c r="E428" s="3" t="s">
        <v>612</v>
      </c>
      <c r="F428" s="3" t="s">
        <v>393</v>
      </c>
      <c r="G428" s="3" t="s">
        <v>610</v>
      </c>
      <c r="H428" s="3" t="s">
        <v>218</v>
      </c>
      <c r="I428" s="3">
        <v>2024</v>
      </c>
      <c r="J428" s="3" t="str">
        <f>CONCATENATE("44811518545")</f>
        <v>44811518545</v>
      </c>
      <c r="K428" s="3" t="s">
        <v>33</v>
      </c>
      <c r="L428" s="3" t="str">
        <f t="shared" si="22"/>
        <v/>
      </c>
      <c r="M428" s="3" t="str">
        <f>CONCATENATE("SRA30")</f>
        <v>SRA30</v>
      </c>
      <c r="N428" s="3" t="str">
        <f>CONCATENATE("QRTGNN69H63F158D")</f>
        <v>QRTGNN69H63F158D</v>
      </c>
      <c r="O428" s="3" t="s">
        <v>773</v>
      </c>
      <c r="P428" s="3" t="s">
        <v>35</v>
      </c>
      <c r="Q428" s="3" t="s">
        <v>607</v>
      </c>
      <c r="R428" s="4">
        <v>45932</v>
      </c>
      <c r="S428" s="3" t="s">
        <v>37</v>
      </c>
      <c r="T428" s="3" t="s">
        <v>38</v>
      </c>
      <c r="U428" s="3" t="s">
        <v>39</v>
      </c>
      <c r="V428" s="5">
        <v>2354.67</v>
      </c>
      <c r="W428" s="5">
        <v>1189.1099999999999</v>
      </c>
      <c r="X428" s="3">
        <v>815.89</v>
      </c>
      <c r="Y428" s="3">
        <v>349.67</v>
      </c>
    </row>
    <row r="429" spans="1:25" ht="49.5" hidden="1" x14ac:dyDescent="0.35">
      <c r="A429" s="3" t="s">
        <v>26</v>
      </c>
      <c r="B429" s="3" t="s">
        <v>27</v>
      </c>
      <c r="C429" s="3" t="s">
        <v>478</v>
      </c>
      <c r="D429" s="3" t="s">
        <v>75</v>
      </c>
      <c r="E429" s="3" t="s">
        <v>582</v>
      </c>
      <c r="F429" s="3" t="s">
        <v>77</v>
      </c>
      <c r="G429" s="3" t="s">
        <v>582</v>
      </c>
      <c r="H429" s="3" t="s">
        <v>614</v>
      </c>
      <c r="I429" s="3">
        <v>2024</v>
      </c>
      <c r="J429" s="3" t="str">
        <f>CONCATENATE("44811408721")</f>
        <v>44811408721</v>
      </c>
      <c r="K429" s="3" t="s">
        <v>33</v>
      </c>
      <c r="L429" s="3" t="str">
        <f t="shared" si="22"/>
        <v/>
      </c>
      <c r="M429" s="3" t="str">
        <f t="shared" ref="M429:M437" si="26">CONCATENATE("SRA03")</f>
        <v>SRA03</v>
      </c>
      <c r="N429" s="3" t="str">
        <f>CONCATENATE("SRNLBR51R46H898Q")</f>
        <v>SRNLBR51R46H898Q</v>
      </c>
      <c r="O429" s="3" t="s">
        <v>774</v>
      </c>
      <c r="P429" s="3" t="s">
        <v>35</v>
      </c>
      <c r="Q429" s="3" t="s">
        <v>616</v>
      </c>
      <c r="R429" s="4">
        <v>45933</v>
      </c>
      <c r="S429" s="3" t="s">
        <v>37</v>
      </c>
      <c r="T429" s="3" t="s">
        <v>38</v>
      </c>
      <c r="U429" s="3" t="s">
        <v>39</v>
      </c>
      <c r="V429" s="5">
        <v>2062.96</v>
      </c>
      <c r="W429" s="5">
        <v>1041.79</v>
      </c>
      <c r="X429" s="3">
        <v>714.82</v>
      </c>
      <c r="Y429" s="3">
        <v>306.35000000000002</v>
      </c>
    </row>
    <row r="430" spans="1:25" ht="49.5" hidden="1" x14ac:dyDescent="0.35">
      <c r="A430" s="3" t="s">
        <v>26</v>
      </c>
      <c r="B430" s="3" t="s">
        <v>27</v>
      </c>
      <c r="C430" s="3" t="s">
        <v>478</v>
      </c>
      <c r="D430" s="3" t="s">
        <v>75</v>
      </c>
      <c r="E430" s="3" t="s">
        <v>582</v>
      </c>
      <c r="F430" s="3" t="s">
        <v>77</v>
      </c>
      <c r="G430" s="3" t="s">
        <v>582</v>
      </c>
      <c r="H430" s="3" t="s">
        <v>614</v>
      </c>
      <c r="I430" s="3">
        <v>2024</v>
      </c>
      <c r="J430" s="3" t="str">
        <f>CONCATENATE("44811346814")</f>
        <v>44811346814</v>
      </c>
      <c r="K430" s="3" t="s">
        <v>33</v>
      </c>
      <c r="L430" s="3" t="str">
        <f t="shared" si="22"/>
        <v/>
      </c>
      <c r="M430" s="3" t="str">
        <f t="shared" si="26"/>
        <v>SRA03</v>
      </c>
      <c r="N430" s="3" t="str">
        <f>CONCATENATE("SRNMRC64D14H984W")</f>
        <v>SRNMRC64D14H984W</v>
      </c>
      <c r="O430" s="3" t="s">
        <v>775</v>
      </c>
      <c r="P430" s="3" t="s">
        <v>35</v>
      </c>
      <c r="Q430" s="3" t="s">
        <v>616</v>
      </c>
      <c r="R430" s="4">
        <v>45933</v>
      </c>
      <c r="S430" s="3" t="s">
        <v>37</v>
      </c>
      <c r="T430" s="3" t="s">
        <v>38</v>
      </c>
      <c r="U430" s="3" t="s">
        <v>39</v>
      </c>
      <c r="V430" s="5">
        <v>1899.36</v>
      </c>
      <c r="W430" s="3">
        <v>959.18</v>
      </c>
      <c r="X430" s="3">
        <v>658.13</v>
      </c>
      <c r="Y430" s="3">
        <v>282.05</v>
      </c>
    </row>
    <row r="431" spans="1:25" ht="41.5" hidden="1" x14ac:dyDescent="0.35">
      <c r="A431" s="3" t="s">
        <v>26</v>
      </c>
      <c r="B431" s="3" t="s">
        <v>27</v>
      </c>
      <c r="C431" s="3" t="s">
        <v>478</v>
      </c>
      <c r="D431" s="3" t="s">
        <v>75</v>
      </c>
      <c r="E431" s="3" t="s">
        <v>582</v>
      </c>
      <c r="F431" s="3" t="s">
        <v>77</v>
      </c>
      <c r="G431" s="3" t="s">
        <v>582</v>
      </c>
      <c r="H431" s="3" t="s">
        <v>614</v>
      </c>
      <c r="I431" s="3">
        <v>2024</v>
      </c>
      <c r="J431" s="3" t="str">
        <f>CONCATENATE("44811455045")</f>
        <v>44811455045</v>
      </c>
      <c r="K431" s="3" t="s">
        <v>33</v>
      </c>
      <c r="L431" s="3" t="str">
        <f t="shared" si="22"/>
        <v/>
      </c>
      <c r="M431" s="3" t="str">
        <f t="shared" si="26"/>
        <v>SRA03</v>
      </c>
      <c r="N431" s="3" t="str">
        <f>CONCATENATE("SPGNFR62B21F287J")</f>
        <v>SPGNFR62B21F287J</v>
      </c>
      <c r="O431" s="3" t="s">
        <v>776</v>
      </c>
      <c r="P431" s="3" t="s">
        <v>35</v>
      </c>
      <c r="Q431" s="3" t="s">
        <v>616</v>
      </c>
      <c r="R431" s="4">
        <v>45933</v>
      </c>
      <c r="S431" s="3" t="s">
        <v>37</v>
      </c>
      <c r="T431" s="3" t="s">
        <v>38</v>
      </c>
      <c r="U431" s="3" t="s">
        <v>39</v>
      </c>
      <c r="V431" s="5">
        <v>2391.9899999999998</v>
      </c>
      <c r="W431" s="5">
        <v>1207.95</v>
      </c>
      <c r="X431" s="3">
        <v>828.82</v>
      </c>
      <c r="Y431" s="3">
        <v>355.22</v>
      </c>
    </row>
    <row r="432" spans="1:25" ht="41.5" hidden="1" x14ac:dyDescent="0.35">
      <c r="A432" s="3" t="s">
        <v>26</v>
      </c>
      <c r="B432" s="3" t="s">
        <v>27</v>
      </c>
      <c r="C432" s="3" t="s">
        <v>478</v>
      </c>
      <c r="D432" s="3" t="s">
        <v>75</v>
      </c>
      <c r="E432" s="3" t="s">
        <v>582</v>
      </c>
      <c r="F432" s="3" t="s">
        <v>77</v>
      </c>
      <c r="G432" s="3" t="s">
        <v>582</v>
      </c>
      <c r="H432" s="3" t="s">
        <v>614</v>
      </c>
      <c r="I432" s="3">
        <v>2024</v>
      </c>
      <c r="J432" s="3" t="str">
        <f>CONCATENATE("44810798866")</f>
        <v>44810798866</v>
      </c>
      <c r="K432" s="3" t="s">
        <v>33</v>
      </c>
      <c r="L432" s="3" t="str">
        <f t="shared" si="22"/>
        <v/>
      </c>
      <c r="M432" s="3" t="str">
        <f t="shared" si="26"/>
        <v>SRA03</v>
      </c>
      <c r="N432" s="3" t="str">
        <f>CONCATENATE("VNDVNC80S70A783O")</f>
        <v>VNDVNC80S70A783O</v>
      </c>
      <c r="O432" s="3" t="s">
        <v>777</v>
      </c>
      <c r="P432" s="3" t="s">
        <v>35</v>
      </c>
      <c r="Q432" s="3" t="s">
        <v>616</v>
      </c>
      <c r="R432" s="4">
        <v>45933</v>
      </c>
      <c r="S432" s="3" t="s">
        <v>37</v>
      </c>
      <c r="T432" s="3" t="s">
        <v>38</v>
      </c>
      <c r="U432" s="3" t="s">
        <v>39</v>
      </c>
      <c r="V432" s="3">
        <v>4.5199999999999996</v>
      </c>
      <c r="W432" s="3">
        <v>2.2799999999999998</v>
      </c>
      <c r="X432" s="3">
        <v>1.57</v>
      </c>
      <c r="Y432" s="3">
        <v>0.67</v>
      </c>
    </row>
    <row r="433" spans="1:25" ht="41.5" hidden="1" x14ac:dyDescent="0.35">
      <c r="A433" s="3" t="s">
        <v>26</v>
      </c>
      <c r="B433" s="3" t="s">
        <v>27</v>
      </c>
      <c r="C433" s="3" t="s">
        <v>478</v>
      </c>
      <c r="D433" s="3" t="s">
        <v>75</v>
      </c>
      <c r="E433" s="3" t="s">
        <v>582</v>
      </c>
      <c r="F433" s="3" t="s">
        <v>77</v>
      </c>
      <c r="G433" s="3" t="s">
        <v>582</v>
      </c>
      <c r="H433" s="3" t="s">
        <v>614</v>
      </c>
      <c r="I433" s="3">
        <v>2024</v>
      </c>
      <c r="J433" s="3" t="str">
        <f>CONCATENATE("44810866846")</f>
        <v>44810866846</v>
      </c>
      <c r="K433" s="3" t="s">
        <v>33</v>
      </c>
      <c r="L433" s="3" t="str">
        <f t="shared" si="22"/>
        <v/>
      </c>
      <c r="M433" s="3" t="str">
        <f t="shared" si="26"/>
        <v>SRA03</v>
      </c>
      <c r="N433" s="3" t="str">
        <f>CONCATENATE("VRNMHL54L19C106R")</f>
        <v>VRNMHL54L19C106R</v>
      </c>
      <c r="O433" s="3" t="s">
        <v>778</v>
      </c>
      <c r="P433" s="3" t="s">
        <v>35</v>
      </c>
      <c r="Q433" s="3" t="s">
        <v>616</v>
      </c>
      <c r="R433" s="4">
        <v>45933</v>
      </c>
      <c r="S433" s="3" t="s">
        <v>37</v>
      </c>
      <c r="T433" s="3" t="s">
        <v>38</v>
      </c>
      <c r="U433" s="3" t="s">
        <v>39</v>
      </c>
      <c r="V433" s="3">
        <v>434.23</v>
      </c>
      <c r="W433" s="3">
        <v>219.29</v>
      </c>
      <c r="X433" s="3">
        <v>150.46</v>
      </c>
      <c r="Y433" s="3">
        <v>64.48</v>
      </c>
    </row>
    <row r="434" spans="1:25" ht="41.5" hidden="1" x14ac:dyDescent="0.35">
      <c r="A434" s="3" t="s">
        <v>26</v>
      </c>
      <c r="B434" s="3" t="s">
        <v>27</v>
      </c>
      <c r="C434" s="3" t="s">
        <v>478</v>
      </c>
      <c r="D434" s="3" t="s">
        <v>75</v>
      </c>
      <c r="E434" s="3" t="s">
        <v>582</v>
      </c>
      <c r="F434" s="3" t="s">
        <v>77</v>
      </c>
      <c r="G434" s="3" t="s">
        <v>582</v>
      </c>
      <c r="H434" s="3" t="s">
        <v>614</v>
      </c>
      <c r="I434" s="3">
        <v>2024</v>
      </c>
      <c r="J434" s="3" t="str">
        <f>CONCATENATE("44811455193")</f>
        <v>44811455193</v>
      </c>
      <c r="K434" s="3" t="s">
        <v>33</v>
      </c>
      <c r="L434" s="3" t="str">
        <f t="shared" si="22"/>
        <v/>
      </c>
      <c r="M434" s="3" t="str">
        <f t="shared" si="26"/>
        <v>SRA03</v>
      </c>
      <c r="N434" s="3" t="str">
        <f>CONCATENATE("VRRNTN64C30H898B")</f>
        <v>VRRNTN64C30H898B</v>
      </c>
      <c r="O434" s="3" t="s">
        <v>779</v>
      </c>
      <c r="P434" s="3" t="s">
        <v>35</v>
      </c>
      <c r="Q434" s="3" t="s">
        <v>616</v>
      </c>
      <c r="R434" s="4">
        <v>45933</v>
      </c>
      <c r="S434" s="3" t="s">
        <v>37</v>
      </c>
      <c r="T434" s="3" t="s">
        <v>38</v>
      </c>
      <c r="U434" s="3" t="s">
        <v>39</v>
      </c>
      <c r="V434" s="5">
        <v>2602.5700000000002</v>
      </c>
      <c r="W434" s="5">
        <v>1314.3</v>
      </c>
      <c r="X434" s="3">
        <v>901.79</v>
      </c>
      <c r="Y434" s="3">
        <v>386.48</v>
      </c>
    </row>
    <row r="435" spans="1:25" ht="49.5" hidden="1" x14ac:dyDescent="0.35">
      <c r="A435" s="3" t="s">
        <v>26</v>
      </c>
      <c r="B435" s="3" t="s">
        <v>27</v>
      </c>
      <c r="C435" s="3" t="s">
        <v>478</v>
      </c>
      <c r="D435" s="3" t="s">
        <v>75</v>
      </c>
      <c r="E435" s="3" t="s">
        <v>582</v>
      </c>
      <c r="F435" s="3" t="s">
        <v>77</v>
      </c>
      <c r="G435" s="3" t="s">
        <v>582</v>
      </c>
      <c r="H435" s="3" t="s">
        <v>614</v>
      </c>
      <c r="I435" s="3">
        <v>2024</v>
      </c>
      <c r="J435" s="3" t="str">
        <f>CONCATENATE("44811427630")</f>
        <v>44811427630</v>
      </c>
      <c r="K435" s="3" t="s">
        <v>33</v>
      </c>
      <c r="L435" s="3" t="str">
        <f t="shared" si="22"/>
        <v/>
      </c>
      <c r="M435" s="3" t="str">
        <f t="shared" si="26"/>
        <v>SRA03</v>
      </c>
      <c r="N435" s="3" t="str">
        <f>CONCATENATE("VRRGRG83D21A783O")</f>
        <v>VRRGRG83D21A783O</v>
      </c>
      <c r="O435" s="3" t="s">
        <v>780</v>
      </c>
      <c r="P435" s="3" t="s">
        <v>35</v>
      </c>
      <c r="Q435" s="3" t="s">
        <v>616</v>
      </c>
      <c r="R435" s="4">
        <v>45933</v>
      </c>
      <c r="S435" s="3" t="s">
        <v>37</v>
      </c>
      <c r="T435" s="3" t="s">
        <v>38</v>
      </c>
      <c r="U435" s="3" t="s">
        <v>39</v>
      </c>
      <c r="V435" s="5">
        <v>3298.79</v>
      </c>
      <c r="W435" s="5">
        <v>1665.89</v>
      </c>
      <c r="X435" s="5">
        <v>1143.03</v>
      </c>
      <c r="Y435" s="3">
        <v>489.87</v>
      </c>
    </row>
    <row r="436" spans="1:25" ht="41.5" hidden="1" x14ac:dyDescent="0.35">
      <c r="A436" s="3" t="s">
        <v>26</v>
      </c>
      <c r="B436" s="3" t="s">
        <v>27</v>
      </c>
      <c r="C436" s="3" t="s">
        <v>478</v>
      </c>
      <c r="D436" s="3" t="s">
        <v>75</v>
      </c>
      <c r="E436" s="3" t="s">
        <v>582</v>
      </c>
      <c r="F436" s="3" t="s">
        <v>77</v>
      </c>
      <c r="G436" s="3" t="s">
        <v>582</v>
      </c>
      <c r="H436" s="3" t="s">
        <v>614</v>
      </c>
      <c r="I436" s="3">
        <v>2024</v>
      </c>
      <c r="J436" s="3" t="str">
        <f>CONCATENATE("44811427606")</f>
        <v>44811427606</v>
      </c>
      <c r="K436" s="3" t="s">
        <v>33</v>
      </c>
      <c r="L436" s="3" t="str">
        <f t="shared" si="22"/>
        <v/>
      </c>
      <c r="M436" s="3" t="str">
        <f t="shared" si="26"/>
        <v>SRA03</v>
      </c>
      <c r="N436" s="3" t="str">
        <f>CONCATENATE("VRRPLG70C55H898Y")</f>
        <v>VRRPLG70C55H898Y</v>
      </c>
      <c r="O436" s="3" t="s">
        <v>781</v>
      </c>
      <c r="P436" s="3" t="s">
        <v>35</v>
      </c>
      <c r="Q436" s="3" t="s">
        <v>616</v>
      </c>
      <c r="R436" s="4">
        <v>45933</v>
      </c>
      <c r="S436" s="3" t="s">
        <v>37</v>
      </c>
      <c r="T436" s="3" t="s">
        <v>38</v>
      </c>
      <c r="U436" s="3" t="s">
        <v>39</v>
      </c>
      <c r="V436" s="5">
        <v>2204.12</v>
      </c>
      <c r="W436" s="5">
        <v>1113.08</v>
      </c>
      <c r="X436" s="3">
        <v>763.73</v>
      </c>
      <c r="Y436" s="3">
        <v>327.31</v>
      </c>
    </row>
    <row r="437" spans="1:25" ht="41.5" hidden="1" x14ac:dyDescent="0.35">
      <c r="A437" s="3" t="s">
        <v>26</v>
      </c>
      <c r="B437" s="3" t="s">
        <v>27</v>
      </c>
      <c r="C437" s="3" t="s">
        <v>478</v>
      </c>
      <c r="D437" s="3" t="s">
        <v>75</v>
      </c>
      <c r="E437" s="3" t="s">
        <v>582</v>
      </c>
      <c r="F437" s="3" t="s">
        <v>77</v>
      </c>
      <c r="G437" s="3" t="s">
        <v>582</v>
      </c>
      <c r="H437" s="3" t="s">
        <v>614</v>
      </c>
      <c r="I437" s="3">
        <v>2024</v>
      </c>
      <c r="J437" s="3" t="str">
        <f>CONCATENATE("44811427168")</f>
        <v>44811427168</v>
      </c>
      <c r="K437" s="3" t="s">
        <v>33</v>
      </c>
      <c r="L437" s="3" t="str">
        <f t="shared" si="22"/>
        <v/>
      </c>
      <c r="M437" s="3" t="str">
        <f t="shared" si="26"/>
        <v>SRA03</v>
      </c>
      <c r="N437" s="3" t="str">
        <f>CONCATENATE("ZRLNNZ77C65H898W")</f>
        <v>ZRLNNZ77C65H898W</v>
      </c>
      <c r="O437" s="3" t="s">
        <v>782</v>
      </c>
      <c r="P437" s="3" t="s">
        <v>35</v>
      </c>
      <c r="Q437" s="3" t="s">
        <v>616</v>
      </c>
      <c r="R437" s="4">
        <v>45933</v>
      </c>
      <c r="S437" s="3" t="s">
        <v>37</v>
      </c>
      <c r="T437" s="3" t="s">
        <v>38</v>
      </c>
      <c r="U437" s="3" t="s">
        <v>39</v>
      </c>
      <c r="V437" s="5">
        <v>3350.64</v>
      </c>
      <c r="W437" s="5">
        <v>1692.07</v>
      </c>
      <c r="X437" s="5">
        <v>1161</v>
      </c>
      <c r="Y437" s="3">
        <v>497.57</v>
      </c>
    </row>
    <row r="438" spans="1:25" ht="41.5" hidden="1" x14ac:dyDescent="0.35">
      <c r="A438" s="3" t="s">
        <v>26</v>
      </c>
      <c r="B438" s="3" t="s">
        <v>27</v>
      </c>
      <c r="C438" s="3" t="s">
        <v>451</v>
      </c>
      <c r="D438" s="3" t="s">
        <v>75</v>
      </c>
      <c r="E438" s="3" t="s">
        <v>783</v>
      </c>
      <c r="F438" s="3" t="s">
        <v>77</v>
      </c>
      <c r="G438" s="3" t="s">
        <v>783</v>
      </c>
      <c r="H438" s="3" t="s">
        <v>453</v>
      </c>
      <c r="I438" s="3">
        <v>2024</v>
      </c>
      <c r="J438" s="3" t="str">
        <f>CONCATENATE("44811407814")</f>
        <v>44811407814</v>
      </c>
      <c r="K438" s="3" t="s">
        <v>33</v>
      </c>
      <c r="L438" s="3" t="str">
        <f t="shared" si="22"/>
        <v/>
      </c>
      <c r="M438" s="3" t="str">
        <f>CONCATENATE("SRA01")</f>
        <v>SRA01</v>
      </c>
      <c r="N438" s="3" t="str">
        <f>CONCATENATE("BLDCRL48L13D077S")</f>
        <v>BLDCRL48L13D077S</v>
      </c>
      <c r="O438" s="3" t="s">
        <v>784</v>
      </c>
      <c r="P438" s="3" t="s">
        <v>35</v>
      </c>
      <c r="Q438" s="3" t="s">
        <v>737</v>
      </c>
      <c r="R438" s="4">
        <v>45917</v>
      </c>
      <c r="S438" s="3" t="s">
        <v>37</v>
      </c>
      <c r="T438" s="3" t="s">
        <v>38</v>
      </c>
      <c r="U438" s="3" t="s">
        <v>39</v>
      </c>
      <c r="V438" s="5">
        <v>2800.25</v>
      </c>
      <c r="W438" s="5">
        <v>1190.1099999999999</v>
      </c>
      <c r="X438" s="5">
        <v>1127.0999999999999</v>
      </c>
      <c r="Y438" s="3">
        <v>483.04</v>
      </c>
    </row>
    <row r="439" spans="1:25" ht="25.5" hidden="1" x14ac:dyDescent="0.35">
      <c r="A439" s="3" t="s">
        <v>26</v>
      </c>
      <c r="B439" s="3" t="s">
        <v>27</v>
      </c>
      <c r="C439" s="3" t="s">
        <v>451</v>
      </c>
      <c r="D439" s="3" t="s">
        <v>41</v>
      </c>
      <c r="E439" s="3" t="s">
        <v>785</v>
      </c>
      <c r="F439" s="3" t="s">
        <v>43</v>
      </c>
      <c r="G439" s="3" t="s">
        <v>785</v>
      </c>
      <c r="H439" s="3" t="s">
        <v>453</v>
      </c>
      <c r="I439" s="3">
        <v>2024</v>
      </c>
      <c r="J439" s="3" t="str">
        <f>CONCATENATE("44811058633")</f>
        <v>44811058633</v>
      </c>
      <c r="K439" s="3" t="s">
        <v>33</v>
      </c>
      <c r="L439" s="3" t="str">
        <f t="shared" si="22"/>
        <v/>
      </c>
      <c r="M439" s="3" t="str">
        <f>CONCATENATE("SRA01")</f>
        <v>SRA01</v>
      </c>
      <c r="N439" s="3" t="str">
        <f>CONCATENATE("02539610549")</f>
        <v>02539610549</v>
      </c>
      <c r="O439" s="3" t="s">
        <v>786</v>
      </c>
      <c r="P439" s="3" t="s">
        <v>35</v>
      </c>
      <c r="Q439" s="3" t="s">
        <v>737</v>
      </c>
      <c r="R439" s="4">
        <v>45917</v>
      </c>
      <c r="S439" s="3" t="s">
        <v>37</v>
      </c>
      <c r="T439" s="3" t="s">
        <v>38</v>
      </c>
      <c r="U439" s="3" t="s">
        <v>39</v>
      </c>
      <c r="V439" s="5">
        <v>4167.8</v>
      </c>
      <c r="W439" s="5">
        <v>1771.32</v>
      </c>
      <c r="X439" s="5">
        <v>1677.54</v>
      </c>
      <c r="Y439" s="3">
        <v>718.94</v>
      </c>
    </row>
    <row r="440" spans="1:25" ht="41.5" hidden="1" x14ac:dyDescent="0.35">
      <c r="A440" s="3" t="s">
        <v>26</v>
      </c>
      <c r="B440" s="3" t="s">
        <v>27</v>
      </c>
      <c r="C440" s="3" t="s">
        <v>478</v>
      </c>
      <c r="D440" s="3" t="s">
        <v>99</v>
      </c>
      <c r="E440" s="3" t="s">
        <v>787</v>
      </c>
      <c r="F440" s="3" t="s">
        <v>101</v>
      </c>
      <c r="G440" s="3" t="s">
        <v>787</v>
      </c>
      <c r="H440" s="3" t="s">
        <v>604</v>
      </c>
      <c r="I440" s="3">
        <v>2024</v>
      </c>
      <c r="J440" s="3" t="str">
        <f>CONCATENATE("44810733202")</f>
        <v>44810733202</v>
      </c>
      <c r="K440" s="3" t="s">
        <v>33</v>
      </c>
      <c r="L440" s="3" t="str">
        <f t="shared" si="22"/>
        <v/>
      </c>
      <c r="M440" s="3" t="str">
        <f>CONCATENATE("SRA30")</f>
        <v>SRA30</v>
      </c>
      <c r="N440" s="3" t="str">
        <f>CONCATENATE("DSTNTN73B05A399T")</f>
        <v>DSTNTN73B05A399T</v>
      </c>
      <c r="O440" s="3" t="s">
        <v>788</v>
      </c>
      <c r="P440" s="3" t="s">
        <v>35</v>
      </c>
      <c r="Q440" s="3" t="s">
        <v>606</v>
      </c>
      <c r="R440" s="4">
        <v>45915</v>
      </c>
      <c r="S440" s="3" t="s">
        <v>37</v>
      </c>
      <c r="T440" s="3" t="s">
        <v>38</v>
      </c>
      <c r="U440" s="3" t="s">
        <v>39</v>
      </c>
      <c r="V440" s="5">
        <v>12663</v>
      </c>
      <c r="W440" s="5">
        <v>6394.82</v>
      </c>
      <c r="X440" s="5">
        <v>4387.7299999999996</v>
      </c>
      <c r="Y440" s="5">
        <v>1880.45</v>
      </c>
    </row>
    <row r="441" spans="1:25" ht="41.5" hidden="1" x14ac:dyDescent="0.35">
      <c r="A441" s="3" t="s">
        <v>26</v>
      </c>
      <c r="B441" s="3" t="s">
        <v>27</v>
      </c>
      <c r="C441" s="3" t="s">
        <v>451</v>
      </c>
      <c r="D441" s="3" t="s">
        <v>41</v>
      </c>
      <c r="E441" s="3" t="s">
        <v>789</v>
      </c>
      <c r="F441" s="3" t="s">
        <v>43</v>
      </c>
      <c r="G441" s="3" t="s">
        <v>789</v>
      </c>
      <c r="H441" s="3" t="s">
        <v>453</v>
      </c>
      <c r="I441" s="3">
        <v>2024</v>
      </c>
      <c r="J441" s="3" t="str">
        <f>CONCATENATE("44810100063")</f>
        <v>44810100063</v>
      </c>
      <c r="K441" s="3" t="s">
        <v>33</v>
      </c>
      <c r="L441" s="3" t="str">
        <f t="shared" si="22"/>
        <v/>
      </c>
      <c r="M441" s="3" t="str">
        <f>CONCATENATE("SRA01")</f>
        <v>SRA01</v>
      </c>
      <c r="N441" s="3" t="str">
        <f>CONCATENATE("SCRLCN57D56L009B")</f>
        <v>SCRLCN57D56L009B</v>
      </c>
      <c r="O441" s="3" t="s">
        <v>790</v>
      </c>
      <c r="P441" s="3" t="s">
        <v>35</v>
      </c>
      <c r="Q441" s="3" t="s">
        <v>737</v>
      </c>
      <c r="R441" s="4">
        <v>45917</v>
      </c>
      <c r="S441" s="3" t="s">
        <v>37</v>
      </c>
      <c r="T441" s="3" t="s">
        <v>38</v>
      </c>
      <c r="U441" s="3" t="s">
        <v>39</v>
      </c>
      <c r="V441" s="5">
        <v>1668.93</v>
      </c>
      <c r="W441" s="3">
        <v>709.3</v>
      </c>
      <c r="X441" s="3">
        <v>671.74</v>
      </c>
      <c r="Y441" s="3">
        <v>287.89</v>
      </c>
    </row>
    <row r="442" spans="1:25" ht="25.5" x14ac:dyDescent="0.35">
      <c r="A442" s="3" t="s">
        <v>26</v>
      </c>
      <c r="B442" s="3" t="s">
        <v>27</v>
      </c>
      <c r="C442" s="3" t="s">
        <v>132</v>
      </c>
      <c r="D442" s="3" t="s">
        <v>61</v>
      </c>
      <c r="E442" s="3" t="s">
        <v>791</v>
      </c>
      <c r="F442" s="3" t="s">
        <v>63</v>
      </c>
      <c r="G442" s="3" t="s">
        <v>791</v>
      </c>
      <c r="H442" s="3" t="s">
        <v>600</v>
      </c>
      <c r="I442" s="3">
        <v>2024</v>
      </c>
      <c r="J442" s="3" t="str">
        <f>CONCATENATE("44810660512")</f>
        <v>44810660512</v>
      </c>
      <c r="K442" s="3" t="s">
        <v>33</v>
      </c>
      <c r="L442" s="3" t="str">
        <f t="shared" si="22"/>
        <v/>
      </c>
      <c r="M442" s="3" t="str">
        <f t="shared" ref="M442:M454" si="27">CONCATENATE("SRA15")</f>
        <v>SRA15</v>
      </c>
      <c r="N442" s="3" t="str">
        <f>CONCATENATE("14446391006")</f>
        <v>14446391006</v>
      </c>
      <c r="O442" s="3" t="s">
        <v>792</v>
      </c>
      <c r="P442" s="3" t="s">
        <v>35</v>
      </c>
      <c r="Q442" s="3" t="s">
        <v>597</v>
      </c>
      <c r="R442" s="4">
        <v>45919</v>
      </c>
      <c r="S442" s="3" t="s">
        <v>37</v>
      </c>
      <c r="T442" s="3" t="s">
        <v>38</v>
      </c>
      <c r="U442" s="3" t="s">
        <v>39</v>
      </c>
      <c r="V442" s="5">
        <v>1164.28</v>
      </c>
      <c r="W442" s="3">
        <v>494.82</v>
      </c>
      <c r="X442" s="3">
        <v>468.62</v>
      </c>
      <c r="Y442" s="3">
        <v>200.84</v>
      </c>
    </row>
    <row r="443" spans="1:25" ht="25.5" x14ac:dyDescent="0.35">
      <c r="A443" s="3" t="s">
        <v>26</v>
      </c>
      <c r="B443" s="3" t="s">
        <v>27</v>
      </c>
      <c r="C443" s="3" t="s">
        <v>132</v>
      </c>
      <c r="D443" s="3" t="s">
        <v>234</v>
      </c>
      <c r="E443" s="3" t="s">
        <v>793</v>
      </c>
      <c r="F443" s="3" t="s">
        <v>119</v>
      </c>
      <c r="G443" s="3" t="s">
        <v>793</v>
      </c>
      <c r="H443" s="3" t="s">
        <v>153</v>
      </c>
      <c r="I443" s="3">
        <v>2024</v>
      </c>
      <c r="J443" s="3" t="str">
        <f>CONCATENATE("44811222593")</f>
        <v>44811222593</v>
      </c>
      <c r="K443" s="3" t="s">
        <v>33</v>
      </c>
      <c r="L443" s="3" t="str">
        <f t="shared" si="22"/>
        <v/>
      </c>
      <c r="M443" s="3" t="str">
        <f t="shared" si="27"/>
        <v>SRA15</v>
      </c>
      <c r="N443" s="3" t="str">
        <f>CONCATENATE("02031400431")</f>
        <v>02031400431</v>
      </c>
      <c r="O443" s="3" t="s">
        <v>794</v>
      </c>
      <c r="P443" s="3" t="s">
        <v>35</v>
      </c>
      <c r="Q443" s="3" t="s">
        <v>597</v>
      </c>
      <c r="R443" s="4">
        <v>45919</v>
      </c>
      <c r="S443" s="3" t="s">
        <v>37</v>
      </c>
      <c r="T443" s="3" t="s">
        <v>38</v>
      </c>
      <c r="U443" s="3" t="s">
        <v>39</v>
      </c>
      <c r="V443" s="3">
        <v>457.24</v>
      </c>
      <c r="W443" s="3">
        <v>194.33</v>
      </c>
      <c r="X443" s="3">
        <v>184.04</v>
      </c>
      <c r="Y443" s="3">
        <v>78.87</v>
      </c>
    </row>
    <row r="444" spans="1:25" ht="41.5" x14ac:dyDescent="0.35">
      <c r="A444" s="3" t="s">
        <v>26</v>
      </c>
      <c r="B444" s="3" t="s">
        <v>27</v>
      </c>
      <c r="C444" s="3" t="s">
        <v>132</v>
      </c>
      <c r="D444" s="3" t="s">
        <v>61</v>
      </c>
      <c r="E444" s="3" t="s">
        <v>795</v>
      </c>
      <c r="F444" s="3" t="s">
        <v>63</v>
      </c>
      <c r="G444" s="3" t="s">
        <v>795</v>
      </c>
      <c r="H444" s="3" t="s">
        <v>600</v>
      </c>
      <c r="I444" s="3">
        <v>2024</v>
      </c>
      <c r="J444" s="3" t="str">
        <f>CONCATENATE("44810550341")</f>
        <v>44810550341</v>
      </c>
      <c r="K444" s="3" t="s">
        <v>33</v>
      </c>
      <c r="L444" s="3" t="str">
        <f t="shared" si="22"/>
        <v/>
      </c>
      <c r="M444" s="3" t="str">
        <f t="shared" si="27"/>
        <v>SRA15</v>
      </c>
      <c r="N444" s="3" t="str">
        <f>CONCATENATE("VTLLLL63S42F697O")</f>
        <v>VTLLLL63S42F697O</v>
      </c>
      <c r="O444" s="3" t="s">
        <v>796</v>
      </c>
      <c r="P444" s="3" t="s">
        <v>35</v>
      </c>
      <c r="Q444" s="3" t="s">
        <v>597</v>
      </c>
      <c r="R444" s="4">
        <v>45919</v>
      </c>
      <c r="S444" s="3" t="s">
        <v>37</v>
      </c>
      <c r="T444" s="3" t="s">
        <v>38</v>
      </c>
      <c r="U444" s="3" t="s">
        <v>39</v>
      </c>
      <c r="V444" s="3">
        <v>471.71</v>
      </c>
      <c r="W444" s="3">
        <v>200.48</v>
      </c>
      <c r="X444" s="3">
        <v>189.86</v>
      </c>
      <c r="Y444" s="3">
        <v>81.37</v>
      </c>
    </row>
    <row r="445" spans="1:25" ht="49.5" x14ac:dyDescent="0.35">
      <c r="A445" s="3" t="s">
        <v>26</v>
      </c>
      <c r="B445" s="3" t="s">
        <v>27</v>
      </c>
      <c r="C445" s="3" t="s">
        <v>132</v>
      </c>
      <c r="D445" s="3" t="s">
        <v>61</v>
      </c>
      <c r="E445" s="3" t="s">
        <v>797</v>
      </c>
      <c r="F445" s="3" t="s">
        <v>63</v>
      </c>
      <c r="G445" s="3" t="s">
        <v>797</v>
      </c>
      <c r="H445" s="3" t="s">
        <v>153</v>
      </c>
      <c r="I445" s="3">
        <v>2024</v>
      </c>
      <c r="J445" s="3" t="str">
        <f>CONCATENATE("44810249225")</f>
        <v>44810249225</v>
      </c>
      <c r="K445" s="3" t="s">
        <v>33</v>
      </c>
      <c r="L445" s="3" t="str">
        <f t="shared" si="22"/>
        <v/>
      </c>
      <c r="M445" s="3" t="str">
        <f t="shared" si="27"/>
        <v>SRA15</v>
      </c>
      <c r="N445" s="3" t="str">
        <f>CONCATENATE("WDMMTM73R43Z404H")</f>
        <v>WDMMTM73R43Z404H</v>
      </c>
      <c r="O445" s="3" t="s">
        <v>798</v>
      </c>
      <c r="P445" s="3" t="s">
        <v>35</v>
      </c>
      <c r="Q445" s="3" t="s">
        <v>597</v>
      </c>
      <c r="R445" s="4">
        <v>45919</v>
      </c>
      <c r="S445" s="3" t="s">
        <v>37</v>
      </c>
      <c r="T445" s="3" t="s">
        <v>38</v>
      </c>
      <c r="U445" s="3" t="s">
        <v>39</v>
      </c>
      <c r="V445" s="3">
        <v>679.2</v>
      </c>
      <c r="W445" s="3">
        <v>288.66000000000003</v>
      </c>
      <c r="X445" s="3">
        <v>273.38</v>
      </c>
      <c r="Y445" s="3">
        <v>117.16</v>
      </c>
    </row>
    <row r="446" spans="1:25" ht="41.5" x14ac:dyDescent="0.35">
      <c r="A446" s="3" t="s">
        <v>26</v>
      </c>
      <c r="B446" s="3" t="s">
        <v>27</v>
      </c>
      <c r="C446" s="3" t="s">
        <v>132</v>
      </c>
      <c r="D446" s="3" t="s">
        <v>29</v>
      </c>
      <c r="E446" s="3" t="s">
        <v>799</v>
      </c>
      <c r="F446" s="3" t="s">
        <v>31</v>
      </c>
      <c r="G446" s="3" t="s">
        <v>799</v>
      </c>
      <c r="H446" s="3" t="s">
        <v>153</v>
      </c>
      <c r="I446" s="3">
        <v>2024</v>
      </c>
      <c r="J446" s="3" t="str">
        <f>CONCATENATE("44810895514")</f>
        <v>44810895514</v>
      </c>
      <c r="K446" s="3" t="s">
        <v>33</v>
      </c>
      <c r="L446" s="3" t="str">
        <f t="shared" si="22"/>
        <v/>
      </c>
      <c r="M446" s="3" t="str">
        <f t="shared" si="27"/>
        <v>SRA15</v>
      </c>
      <c r="N446" s="3" t="str">
        <f>CONCATENATE("CRTGNN56E46L366F")</f>
        <v>CRTGNN56E46L366F</v>
      </c>
      <c r="O446" s="3" t="s">
        <v>800</v>
      </c>
      <c r="P446" s="3" t="s">
        <v>35</v>
      </c>
      <c r="Q446" s="3" t="s">
        <v>597</v>
      </c>
      <c r="R446" s="4">
        <v>45919</v>
      </c>
      <c r="S446" s="3" t="s">
        <v>37</v>
      </c>
      <c r="T446" s="3" t="s">
        <v>38</v>
      </c>
      <c r="U446" s="3" t="s">
        <v>39</v>
      </c>
      <c r="V446" s="3">
        <v>168.63</v>
      </c>
      <c r="W446" s="3">
        <v>71.67</v>
      </c>
      <c r="X446" s="3">
        <v>67.87</v>
      </c>
      <c r="Y446" s="3">
        <v>29.09</v>
      </c>
    </row>
    <row r="447" spans="1:25" ht="41.5" x14ac:dyDescent="0.35">
      <c r="A447" s="3" t="s">
        <v>26</v>
      </c>
      <c r="B447" s="3" t="s">
        <v>27</v>
      </c>
      <c r="C447" s="3" t="s">
        <v>132</v>
      </c>
      <c r="D447" s="3" t="s">
        <v>234</v>
      </c>
      <c r="E447" s="3" t="s">
        <v>793</v>
      </c>
      <c r="F447" s="3" t="s">
        <v>119</v>
      </c>
      <c r="G447" s="3" t="s">
        <v>793</v>
      </c>
      <c r="H447" s="3" t="s">
        <v>153</v>
      </c>
      <c r="I447" s="3">
        <v>2024</v>
      </c>
      <c r="J447" s="3" t="str">
        <f>CONCATENATE("44810220903")</f>
        <v>44810220903</v>
      </c>
      <c r="K447" s="3" t="s">
        <v>33</v>
      </c>
      <c r="L447" s="3" t="str">
        <f t="shared" si="22"/>
        <v/>
      </c>
      <c r="M447" s="3" t="str">
        <f t="shared" si="27"/>
        <v>SRA15</v>
      </c>
      <c r="N447" s="3" t="str">
        <f>CONCATENATE("CCCFRC95R05B474W")</f>
        <v>CCCFRC95R05B474W</v>
      </c>
      <c r="O447" s="3" t="s">
        <v>801</v>
      </c>
      <c r="P447" s="3" t="s">
        <v>35</v>
      </c>
      <c r="Q447" s="3" t="s">
        <v>597</v>
      </c>
      <c r="R447" s="4">
        <v>45919</v>
      </c>
      <c r="S447" s="3" t="s">
        <v>37</v>
      </c>
      <c r="T447" s="3" t="s">
        <v>38</v>
      </c>
      <c r="U447" s="3" t="s">
        <v>39</v>
      </c>
      <c r="V447" s="3">
        <v>163.22999999999999</v>
      </c>
      <c r="W447" s="3">
        <v>69.37</v>
      </c>
      <c r="X447" s="3">
        <v>65.7</v>
      </c>
      <c r="Y447" s="3">
        <v>28.16</v>
      </c>
    </row>
    <row r="448" spans="1:25" ht="41.5" x14ac:dyDescent="0.35">
      <c r="A448" s="3" t="s">
        <v>26</v>
      </c>
      <c r="B448" s="3" t="s">
        <v>27</v>
      </c>
      <c r="C448" s="3" t="s">
        <v>132</v>
      </c>
      <c r="D448" s="3" t="s">
        <v>234</v>
      </c>
      <c r="E448" s="3" t="s">
        <v>802</v>
      </c>
      <c r="F448" s="3" t="s">
        <v>119</v>
      </c>
      <c r="G448" s="3" t="s">
        <v>802</v>
      </c>
      <c r="H448" s="3" t="s">
        <v>153</v>
      </c>
      <c r="I448" s="3">
        <v>2024</v>
      </c>
      <c r="J448" s="3" t="str">
        <f>CONCATENATE("44811219540")</f>
        <v>44811219540</v>
      </c>
      <c r="K448" s="3" t="s">
        <v>33</v>
      </c>
      <c r="L448" s="3" t="str">
        <f t="shared" si="22"/>
        <v/>
      </c>
      <c r="M448" s="3" t="str">
        <f t="shared" si="27"/>
        <v>SRA15</v>
      </c>
      <c r="N448" s="3" t="str">
        <f>CONCATENATE("GVNMRZ55L26C582M")</f>
        <v>GVNMRZ55L26C582M</v>
      </c>
      <c r="O448" s="3" t="s">
        <v>803</v>
      </c>
      <c r="P448" s="3" t="s">
        <v>35</v>
      </c>
      <c r="Q448" s="3" t="s">
        <v>597</v>
      </c>
      <c r="R448" s="4">
        <v>45919</v>
      </c>
      <c r="S448" s="3" t="s">
        <v>37</v>
      </c>
      <c r="T448" s="3" t="s">
        <v>38</v>
      </c>
      <c r="U448" s="3" t="s">
        <v>39</v>
      </c>
      <c r="V448" s="3">
        <v>196.17</v>
      </c>
      <c r="W448" s="3">
        <v>83.37</v>
      </c>
      <c r="X448" s="3">
        <v>78.959999999999994</v>
      </c>
      <c r="Y448" s="3">
        <v>33.840000000000003</v>
      </c>
    </row>
    <row r="449" spans="1:25" ht="25.5" x14ac:dyDescent="0.35">
      <c r="A449" s="3" t="s">
        <v>26</v>
      </c>
      <c r="B449" s="3" t="s">
        <v>27</v>
      </c>
      <c r="C449" s="3" t="s">
        <v>132</v>
      </c>
      <c r="D449" s="3" t="s">
        <v>41</v>
      </c>
      <c r="E449" s="3" t="s">
        <v>152</v>
      </c>
      <c r="F449" s="3" t="s">
        <v>43</v>
      </c>
      <c r="G449" s="3" t="s">
        <v>152</v>
      </c>
      <c r="H449" s="3" t="s">
        <v>153</v>
      </c>
      <c r="I449" s="3">
        <v>2024</v>
      </c>
      <c r="J449" s="3" t="str">
        <f>CONCATENATE("44810507002")</f>
        <v>44810507002</v>
      </c>
      <c r="K449" s="3" t="s">
        <v>33</v>
      </c>
      <c r="L449" s="3" t="str">
        <f t="shared" si="22"/>
        <v/>
      </c>
      <c r="M449" s="3" t="str">
        <f t="shared" si="27"/>
        <v>SRA15</v>
      </c>
      <c r="N449" s="3" t="str">
        <f>CONCATENATE("80005460433")</f>
        <v>80005460433</v>
      </c>
      <c r="O449" s="3" t="s">
        <v>804</v>
      </c>
      <c r="P449" s="3" t="s">
        <v>35</v>
      </c>
      <c r="Q449" s="3" t="s">
        <v>597</v>
      </c>
      <c r="R449" s="4">
        <v>45919</v>
      </c>
      <c r="S449" s="3" t="s">
        <v>37</v>
      </c>
      <c r="T449" s="3" t="s">
        <v>38</v>
      </c>
      <c r="U449" s="3" t="s">
        <v>39</v>
      </c>
      <c r="V449" s="3">
        <v>535.54</v>
      </c>
      <c r="W449" s="3">
        <v>227.6</v>
      </c>
      <c r="X449" s="3">
        <v>215.55</v>
      </c>
      <c r="Y449" s="3">
        <v>92.39</v>
      </c>
    </row>
    <row r="450" spans="1:25" ht="41.5" x14ac:dyDescent="0.35">
      <c r="A450" s="3" t="s">
        <v>26</v>
      </c>
      <c r="B450" s="3" t="s">
        <v>27</v>
      </c>
      <c r="C450" s="3" t="s">
        <v>132</v>
      </c>
      <c r="D450" s="3" t="s">
        <v>61</v>
      </c>
      <c r="E450" s="3" t="s">
        <v>805</v>
      </c>
      <c r="F450" s="3" t="s">
        <v>63</v>
      </c>
      <c r="G450" s="3" t="s">
        <v>805</v>
      </c>
      <c r="H450" s="3" t="s">
        <v>134</v>
      </c>
      <c r="I450" s="3">
        <v>2024</v>
      </c>
      <c r="J450" s="3" t="str">
        <f>CONCATENATE("44811058492")</f>
        <v>44811058492</v>
      </c>
      <c r="K450" s="3" t="s">
        <v>33</v>
      </c>
      <c r="L450" s="3" t="str">
        <f t="shared" si="22"/>
        <v/>
      </c>
      <c r="M450" s="3" t="str">
        <f t="shared" si="27"/>
        <v>SRA15</v>
      </c>
      <c r="N450" s="3" t="str">
        <f>CONCATENATE("CRDTNI53S49D791C")</f>
        <v>CRDTNI53S49D791C</v>
      </c>
      <c r="O450" s="3" t="s">
        <v>806</v>
      </c>
      <c r="P450" s="3" t="s">
        <v>35</v>
      </c>
      <c r="Q450" s="3" t="s">
        <v>597</v>
      </c>
      <c r="R450" s="4">
        <v>45919</v>
      </c>
      <c r="S450" s="3" t="s">
        <v>37</v>
      </c>
      <c r="T450" s="3" t="s">
        <v>38</v>
      </c>
      <c r="U450" s="3" t="s">
        <v>39</v>
      </c>
      <c r="V450" s="3">
        <v>61.77</v>
      </c>
      <c r="W450" s="3">
        <v>26.25</v>
      </c>
      <c r="X450" s="3">
        <v>24.86</v>
      </c>
      <c r="Y450" s="3">
        <v>10.66</v>
      </c>
    </row>
    <row r="451" spans="1:25" ht="25.5" x14ac:dyDescent="0.35">
      <c r="A451" s="3" t="s">
        <v>26</v>
      </c>
      <c r="B451" s="3" t="s">
        <v>27</v>
      </c>
      <c r="C451" s="3" t="s">
        <v>132</v>
      </c>
      <c r="D451" s="3" t="s">
        <v>41</v>
      </c>
      <c r="E451" s="3" t="s">
        <v>807</v>
      </c>
      <c r="F451" s="3" t="s">
        <v>43</v>
      </c>
      <c r="G451" s="3" t="s">
        <v>807</v>
      </c>
      <c r="H451" s="3" t="s">
        <v>134</v>
      </c>
      <c r="I451" s="3">
        <v>2024</v>
      </c>
      <c r="J451" s="3" t="str">
        <f>CONCATENATE("44810977973")</f>
        <v>44810977973</v>
      </c>
      <c r="K451" s="3" t="s">
        <v>33</v>
      </c>
      <c r="L451" s="3" t="str">
        <f t="shared" si="22"/>
        <v/>
      </c>
      <c r="M451" s="3" t="str">
        <f t="shared" si="27"/>
        <v>SRA15</v>
      </c>
      <c r="N451" s="3" t="str">
        <f>CONCATENATE("02787510417")</f>
        <v>02787510417</v>
      </c>
      <c r="O451" s="3" t="s">
        <v>808</v>
      </c>
      <c r="P451" s="3" t="s">
        <v>35</v>
      </c>
      <c r="Q451" s="3" t="s">
        <v>597</v>
      </c>
      <c r="R451" s="4">
        <v>45919</v>
      </c>
      <c r="S451" s="3" t="s">
        <v>37</v>
      </c>
      <c r="T451" s="3" t="s">
        <v>38</v>
      </c>
      <c r="U451" s="3" t="s">
        <v>39</v>
      </c>
      <c r="V451" s="3">
        <v>124.48</v>
      </c>
      <c r="W451" s="3">
        <v>52.9</v>
      </c>
      <c r="X451" s="3">
        <v>50.1</v>
      </c>
      <c r="Y451" s="3">
        <v>21.48</v>
      </c>
    </row>
    <row r="452" spans="1:25" ht="25.5" x14ac:dyDescent="0.35">
      <c r="A452" s="3" t="s">
        <v>26</v>
      </c>
      <c r="B452" s="3" t="s">
        <v>27</v>
      </c>
      <c r="C452" s="3" t="s">
        <v>132</v>
      </c>
      <c r="D452" s="3" t="s">
        <v>61</v>
      </c>
      <c r="E452" s="3" t="s">
        <v>791</v>
      </c>
      <c r="F452" s="3" t="s">
        <v>63</v>
      </c>
      <c r="G452" s="3" t="s">
        <v>791</v>
      </c>
      <c r="H452" s="3" t="s">
        <v>600</v>
      </c>
      <c r="I452" s="3">
        <v>2024</v>
      </c>
      <c r="J452" s="3" t="str">
        <f>CONCATENATE("44810606234")</f>
        <v>44810606234</v>
      </c>
      <c r="K452" s="3" t="s">
        <v>33</v>
      </c>
      <c r="L452" s="3" t="str">
        <f t="shared" ref="L452:L515" si="28">CONCATENATE("")</f>
        <v/>
      </c>
      <c r="M452" s="3" t="str">
        <f t="shared" si="27"/>
        <v>SRA15</v>
      </c>
      <c r="N452" s="3" t="str">
        <f>CONCATENATE("02433910441")</f>
        <v>02433910441</v>
      </c>
      <c r="O452" s="3" t="s">
        <v>809</v>
      </c>
      <c r="P452" s="3" t="s">
        <v>35</v>
      </c>
      <c r="Q452" s="3" t="s">
        <v>597</v>
      </c>
      <c r="R452" s="4">
        <v>45919</v>
      </c>
      <c r="S452" s="3" t="s">
        <v>37</v>
      </c>
      <c r="T452" s="3" t="s">
        <v>38</v>
      </c>
      <c r="U452" s="3" t="s">
        <v>39</v>
      </c>
      <c r="V452" s="3">
        <v>277.94</v>
      </c>
      <c r="W452" s="3">
        <v>118.12</v>
      </c>
      <c r="X452" s="3">
        <v>111.87</v>
      </c>
      <c r="Y452" s="3">
        <v>47.95</v>
      </c>
    </row>
    <row r="453" spans="1:25" ht="41.5" x14ac:dyDescent="0.35">
      <c r="A453" s="3" t="s">
        <v>26</v>
      </c>
      <c r="B453" s="3" t="s">
        <v>27</v>
      </c>
      <c r="C453" s="3" t="s">
        <v>132</v>
      </c>
      <c r="D453" s="3" t="s">
        <v>41</v>
      </c>
      <c r="E453" s="3" t="s">
        <v>810</v>
      </c>
      <c r="F453" s="3" t="s">
        <v>43</v>
      </c>
      <c r="G453" s="3" t="s">
        <v>810</v>
      </c>
      <c r="H453" s="3" t="s">
        <v>600</v>
      </c>
      <c r="I453" s="3">
        <v>2024</v>
      </c>
      <c r="J453" s="3" t="str">
        <f>CONCATENATE("44810721447")</f>
        <v>44810721447</v>
      </c>
      <c r="K453" s="3" t="s">
        <v>33</v>
      </c>
      <c r="L453" s="3" t="str">
        <f t="shared" si="28"/>
        <v/>
      </c>
      <c r="M453" s="3" t="str">
        <f t="shared" si="27"/>
        <v>SRA15</v>
      </c>
      <c r="N453" s="3" t="str">
        <f>CONCATENATE("PLLGPP53R02F536D")</f>
        <v>PLLGPP53R02F536D</v>
      </c>
      <c r="O453" s="3" t="s">
        <v>811</v>
      </c>
      <c r="P453" s="3" t="s">
        <v>35</v>
      </c>
      <c r="Q453" s="3" t="s">
        <v>597</v>
      </c>
      <c r="R453" s="4">
        <v>45919</v>
      </c>
      <c r="S453" s="3" t="s">
        <v>37</v>
      </c>
      <c r="T453" s="3" t="s">
        <v>38</v>
      </c>
      <c r="U453" s="3" t="s">
        <v>39</v>
      </c>
      <c r="V453" s="5">
        <v>1564.34</v>
      </c>
      <c r="W453" s="3">
        <v>664.84</v>
      </c>
      <c r="X453" s="3">
        <v>629.65</v>
      </c>
      <c r="Y453" s="3">
        <v>269.85000000000002</v>
      </c>
    </row>
    <row r="454" spans="1:25" ht="25.5" x14ac:dyDescent="0.35">
      <c r="A454" s="3" t="s">
        <v>26</v>
      </c>
      <c r="B454" s="3" t="s">
        <v>27</v>
      </c>
      <c r="C454" s="3" t="s">
        <v>132</v>
      </c>
      <c r="D454" s="3" t="s">
        <v>41</v>
      </c>
      <c r="E454" s="3" t="s">
        <v>812</v>
      </c>
      <c r="F454" s="3" t="s">
        <v>43</v>
      </c>
      <c r="G454" s="3" t="s">
        <v>812</v>
      </c>
      <c r="H454" s="3" t="s">
        <v>600</v>
      </c>
      <c r="I454" s="3">
        <v>2024</v>
      </c>
      <c r="J454" s="3" t="str">
        <f>CONCATENATE("44811118080")</f>
        <v>44811118080</v>
      </c>
      <c r="K454" s="3" t="s">
        <v>33</v>
      </c>
      <c r="L454" s="3" t="str">
        <f t="shared" si="28"/>
        <v/>
      </c>
      <c r="M454" s="3" t="str">
        <f t="shared" si="27"/>
        <v>SRA15</v>
      </c>
      <c r="N454" s="3" t="str">
        <f>CONCATENATE("01507720447")</f>
        <v>01507720447</v>
      </c>
      <c r="O454" s="3" t="s">
        <v>813</v>
      </c>
      <c r="P454" s="3" t="s">
        <v>35</v>
      </c>
      <c r="Q454" s="3" t="s">
        <v>597</v>
      </c>
      <c r="R454" s="4">
        <v>45919</v>
      </c>
      <c r="S454" s="3" t="s">
        <v>37</v>
      </c>
      <c r="T454" s="3" t="s">
        <v>38</v>
      </c>
      <c r="U454" s="3" t="s">
        <v>39</v>
      </c>
      <c r="V454" s="5">
        <v>2300.08</v>
      </c>
      <c r="W454" s="3">
        <v>977.53</v>
      </c>
      <c r="X454" s="3">
        <v>925.78</v>
      </c>
      <c r="Y454" s="3">
        <v>396.77</v>
      </c>
    </row>
    <row r="455" spans="1:25" ht="49.5" hidden="1" x14ac:dyDescent="0.35">
      <c r="A455" s="3" t="s">
        <v>26</v>
      </c>
      <c r="B455" s="3" t="s">
        <v>27</v>
      </c>
      <c r="C455" s="3" t="s">
        <v>478</v>
      </c>
      <c r="D455" s="3" t="s">
        <v>61</v>
      </c>
      <c r="E455" s="3" t="s">
        <v>744</v>
      </c>
      <c r="F455" s="3" t="s">
        <v>63</v>
      </c>
      <c r="G455" s="3" t="s">
        <v>744</v>
      </c>
      <c r="H455" s="3" t="s">
        <v>604</v>
      </c>
      <c r="I455" s="3">
        <v>2024</v>
      </c>
      <c r="J455" s="3" t="str">
        <f>CONCATENATE("44811432085")</f>
        <v>44811432085</v>
      </c>
      <c r="K455" s="3" t="s">
        <v>33</v>
      </c>
      <c r="L455" s="3" t="str">
        <f t="shared" si="28"/>
        <v/>
      </c>
      <c r="M455" s="3" t="str">
        <f t="shared" ref="M455:M466" si="29">CONCATENATE("SRA30")</f>
        <v>SRA30</v>
      </c>
      <c r="N455" s="3" t="str">
        <f>CONCATENATE("DCPSVT72M31A566D")</f>
        <v>DCPSVT72M31A566D</v>
      </c>
      <c r="O455" s="3" t="s">
        <v>814</v>
      </c>
      <c r="P455" s="3" t="s">
        <v>35</v>
      </c>
      <c r="Q455" s="3" t="s">
        <v>606</v>
      </c>
      <c r="R455" s="4">
        <v>45915</v>
      </c>
      <c r="S455" s="3" t="s">
        <v>37</v>
      </c>
      <c r="T455" s="3" t="s">
        <v>38</v>
      </c>
      <c r="U455" s="3" t="s">
        <v>39</v>
      </c>
      <c r="V455" s="5">
        <v>9839.6200000000008</v>
      </c>
      <c r="W455" s="5">
        <v>4969.01</v>
      </c>
      <c r="X455" s="5">
        <v>3409.43</v>
      </c>
      <c r="Y455" s="5">
        <v>1461.18</v>
      </c>
    </row>
    <row r="456" spans="1:25" ht="41.5" hidden="1" x14ac:dyDescent="0.35">
      <c r="A456" s="3" t="s">
        <v>26</v>
      </c>
      <c r="B456" s="3" t="s">
        <v>27</v>
      </c>
      <c r="C456" s="3" t="s">
        <v>478</v>
      </c>
      <c r="D456" s="3" t="s">
        <v>61</v>
      </c>
      <c r="E456" s="3" t="s">
        <v>744</v>
      </c>
      <c r="F456" s="3" t="s">
        <v>63</v>
      </c>
      <c r="G456" s="3" t="s">
        <v>744</v>
      </c>
      <c r="H456" s="3" t="s">
        <v>604</v>
      </c>
      <c r="I456" s="3">
        <v>2024</v>
      </c>
      <c r="J456" s="3" t="str">
        <f>CONCATENATE("44811016771")</f>
        <v>44811016771</v>
      </c>
      <c r="K456" s="3" t="s">
        <v>33</v>
      </c>
      <c r="L456" s="3" t="str">
        <f t="shared" si="28"/>
        <v/>
      </c>
      <c r="M456" s="3" t="str">
        <f t="shared" si="29"/>
        <v>SRA30</v>
      </c>
      <c r="N456" s="3" t="str">
        <f>CONCATENATE("MBRLGU77S30A509R")</f>
        <v>MBRLGU77S30A509R</v>
      </c>
      <c r="O456" s="3" t="s">
        <v>815</v>
      </c>
      <c r="P456" s="3" t="s">
        <v>35</v>
      </c>
      <c r="Q456" s="3" t="s">
        <v>606</v>
      </c>
      <c r="R456" s="4">
        <v>45915</v>
      </c>
      <c r="S456" s="3" t="s">
        <v>37</v>
      </c>
      <c r="T456" s="3" t="s">
        <v>38</v>
      </c>
      <c r="U456" s="3" t="s">
        <v>39</v>
      </c>
      <c r="V456" s="5">
        <v>8123.15</v>
      </c>
      <c r="W456" s="5">
        <v>4102.1899999999996</v>
      </c>
      <c r="X456" s="5">
        <v>2814.67</v>
      </c>
      <c r="Y456" s="5">
        <v>1206.29</v>
      </c>
    </row>
    <row r="457" spans="1:25" ht="41.5" hidden="1" x14ac:dyDescent="0.35">
      <c r="A457" s="3" t="s">
        <v>26</v>
      </c>
      <c r="B457" s="3" t="s">
        <v>27</v>
      </c>
      <c r="C457" s="3" t="s">
        <v>478</v>
      </c>
      <c r="D457" s="3" t="s">
        <v>41</v>
      </c>
      <c r="E457" s="3" t="s">
        <v>667</v>
      </c>
      <c r="F457" s="3" t="s">
        <v>43</v>
      </c>
      <c r="G457" s="3" t="s">
        <v>667</v>
      </c>
      <c r="H457" s="3" t="s">
        <v>604</v>
      </c>
      <c r="I457" s="3">
        <v>2024</v>
      </c>
      <c r="J457" s="3" t="str">
        <f>CONCATENATE("44810380343")</f>
        <v>44810380343</v>
      </c>
      <c r="K457" s="3" t="s">
        <v>33</v>
      </c>
      <c r="L457" s="3" t="str">
        <f t="shared" si="28"/>
        <v/>
      </c>
      <c r="M457" s="3" t="str">
        <f t="shared" si="29"/>
        <v>SRA30</v>
      </c>
      <c r="N457" s="3" t="str">
        <f>CONCATENATE("MPRMRA65P48M130T")</f>
        <v>MPRMRA65P48M130T</v>
      </c>
      <c r="O457" s="3" t="s">
        <v>816</v>
      </c>
      <c r="P457" s="3" t="s">
        <v>35</v>
      </c>
      <c r="Q457" s="3" t="s">
        <v>606</v>
      </c>
      <c r="R457" s="4">
        <v>45915</v>
      </c>
      <c r="S457" s="3" t="s">
        <v>37</v>
      </c>
      <c r="T457" s="3" t="s">
        <v>38</v>
      </c>
      <c r="U457" s="3" t="s">
        <v>39</v>
      </c>
      <c r="V457" s="5">
        <v>11423.71</v>
      </c>
      <c r="W457" s="5">
        <v>5768.97</v>
      </c>
      <c r="X457" s="5">
        <v>3958.32</v>
      </c>
      <c r="Y457" s="5">
        <v>1696.42</v>
      </c>
    </row>
    <row r="458" spans="1:25" ht="41.5" hidden="1" x14ac:dyDescent="0.35">
      <c r="A458" s="3" t="s">
        <v>26</v>
      </c>
      <c r="B458" s="3" t="s">
        <v>27</v>
      </c>
      <c r="C458" s="3" t="s">
        <v>478</v>
      </c>
      <c r="D458" s="3" t="s">
        <v>61</v>
      </c>
      <c r="E458" s="3" t="s">
        <v>746</v>
      </c>
      <c r="F458" s="3" t="s">
        <v>63</v>
      </c>
      <c r="G458" s="3" t="s">
        <v>746</v>
      </c>
      <c r="H458" s="3" t="s">
        <v>604</v>
      </c>
      <c r="I458" s="3">
        <v>2024</v>
      </c>
      <c r="J458" s="3" t="str">
        <f>CONCATENATE("44810684553")</f>
        <v>44810684553</v>
      </c>
      <c r="K458" s="3" t="s">
        <v>33</v>
      </c>
      <c r="L458" s="3" t="str">
        <f t="shared" si="28"/>
        <v/>
      </c>
      <c r="M458" s="3" t="str">
        <f t="shared" si="29"/>
        <v>SRA30</v>
      </c>
      <c r="N458" s="3" t="str">
        <f>CONCATENATE("MRTNTN67C10E161Y")</f>
        <v>MRTNTN67C10E161Y</v>
      </c>
      <c r="O458" s="3" t="s">
        <v>817</v>
      </c>
      <c r="P458" s="3" t="s">
        <v>35</v>
      </c>
      <c r="Q458" s="3" t="s">
        <v>606</v>
      </c>
      <c r="R458" s="4">
        <v>45915</v>
      </c>
      <c r="S458" s="3" t="s">
        <v>37</v>
      </c>
      <c r="T458" s="3" t="s">
        <v>38</v>
      </c>
      <c r="U458" s="3" t="s">
        <v>39</v>
      </c>
      <c r="V458" s="5">
        <v>3055.09</v>
      </c>
      <c r="W458" s="5">
        <v>1542.82</v>
      </c>
      <c r="X458" s="5">
        <v>1058.5899999999999</v>
      </c>
      <c r="Y458" s="3">
        <v>453.68</v>
      </c>
    </row>
    <row r="459" spans="1:25" ht="41.5" hidden="1" x14ac:dyDescent="0.35">
      <c r="A459" s="3" t="s">
        <v>26</v>
      </c>
      <c r="B459" s="3" t="s">
        <v>27</v>
      </c>
      <c r="C459" s="3" t="s">
        <v>478</v>
      </c>
      <c r="D459" s="3" t="s">
        <v>29</v>
      </c>
      <c r="E459" s="3" t="s">
        <v>818</v>
      </c>
      <c r="F459" s="3" t="s">
        <v>31</v>
      </c>
      <c r="G459" s="3" t="s">
        <v>818</v>
      </c>
      <c r="H459" s="3" t="s">
        <v>604</v>
      </c>
      <c r="I459" s="3">
        <v>2024</v>
      </c>
      <c r="J459" s="3" t="str">
        <f>CONCATENATE("44810511772")</f>
        <v>44810511772</v>
      </c>
      <c r="K459" s="3" t="s">
        <v>33</v>
      </c>
      <c r="L459" s="3" t="str">
        <f t="shared" si="28"/>
        <v/>
      </c>
      <c r="M459" s="3" t="str">
        <f t="shared" si="29"/>
        <v>SRA30</v>
      </c>
      <c r="N459" s="3" t="str">
        <f>CONCATENATE("MRTPQL89H26A399Y")</f>
        <v>MRTPQL89H26A399Y</v>
      </c>
      <c r="O459" s="3" t="s">
        <v>819</v>
      </c>
      <c r="P459" s="3" t="s">
        <v>35</v>
      </c>
      <c r="Q459" s="3" t="s">
        <v>606</v>
      </c>
      <c r="R459" s="4">
        <v>45915</v>
      </c>
      <c r="S459" s="3" t="s">
        <v>37</v>
      </c>
      <c r="T459" s="3" t="s">
        <v>38</v>
      </c>
      <c r="U459" s="3" t="s">
        <v>39</v>
      </c>
      <c r="V459" s="5">
        <v>3751.86</v>
      </c>
      <c r="W459" s="5">
        <v>1894.69</v>
      </c>
      <c r="X459" s="5">
        <v>1300.02</v>
      </c>
      <c r="Y459" s="3">
        <v>557.15</v>
      </c>
    </row>
    <row r="460" spans="1:25" ht="49.5" hidden="1" x14ac:dyDescent="0.35">
      <c r="A460" s="3" t="s">
        <v>26</v>
      </c>
      <c r="B460" s="3" t="s">
        <v>27</v>
      </c>
      <c r="C460" s="3" t="s">
        <v>478</v>
      </c>
      <c r="D460" s="3" t="s">
        <v>61</v>
      </c>
      <c r="E460" s="3" t="s">
        <v>820</v>
      </c>
      <c r="F460" s="3" t="s">
        <v>63</v>
      </c>
      <c r="G460" s="3" t="s">
        <v>820</v>
      </c>
      <c r="H460" s="3" t="s">
        <v>604</v>
      </c>
      <c r="I460" s="3">
        <v>2024</v>
      </c>
      <c r="J460" s="3" t="str">
        <f>CONCATENATE("44811239118")</f>
        <v>44811239118</v>
      </c>
      <c r="K460" s="3" t="s">
        <v>33</v>
      </c>
      <c r="L460" s="3" t="str">
        <f t="shared" si="28"/>
        <v/>
      </c>
      <c r="M460" s="3" t="str">
        <f t="shared" si="29"/>
        <v>SRA30</v>
      </c>
      <c r="N460" s="3" t="str">
        <f>CONCATENATE("NGRCMN65M24A566U")</f>
        <v>NGRCMN65M24A566U</v>
      </c>
      <c r="O460" s="3" t="s">
        <v>821</v>
      </c>
      <c r="P460" s="3" t="s">
        <v>35</v>
      </c>
      <c r="Q460" s="3" t="s">
        <v>606</v>
      </c>
      <c r="R460" s="4">
        <v>45915</v>
      </c>
      <c r="S460" s="3" t="s">
        <v>37</v>
      </c>
      <c r="T460" s="3" t="s">
        <v>38</v>
      </c>
      <c r="U460" s="3" t="s">
        <v>39</v>
      </c>
      <c r="V460" s="5">
        <v>5255.73</v>
      </c>
      <c r="W460" s="5">
        <v>2654.14</v>
      </c>
      <c r="X460" s="5">
        <v>1821.11</v>
      </c>
      <c r="Y460" s="3">
        <v>780.48</v>
      </c>
    </row>
    <row r="461" spans="1:25" ht="41.5" hidden="1" x14ac:dyDescent="0.35">
      <c r="A461" s="3" t="s">
        <v>26</v>
      </c>
      <c r="B461" s="3" t="s">
        <v>27</v>
      </c>
      <c r="C461" s="3" t="s">
        <v>478</v>
      </c>
      <c r="D461" s="3" t="s">
        <v>61</v>
      </c>
      <c r="E461" s="3" t="s">
        <v>820</v>
      </c>
      <c r="F461" s="3" t="s">
        <v>63</v>
      </c>
      <c r="G461" s="3" t="s">
        <v>820</v>
      </c>
      <c r="H461" s="3" t="s">
        <v>604</v>
      </c>
      <c r="I461" s="3">
        <v>2024</v>
      </c>
      <c r="J461" s="3" t="str">
        <f>CONCATENATE("44811148541")</f>
        <v>44811148541</v>
      </c>
      <c r="K461" s="3" t="s">
        <v>33</v>
      </c>
      <c r="L461" s="3" t="str">
        <f t="shared" si="28"/>
        <v/>
      </c>
      <c r="M461" s="3" t="str">
        <f t="shared" si="29"/>
        <v>SRA30</v>
      </c>
      <c r="N461" s="3" t="str">
        <f>CONCATENATE("PCCNDR61D30A509E")</f>
        <v>PCCNDR61D30A509E</v>
      </c>
      <c r="O461" s="3" t="s">
        <v>822</v>
      </c>
      <c r="P461" s="3" t="s">
        <v>35</v>
      </c>
      <c r="Q461" s="3" t="s">
        <v>606</v>
      </c>
      <c r="R461" s="4">
        <v>45915</v>
      </c>
      <c r="S461" s="3" t="s">
        <v>37</v>
      </c>
      <c r="T461" s="3" t="s">
        <v>38</v>
      </c>
      <c r="U461" s="3" t="s">
        <v>39</v>
      </c>
      <c r="V461" s="5">
        <v>14564.36</v>
      </c>
      <c r="W461" s="5">
        <v>7355</v>
      </c>
      <c r="X461" s="5">
        <v>5046.55</v>
      </c>
      <c r="Y461" s="5">
        <v>2162.81</v>
      </c>
    </row>
    <row r="462" spans="1:25" ht="41.5" hidden="1" x14ac:dyDescent="0.35">
      <c r="A462" s="3" t="s">
        <v>26</v>
      </c>
      <c r="B462" s="3" t="s">
        <v>27</v>
      </c>
      <c r="C462" s="3" t="s">
        <v>478</v>
      </c>
      <c r="D462" s="3" t="s">
        <v>41</v>
      </c>
      <c r="E462" s="3" t="s">
        <v>667</v>
      </c>
      <c r="F462" s="3" t="s">
        <v>43</v>
      </c>
      <c r="G462" s="3" t="s">
        <v>667</v>
      </c>
      <c r="H462" s="3" t="s">
        <v>604</v>
      </c>
      <c r="I462" s="3">
        <v>2024</v>
      </c>
      <c r="J462" s="3" t="str">
        <f>CONCATENATE("44810365955")</f>
        <v>44810365955</v>
      </c>
      <c r="K462" s="3" t="s">
        <v>33</v>
      </c>
      <c r="L462" s="3" t="str">
        <f t="shared" si="28"/>
        <v/>
      </c>
      <c r="M462" s="3" t="str">
        <f t="shared" si="29"/>
        <v>SRA30</v>
      </c>
      <c r="N462" s="3" t="str">
        <f>CONCATENATE("SRNRCC72C29Z133Z")</f>
        <v>SRNRCC72C29Z133Z</v>
      </c>
      <c r="O462" s="3" t="s">
        <v>823</v>
      </c>
      <c r="P462" s="3" t="s">
        <v>35</v>
      </c>
      <c r="Q462" s="3" t="s">
        <v>606</v>
      </c>
      <c r="R462" s="4">
        <v>45915</v>
      </c>
      <c r="S462" s="3" t="s">
        <v>37</v>
      </c>
      <c r="T462" s="3" t="s">
        <v>38</v>
      </c>
      <c r="U462" s="3" t="s">
        <v>39</v>
      </c>
      <c r="V462" s="5">
        <v>17953.32</v>
      </c>
      <c r="W462" s="5">
        <v>9066.43</v>
      </c>
      <c r="X462" s="5">
        <v>6220.83</v>
      </c>
      <c r="Y462" s="5">
        <v>2666.06</v>
      </c>
    </row>
    <row r="463" spans="1:25" ht="41.5" hidden="1" x14ac:dyDescent="0.35">
      <c r="A463" s="3" t="s">
        <v>26</v>
      </c>
      <c r="B463" s="3" t="s">
        <v>27</v>
      </c>
      <c r="C463" s="3" t="s">
        <v>90</v>
      </c>
      <c r="D463" s="3" t="s">
        <v>41</v>
      </c>
      <c r="E463" s="3" t="s">
        <v>396</v>
      </c>
      <c r="F463" s="3" t="s">
        <v>43</v>
      </c>
      <c r="G463" s="3" t="s">
        <v>396</v>
      </c>
      <c r="H463" s="3" t="s">
        <v>218</v>
      </c>
      <c r="I463" s="3">
        <v>2024</v>
      </c>
      <c r="J463" s="3" t="str">
        <f>CONCATENATE("44810838977")</f>
        <v>44810838977</v>
      </c>
      <c r="K463" s="3" t="s">
        <v>33</v>
      </c>
      <c r="L463" s="3" t="str">
        <f t="shared" si="28"/>
        <v/>
      </c>
      <c r="M463" s="3" t="str">
        <f t="shared" si="29"/>
        <v>SRA30</v>
      </c>
      <c r="N463" s="3" t="str">
        <f>CONCATENATE("RTOMPS66M55I199K")</f>
        <v>RTOMPS66M55I199K</v>
      </c>
      <c r="O463" s="3" t="s">
        <v>824</v>
      </c>
      <c r="P463" s="3" t="s">
        <v>35</v>
      </c>
      <c r="Q463" s="3" t="s">
        <v>607</v>
      </c>
      <c r="R463" s="4">
        <v>45932</v>
      </c>
      <c r="S463" s="3" t="s">
        <v>37</v>
      </c>
      <c r="T463" s="3" t="s">
        <v>38</v>
      </c>
      <c r="U463" s="3" t="s">
        <v>39</v>
      </c>
      <c r="V463" s="5">
        <v>1813.9</v>
      </c>
      <c r="W463" s="3">
        <v>916.02</v>
      </c>
      <c r="X463" s="3">
        <v>628.52</v>
      </c>
      <c r="Y463" s="3">
        <v>269.36</v>
      </c>
    </row>
    <row r="464" spans="1:25" ht="25.5" hidden="1" x14ac:dyDescent="0.35">
      <c r="A464" s="3" t="s">
        <v>26</v>
      </c>
      <c r="B464" s="3" t="s">
        <v>27</v>
      </c>
      <c r="C464" s="3" t="s">
        <v>90</v>
      </c>
      <c r="D464" s="3" t="s">
        <v>364</v>
      </c>
      <c r="E464" s="3" t="s">
        <v>612</v>
      </c>
      <c r="F464" s="3" t="s">
        <v>393</v>
      </c>
      <c r="G464" s="3" t="s">
        <v>610</v>
      </c>
      <c r="H464" s="3" t="s">
        <v>218</v>
      </c>
      <c r="I464" s="3">
        <v>2024</v>
      </c>
      <c r="J464" s="3" t="str">
        <f>CONCATENATE("44811411261")</f>
        <v>44811411261</v>
      </c>
      <c r="K464" s="3" t="s">
        <v>33</v>
      </c>
      <c r="L464" s="3" t="str">
        <f t="shared" si="28"/>
        <v/>
      </c>
      <c r="M464" s="3" t="str">
        <f t="shared" si="29"/>
        <v>SRA30</v>
      </c>
      <c r="N464" s="3" t="str">
        <f>CONCATENATE("03458420837")</f>
        <v>03458420837</v>
      </c>
      <c r="O464" s="3" t="s">
        <v>825</v>
      </c>
      <c r="P464" s="3" t="s">
        <v>35</v>
      </c>
      <c r="Q464" s="3" t="s">
        <v>607</v>
      </c>
      <c r="R464" s="4">
        <v>45932</v>
      </c>
      <c r="S464" s="3" t="s">
        <v>37</v>
      </c>
      <c r="T464" s="3" t="s">
        <v>38</v>
      </c>
      <c r="U464" s="3" t="s">
        <v>39</v>
      </c>
      <c r="V464" s="5">
        <v>6540.75</v>
      </c>
      <c r="W464" s="5">
        <v>3303.08</v>
      </c>
      <c r="X464" s="5">
        <v>2266.37</v>
      </c>
      <c r="Y464" s="3">
        <v>971.3</v>
      </c>
    </row>
    <row r="465" spans="1:25" ht="41.5" hidden="1" x14ac:dyDescent="0.35">
      <c r="A465" s="3" t="s">
        <v>26</v>
      </c>
      <c r="B465" s="3" t="s">
        <v>27</v>
      </c>
      <c r="C465" s="3" t="s">
        <v>90</v>
      </c>
      <c r="D465" s="3" t="s">
        <v>364</v>
      </c>
      <c r="E465" s="3" t="s">
        <v>610</v>
      </c>
      <c r="F465" s="3" t="s">
        <v>393</v>
      </c>
      <c r="G465" s="3" t="s">
        <v>610</v>
      </c>
      <c r="H465" s="3" t="s">
        <v>218</v>
      </c>
      <c r="I465" s="3">
        <v>2024</v>
      </c>
      <c r="J465" s="3" t="str">
        <f>CONCATENATE("44810326973")</f>
        <v>44810326973</v>
      </c>
      <c r="K465" s="3" t="s">
        <v>33</v>
      </c>
      <c r="L465" s="3" t="str">
        <f t="shared" si="28"/>
        <v/>
      </c>
      <c r="M465" s="3" t="str">
        <f t="shared" si="29"/>
        <v>SRA30</v>
      </c>
      <c r="N465" s="3" t="str">
        <f>CONCATENATE("SCTFNC93D14F158V")</f>
        <v>SCTFNC93D14F158V</v>
      </c>
      <c r="O465" s="3" t="s">
        <v>826</v>
      </c>
      <c r="P465" s="3" t="s">
        <v>35</v>
      </c>
      <c r="Q465" s="3" t="s">
        <v>607</v>
      </c>
      <c r="R465" s="4">
        <v>45932</v>
      </c>
      <c r="S465" s="3" t="s">
        <v>37</v>
      </c>
      <c r="T465" s="3" t="s">
        <v>38</v>
      </c>
      <c r="U465" s="3" t="s">
        <v>39</v>
      </c>
      <c r="V465" s="5">
        <v>6153.15</v>
      </c>
      <c r="W465" s="5">
        <v>3107.34</v>
      </c>
      <c r="X465" s="5">
        <v>2132.0700000000002</v>
      </c>
      <c r="Y465" s="3">
        <v>913.74</v>
      </c>
    </row>
    <row r="466" spans="1:25" ht="41.5" hidden="1" x14ac:dyDescent="0.35">
      <c r="A466" s="3" t="s">
        <v>26</v>
      </c>
      <c r="B466" s="3" t="s">
        <v>27</v>
      </c>
      <c r="C466" s="3" t="s">
        <v>90</v>
      </c>
      <c r="D466" s="3" t="s">
        <v>107</v>
      </c>
      <c r="E466" s="3" t="s">
        <v>242</v>
      </c>
      <c r="F466" s="3" t="s">
        <v>115</v>
      </c>
      <c r="G466" s="3" t="s">
        <v>242</v>
      </c>
      <c r="H466" s="3" t="s">
        <v>218</v>
      </c>
      <c r="I466" s="3">
        <v>2024</v>
      </c>
      <c r="J466" s="3" t="str">
        <f>CONCATENATE("44810563013")</f>
        <v>44810563013</v>
      </c>
      <c r="K466" s="3" t="s">
        <v>33</v>
      </c>
      <c r="L466" s="3" t="str">
        <f t="shared" si="28"/>
        <v/>
      </c>
      <c r="M466" s="3" t="str">
        <f t="shared" si="29"/>
        <v>SRA30</v>
      </c>
      <c r="N466" s="3" t="str">
        <f>CONCATENATE("TRSMRS71E53C568E")</f>
        <v>TRSMRS71E53C568E</v>
      </c>
      <c r="O466" s="3" t="s">
        <v>827</v>
      </c>
      <c r="P466" s="3" t="s">
        <v>35</v>
      </c>
      <c r="Q466" s="3" t="s">
        <v>607</v>
      </c>
      <c r="R466" s="4">
        <v>45932</v>
      </c>
      <c r="S466" s="3" t="s">
        <v>37</v>
      </c>
      <c r="T466" s="3" t="s">
        <v>38</v>
      </c>
      <c r="U466" s="3" t="s">
        <v>39</v>
      </c>
      <c r="V466" s="5">
        <v>5416.2</v>
      </c>
      <c r="W466" s="5">
        <v>2735.18</v>
      </c>
      <c r="X466" s="5">
        <v>1876.71</v>
      </c>
      <c r="Y466" s="3">
        <v>804.31</v>
      </c>
    </row>
    <row r="467" spans="1:25" ht="41.5" hidden="1" x14ac:dyDescent="0.35">
      <c r="A467" s="3" t="s">
        <v>26</v>
      </c>
      <c r="B467" s="3" t="s">
        <v>27</v>
      </c>
      <c r="C467" s="3" t="s">
        <v>40</v>
      </c>
      <c r="D467" s="3" t="s">
        <v>41</v>
      </c>
      <c r="E467" s="3" t="s">
        <v>761</v>
      </c>
      <c r="F467" s="3" t="s">
        <v>139</v>
      </c>
      <c r="G467" s="3" t="s">
        <v>138</v>
      </c>
      <c r="H467" s="3" t="s">
        <v>44</v>
      </c>
      <c r="I467" s="3">
        <v>2024</v>
      </c>
      <c r="J467" s="3" t="str">
        <f>CONCATENATE("44820283024")</f>
        <v>44820283024</v>
      </c>
      <c r="K467" s="3" t="s">
        <v>33</v>
      </c>
      <c r="L467" s="3" t="str">
        <f t="shared" si="28"/>
        <v/>
      </c>
      <c r="M467" s="3" t="str">
        <f t="shared" ref="M467:M494" si="30">CONCATENATE("SRB01")</f>
        <v>SRB01</v>
      </c>
      <c r="N467" s="3" t="str">
        <f>CONCATENATE("LMNDNC74S07H501B")</f>
        <v>LMNDNC74S07H501B</v>
      </c>
      <c r="O467" s="3" t="s">
        <v>828</v>
      </c>
      <c r="P467" s="3" t="s">
        <v>35</v>
      </c>
      <c r="Q467" s="3" t="s">
        <v>759</v>
      </c>
      <c r="R467" s="4">
        <v>45933</v>
      </c>
      <c r="S467" s="3" t="s">
        <v>37</v>
      </c>
      <c r="T467" s="3" t="s">
        <v>38</v>
      </c>
      <c r="U467" s="3" t="s">
        <v>39</v>
      </c>
      <c r="V467" s="3">
        <v>1.67</v>
      </c>
      <c r="W467" s="3">
        <v>0.68</v>
      </c>
      <c r="X467" s="3">
        <v>0.69</v>
      </c>
      <c r="Y467" s="3">
        <v>0.3</v>
      </c>
    </row>
    <row r="468" spans="1:25" ht="41.5" hidden="1" x14ac:dyDescent="0.35">
      <c r="A468" s="3" t="s">
        <v>26</v>
      </c>
      <c r="B468" s="3" t="s">
        <v>27</v>
      </c>
      <c r="C468" s="3" t="s">
        <v>40</v>
      </c>
      <c r="D468" s="3" t="s">
        <v>61</v>
      </c>
      <c r="E468" s="3" t="s">
        <v>829</v>
      </c>
      <c r="F468" s="3" t="s">
        <v>63</v>
      </c>
      <c r="G468" s="3" t="s">
        <v>829</v>
      </c>
      <c r="H468" s="3" t="s">
        <v>44</v>
      </c>
      <c r="I468" s="3">
        <v>2024</v>
      </c>
      <c r="J468" s="3" t="str">
        <f>CONCATENATE("44820248308")</f>
        <v>44820248308</v>
      </c>
      <c r="K468" s="3" t="s">
        <v>33</v>
      </c>
      <c r="L468" s="3" t="str">
        <f t="shared" si="28"/>
        <v/>
      </c>
      <c r="M468" s="3" t="str">
        <f t="shared" si="30"/>
        <v>SRB01</v>
      </c>
      <c r="N468" s="3" t="str">
        <f>CONCATENATE("NGLDNC73C24H282M")</f>
        <v>NGLDNC73C24H282M</v>
      </c>
      <c r="O468" s="3" t="s">
        <v>830</v>
      </c>
      <c r="P468" s="3" t="s">
        <v>35</v>
      </c>
      <c r="Q468" s="3" t="s">
        <v>759</v>
      </c>
      <c r="R468" s="4">
        <v>45933</v>
      </c>
      <c r="S468" s="3" t="s">
        <v>37</v>
      </c>
      <c r="T468" s="3" t="s">
        <v>38</v>
      </c>
      <c r="U468" s="3" t="s">
        <v>39</v>
      </c>
      <c r="V468" s="3">
        <v>25.41</v>
      </c>
      <c r="W468" s="3">
        <v>10.34</v>
      </c>
      <c r="X468" s="3">
        <v>10.55</v>
      </c>
      <c r="Y468" s="3">
        <v>4.5199999999999996</v>
      </c>
    </row>
    <row r="469" spans="1:25" ht="25.5" hidden="1" x14ac:dyDescent="0.35">
      <c r="A469" s="3" t="s">
        <v>26</v>
      </c>
      <c r="B469" s="3" t="s">
        <v>27</v>
      </c>
      <c r="C469" s="3" t="s">
        <v>40</v>
      </c>
      <c r="D469" s="3" t="s">
        <v>61</v>
      </c>
      <c r="E469" s="3" t="s">
        <v>829</v>
      </c>
      <c r="F469" s="3" t="s">
        <v>63</v>
      </c>
      <c r="G469" s="3" t="s">
        <v>829</v>
      </c>
      <c r="H469" s="3" t="s">
        <v>44</v>
      </c>
      <c r="I469" s="3">
        <v>2024</v>
      </c>
      <c r="J469" s="3" t="str">
        <f>CONCATENATE("44820452074")</f>
        <v>44820452074</v>
      </c>
      <c r="K469" s="3" t="s">
        <v>33</v>
      </c>
      <c r="L469" s="3" t="str">
        <f t="shared" si="28"/>
        <v/>
      </c>
      <c r="M469" s="3" t="str">
        <f t="shared" si="30"/>
        <v>SRB01</v>
      </c>
      <c r="N469" s="3" t="str">
        <f>CONCATENATE("01056130576")</f>
        <v>01056130576</v>
      </c>
      <c r="O469" s="3" t="s">
        <v>831</v>
      </c>
      <c r="P469" s="3" t="s">
        <v>35</v>
      </c>
      <c r="Q469" s="3" t="s">
        <v>759</v>
      </c>
      <c r="R469" s="4">
        <v>45933</v>
      </c>
      <c r="S469" s="3" t="s">
        <v>37</v>
      </c>
      <c r="T469" s="3" t="s">
        <v>38</v>
      </c>
      <c r="U469" s="3" t="s">
        <v>39</v>
      </c>
      <c r="V469" s="3">
        <v>220.07</v>
      </c>
      <c r="W469" s="3">
        <v>89.57</v>
      </c>
      <c r="X469" s="3">
        <v>91.35</v>
      </c>
      <c r="Y469" s="3">
        <v>39.15</v>
      </c>
    </row>
    <row r="470" spans="1:25" ht="25.5" hidden="1" x14ac:dyDescent="0.35">
      <c r="A470" s="3" t="s">
        <v>26</v>
      </c>
      <c r="B470" s="3" t="s">
        <v>27</v>
      </c>
      <c r="C470" s="3" t="s">
        <v>40</v>
      </c>
      <c r="D470" s="3" t="s">
        <v>137</v>
      </c>
      <c r="E470" s="3" t="s">
        <v>138</v>
      </c>
      <c r="F470" s="3" t="s">
        <v>139</v>
      </c>
      <c r="G470" s="3" t="s">
        <v>138</v>
      </c>
      <c r="H470" s="3" t="s">
        <v>44</v>
      </c>
      <c r="I470" s="3">
        <v>2024</v>
      </c>
      <c r="J470" s="3" t="str">
        <f>CONCATENATE("44820614665")</f>
        <v>44820614665</v>
      </c>
      <c r="K470" s="3" t="s">
        <v>33</v>
      </c>
      <c r="L470" s="3" t="str">
        <f t="shared" si="28"/>
        <v/>
      </c>
      <c r="M470" s="3" t="str">
        <f t="shared" si="30"/>
        <v>SRB01</v>
      </c>
      <c r="N470" s="3" t="str">
        <f>CONCATENATE("04826350581")</f>
        <v>04826350581</v>
      </c>
      <c r="O470" s="3" t="s">
        <v>832</v>
      </c>
      <c r="P470" s="3" t="s">
        <v>35</v>
      </c>
      <c r="Q470" s="3" t="s">
        <v>759</v>
      </c>
      <c r="R470" s="4">
        <v>45933</v>
      </c>
      <c r="S470" s="3" t="s">
        <v>37</v>
      </c>
      <c r="T470" s="3" t="s">
        <v>38</v>
      </c>
      <c r="U470" s="3" t="s">
        <v>39</v>
      </c>
      <c r="V470" s="5">
        <v>2144.3000000000002</v>
      </c>
      <c r="W470" s="3">
        <v>872.73</v>
      </c>
      <c r="X470" s="3">
        <v>890.1</v>
      </c>
      <c r="Y470" s="3">
        <v>381.47</v>
      </c>
    </row>
    <row r="471" spans="1:25" ht="25.5" hidden="1" x14ac:dyDescent="0.35">
      <c r="A471" s="3" t="s">
        <v>26</v>
      </c>
      <c r="B471" s="3" t="s">
        <v>27</v>
      </c>
      <c r="C471" s="3" t="s">
        <v>40</v>
      </c>
      <c r="D471" s="3" t="s">
        <v>41</v>
      </c>
      <c r="E471" s="3" t="s">
        <v>143</v>
      </c>
      <c r="F471" s="3" t="s">
        <v>43</v>
      </c>
      <c r="G471" s="3" t="s">
        <v>143</v>
      </c>
      <c r="H471" s="3" t="s">
        <v>64</v>
      </c>
      <c r="I471" s="3">
        <v>2024</v>
      </c>
      <c r="J471" s="3" t="str">
        <f>CONCATENATE("44820161063")</f>
        <v>44820161063</v>
      </c>
      <c r="K471" s="3" t="s">
        <v>33</v>
      </c>
      <c r="L471" s="3" t="str">
        <f t="shared" si="28"/>
        <v/>
      </c>
      <c r="M471" s="3" t="str">
        <f t="shared" si="30"/>
        <v>SRB01</v>
      </c>
      <c r="N471" s="3" t="str">
        <f>CONCATENATE("02693320588")</f>
        <v>02693320588</v>
      </c>
      <c r="O471" s="3" t="s">
        <v>833</v>
      </c>
      <c r="P471" s="3" t="s">
        <v>35</v>
      </c>
      <c r="Q471" s="3" t="s">
        <v>759</v>
      </c>
      <c r="R471" s="4">
        <v>45933</v>
      </c>
      <c r="S471" s="3" t="s">
        <v>37</v>
      </c>
      <c r="T471" s="3" t="s">
        <v>38</v>
      </c>
      <c r="U471" s="3" t="s">
        <v>39</v>
      </c>
      <c r="V471" s="5">
        <v>5873.81</v>
      </c>
      <c r="W471" s="5">
        <v>2390.64</v>
      </c>
      <c r="X471" s="5">
        <v>2438.2199999999998</v>
      </c>
      <c r="Y471" s="5">
        <v>1044.95</v>
      </c>
    </row>
    <row r="472" spans="1:25" ht="41.5" hidden="1" x14ac:dyDescent="0.35">
      <c r="A472" s="3" t="s">
        <v>26</v>
      </c>
      <c r="B472" s="3" t="s">
        <v>27</v>
      </c>
      <c r="C472" s="3" t="s">
        <v>40</v>
      </c>
      <c r="D472" s="3" t="s">
        <v>61</v>
      </c>
      <c r="E472" s="3" t="s">
        <v>829</v>
      </c>
      <c r="F472" s="3" t="s">
        <v>63</v>
      </c>
      <c r="G472" s="3" t="s">
        <v>829</v>
      </c>
      <c r="H472" s="3" t="s">
        <v>44</v>
      </c>
      <c r="I472" s="3">
        <v>2024</v>
      </c>
      <c r="J472" s="3" t="str">
        <f>CONCATENATE("44820072807")</f>
        <v>44820072807</v>
      </c>
      <c r="K472" s="3" t="s">
        <v>33</v>
      </c>
      <c r="L472" s="3" t="str">
        <f t="shared" si="28"/>
        <v/>
      </c>
      <c r="M472" s="3" t="str">
        <f t="shared" si="30"/>
        <v>SRB01</v>
      </c>
      <c r="N472" s="3" t="str">
        <f>CONCATENATE("DGRPFR77E23H501Y")</f>
        <v>DGRPFR77E23H501Y</v>
      </c>
      <c r="O472" s="3" t="s">
        <v>834</v>
      </c>
      <c r="P472" s="3" t="s">
        <v>35</v>
      </c>
      <c r="Q472" s="3" t="s">
        <v>759</v>
      </c>
      <c r="R472" s="4">
        <v>45933</v>
      </c>
      <c r="S472" s="3" t="s">
        <v>37</v>
      </c>
      <c r="T472" s="3" t="s">
        <v>38</v>
      </c>
      <c r="U472" s="3" t="s">
        <v>39</v>
      </c>
      <c r="V472" s="3">
        <v>329.49</v>
      </c>
      <c r="W472" s="3">
        <v>134.1</v>
      </c>
      <c r="X472" s="3">
        <v>136.77000000000001</v>
      </c>
      <c r="Y472" s="3">
        <v>58.62</v>
      </c>
    </row>
    <row r="473" spans="1:25" ht="41.5" hidden="1" x14ac:dyDescent="0.35">
      <c r="A473" s="3" t="s">
        <v>26</v>
      </c>
      <c r="B473" s="3" t="s">
        <v>27</v>
      </c>
      <c r="C473" s="3" t="s">
        <v>40</v>
      </c>
      <c r="D473" s="3" t="s">
        <v>41</v>
      </c>
      <c r="E473" s="3" t="s">
        <v>67</v>
      </c>
      <c r="F473" s="3" t="s">
        <v>43</v>
      </c>
      <c r="G473" s="3" t="s">
        <v>67</v>
      </c>
      <c r="H473" s="3" t="s">
        <v>44</v>
      </c>
      <c r="I473" s="3">
        <v>2024</v>
      </c>
      <c r="J473" s="3" t="str">
        <f>CONCATENATE("44820221602")</f>
        <v>44820221602</v>
      </c>
      <c r="K473" s="3" t="s">
        <v>33</v>
      </c>
      <c r="L473" s="3" t="str">
        <f t="shared" si="28"/>
        <v/>
      </c>
      <c r="M473" s="3" t="str">
        <f t="shared" si="30"/>
        <v>SRB01</v>
      </c>
      <c r="N473" s="3" t="str">
        <f>CONCATENATE("LCDCLD55L18C959J")</f>
        <v>LCDCLD55L18C959J</v>
      </c>
      <c r="O473" s="3" t="s">
        <v>835</v>
      </c>
      <c r="P473" s="3" t="s">
        <v>35</v>
      </c>
      <c r="Q473" s="3" t="s">
        <v>759</v>
      </c>
      <c r="R473" s="4">
        <v>45933</v>
      </c>
      <c r="S473" s="3" t="s">
        <v>37</v>
      </c>
      <c r="T473" s="3" t="s">
        <v>38</v>
      </c>
      <c r="U473" s="3" t="s">
        <v>39</v>
      </c>
      <c r="V473" s="3">
        <v>9.2200000000000006</v>
      </c>
      <c r="W473" s="3">
        <v>3.75</v>
      </c>
      <c r="X473" s="3">
        <v>3.83</v>
      </c>
      <c r="Y473" s="3">
        <v>1.64</v>
      </c>
    </row>
    <row r="474" spans="1:25" ht="49.5" hidden="1" x14ac:dyDescent="0.35">
      <c r="A474" s="3" t="s">
        <v>26</v>
      </c>
      <c r="B474" s="3" t="s">
        <v>27</v>
      </c>
      <c r="C474" s="3" t="s">
        <v>40</v>
      </c>
      <c r="D474" s="3" t="s">
        <v>41</v>
      </c>
      <c r="E474" s="3" t="s">
        <v>836</v>
      </c>
      <c r="F474" s="3" t="s">
        <v>43</v>
      </c>
      <c r="G474" s="3" t="s">
        <v>836</v>
      </c>
      <c r="H474" s="3" t="s">
        <v>44</v>
      </c>
      <c r="I474" s="3">
        <v>2024</v>
      </c>
      <c r="J474" s="3" t="str">
        <f>CONCATENATE("44820197471")</f>
        <v>44820197471</v>
      </c>
      <c r="K474" s="3" t="s">
        <v>33</v>
      </c>
      <c r="L474" s="3" t="str">
        <f t="shared" si="28"/>
        <v/>
      </c>
      <c r="M474" s="3" t="str">
        <f t="shared" si="30"/>
        <v>SRB01</v>
      </c>
      <c r="N474" s="3" t="str">
        <f>CONCATENATE("BNDMLA45R66G764N")</f>
        <v>BNDMLA45R66G764N</v>
      </c>
      <c r="O474" s="3" t="s">
        <v>837</v>
      </c>
      <c r="P474" s="3" t="s">
        <v>35</v>
      </c>
      <c r="Q474" s="3" t="s">
        <v>759</v>
      </c>
      <c r="R474" s="4">
        <v>45933</v>
      </c>
      <c r="S474" s="3" t="s">
        <v>37</v>
      </c>
      <c r="T474" s="3" t="s">
        <v>38</v>
      </c>
      <c r="U474" s="3" t="s">
        <v>39</v>
      </c>
      <c r="V474" s="3">
        <v>67.349999999999994</v>
      </c>
      <c r="W474" s="3">
        <v>27.41</v>
      </c>
      <c r="X474" s="3">
        <v>27.96</v>
      </c>
      <c r="Y474" s="3">
        <v>11.98</v>
      </c>
    </row>
    <row r="475" spans="1:25" ht="25.5" hidden="1" x14ac:dyDescent="0.35">
      <c r="A475" s="3" t="s">
        <v>26</v>
      </c>
      <c r="B475" s="3" t="s">
        <v>27</v>
      </c>
      <c r="C475" s="3" t="s">
        <v>40</v>
      </c>
      <c r="D475" s="3" t="s">
        <v>51</v>
      </c>
      <c r="E475" s="3" t="s">
        <v>52</v>
      </c>
      <c r="F475" s="3" t="s">
        <v>51</v>
      </c>
      <c r="G475" s="3" t="s">
        <v>52</v>
      </c>
      <c r="H475" s="3" t="s">
        <v>44</v>
      </c>
      <c r="I475" s="3">
        <v>2024</v>
      </c>
      <c r="J475" s="3" t="str">
        <f>CONCATENATE("44820526349")</f>
        <v>44820526349</v>
      </c>
      <c r="K475" s="3" t="s">
        <v>33</v>
      </c>
      <c r="L475" s="3" t="str">
        <f t="shared" si="28"/>
        <v/>
      </c>
      <c r="M475" s="3" t="str">
        <f t="shared" si="30"/>
        <v>SRB01</v>
      </c>
      <c r="N475" s="3" t="str">
        <f>CONCATENATE("00868120577")</f>
        <v>00868120577</v>
      </c>
      <c r="O475" s="3" t="s">
        <v>838</v>
      </c>
      <c r="P475" s="3" t="s">
        <v>35</v>
      </c>
      <c r="Q475" s="3" t="s">
        <v>759</v>
      </c>
      <c r="R475" s="4">
        <v>45933</v>
      </c>
      <c r="S475" s="3" t="s">
        <v>37</v>
      </c>
      <c r="T475" s="3" t="s">
        <v>38</v>
      </c>
      <c r="U475" s="3" t="s">
        <v>39</v>
      </c>
      <c r="V475" s="3">
        <v>357.81</v>
      </c>
      <c r="W475" s="3">
        <v>145.63</v>
      </c>
      <c r="X475" s="3">
        <v>148.53</v>
      </c>
      <c r="Y475" s="3">
        <v>63.65</v>
      </c>
    </row>
    <row r="476" spans="1:25" ht="41.5" hidden="1" x14ac:dyDescent="0.35">
      <c r="A476" s="3" t="s">
        <v>26</v>
      </c>
      <c r="B476" s="3" t="s">
        <v>27</v>
      </c>
      <c r="C476" s="3" t="s">
        <v>40</v>
      </c>
      <c r="D476" s="3" t="s">
        <v>180</v>
      </c>
      <c r="E476" s="3" t="s">
        <v>839</v>
      </c>
      <c r="F476" s="3" t="s">
        <v>85</v>
      </c>
      <c r="G476" s="3" t="s">
        <v>839</v>
      </c>
      <c r="H476" s="3" t="s">
        <v>44</v>
      </c>
      <c r="I476" s="3">
        <v>2024</v>
      </c>
      <c r="J476" s="3" t="str">
        <f>CONCATENATE("44820139622")</f>
        <v>44820139622</v>
      </c>
      <c r="K476" s="3" t="s">
        <v>33</v>
      </c>
      <c r="L476" s="3" t="str">
        <f t="shared" si="28"/>
        <v/>
      </c>
      <c r="M476" s="3" t="str">
        <f t="shared" si="30"/>
        <v>SRB01</v>
      </c>
      <c r="N476" s="3" t="str">
        <f>CONCATENATE("DGSLLL48S69E681E")</f>
        <v>DGSLLL48S69E681E</v>
      </c>
      <c r="O476" s="3" t="s">
        <v>840</v>
      </c>
      <c r="P476" s="3" t="s">
        <v>35</v>
      </c>
      <c r="Q476" s="3" t="s">
        <v>759</v>
      </c>
      <c r="R476" s="4">
        <v>45933</v>
      </c>
      <c r="S476" s="3" t="s">
        <v>37</v>
      </c>
      <c r="T476" s="3" t="s">
        <v>38</v>
      </c>
      <c r="U476" s="3" t="s">
        <v>39</v>
      </c>
      <c r="V476" s="5">
        <v>1261.23</v>
      </c>
      <c r="W476" s="3">
        <v>513.32000000000005</v>
      </c>
      <c r="X476" s="3">
        <v>523.54</v>
      </c>
      <c r="Y476" s="3">
        <v>224.37</v>
      </c>
    </row>
    <row r="477" spans="1:25" ht="41.5" hidden="1" x14ac:dyDescent="0.35">
      <c r="A477" s="3" t="s">
        <v>26</v>
      </c>
      <c r="B477" s="3" t="s">
        <v>27</v>
      </c>
      <c r="C477" s="3" t="s">
        <v>40</v>
      </c>
      <c r="D477" s="3" t="s">
        <v>107</v>
      </c>
      <c r="E477" s="3" t="s">
        <v>841</v>
      </c>
      <c r="F477" s="3" t="s">
        <v>139</v>
      </c>
      <c r="G477" s="3" t="s">
        <v>138</v>
      </c>
      <c r="H477" s="3" t="s">
        <v>44</v>
      </c>
      <c r="I477" s="3">
        <v>2024</v>
      </c>
      <c r="J477" s="3" t="str">
        <f>CONCATENATE("44820509972")</f>
        <v>44820509972</v>
      </c>
      <c r="K477" s="3" t="s">
        <v>33</v>
      </c>
      <c r="L477" s="3" t="str">
        <f t="shared" si="28"/>
        <v/>
      </c>
      <c r="M477" s="3" t="str">
        <f t="shared" si="30"/>
        <v>SRB01</v>
      </c>
      <c r="N477" s="3" t="str">
        <f>CONCATENATE("MNCMRA37L51F541X")</f>
        <v>MNCMRA37L51F541X</v>
      </c>
      <c r="O477" s="3" t="s">
        <v>842</v>
      </c>
      <c r="P477" s="3" t="s">
        <v>35</v>
      </c>
      <c r="Q477" s="3" t="s">
        <v>759</v>
      </c>
      <c r="R477" s="4">
        <v>45933</v>
      </c>
      <c r="S477" s="3" t="s">
        <v>37</v>
      </c>
      <c r="T477" s="3" t="s">
        <v>38</v>
      </c>
      <c r="U477" s="3" t="s">
        <v>39</v>
      </c>
      <c r="V477" s="3">
        <v>3.96</v>
      </c>
      <c r="W477" s="3">
        <v>1.61</v>
      </c>
      <c r="X477" s="3">
        <v>1.64</v>
      </c>
      <c r="Y477" s="3">
        <v>0.71</v>
      </c>
    </row>
    <row r="478" spans="1:25" ht="41.5" hidden="1" x14ac:dyDescent="0.35">
      <c r="A478" s="3" t="s">
        <v>26</v>
      </c>
      <c r="B478" s="3" t="s">
        <v>27</v>
      </c>
      <c r="C478" s="3" t="s">
        <v>40</v>
      </c>
      <c r="D478" s="3" t="s">
        <v>51</v>
      </c>
      <c r="E478" s="3" t="s">
        <v>52</v>
      </c>
      <c r="F478" s="3" t="s">
        <v>51</v>
      </c>
      <c r="G478" s="3" t="s">
        <v>52</v>
      </c>
      <c r="H478" s="3" t="s">
        <v>44</v>
      </c>
      <c r="I478" s="3">
        <v>2024</v>
      </c>
      <c r="J478" s="3" t="str">
        <f>CONCATENATE("44820251575")</f>
        <v>44820251575</v>
      </c>
      <c r="K478" s="3" t="s">
        <v>33</v>
      </c>
      <c r="L478" s="3" t="str">
        <f t="shared" si="28"/>
        <v/>
      </c>
      <c r="M478" s="3" t="str">
        <f t="shared" si="30"/>
        <v>SRB01</v>
      </c>
      <c r="N478" s="3" t="str">
        <f>CONCATENATE("LDRNTN72L13Z602B")</f>
        <v>LDRNTN72L13Z602B</v>
      </c>
      <c r="O478" s="3" t="s">
        <v>843</v>
      </c>
      <c r="P478" s="3" t="s">
        <v>35</v>
      </c>
      <c r="Q478" s="3" t="s">
        <v>759</v>
      </c>
      <c r="R478" s="4">
        <v>45933</v>
      </c>
      <c r="S478" s="3" t="s">
        <v>37</v>
      </c>
      <c r="T478" s="3" t="s">
        <v>38</v>
      </c>
      <c r="U478" s="3" t="s">
        <v>39</v>
      </c>
      <c r="V478" s="5">
        <v>1224.3499999999999</v>
      </c>
      <c r="W478" s="3">
        <v>498.31</v>
      </c>
      <c r="X478" s="3">
        <v>508.23</v>
      </c>
      <c r="Y478" s="3">
        <v>217.81</v>
      </c>
    </row>
    <row r="479" spans="1:25" ht="25.5" hidden="1" x14ac:dyDescent="0.35">
      <c r="A479" s="3" t="s">
        <v>26</v>
      </c>
      <c r="B479" s="3" t="s">
        <v>27</v>
      </c>
      <c r="C479" s="3" t="s">
        <v>40</v>
      </c>
      <c r="D479" s="3" t="s">
        <v>41</v>
      </c>
      <c r="E479" s="3" t="s">
        <v>844</v>
      </c>
      <c r="F479" s="3" t="s">
        <v>43</v>
      </c>
      <c r="G479" s="3" t="s">
        <v>844</v>
      </c>
      <c r="H479" s="3" t="s">
        <v>64</v>
      </c>
      <c r="I479" s="3">
        <v>2024</v>
      </c>
      <c r="J479" s="3" t="str">
        <f>CONCATENATE("44820237624")</f>
        <v>44820237624</v>
      </c>
      <c r="K479" s="3" t="s">
        <v>33</v>
      </c>
      <c r="L479" s="3" t="str">
        <f t="shared" si="28"/>
        <v/>
      </c>
      <c r="M479" s="3" t="str">
        <f t="shared" si="30"/>
        <v>SRB01</v>
      </c>
      <c r="N479" s="3" t="str">
        <f>CONCATENATE("08468831006")</f>
        <v>08468831006</v>
      </c>
      <c r="O479" s="3" t="s">
        <v>845</v>
      </c>
      <c r="P479" s="3" t="s">
        <v>35</v>
      </c>
      <c r="Q479" s="3" t="s">
        <v>759</v>
      </c>
      <c r="R479" s="4">
        <v>45933</v>
      </c>
      <c r="S479" s="3" t="s">
        <v>37</v>
      </c>
      <c r="T479" s="3" t="s">
        <v>38</v>
      </c>
      <c r="U479" s="3" t="s">
        <v>39</v>
      </c>
      <c r="V479" s="5">
        <v>5667.2</v>
      </c>
      <c r="W479" s="5">
        <v>2306.5500000000002</v>
      </c>
      <c r="X479" s="5">
        <v>2352.4499999999998</v>
      </c>
      <c r="Y479" s="5">
        <v>1008.2</v>
      </c>
    </row>
    <row r="480" spans="1:25" ht="41.5" hidden="1" x14ac:dyDescent="0.35">
      <c r="A480" s="3" t="s">
        <v>26</v>
      </c>
      <c r="B480" s="3" t="s">
        <v>27</v>
      </c>
      <c r="C480" s="3" t="s">
        <v>40</v>
      </c>
      <c r="D480" s="3" t="s">
        <v>41</v>
      </c>
      <c r="E480" s="3" t="s">
        <v>761</v>
      </c>
      <c r="F480" s="3" t="s">
        <v>43</v>
      </c>
      <c r="G480" s="3" t="s">
        <v>761</v>
      </c>
      <c r="H480" s="3" t="s">
        <v>44</v>
      </c>
      <c r="I480" s="3">
        <v>2024</v>
      </c>
      <c r="J480" s="3" t="str">
        <f>CONCATENATE("44820119905")</f>
        <v>44820119905</v>
      </c>
      <c r="K480" s="3" t="s">
        <v>33</v>
      </c>
      <c r="L480" s="3" t="str">
        <f t="shared" si="28"/>
        <v/>
      </c>
      <c r="M480" s="3" t="str">
        <f t="shared" si="30"/>
        <v>SRB01</v>
      </c>
      <c r="N480" s="3" t="str">
        <f>CONCATENATE("MRNNGL58A66A258K")</f>
        <v>MRNNGL58A66A258K</v>
      </c>
      <c r="O480" s="3" t="s">
        <v>846</v>
      </c>
      <c r="P480" s="3" t="s">
        <v>35</v>
      </c>
      <c r="Q480" s="3" t="s">
        <v>759</v>
      </c>
      <c r="R480" s="4">
        <v>45933</v>
      </c>
      <c r="S480" s="3" t="s">
        <v>37</v>
      </c>
      <c r="T480" s="3" t="s">
        <v>38</v>
      </c>
      <c r="U480" s="3" t="s">
        <v>39</v>
      </c>
      <c r="V480" s="3">
        <v>15.12</v>
      </c>
      <c r="W480" s="3">
        <v>6.15</v>
      </c>
      <c r="X480" s="3">
        <v>6.28</v>
      </c>
      <c r="Y480" s="3">
        <v>2.69</v>
      </c>
    </row>
    <row r="481" spans="1:25" ht="41.5" hidden="1" x14ac:dyDescent="0.35">
      <c r="A481" s="3" t="s">
        <v>26</v>
      </c>
      <c r="B481" s="3" t="s">
        <v>27</v>
      </c>
      <c r="C481" s="3" t="s">
        <v>40</v>
      </c>
      <c r="D481" s="3" t="s">
        <v>29</v>
      </c>
      <c r="E481" s="3" t="s">
        <v>847</v>
      </c>
      <c r="F481" s="3" t="s">
        <v>31</v>
      </c>
      <c r="G481" s="3" t="s">
        <v>847</v>
      </c>
      <c r="H481" s="3" t="s">
        <v>44</v>
      </c>
      <c r="I481" s="3">
        <v>2024</v>
      </c>
      <c r="J481" s="3" t="str">
        <f>CONCATENATE("44820043915")</f>
        <v>44820043915</v>
      </c>
      <c r="K481" s="3" t="s">
        <v>33</v>
      </c>
      <c r="L481" s="3" t="str">
        <f t="shared" si="28"/>
        <v/>
      </c>
      <c r="M481" s="3" t="str">
        <f t="shared" si="30"/>
        <v>SRB01</v>
      </c>
      <c r="N481" s="3" t="str">
        <f>CONCATENATE("MRTLCN70C25H282K")</f>
        <v>MRTLCN70C25H282K</v>
      </c>
      <c r="O481" s="3" t="s">
        <v>848</v>
      </c>
      <c r="P481" s="3" t="s">
        <v>35</v>
      </c>
      <c r="Q481" s="3" t="s">
        <v>759</v>
      </c>
      <c r="R481" s="4">
        <v>45933</v>
      </c>
      <c r="S481" s="3" t="s">
        <v>37</v>
      </c>
      <c r="T481" s="3" t="s">
        <v>38</v>
      </c>
      <c r="U481" s="3" t="s">
        <v>39</v>
      </c>
      <c r="V481" s="3">
        <v>668.4</v>
      </c>
      <c r="W481" s="3">
        <v>272.04000000000002</v>
      </c>
      <c r="X481" s="3">
        <v>277.45</v>
      </c>
      <c r="Y481" s="3">
        <v>118.91</v>
      </c>
    </row>
    <row r="482" spans="1:25" ht="41.5" hidden="1" x14ac:dyDescent="0.35">
      <c r="A482" s="3" t="s">
        <v>26</v>
      </c>
      <c r="B482" s="3" t="s">
        <v>27</v>
      </c>
      <c r="C482" s="3" t="s">
        <v>40</v>
      </c>
      <c r="D482" s="3" t="s">
        <v>51</v>
      </c>
      <c r="E482" s="3" t="s">
        <v>52</v>
      </c>
      <c r="F482" s="3" t="s">
        <v>51</v>
      </c>
      <c r="G482" s="3" t="s">
        <v>52</v>
      </c>
      <c r="H482" s="3" t="s">
        <v>44</v>
      </c>
      <c r="I482" s="3">
        <v>2024</v>
      </c>
      <c r="J482" s="3" t="str">
        <f>CONCATENATE("44820101200")</f>
        <v>44820101200</v>
      </c>
      <c r="K482" s="3" t="s">
        <v>33</v>
      </c>
      <c r="L482" s="3" t="str">
        <f t="shared" si="28"/>
        <v/>
      </c>
      <c r="M482" s="3" t="str">
        <f t="shared" si="30"/>
        <v>SRB01</v>
      </c>
      <c r="N482" s="3" t="str">
        <f>CONCATENATE("MRZMLN73E26H501X")</f>
        <v>MRZMLN73E26H501X</v>
      </c>
      <c r="O482" s="3" t="s">
        <v>849</v>
      </c>
      <c r="P482" s="3" t="s">
        <v>35</v>
      </c>
      <c r="Q482" s="3" t="s">
        <v>759</v>
      </c>
      <c r="R482" s="4">
        <v>45933</v>
      </c>
      <c r="S482" s="3" t="s">
        <v>37</v>
      </c>
      <c r="T482" s="3" t="s">
        <v>38</v>
      </c>
      <c r="U482" s="3" t="s">
        <v>39</v>
      </c>
      <c r="V482" s="3">
        <v>96.42</v>
      </c>
      <c r="W482" s="3">
        <v>39.24</v>
      </c>
      <c r="X482" s="3">
        <v>40.020000000000003</v>
      </c>
      <c r="Y482" s="3">
        <v>17.16</v>
      </c>
    </row>
    <row r="483" spans="1:25" ht="41.5" hidden="1" x14ac:dyDescent="0.35">
      <c r="A483" s="3" t="s">
        <v>26</v>
      </c>
      <c r="B483" s="3" t="s">
        <v>27</v>
      </c>
      <c r="C483" s="3" t="s">
        <v>40</v>
      </c>
      <c r="D483" s="3" t="s">
        <v>41</v>
      </c>
      <c r="E483" s="3" t="s">
        <v>67</v>
      </c>
      <c r="F483" s="3" t="s">
        <v>43</v>
      </c>
      <c r="G483" s="3" t="s">
        <v>67</v>
      </c>
      <c r="H483" s="3" t="s">
        <v>44</v>
      </c>
      <c r="I483" s="3">
        <v>2024</v>
      </c>
      <c r="J483" s="3" t="str">
        <f>CONCATENATE("44820175865")</f>
        <v>44820175865</v>
      </c>
      <c r="K483" s="3" t="s">
        <v>33</v>
      </c>
      <c r="L483" s="3" t="str">
        <f t="shared" si="28"/>
        <v/>
      </c>
      <c r="M483" s="3" t="str">
        <f t="shared" si="30"/>
        <v>SRB01</v>
      </c>
      <c r="N483" s="3" t="str">
        <f>CONCATENATE("MEIMNL59D43F619K")</f>
        <v>MEIMNL59D43F619K</v>
      </c>
      <c r="O483" s="3" t="s">
        <v>850</v>
      </c>
      <c r="P483" s="3" t="s">
        <v>35</v>
      </c>
      <c r="Q483" s="3" t="s">
        <v>759</v>
      </c>
      <c r="R483" s="4">
        <v>45933</v>
      </c>
      <c r="S483" s="3" t="s">
        <v>37</v>
      </c>
      <c r="T483" s="3" t="s">
        <v>38</v>
      </c>
      <c r="U483" s="3" t="s">
        <v>39</v>
      </c>
      <c r="V483" s="3">
        <v>11.27</v>
      </c>
      <c r="W483" s="3">
        <v>4.59</v>
      </c>
      <c r="X483" s="3">
        <v>4.68</v>
      </c>
      <c r="Y483" s="3">
        <v>2</v>
      </c>
    </row>
    <row r="484" spans="1:25" ht="41.5" hidden="1" x14ac:dyDescent="0.35">
      <c r="A484" s="3" t="s">
        <v>26</v>
      </c>
      <c r="B484" s="3" t="s">
        <v>27</v>
      </c>
      <c r="C484" s="3" t="s">
        <v>40</v>
      </c>
      <c r="D484" s="3" t="s">
        <v>41</v>
      </c>
      <c r="E484" s="3" t="s">
        <v>42</v>
      </c>
      <c r="F484" s="3" t="s">
        <v>43</v>
      </c>
      <c r="G484" s="3" t="s">
        <v>42</v>
      </c>
      <c r="H484" s="3" t="s">
        <v>44</v>
      </c>
      <c r="I484" s="3">
        <v>2024</v>
      </c>
      <c r="J484" s="3" t="str">
        <f>CONCATENATE("44820160016")</f>
        <v>44820160016</v>
      </c>
      <c r="K484" s="3" t="s">
        <v>33</v>
      </c>
      <c r="L484" s="3" t="str">
        <f t="shared" si="28"/>
        <v/>
      </c>
      <c r="M484" s="3" t="str">
        <f t="shared" si="30"/>
        <v>SRB01</v>
      </c>
      <c r="N484" s="3" t="str">
        <f>CONCATENATE("MRGGRL53C45C426L")</f>
        <v>MRGGRL53C45C426L</v>
      </c>
      <c r="O484" s="3" t="s">
        <v>851</v>
      </c>
      <c r="P484" s="3" t="s">
        <v>35</v>
      </c>
      <c r="Q484" s="3" t="s">
        <v>759</v>
      </c>
      <c r="R484" s="4">
        <v>45933</v>
      </c>
      <c r="S484" s="3" t="s">
        <v>37</v>
      </c>
      <c r="T484" s="3" t="s">
        <v>38</v>
      </c>
      <c r="U484" s="3" t="s">
        <v>39</v>
      </c>
      <c r="V484" s="3">
        <v>985.68</v>
      </c>
      <c r="W484" s="3">
        <v>401.17</v>
      </c>
      <c r="X484" s="3">
        <v>409.16</v>
      </c>
      <c r="Y484" s="3">
        <v>175.35</v>
      </c>
    </row>
    <row r="485" spans="1:25" ht="41.5" hidden="1" x14ac:dyDescent="0.35">
      <c r="A485" s="3" t="s">
        <v>26</v>
      </c>
      <c r="B485" s="3" t="s">
        <v>27</v>
      </c>
      <c r="C485" s="3" t="s">
        <v>40</v>
      </c>
      <c r="D485" s="3" t="s">
        <v>180</v>
      </c>
      <c r="E485" s="3" t="s">
        <v>839</v>
      </c>
      <c r="F485" s="3" t="s">
        <v>85</v>
      </c>
      <c r="G485" s="3" t="s">
        <v>839</v>
      </c>
      <c r="H485" s="3" t="s">
        <v>44</v>
      </c>
      <c r="I485" s="3">
        <v>2024</v>
      </c>
      <c r="J485" s="3" t="str">
        <f>CONCATENATE("44820155073")</f>
        <v>44820155073</v>
      </c>
      <c r="K485" s="3" t="s">
        <v>33</v>
      </c>
      <c r="L485" s="3" t="str">
        <f t="shared" si="28"/>
        <v/>
      </c>
      <c r="M485" s="3" t="str">
        <f t="shared" si="30"/>
        <v>SRB01</v>
      </c>
      <c r="N485" s="3" t="str">
        <f>CONCATENATE("PNCDRN45H44H282K")</f>
        <v>PNCDRN45H44H282K</v>
      </c>
      <c r="O485" s="3" t="s">
        <v>852</v>
      </c>
      <c r="P485" s="3" t="s">
        <v>35</v>
      </c>
      <c r="Q485" s="3" t="s">
        <v>759</v>
      </c>
      <c r="R485" s="4">
        <v>45933</v>
      </c>
      <c r="S485" s="3" t="s">
        <v>37</v>
      </c>
      <c r="T485" s="3" t="s">
        <v>38</v>
      </c>
      <c r="U485" s="3" t="s">
        <v>39</v>
      </c>
      <c r="V485" s="3">
        <v>2.0699999999999998</v>
      </c>
      <c r="W485" s="3">
        <v>0.84</v>
      </c>
      <c r="X485" s="3">
        <v>0.86</v>
      </c>
      <c r="Y485" s="3">
        <v>0.37</v>
      </c>
    </row>
    <row r="486" spans="1:25" ht="41.5" hidden="1" x14ac:dyDescent="0.35">
      <c r="A486" s="3" t="s">
        <v>26</v>
      </c>
      <c r="B486" s="3" t="s">
        <v>27</v>
      </c>
      <c r="C486" s="3" t="s">
        <v>40</v>
      </c>
      <c r="D486" s="3" t="s">
        <v>61</v>
      </c>
      <c r="E486" s="3" t="s">
        <v>829</v>
      </c>
      <c r="F486" s="3" t="s">
        <v>63</v>
      </c>
      <c r="G486" s="3" t="s">
        <v>829</v>
      </c>
      <c r="H486" s="3" t="s">
        <v>44</v>
      </c>
      <c r="I486" s="3">
        <v>2024</v>
      </c>
      <c r="J486" s="3" t="str">
        <f>CONCATENATE("44820259735")</f>
        <v>44820259735</v>
      </c>
      <c r="K486" s="3" t="s">
        <v>33</v>
      </c>
      <c r="L486" s="3" t="str">
        <f t="shared" si="28"/>
        <v/>
      </c>
      <c r="M486" s="3" t="str">
        <f t="shared" si="30"/>
        <v>SRB01</v>
      </c>
      <c r="N486" s="3" t="str">
        <f>CONCATENATE("PNNTTL78A21H282D")</f>
        <v>PNNTTL78A21H282D</v>
      </c>
      <c r="O486" s="3" t="s">
        <v>853</v>
      </c>
      <c r="P486" s="3" t="s">
        <v>35</v>
      </c>
      <c r="Q486" s="3" t="s">
        <v>759</v>
      </c>
      <c r="R486" s="4">
        <v>45933</v>
      </c>
      <c r="S486" s="3" t="s">
        <v>37</v>
      </c>
      <c r="T486" s="3" t="s">
        <v>38</v>
      </c>
      <c r="U486" s="3" t="s">
        <v>39</v>
      </c>
      <c r="V486" s="5">
        <v>1862.38</v>
      </c>
      <c r="W486" s="3">
        <v>757.99</v>
      </c>
      <c r="X486" s="3">
        <v>773.07</v>
      </c>
      <c r="Y486" s="3">
        <v>331.32</v>
      </c>
    </row>
    <row r="487" spans="1:25" ht="41.5" hidden="1" x14ac:dyDescent="0.35">
      <c r="A487" s="3" t="s">
        <v>26</v>
      </c>
      <c r="B487" s="3" t="s">
        <v>27</v>
      </c>
      <c r="C487" s="3" t="s">
        <v>40</v>
      </c>
      <c r="D487" s="3" t="s">
        <v>41</v>
      </c>
      <c r="E487" s="3" t="s">
        <v>42</v>
      </c>
      <c r="F487" s="3" t="s">
        <v>43</v>
      </c>
      <c r="G487" s="3" t="s">
        <v>42</v>
      </c>
      <c r="H487" s="3" t="s">
        <v>44</v>
      </c>
      <c r="I487" s="3">
        <v>2024</v>
      </c>
      <c r="J487" s="3" t="str">
        <f>CONCATENATE("44820474482")</f>
        <v>44820474482</v>
      </c>
      <c r="K487" s="3" t="s">
        <v>33</v>
      </c>
      <c r="L487" s="3" t="str">
        <f t="shared" si="28"/>
        <v/>
      </c>
      <c r="M487" s="3" t="str">
        <f t="shared" si="30"/>
        <v>SRB01</v>
      </c>
      <c r="N487" s="3" t="str">
        <f>CONCATENATE("RSTVNZ80L25A258R")</f>
        <v>RSTVNZ80L25A258R</v>
      </c>
      <c r="O487" s="3" t="s">
        <v>854</v>
      </c>
      <c r="P487" s="3" t="s">
        <v>35</v>
      </c>
      <c r="Q487" s="3" t="s">
        <v>759</v>
      </c>
      <c r="R487" s="4">
        <v>45933</v>
      </c>
      <c r="S487" s="3" t="s">
        <v>37</v>
      </c>
      <c r="T487" s="3" t="s">
        <v>38</v>
      </c>
      <c r="U487" s="3" t="s">
        <v>39</v>
      </c>
      <c r="V487" s="3">
        <v>232.85</v>
      </c>
      <c r="W487" s="3">
        <v>94.77</v>
      </c>
      <c r="X487" s="3">
        <v>96.66</v>
      </c>
      <c r="Y487" s="3">
        <v>41.42</v>
      </c>
    </row>
    <row r="488" spans="1:25" ht="41.5" hidden="1" x14ac:dyDescent="0.35">
      <c r="A488" s="3" t="s">
        <v>26</v>
      </c>
      <c r="B488" s="3" t="s">
        <v>27</v>
      </c>
      <c r="C488" s="3" t="s">
        <v>40</v>
      </c>
      <c r="D488" s="3" t="s">
        <v>164</v>
      </c>
      <c r="E488" s="3" t="s">
        <v>855</v>
      </c>
      <c r="F488" s="3" t="s">
        <v>166</v>
      </c>
      <c r="G488" s="3" t="s">
        <v>855</v>
      </c>
      <c r="H488" s="3" t="s">
        <v>64</v>
      </c>
      <c r="I488" s="3">
        <v>2024</v>
      </c>
      <c r="J488" s="3" t="str">
        <f>CONCATENATE("44820570420")</f>
        <v>44820570420</v>
      </c>
      <c r="K488" s="3" t="s">
        <v>33</v>
      </c>
      <c r="L488" s="3" t="str">
        <f t="shared" si="28"/>
        <v/>
      </c>
      <c r="M488" s="3" t="str">
        <f t="shared" si="30"/>
        <v>SRB01</v>
      </c>
      <c r="N488" s="3" t="str">
        <f>CONCATENATE("RSSDNL73L53C858X")</f>
        <v>RSSDNL73L53C858X</v>
      </c>
      <c r="O488" s="3" t="s">
        <v>856</v>
      </c>
      <c r="P488" s="3" t="s">
        <v>35</v>
      </c>
      <c r="Q488" s="3" t="s">
        <v>759</v>
      </c>
      <c r="R488" s="4">
        <v>45933</v>
      </c>
      <c r="S488" s="3" t="s">
        <v>37</v>
      </c>
      <c r="T488" s="3" t="s">
        <v>38</v>
      </c>
      <c r="U488" s="3" t="s">
        <v>39</v>
      </c>
      <c r="V488" s="5">
        <v>1460.85</v>
      </c>
      <c r="W488" s="3">
        <v>594.57000000000005</v>
      </c>
      <c r="X488" s="3">
        <v>606.4</v>
      </c>
      <c r="Y488" s="3">
        <v>259.88</v>
      </c>
    </row>
    <row r="489" spans="1:25" ht="41.5" hidden="1" x14ac:dyDescent="0.35">
      <c r="A489" s="3" t="s">
        <v>26</v>
      </c>
      <c r="B489" s="3" t="s">
        <v>27</v>
      </c>
      <c r="C489" s="3" t="s">
        <v>40</v>
      </c>
      <c r="D489" s="3" t="s">
        <v>51</v>
      </c>
      <c r="E489" s="3" t="s">
        <v>52</v>
      </c>
      <c r="F489" s="3" t="s">
        <v>51</v>
      </c>
      <c r="G489" s="3" t="s">
        <v>52</v>
      </c>
      <c r="H489" s="3" t="s">
        <v>44</v>
      </c>
      <c r="I489" s="3">
        <v>2024</v>
      </c>
      <c r="J489" s="3" t="str">
        <f>CONCATENATE("44820629077")</f>
        <v>44820629077</v>
      </c>
      <c r="K489" s="3" t="s">
        <v>33</v>
      </c>
      <c r="L489" s="3" t="str">
        <f t="shared" si="28"/>
        <v/>
      </c>
      <c r="M489" s="3" t="str">
        <f t="shared" si="30"/>
        <v>SRB01</v>
      </c>
      <c r="N489" s="3" t="str">
        <f>CONCATENATE("RSSGLI96P52H282R")</f>
        <v>RSSGLI96P52H282R</v>
      </c>
      <c r="O489" s="3" t="s">
        <v>857</v>
      </c>
      <c r="P489" s="3" t="s">
        <v>35</v>
      </c>
      <c r="Q489" s="3" t="s">
        <v>759</v>
      </c>
      <c r="R489" s="4">
        <v>45933</v>
      </c>
      <c r="S489" s="3" t="s">
        <v>37</v>
      </c>
      <c r="T489" s="3" t="s">
        <v>38</v>
      </c>
      <c r="U489" s="3" t="s">
        <v>39</v>
      </c>
      <c r="V489" s="3">
        <v>61.85</v>
      </c>
      <c r="W489" s="3">
        <v>25.17</v>
      </c>
      <c r="X489" s="3">
        <v>25.67</v>
      </c>
      <c r="Y489" s="3">
        <v>11.01</v>
      </c>
    </row>
    <row r="490" spans="1:25" ht="41.5" hidden="1" x14ac:dyDescent="0.35">
      <c r="A490" s="3" t="s">
        <v>26</v>
      </c>
      <c r="B490" s="3" t="s">
        <v>27</v>
      </c>
      <c r="C490" s="3" t="s">
        <v>40</v>
      </c>
      <c r="D490" s="3" t="s">
        <v>107</v>
      </c>
      <c r="E490" s="3" t="s">
        <v>841</v>
      </c>
      <c r="F490" s="3" t="s">
        <v>115</v>
      </c>
      <c r="G490" s="3" t="s">
        <v>841</v>
      </c>
      <c r="H490" s="3" t="s">
        <v>44</v>
      </c>
      <c r="I490" s="3">
        <v>2024</v>
      </c>
      <c r="J490" s="3" t="str">
        <f>CONCATENATE("44820477535")</f>
        <v>44820477535</v>
      </c>
      <c r="K490" s="3" t="s">
        <v>33</v>
      </c>
      <c r="L490" s="3" t="str">
        <f t="shared" si="28"/>
        <v/>
      </c>
      <c r="M490" s="3" t="str">
        <f t="shared" si="30"/>
        <v>SRB01</v>
      </c>
      <c r="N490" s="3" t="str">
        <f>CONCATENATE("SNSZEI54A19F541L")</f>
        <v>SNSZEI54A19F541L</v>
      </c>
      <c r="O490" s="3" t="s">
        <v>858</v>
      </c>
      <c r="P490" s="3" t="s">
        <v>35</v>
      </c>
      <c r="Q490" s="3" t="s">
        <v>759</v>
      </c>
      <c r="R490" s="4">
        <v>45933</v>
      </c>
      <c r="S490" s="3" t="s">
        <v>37</v>
      </c>
      <c r="T490" s="3" t="s">
        <v>38</v>
      </c>
      <c r="U490" s="3" t="s">
        <v>39</v>
      </c>
      <c r="V490" s="3">
        <v>67.08</v>
      </c>
      <c r="W490" s="3">
        <v>27.3</v>
      </c>
      <c r="X490" s="3">
        <v>27.84</v>
      </c>
      <c r="Y490" s="3">
        <v>11.94</v>
      </c>
    </row>
    <row r="491" spans="1:25" ht="41.5" hidden="1" x14ac:dyDescent="0.35">
      <c r="A491" s="3" t="s">
        <v>26</v>
      </c>
      <c r="B491" s="3" t="s">
        <v>27</v>
      </c>
      <c r="C491" s="3" t="s">
        <v>40</v>
      </c>
      <c r="D491" s="3" t="s">
        <v>61</v>
      </c>
      <c r="E491" s="3" t="s">
        <v>829</v>
      </c>
      <c r="F491" s="3" t="s">
        <v>63</v>
      </c>
      <c r="G491" s="3" t="s">
        <v>829</v>
      </c>
      <c r="H491" s="3" t="s">
        <v>44</v>
      </c>
      <c r="I491" s="3">
        <v>2024</v>
      </c>
      <c r="J491" s="3" t="str">
        <f>CONCATENATE("44820261145")</f>
        <v>44820261145</v>
      </c>
      <c r="K491" s="3" t="s">
        <v>33</v>
      </c>
      <c r="L491" s="3" t="str">
        <f t="shared" si="28"/>
        <v/>
      </c>
      <c r="M491" s="3" t="str">
        <f t="shared" si="30"/>
        <v>SRB01</v>
      </c>
      <c r="N491" s="3" t="str">
        <f>CONCATENATE("SNTVCN88S09H282H")</f>
        <v>SNTVCN88S09H282H</v>
      </c>
      <c r="O491" s="3" t="s">
        <v>859</v>
      </c>
      <c r="P491" s="3" t="s">
        <v>35</v>
      </c>
      <c r="Q491" s="3" t="s">
        <v>759</v>
      </c>
      <c r="R491" s="4">
        <v>45933</v>
      </c>
      <c r="S491" s="3" t="s">
        <v>37</v>
      </c>
      <c r="T491" s="3" t="s">
        <v>38</v>
      </c>
      <c r="U491" s="3" t="s">
        <v>39</v>
      </c>
      <c r="V491" s="3">
        <v>58</v>
      </c>
      <c r="W491" s="3">
        <v>23.61</v>
      </c>
      <c r="X491" s="3">
        <v>24.08</v>
      </c>
      <c r="Y491" s="3">
        <v>10.31</v>
      </c>
    </row>
    <row r="492" spans="1:25" ht="41.5" hidden="1" x14ac:dyDescent="0.35">
      <c r="A492" s="3" t="s">
        <v>26</v>
      </c>
      <c r="B492" s="3" t="s">
        <v>27</v>
      </c>
      <c r="C492" s="3" t="s">
        <v>40</v>
      </c>
      <c r="D492" s="3" t="s">
        <v>41</v>
      </c>
      <c r="E492" s="3" t="s">
        <v>42</v>
      </c>
      <c r="F492" s="3" t="s">
        <v>43</v>
      </c>
      <c r="G492" s="3" t="s">
        <v>42</v>
      </c>
      <c r="H492" s="3" t="s">
        <v>44</v>
      </c>
      <c r="I492" s="3">
        <v>2024</v>
      </c>
      <c r="J492" s="3" t="str">
        <f>CONCATENATE("44820094082")</f>
        <v>44820094082</v>
      </c>
      <c r="K492" s="3" t="s">
        <v>33</v>
      </c>
      <c r="L492" s="3" t="str">
        <f t="shared" si="28"/>
        <v/>
      </c>
      <c r="M492" s="3" t="str">
        <f t="shared" si="30"/>
        <v>SRB01</v>
      </c>
      <c r="N492" s="3" t="str">
        <f>CONCATENATE("SNTLRT60T06B008M")</f>
        <v>SNTLRT60T06B008M</v>
      </c>
      <c r="O492" s="3" t="s">
        <v>860</v>
      </c>
      <c r="P492" s="3" t="s">
        <v>35</v>
      </c>
      <c r="Q492" s="3" t="s">
        <v>759</v>
      </c>
      <c r="R492" s="4">
        <v>45933</v>
      </c>
      <c r="S492" s="3" t="s">
        <v>37</v>
      </c>
      <c r="T492" s="3" t="s">
        <v>38</v>
      </c>
      <c r="U492" s="3" t="s">
        <v>39</v>
      </c>
      <c r="V492" s="3">
        <v>61.59</v>
      </c>
      <c r="W492" s="3">
        <v>25.07</v>
      </c>
      <c r="X492" s="3">
        <v>25.57</v>
      </c>
      <c r="Y492" s="3">
        <v>10.95</v>
      </c>
    </row>
    <row r="493" spans="1:25" ht="41.5" hidden="1" x14ac:dyDescent="0.35">
      <c r="A493" s="3" t="s">
        <v>26</v>
      </c>
      <c r="B493" s="3" t="s">
        <v>27</v>
      </c>
      <c r="C493" s="3" t="s">
        <v>40</v>
      </c>
      <c r="D493" s="3" t="s">
        <v>61</v>
      </c>
      <c r="E493" s="3" t="s">
        <v>829</v>
      </c>
      <c r="F493" s="3" t="s">
        <v>63</v>
      </c>
      <c r="G493" s="3" t="s">
        <v>829</v>
      </c>
      <c r="H493" s="3" t="s">
        <v>44</v>
      </c>
      <c r="I493" s="3">
        <v>2024</v>
      </c>
      <c r="J493" s="3" t="str">
        <f>CONCATENATE("44820292603")</f>
        <v>44820292603</v>
      </c>
      <c r="K493" s="3" t="s">
        <v>33</v>
      </c>
      <c r="L493" s="3" t="str">
        <f t="shared" si="28"/>
        <v/>
      </c>
      <c r="M493" s="3" t="str">
        <f t="shared" si="30"/>
        <v>SRB01</v>
      </c>
      <c r="N493" s="3" t="str">
        <f>CONCATENATE("SMNFNN55P43D761K")</f>
        <v>SMNFNN55P43D761K</v>
      </c>
      <c r="O493" s="3" t="s">
        <v>861</v>
      </c>
      <c r="P493" s="3" t="s">
        <v>35</v>
      </c>
      <c r="Q493" s="3" t="s">
        <v>759</v>
      </c>
      <c r="R493" s="4">
        <v>45933</v>
      </c>
      <c r="S493" s="3" t="s">
        <v>37</v>
      </c>
      <c r="T493" s="3" t="s">
        <v>38</v>
      </c>
      <c r="U493" s="3" t="s">
        <v>39</v>
      </c>
      <c r="V493" s="3">
        <v>19.690000000000001</v>
      </c>
      <c r="W493" s="3">
        <v>8.01</v>
      </c>
      <c r="X493" s="3">
        <v>8.17</v>
      </c>
      <c r="Y493" s="3">
        <v>3.51</v>
      </c>
    </row>
    <row r="494" spans="1:25" ht="41.5" hidden="1" x14ac:dyDescent="0.35">
      <c r="A494" s="3" t="s">
        <v>26</v>
      </c>
      <c r="B494" s="3" t="s">
        <v>27</v>
      </c>
      <c r="C494" s="3" t="s">
        <v>40</v>
      </c>
      <c r="D494" s="3" t="s">
        <v>51</v>
      </c>
      <c r="E494" s="3" t="s">
        <v>52</v>
      </c>
      <c r="F494" s="3" t="s">
        <v>51</v>
      </c>
      <c r="G494" s="3" t="s">
        <v>52</v>
      </c>
      <c r="H494" s="3" t="s">
        <v>44</v>
      </c>
      <c r="I494" s="3">
        <v>2024</v>
      </c>
      <c r="J494" s="3" t="str">
        <f>CONCATENATE("44820476107")</f>
        <v>44820476107</v>
      </c>
      <c r="K494" s="3" t="s">
        <v>33</v>
      </c>
      <c r="L494" s="3" t="str">
        <f t="shared" si="28"/>
        <v/>
      </c>
      <c r="M494" s="3" t="str">
        <f t="shared" si="30"/>
        <v>SRB01</v>
      </c>
      <c r="N494" s="3" t="str">
        <f>CONCATENATE("TMSCHR88E70H282N")</f>
        <v>TMSCHR88E70H282N</v>
      </c>
      <c r="O494" s="3" t="s">
        <v>862</v>
      </c>
      <c r="P494" s="3" t="s">
        <v>35</v>
      </c>
      <c r="Q494" s="3" t="s">
        <v>759</v>
      </c>
      <c r="R494" s="4">
        <v>45933</v>
      </c>
      <c r="S494" s="3" t="s">
        <v>37</v>
      </c>
      <c r="T494" s="3" t="s">
        <v>38</v>
      </c>
      <c r="U494" s="3" t="s">
        <v>39</v>
      </c>
      <c r="V494" s="5">
        <v>1175.9100000000001</v>
      </c>
      <c r="W494" s="3">
        <v>478.6</v>
      </c>
      <c r="X494" s="3">
        <v>488.12</v>
      </c>
      <c r="Y494" s="3">
        <v>209.19</v>
      </c>
    </row>
    <row r="495" spans="1:25" ht="25.5" hidden="1" x14ac:dyDescent="0.35">
      <c r="A495" s="3" t="s">
        <v>26</v>
      </c>
      <c r="B495" s="3" t="s">
        <v>27</v>
      </c>
      <c r="C495" s="3" t="s">
        <v>90</v>
      </c>
      <c r="D495" s="3" t="s">
        <v>41</v>
      </c>
      <c r="E495" s="3" t="s">
        <v>863</v>
      </c>
      <c r="F495" s="3" t="s">
        <v>43</v>
      </c>
      <c r="G495" s="3" t="s">
        <v>863</v>
      </c>
      <c r="H495" s="3" t="s">
        <v>102</v>
      </c>
      <c r="I495" s="3">
        <v>2024</v>
      </c>
      <c r="J495" s="3" t="str">
        <f>CONCATENATE("44820063483")</f>
        <v>44820063483</v>
      </c>
      <c r="K495" s="3" t="s">
        <v>33</v>
      </c>
      <c r="L495" s="3" t="str">
        <f t="shared" si="28"/>
        <v/>
      </c>
      <c r="M495" s="3" t="str">
        <f>CONCATENATE("SRB02")</f>
        <v>SRB02</v>
      </c>
      <c r="N495" s="3" t="str">
        <f>CONCATENATE("01429120882")</f>
        <v>01429120882</v>
      </c>
      <c r="O495" s="3" t="s">
        <v>864</v>
      </c>
      <c r="P495" s="3" t="s">
        <v>35</v>
      </c>
      <c r="Q495" s="3" t="s">
        <v>865</v>
      </c>
      <c r="R495" s="4">
        <v>45915</v>
      </c>
      <c r="S495" s="3" t="s">
        <v>37</v>
      </c>
      <c r="T495" s="3" t="s">
        <v>38</v>
      </c>
      <c r="U495" s="3" t="s">
        <v>39</v>
      </c>
      <c r="V495" s="3">
        <v>804.8</v>
      </c>
      <c r="W495" s="3">
        <v>406.42</v>
      </c>
      <c r="X495" s="3">
        <v>278.86</v>
      </c>
      <c r="Y495" s="3">
        <v>119.52</v>
      </c>
    </row>
    <row r="496" spans="1:25" ht="41.5" hidden="1" x14ac:dyDescent="0.35">
      <c r="A496" s="3" t="s">
        <v>26</v>
      </c>
      <c r="B496" s="3" t="s">
        <v>27</v>
      </c>
      <c r="C496" s="3" t="s">
        <v>28</v>
      </c>
      <c r="D496" s="3" t="s">
        <v>164</v>
      </c>
      <c r="E496" s="3" t="s">
        <v>165</v>
      </c>
      <c r="F496" s="3" t="s">
        <v>166</v>
      </c>
      <c r="G496" s="3" t="s">
        <v>165</v>
      </c>
      <c r="H496" s="3" t="s">
        <v>866</v>
      </c>
      <c r="I496" s="3">
        <v>2024</v>
      </c>
      <c r="J496" s="3" t="str">
        <f>CONCATENATE("44811274875")</f>
        <v>44811274875</v>
      </c>
      <c r="K496" s="3" t="s">
        <v>33</v>
      </c>
      <c r="L496" s="3" t="str">
        <f t="shared" si="28"/>
        <v/>
      </c>
      <c r="M496" s="3" t="str">
        <f>CONCATENATE("SRA29")</f>
        <v>SRA29</v>
      </c>
      <c r="N496" s="3" t="str">
        <f>CONCATENATE("RDOFNC93R14H096T")</f>
        <v>RDOFNC93R14H096T</v>
      </c>
      <c r="O496" s="3" t="s">
        <v>867</v>
      </c>
      <c r="P496" s="3" t="s">
        <v>35</v>
      </c>
      <c r="Q496" s="3" t="s">
        <v>868</v>
      </c>
      <c r="R496" s="4">
        <v>45926</v>
      </c>
      <c r="S496" s="3" t="s">
        <v>37</v>
      </c>
      <c r="T496" s="3" t="s">
        <v>38</v>
      </c>
      <c r="U496" s="3" t="s">
        <v>39</v>
      </c>
      <c r="V496" s="5">
        <v>3770.69</v>
      </c>
      <c r="W496" s="5">
        <v>1904.2</v>
      </c>
      <c r="X496" s="5">
        <v>1306.54</v>
      </c>
      <c r="Y496" s="3">
        <v>559.95000000000005</v>
      </c>
    </row>
    <row r="497" spans="1:25" ht="25.5" hidden="1" x14ac:dyDescent="0.35">
      <c r="A497" s="3" t="s">
        <v>26</v>
      </c>
      <c r="B497" s="3" t="s">
        <v>27</v>
      </c>
      <c r="C497" s="3" t="s">
        <v>28</v>
      </c>
      <c r="D497" s="3" t="s">
        <v>41</v>
      </c>
      <c r="E497" s="3" t="s">
        <v>869</v>
      </c>
      <c r="F497" s="3" t="s">
        <v>43</v>
      </c>
      <c r="G497" s="3" t="s">
        <v>869</v>
      </c>
      <c r="H497" s="3" t="s">
        <v>866</v>
      </c>
      <c r="I497" s="3">
        <v>2024</v>
      </c>
      <c r="J497" s="3" t="str">
        <f>CONCATENATE("44810199909")</f>
        <v>44810199909</v>
      </c>
      <c r="K497" s="3" t="s">
        <v>33</v>
      </c>
      <c r="L497" s="3" t="str">
        <f t="shared" si="28"/>
        <v/>
      </c>
      <c r="M497" s="3" t="str">
        <f>CONCATENATE("SRA29")</f>
        <v>SRA29</v>
      </c>
      <c r="N497" s="3" t="str">
        <f>CONCATENATE("02398730735")</f>
        <v>02398730735</v>
      </c>
      <c r="O497" s="3" t="s">
        <v>870</v>
      </c>
      <c r="P497" s="3" t="s">
        <v>35</v>
      </c>
      <c r="Q497" s="3" t="s">
        <v>868</v>
      </c>
      <c r="R497" s="4">
        <v>45926</v>
      </c>
      <c r="S497" s="3" t="s">
        <v>37</v>
      </c>
      <c r="T497" s="3" t="s">
        <v>38</v>
      </c>
      <c r="U497" s="3" t="s">
        <v>39</v>
      </c>
      <c r="V497" s="5">
        <v>26982.3</v>
      </c>
      <c r="W497" s="5">
        <v>13626.06</v>
      </c>
      <c r="X497" s="5">
        <v>9349.3700000000008</v>
      </c>
      <c r="Y497" s="5">
        <v>4006.87</v>
      </c>
    </row>
    <row r="498" spans="1:25" ht="49.5" hidden="1" x14ac:dyDescent="0.35">
      <c r="A498" s="3" t="s">
        <v>26</v>
      </c>
      <c r="B498" s="3" t="s">
        <v>27</v>
      </c>
      <c r="C498" s="3" t="s">
        <v>28</v>
      </c>
      <c r="D498" s="3" t="s">
        <v>107</v>
      </c>
      <c r="E498" s="3" t="s">
        <v>871</v>
      </c>
      <c r="F498" s="3" t="s">
        <v>115</v>
      </c>
      <c r="G498" s="3" t="s">
        <v>871</v>
      </c>
      <c r="H498" s="3" t="s">
        <v>866</v>
      </c>
      <c r="I498" s="3">
        <v>2024</v>
      </c>
      <c r="J498" s="3" t="str">
        <f>CONCATENATE("44810683951")</f>
        <v>44810683951</v>
      </c>
      <c r="K498" s="3" t="s">
        <v>33</v>
      </c>
      <c r="L498" s="3" t="str">
        <f t="shared" si="28"/>
        <v/>
      </c>
      <c r="M498" s="3" t="str">
        <f>CONCATENATE("SRA29")</f>
        <v>SRA29</v>
      </c>
      <c r="N498" s="3" t="str">
        <f>CONCATENATE("TRPNMR42C66H558H")</f>
        <v>TRPNMR42C66H558H</v>
      </c>
      <c r="O498" s="3" t="s">
        <v>872</v>
      </c>
      <c r="P498" s="3" t="s">
        <v>35</v>
      </c>
      <c r="Q498" s="3" t="s">
        <v>868</v>
      </c>
      <c r="R498" s="4">
        <v>45926</v>
      </c>
      <c r="S498" s="3" t="s">
        <v>37</v>
      </c>
      <c r="T498" s="3" t="s">
        <v>38</v>
      </c>
      <c r="U498" s="3" t="s">
        <v>39</v>
      </c>
      <c r="V498" s="5">
        <v>15402.04</v>
      </c>
      <c r="W498" s="5">
        <v>7778.03</v>
      </c>
      <c r="X498" s="5">
        <v>5336.81</v>
      </c>
      <c r="Y498" s="5">
        <v>2287.1999999999998</v>
      </c>
    </row>
    <row r="499" spans="1:25" ht="41.5" hidden="1" x14ac:dyDescent="0.35">
      <c r="A499" s="3" t="s">
        <v>26</v>
      </c>
      <c r="B499" s="3" t="s">
        <v>27</v>
      </c>
      <c r="C499" s="3" t="s">
        <v>90</v>
      </c>
      <c r="D499" s="3" t="s">
        <v>29</v>
      </c>
      <c r="E499" s="3" t="s">
        <v>275</v>
      </c>
      <c r="F499" s="3" t="s">
        <v>31</v>
      </c>
      <c r="G499" s="3" t="s">
        <v>275</v>
      </c>
      <c r="H499" s="3" t="s">
        <v>102</v>
      </c>
      <c r="I499" s="3">
        <v>2024</v>
      </c>
      <c r="J499" s="3" t="str">
        <f>CONCATENATE("44820037867")</f>
        <v>44820037867</v>
      </c>
      <c r="K499" s="3" t="s">
        <v>33</v>
      </c>
      <c r="L499" s="3" t="str">
        <f t="shared" si="28"/>
        <v/>
      </c>
      <c r="M499" s="3" t="str">
        <f>CONCATENATE("SRB02")</f>
        <v>SRB02</v>
      </c>
      <c r="N499" s="3" t="str">
        <f>CONCATENATE("PTRGNN62T49F258D")</f>
        <v>PTRGNN62T49F258D</v>
      </c>
      <c r="O499" s="3" t="s">
        <v>873</v>
      </c>
      <c r="P499" s="3" t="s">
        <v>35</v>
      </c>
      <c r="Q499" s="3" t="s">
        <v>865</v>
      </c>
      <c r="R499" s="4">
        <v>45915</v>
      </c>
      <c r="S499" s="3" t="s">
        <v>37</v>
      </c>
      <c r="T499" s="3" t="s">
        <v>38</v>
      </c>
      <c r="U499" s="3" t="s">
        <v>39</v>
      </c>
      <c r="V499" s="3">
        <v>753.41</v>
      </c>
      <c r="W499" s="3">
        <v>380.47</v>
      </c>
      <c r="X499" s="3">
        <v>261.06</v>
      </c>
      <c r="Y499" s="3">
        <v>111.88</v>
      </c>
    </row>
    <row r="500" spans="1:25" ht="33.5" hidden="1" x14ac:dyDescent="0.35">
      <c r="A500" s="3" t="s">
        <v>26</v>
      </c>
      <c r="B500" s="3" t="s">
        <v>27</v>
      </c>
      <c r="C500" s="3" t="s">
        <v>40</v>
      </c>
      <c r="D500" s="3" t="s">
        <v>61</v>
      </c>
      <c r="E500" s="3" t="s">
        <v>62</v>
      </c>
      <c r="F500" s="3" t="s">
        <v>63</v>
      </c>
      <c r="G500" s="3" t="s">
        <v>62</v>
      </c>
      <c r="H500" s="3" t="s">
        <v>64</v>
      </c>
      <c r="I500" s="3">
        <v>2024</v>
      </c>
      <c r="J500" s="3" t="str">
        <f>CONCATENATE("44810856037")</f>
        <v>44810856037</v>
      </c>
      <c r="K500" s="3" t="s">
        <v>33</v>
      </c>
      <c r="L500" s="3" t="str">
        <f t="shared" si="28"/>
        <v/>
      </c>
      <c r="M500" s="3" t="str">
        <f>CONCATENATE("SRA14")</f>
        <v>SRA14</v>
      </c>
      <c r="N500" s="3" t="str">
        <f>CONCATENATE("LSIDGI81S05C773P")</f>
        <v>LSIDGI81S05C773P</v>
      </c>
      <c r="O500" s="3" t="s">
        <v>874</v>
      </c>
      <c r="P500" s="3" t="s">
        <v>35</v>
      </c>
      <c r="Q500" s="3" t="s">
        <v>764</v>
      </c>
      <c r="R500" s="4">
        <v>45933</v>
      </c>
      <c r="S500" s="3" t="s">
        <v>37</v>
      </c>
      <c r="T500" s="3" t="s">
        <v>38</v>
      </c>
      <c r="U500" s="3" t="s">
        <v>39</v>
      </c>
      <c r="V500" s="5">
        <v>2219.36</v>
      </c>
      <c r="W500" s="3">
        <v>903.28</v>
      </c>
      <c r="X500" s="3">
        <v>921.26</v>
      </c>
      <c r="Y500" s="3">
        <v>394.82</v>
      </c>
    </row>
    <row r="501" spans="1:25" ht="41.5" hidden="1" x14ac:dyDescent="0.35">
      <c r="A501" s="3" t="s">
        <v>26</v>
      </c>
      <c r="B501" s="3" t="s">
        <v>27</v>
      </c>
      <c r="C501" s="3" t="s">
        <v>40</v>
      </c>
      <c r="D501" s="3" t="s">
        <v>41</v>
      </c>
      <c r="E501" s="3" t="s">
        <v>125</v>
      </c>
      <c r="F501" s="3" t="s">
        <v>43</v>
      </c>
      <c r="G501" s="3" t="s">
        <v>125</v>
      </c>
      <c r="H501" s="3" t="s">
        <v>116</v>
      </c>
      <c r="I501" s="3">
        <v>2024</v>
      </c>
      <c r="J501" s="3" t="str">
        <f>CONCATENATE("44810217628")</f>
        <v>44810217628</v>
      </c>
      <c r="K501" s="3" t="s">
        <v>33</v>
      </c>
      <c r="L501" s="3" t="str">
        <f t="shared" si="28"/>
        <v/>
      </c>
      <c r="M501" s="3" t="str">
        <f>CONCATENATE("SRA14")</f>
        <v>SRA14</v>
      </c>
      <c r="N501" s="3" t="str">
        <f>CONCATENATE("MNCPTR70H27F616P")</f>
        <v>MNCPTR70H27F616P</v>
      </c>
      <c r="O501" s="3" t="s">
        <v>875</v>
      </c>
      <c r="P501" s="3" t="s">
        <v>35</v>
      </c>
      <c r="Q501" s="3" t="s">
        <v>764</v>
      </c>
      <c r="R501" s="4">
        <v>45933</v>
      </c>
      <c r="S501" s="3" t="s">
        <v>37</v>
      </c>
      <c r="T501" s="3" t="s">
        <v>38</v>
      </c>
      <c r="U501" s="3" t="s">
        <v>39</v>
      </c>
      <c r="V501" s="5">
        <v>2700</v>
      </c>
      <c r="W501" s="5">
        <v>1098.9000000000001</v>
      </c>
      <c r="X501" s="5">
        <v>1120.77</v>
      </c>
      <c r="Y501" s="3">
        <v>480.33</v>
      </c>
    </row>
    <row r="502" spans="1:25" ht="41.5" hidden="1" x14ac:dyDescent="0.35">
      <c r="A502" s="3" t="s">
        <v>26</v>
      </c>
      <c r="B502" s="3" t="s">
        <v>27</v>
      </c>
      <c r="C502" s="3" t="s">
        <v>40</v>
      </c>
      <c r="D502" s="3" t="s">
        <v>41</v>
      </c>
      <c r="E502" s="3" t="s">
        <v>125</v>
      </c>
      <c r="F502" s="3" t="s">
        <v>43</v>
      </c>
      <c r="G502" s="3" t="s">
        <v>125</v>
      </c>
      <c r="H502" s="3" t="s">
        <v>116</v>
      </c>
      <c r="I502" s="3">
        <v>2024</v>
      </c>
      <c r="J502" s="3" t="str">
        <f>CONCATENATE("44810218113")</f>
        <v>44810218113</v>
      </c>
      <c r="K502" s="3" t="s">
        <v>33</v>
      </c>
      <c r="L502" s="3" t="str">
        <f t="shared" si="28"/>
        <v/>
      </c>
      <c r="M502" s="3" t="str">
        <f>CONCATENATE("SRA14")</f>
        <v>SRA14</v>
      </c>
      <c r="N502" s="3" t="str">
        <f>CONCATENATE("PCCGDU73C22F616H")</f>
        <v>PCCGDU73C22F616H</v>
      </c>
      <c r="O502" s="3" t="s">
        <v>876</v>
      </c>
      <c r="P502" s="3" t="s">
        <v>35</v>
      </c>
      <c r="Q502" s="3" t="s">
        <v>764</v>
      </c>
      <c r="R502" s="4">
        <v>45933</v>
      </c>
      <c r="S502" s="3" t="s">
        <v>37</v>
      </c>
      <c r="T502" s="3" t="s">
        <v>38</v>
      </c>
      <c r="U502" s="3" t="s">
        <v>39</v>
      </c>
      <c r="V502" s="5">
        <v>3600</v>
      </c>
      <c r="W502" s="5">
        <v>1465.2</v>
      </c>
      <c r="X502" s="5">
        <v>1494.36</v>
      </c>
      <c r="Y502" s="3">
        <v>640.44000000000005</v>
      </c>
    </row>
    <row r="503" spans="1:25" ht="41.5" hidden="1" x14ac:dyDescent="0.35">
      <c r="A503" s="3" t="s">
        <v>26</v>
      </c>
      <c r="B503" s="3" t="s">
        <v>27</v>
      </c>
      <c r="C503" s="3" t="s">
        <v>40</v>
      </c>
      <c r="D503" s="3" t="s">
        <v>61</v>
      </c>
      <c r="E503" s="3" t="s">
        <v>877</v>
      </c>
      <c r="F503" s="3" t="s">
        <v>63</v>
      </c>
      <c r="G503" s="3" t="s">
        <v>877</v>
      </c>
      <c r="H503" s="3" t="s">
        <v>64</v>
      </c>
      <c r="I503" s="3">
        <v>2024</v>
      </c>
      <c r="J503" s="3" t="str">
        <f>CONCATENATE("44811035128")</f>
        <v>44811035128</v>
      </c>
      <c r="K503" s="3" t="s">
        <v>33</v>
      </c>
      <c r="L503" s="3" t="str">
        <f t="shared" si="28"/>
        <v/>
      </c>
      <c r="M503" s="3" t="str">
        <f>CONCATENATE("SRA14")</f>
        <v>SRA14</v>
      </c>
      <c r="N503" s="3" t="str">
        <f>CONCATENATE("STFRTR75R17C773R")</f>
        <v>STFRTR75R17C773R</v>
      </c>
      <c r="O503" s="3" t="s">
        <v>878</v>
      </c>
      <c r="P503" s="3" t="s">
        <v>35</v>
      </c>
      <c r="Q503" s="3" t="s">
        <v>764</v>
      </c>
      <c r="R503" s="4">
        <v>45933</v>
      </c>
      <c r="S503" s="3" t="s">
        <v>37</v>
      </c>
      <c r="T503" s="3" t="s">
        <v>38</v>
      </c>
      <c r="U503" s="3" t="s">
        <v>39</v>
      </c>
      <c r="V503" s="3">
        <v>200</v>
      </c>
      <c r="W503" s="3">
        <v>81.400000000000006</v>
      </c>
      <c r="X503" s="3">
        <v>83.02</v>
      </c>
      <c r="Y503" s="3">
        <v>35.58</v>
      </c>
    </row>
    <row r="504" spans="1:25" ht="25.5" hidden="1" x14ac:dyDescent="0.35">
      <c r="A504" s="3" t="s">
        <v>26</v>
      </c>
      <c r="B504" s="3" t="s">
        <v>27</v>
      </c>
      <c r="C504" s="3" t="s">
        <v>40</v>
      </c>
      <c r="D504" s="3" t="s">
        <v>137</v>
      </c>
      <c r="E504" s="3" t="s">
        <v>138</v>
      </c>
      <c r="F504" s="3" t="s">
        <v>85</v>
      </c>
      <c r="G504" s="3" t="s">
        <v>879</v>
      </c>
      <c r="H504" s="3" t="s">
        <v>64</v>
      </c>
      <c r="I504" s="3">
        <v>2024</v>
      </c>
      <c r="J504" s="3" t="str">
        <f>CONCATENATE("44811065190")</f>
        <v>44811065190</v>
      </c>
      <c r="K504" s="3" t="s">
        <v>33</v>
      </c>
      <c r="L504" s="3" t="str">
        <f t="shared" si="28"/>
        <v/>
      </c>
      <c r="M504" s="3" t="str">
        <f>CONCATENATE("SRA14")</f>
        <v>SRA14</v>
      </c>
      <c r="N504" s="3" t="str">
        <f>CONCATENATE("07095741000")</f>
        <v>07095741000</v>
      </c>
      <c r="O504" s="3" t="s">
        <v>880</v>
      </c>
      <c r="P504" s="3" t="s">
        <v>35</v>
      </c>
      <c r="Q504" s="3" t="s">
        <v>764</v>
      </c>
      <c r="R504" s="4">
        <v>45933</v>
      </c>
      <c r="S504" s="3" t="s">
        <v>37</v>
      </c>
      <c r="T504" s="3" t="s">
        <v>38</v>
      </c>
      <c r="U504" s="3" t="s">
        <v>39</v>
      </c>
      <c r="V504" s="5">
        <v>10925</v>
      </c>
      <c r="W504" s="5">
        <v>4446.4799999999996</v>
      </c>
      <c r="X504" s="5">
        <v>4534.97</v>
      </c>
      <c r="Y504" s="5">
        <v>1943.55</v>
      </c>
    </row>
    <row r="505" spans="1:25" ht="41.5" hidden="1" x14ac:dyDescent="0.35">
      <c r="A505" s="3" t="s">
        <v>26</v>
      </c>
      <c r="B505" s="3" t="s">
        <v>27</v>
      </c>
      <c r="C505" s="3" t="s">
        <v>28</v>
      </c>
      <c r="D505" s="3" t="s">
        <v>41</v>
      </c>
      <c r="E505" s="3" t="s">
        <v>881</v>
      </c>
      <c r="F505" s="3" t="s">
        <v>101</v>
      </c>
      <c r="G505" s="3" t="s">
        <v>882</v>
      </c>
      <c r="H505" s="3" t="s">
        <v>866</v>
      </c>
      <c r="I505" s="3">
        <v>2024</v>
      </c>
      <c r="J505" s="3" t="str">
        <f>CONCATENATE("44810594869")</f>
        <v>44810594869</v>
      </c>
      <c r="K505" s="3" t="s">
        <v>33</v>
      </c>
      <c r="L505" s="3" t="str">
        <f t="shared" si="28"/>
        <v/>
      </c>
      <c r="M505" s="3" t="str">
        <f t="shared" ref="M505:M532" si="31">CONCATENATE("SRA29")</f>
        <v>SRA29</v>
      </c>
      <c r="N505" s="3" t="str">
        <f>CONCATENATE("BTLGPP57A19E036J")</f>
        <v>BTLGPP57A19E036J</v>
      </c>
      <c r="O505" s="3" t="s">
        <v>883</v>
      </c>
      <c r="P505" s="3" t="s">
        <v>35</v>
      </c>
      <c r="Q505" s="3" t="s">
        <v>868</v>
      </c>
      <c r="R505" s="4">
        <v>45926</v>
      </c>
      <c r="S505" s="3" t="s">
        <v>37</v>
      </c>
      <c r="T505" s="3" t="s">
        <v>38</v>
      </c>
      <c r="U505" s="3" t="s">
        <v>39</v>
      </c>
      <c r="V505" s="5">
        <v>1965.67</v>
      </c>
      <c r="W505" s="3">
        <v>992.66</v>
      </c>
      <c r="X505" s="3">
        <v>681.1</v>
      </c>
      <c r="Y505" s="3">
        <v>291.91000000000003</v>
      </c>
    </row>
    <row r="506" spans="1:25" ht="41.5" hidden="1" x14ac:dyDescent="0.35">
      <c r="A506" s="3" t="s">
        <v>26</v>
      </c>
      <c r="B506" s="3" t="s">
        <v>27</v>
      </c>
      <c r="C506" s="3" t="s">
        <v>28</v>
      </c>
      <c r="D506" s="3" t="s">
        <v>51</v>
      </c>
      <c r="E506" s="3" t="s">
        <v>884</v>
      </c>
      <c r="F506" s="3" t="s">
        <v>51</v>
      </c>
      <c r="G506" s="3" t="s">
        <v>884</v>
      </c>
      <c r="H506" s="3" t="s">
        <v>866</v>
      </c>
      <c r="I506" s="3">
        <v>2024</v>
      </c>
      <c r="J506" s="3" t="str">
        <f>CONCATENATE("44810937936")</f>
        <v>44810937936</v>
      </c>
      <c r="K506" s="3" t="s">
        <v>33</v>
      </c>
      <c r="L506" s="3" t="str">
        <f t="shared" si="28"/>
        <v/>
      </c>
      <c r="M506" s="3" t="str">
        <f t="shared" si="31"/>
        <v>SRA29</v>
      </c>
      <c r="N506" s="3" t="str">
        <f>CONCATENATE("DRLNGL51S55F784U")</f>
        <v>DRLNGL51S55F784U</v>
      </c>
      <c r="O506" s="3" t="s">
        <v>885</v>
      </c>
      <c r="P506" s="3" t="s">
        <v>35</v>
      </c>
      <c r="Q506" s="3" t="s">
        <v>868</v>
      </c>
      <c r="R506" s="4">
        <v>45926</v>
      </c>
      <c r="S506" s="3" t="s">
        <v>37</v>
      </c>
      <c r="T506" s="3" t="s">
        <v>38</v>
      </c>
      <c r="U506" s="3" t="s">
        <v>39</v>
      </c>
      <c r="V506" s="3">
        <v>626.59</v>
      </c>
      <c r="W506" s="3">
        <v>316.43</v>
      </c>
      <c r="X506" s="3">
        <v>217.11</v>
      </c>
      <c r="Y506" s="3">
        <v>93.05</v>
      </c>
    </row>
    <row r="507" spans="1:25" ht="25.5" hidden="1" x14ac:dyDescent="0.35">
      <c r="A507" s="3" t="s">
        <v>26</v>
      </c>
      <c r="B507" s="3" t="s">
        <v>27</v>
      </c>
      <c r="C507" s="3" t="s">
        <v>90</v>
      </c>
      <c r="D507" s="3" t="s">
        <v>29</v>
      </c>
      <c r="E507" s="3" t="s">
        <v>886</v>
      </c>
      <c r="F507" s="3" t="s">
        <v>31</v>
      </c>
      <c r="G507" s="3" t="s">
        <v>886</v>
      </c>
      <c r="H507" s="3" t="s">
        <v>218</v>
      </c>
      <c r="I507" s="3">
        <v>2023</v>
      </c>
      <c r="J507" s="3" t="str">
        <f>CONCATENATE("34810696350")</f>
        <v>34810696350</v>
      </c>
      <c r="K507" s="3" t="s">
        <v>33</v>
      </c>
      <c r="L507" s="3" t="str">
        <f t="shared" si="28"/>
        <v/>
      </c>
      <c r="M507" s="3" t="str">
        <f t="shared" si="31"/>
        <v>SRA29</v>
      </c>
      <c r="N507" s="3" t="str">
        <f>CONCATENATE("03292460833")</f>
        <v>03292460833</v>
      </c>
      <c r="O507" s="3" t="s">
        <v>887</v>
      </c>
      <c r="P507" s="3" t="s">
        <v>35</v>
      </c>
      <c r="Q507" s="3" t="s">
        <v>766</v>
      </c>
      <c r="R507" s="4">
        <v>45931</v>
      </c>
      <c r="S507" s="3" t="s">
        <v>37</v>
      </c>
      <c r="T507" s="3" t="s">
        <v>38</v>
      </c>
      <c r="U507" s="3" t="s">
        <v>39</v>
      </c>
      <c r="V507" s="5">
        <v>2709.53</v>
      </c>
      <c r="W507" s="5">
        <v>1368.31</v>
      </c>
      <c r="X507" s="3">
        <v>938.85</v>
      </c>
      <c r="Y507" s="3">
        <v>402.37</v>
      </c>
    </row>
    <row r="508" spans="1:25" ht="25.5" hidden="1" x14ac:dyDescent="0.35">
      <c r="A508" s="3" t="s">
        <v>26</v>
      </c>
      <c r="B508" s="3" t="s">
        <v>27</v>
      </c>
      <c r="C508" s="3" t="s">
        <v>90</v>
      </c>
      <c r="D508" s="3" t="s">
        <v>29</v>
      </c>
      <c r="E508" s="3" t="s">
        <v>886</v>
      </c>
      <c r="F508" s="3" t="s">
        <v>31</v>
      </c>
      <c r="G508" s="3" t="s">
        <v>886</v>
      </c>
      <c r="H508" s="3" t="s">
        <v>218</v>
      </c>
      <c r="I508" s="3">
        <v>2024</v>
      </c>
      <c r="J508" s="3" t="str">
        <f>CONCATENATE("44811259280")</f>
        <v>44811259280</v>
      </c>
      <c r="K508" s="3" t="s">
        <v>33</v>
      </c>
      <c r="L508" s="3" t="str">
        <f t="shared" si="28"/>
        <v/>
      </c>
      <c r="M508" s="3" t="str">
        <f t="shared" si="31"/>
        <v>SRA29</v>
      </c>
      <c r="N508" s="3" t="str">
        <f>CONCATENATE("03292460833")</f>
        <v>03292460833</v>
      </c>
      <c r="O508" s="3" t="s">
        <v>887</v>
      </c>
      <c r="P508" s="3" t="s">
        <v>35</v>
      </c>
      <c r="Q508" s="3" t="s">
        <v>766</v>
      </c>
      <c r="R508" s="4">
        <v>45931</v>
      </c>
      <c r="S508" s="3" t="s">
        <v>37</v>
      </c>
      <c r="T508" s="3" t="s">
        <v>38</v>
      </c>
      <c r="U508" s="3" t="s">
        <v>39</v>
      </c>
      <c r="V508" s="5">
        <v>3178.68</v>
      </c>
      <c r="W508" s="5">
        <v>1605.23</v>
      </c>
      <c r="X508" s="5">
        <v>1101.4100000000001</v>
      </c>
      <c r="Y508" s="3">
        <v>472.04</v>
      </c>
    </row>
    <row r="509" spans="1:25" ht="41.5" hidden="1" x14ac:dyDescent="0.35">
      <c r="A509" s="3" t="s">
        <v>26</v>
      </c>
      <c r="B509" s="3" t="s">
        <v>27</v>
      </c>
      <c r="C509" s="3" t="s">
        <v>90</v>
      </c>
      <c r="D509" s="3" t="s">
        <v>228</v>
      </c>
      <c r="E509" s="3" t="s">
        <v>888</v>
      </c>
      <c r="F509" s="3" t="s">
        <v>230</v>
      </c>
      <c r="G509" s="3" t="s">
        <v>888</v>
      </c>
      <c r="H509" s="3" t="s">
        <v>218</v>
      </c>
      <c r="I509" s="3">
        <v>2024</v>
      </c>
      <c r="J509" s="3" t="str">
        <f>CONCATENATE("44811513892")</f>
        <v>44811513892</v>
      </c>
      <c r="K509" s="3" t="s">
        <v>33</v>
      </c>
      <c r="L509" s="3" t="str">
        <f t="shared" si="28"/>
        <v/>
      </c>
      <c r="M509" s="3" t="str">
        <f t="shared" si="31"/>
        <v>SRA29</v>
      </c>
      <c r="N509" s="3" t="str">
        <f>CONCATENATE("FRZNRS69P52F158C")</f>
        <v>FRZNRS69P52F158C</v>
      </c>
      <c r="O509" s="3" t="s">
        <v>889</v>
      </c>
      <c r="P509" s="3" t="s">
        <v>35</v>
      </c>
      <c r="Q509" s="3" t="s">
        <v>766</v>
      </c>
      <c r="R509" s="4">
        <v>45931</v>
      </c>
      <c r="S509" s="3" t="s">
        <v>37</v>
      </c>
      <c r="T509" s="3" t="s">
        <v>38</v>
      </c>
      <c r="U509" s="3" t="s">
        <v>39</v>
      </c>
      <c r="V509" s="5">
        <v>4602.05</v>
      </c>
      <c r="W509" s="5">
        <v>2324.04</v>
      </c>
      <c r="X509" s="5">
        <v>1594.61</v>
      </c>
      <c r="Y509" s="3">
        <v>683.4</v>
      </c>
    </row>
    <row r="510" spans="1:25" ht="41.5" hidden="1" x14ac:dyDescent="0.35">
      <c r="A510" s="3" t="s">
        <v>26</v>
      </c>
      <c r="B510" s="3" t="s">
        <v>27</v>
      </c>
      <c r="C510" s="3" t="s">
        <v>90</v>
      </c>
      <c r="D510" s="3" t="s">
        <v>164</v>
      </c>
      <c r="E510" s="3" t="s">
        <v>280</v>
      </c>
      <c r="F510" s="3" t="s">
        <v>166</v>
      </c>
      <c r="G510" s="3" t="s">
        <v>280</v>
      </c>
      <c r="H510" s="3" t="s">
        <v>218</v>
      </c>
      <c r="I510" s="3">
        <v>2024</v>
      </c>
      <c r="J510" s="3" t="str">
        <f>CONCATENATE("44811284064")</f>
        <v>44811284064</v>
      </c>
      <c r="K510" s="3" t="s">
        <v>33</v>
      </c>
      <c r="L510" s="3" t="str">
        <f t="shared" si="28"/>
        <v/>
      </c>
      <c r="M510" s="3" t="str">
        <f t="shared" si="31"/>
        <v>SRA29</v>
      </c>
      <c r="N510" s="3" t="str">
        <f>CONCATENATE("LMBSFN86L26F158F")</f>
        <v>LMBSFN86L26F158F</v>
      </c>
      <c r="O510" s="3" t="s">
        <v>890</v>
      </c>
      <c r="P510" s="3" t="s">
        <v>35</v>
      </c>
      <c r="Q510" s="3" t="s">
        <v>766</v>
      </c>
      <c r="R510" s="4">
        <v>45931</v>
      </c>
      <c r="S510" s="3" t="s">
        <v>37</v>
      </c>
      <c r="T510" s="3" t="s">
        <v>38</v>
      </c>
      <c r="U510" s="3" t="s">
        <v>39</v>
      </c>
      <c r="V510" s="5">
        <v>4491.76</v>
      </c>
      <c r="W510" s="5">
        <v>2268.34</v>
      </c>
      <c r="X510" s="5">
        <v>1556.39</v>
      </c>
      <c r="Y510" s="3">
        <v>667.03</v>
      </c>
    </row>
    <row r="511" spans="1:25" ht="41.5" hidden="1" x14ac:dyDescent="0.35">
      <c r="A511" s="3" t="s">
        <v>26</v>
      </c>
      <c r="B511" s="3" t="s">
        <v>27</v>
      </c>
      <c r="C511" s="3" t="s">
        <v>90</v>
      </c>
      <c r="D511" s="3" t="s">
        <v>41</v>
      </c>
      <c r="E511" s="3" t="s">
        <v>396</v>
      </c>
      <c r="F511" s="3" t="s">
        <v>43</v>
      </c>
      <c r="G511" s="3" t="s">
        <v>396</v>
      </c>
      <c r="H511" s="3" t="s">
        <v>218</v>
      </c>
      <c r="I511" s="3">
        <v>2024</v>
      </c>
      <c r="J511" s="3" t="str">
        <f>CONCATENATE("44810738128")</f>
        <v>44810738128</v>
      </c>
      <c r="K511" s="3" t="s">
        <v>33</v>
      </c>
      <c r="L511" s="3" t="str">
        <f t="shared" si="28"/>
        <v/>
      </c>
      <c r="M511" s="3" t="str">
        <f t="shared" si="31"/>
        <v>SRA29</v>
      </c>
      <c r="N511" s="3" t="str">
        <f>CONCATENATE("MRNBDT59T24H850F")</f>
        <v>MRNBDT59T24H850F</v>
      </c>
      <c r="O511" s="3" t="s">
        <v>891</v>
      </c>
      <c r="P511" s="3" t="s">
        <v>35</v>
      </c>
      <c r="Q511" s="3" t="s">
        <v>766</v>
      </c>
      <c r="R511" s="4">
        <v>45931</v>
      </c>
      <c r="S511" s="3" t="s">
        <v>37</v>
      </c>
      <c r="T511" s="3" t="s">
        <v>38</v>
      </c>
      <c r="U511" s="3" t="s">
        <v>39</v>
      </c>
      <c r="V511" s="3">
        <v>395.95</v>
      </c>
      <c r="W511" s="3">
        <v>199.95</v>
      </c>
      <c r="X511" s="3">
        <v>137.19999999999999</v>
      </c>
      <c r="Y511" s="3">
        <v>58.8</v>
      </c>
    </row>
    <row r="512" spans="1:25" ht="41.5" hidden="1" x14ac:dyDescent="0.35">
      <c r="A512" s="3" t="s">
        <v>26</v>
      </c>
      <c r="B512" s="3" t="s">
        <v>27</v>
      </c>
      <c r="C512" s="3" t="s">
        <v>90</v>
      </c>
      <c r="D512" s="3" t="s">
        <v>41</v>
      </c>
      <c r="E512" s="3" t="s">
        <v>396</v>
      </c>
      <c r="F512" s="3" t="s">
        <v>43</v>
      </c>
      <c r="G512" s="3" t="s">
        <v>396</v>
      </c>
      <c r="H512" s="3" t="s">
        <v>218</v>
      </c>
      <c r="I512" s="3">
        <v>2023</v>
      </c>
      <c r="J512" s="3" t="str">
        <f>CONCATENATE("34810696806")</f>
        <v>34810696806</v>
      </c>
      <c r="K512" s="3" t="s">
        <v>33</v>
      </c>
      <c r="L512" s="3" t="str">
        <f t="shared" si="28"/>
        <v/>
      </c>
      <c r="M512" s="3" t="str">
        <f t="shared" si="31"/>
        <v>SRA29</v>
      </c>
      <c r="N512" s="3" t="str">
        <f>CONCATENATE("MRNBDT59T24H850F")</f>
        <v>MRNBDT59T24H850F</v>
      </c>
      <c r="O512" s="3" t="s">
        <v>891</v>
      </c>
      <c r="P512" s="3" t="s">
        <v>35</v>
      </c>
      <c r="Q512" s="3" t="s">
        <v>766</v>
      </c>
      <c r="R512" s="4">
        <v>45931</v>
      </c>
      <c r="S512" s="3" t="s">
        <v>37</v>
      </c>
      <c r="T512" s="3" t="s">
        <v>38</v>
      </c>
      <c r="U512" s="3" t="s">
        <v>39</v>
      </c>
      <c r="V512" s="3">
        <v>382.54</v>
      </c>
      <c r="W512" s="3">
        <v>193.18</v>
      </c>
      <c r="X512" s="3">
        <v>132.55000000000001</v>
      </c>
      <c r="Y512" s="3">
        <v>56.81</v>
      </c>
    </row>
    <row r="513" spans="1:25" ht="25.5" hidden="1" x14ac:dyDescent="0.35">
      <c r="A513" s="3" t="s">
        <v>26</v>
      </c>
      <c r="B513" s="3" t="s">
        <v>27</v>
      </c>
      <c r="C513" s="3" t="s">
        <v>90</v>
      </c>
      <c r="D513" s="3" t="s">
        <v>41</v>
      </c>
      <c r="E513" s="3" t="s">
        <v>224</v>
      </c>
      <c r="F513" s="3" t="s">
        <v>43</v>
      </c>
      <c r="G513" s="3" t="s">
        <v>224</v>
      </c>
      <c r="H513" s="3" t="s">
        <v>218</v>
      </c>
      <c r="I513" s="3">
        <v>2024</v>
      </c>
      <c r="J513" s="3" t="str">
        <f>CONCATENATE("44810315349")</f>
        <v>44810315349</v>
      </c>
      <c r="K513" s="3" t="s">
        <v>33</v>
      </c>
      <c r="L513" s="3" t="str">
        <f t="shared" si="28"/>
        <v/>
      </c>
      <c r="M513" s="3" t="str">
        <f t="shared" si="31"/>
        <v>SRA29</v>
      </c>
      <c r="N513" s="3" t="str">
        <f>CONCATENATE("00769920836")</f>
        <v>00769920836</v>
      </c>
      <c r="O513" s="3" t="s">
        <v>892</v>
      </c>
      <c r="P513" s="3" t="s">
        <v>35</v>
      </c>
      <c r="Q513" s="3" t="s">
        <v>766</v>
      </c>
      <c r="R513" s="4">
        <v>45931</v>
      </c>
      <c r="S513" s="3" t="s">
        <v>37</v>
      </c>
      <c r="T513" s="3" t="s">
        <v>38</v>
      </c>
      <c r="U513" s="3" t="s">
        <v>39</v>
      </c>
      <c r="V513" s="5">
        <v>17456.099999999999</v>
      </c>
      <c r="W513" s="5">
        <v>8815.33</v>
      </c>
      <c r="X513" s="5">
        <v>6048.54</v>
      </c>
      <c r="Y513" s="5">
        <v>2592.23</v>
      </c>
    </row>
    <row r="514" spans="1:25" ht="25.5" hidden="1" x14ac:dyDescent="0.35">
      <c r="A514" s="3" t="s">
        <v>26</v>
      </c>
      <c r="B514" s="3" t="s">
        <v>27</v>
      </c>
      <c r="C514" s="3" t="s">
        <v>90</v>
      </c>
      <c r="D514" s="3" t="s">
        <v>51</v>
      </c>
      <c r="E514" s="3" t="s">
        <v>221</v>
      </c>
      <c r="F514" s="3" t="s">
        <v>166</v>
      </c>
      <c r="G514" s="3" t="s">
        <v>222</v>
      </c>
      <c r="H514" s="3" t="s">
        <v>218</v>
      </c>
      <c r="I514" s="3">
        <v>2024</v>
      </c>
      <c r="J514" s="3" t="str">
        <f>CONCATENATE("44810490167")</f>
        <v>44810490167</v>
      </c>
      <c r="K514" s="3" t="s">
        <v>33</v>
      </c>
      <c r="L514" s="3" t="str">
        <f t="shared" si="28"/>
        <v/>
      </c>
      <c r="M514" s="3" t="str">
        <f t="shared" si="31"/>
        <v>SRA29</v>
      </c>
      <c r="N514" s="3" t="str">
        <f>CONCATENATE("03172240834")</f>
        <v>03172240834</v>
      </c>
      <c r="O514" s="3" t="s">
        <v>893</v>
      </c>
      <c r="P514" s="3" t="s">
        <v>35</v>
      </c>
      <c r="Q514" s="3" t="s">
        <v>766</v>
      </c>
      <c r="R514" s="4">
        <v>45931</v>
      </c>
      <c r="S514" s="3" t="s">
        <v>37</v>
      </c>
      <c r="T514" s="3" t="s">
        <v>38</v>
      </c>
      <c r="U514" s="3" t="s">
        <v>39</v>
      </c>
      <c r="V514" s="5">
        <v>4790.57</v>
      </c>
      <c r="W514" s="5">
        <v>2419.2399999999998</v>
      </c>
      <c r="X514" s="5">
        <v>1659.93</v>
      </c>
      <c r="Y514" s="3">
        <v>711.4</v>
      </c>
    </row>
    <row r="515" spans="1:25" ht="25.5" hidden="1" x14ac:dyDescent="0.35">
      <c r="A515" s="3" t="s">
        <v>26</v>
      </c>
      <c r="B515" s="3" t="s">
        <v>27</v>
      </c>
      <c r="C515" s="3" t="s">
        <v>90</v>
      </c>
      <c r="D515" s="3" t="s">
        <v>41</v>
      </c>
      <c r="E515" s="3" t="s">
        <v>396</v>
      </c>
      <c r="F515" s="3" t="s">
        <v>256</v>
      </c>
      <c r="G515" s="3" t="s">
        <v>255</v>
      </c>
      <c r="H515" s="3" t="s">
        <v>218</v>
      </c>
      <c r="I515" s="3">
        <v>2023</v>
      </c>
      <c r="J515" s="3" t="str">
        <f>CONCATENATE("34810532662")</f>
        <v>34810532662</v>
      </c>
      <c r="K515" s="3" t="s">
        <v>33</v>
      </c>
      <c r="L515" s="3" t="str">
        <f t="shared" si="28"/>
        <v/>
      </c>
      <c r="M515" s="3" t="str">
        <f t="shared" si="31"/>
        <v>SRA29</v>
      </c>
      <c r="N515" s="3" t="str">
        <f>CONCATENATE("03582810838")</f>
        <v>03582810838</v>
      </c>
      <c r="O515" s="3" t="s">
        <v>894</v>
      </c>
      <c r="P515" s="3" t="s">
        <v>35</v>
      </c>
      <c r="Q515" s="3" t="s">
        <v>766</v>
      </c>
      <c r="R515" s="4">
        <v>45931</v>
      </c>
      <c r="S515" s="3" t="s">
        <v>37</v>
      </c>
      <c r="T515" s="3" t="s">
        <v>38</v>
      </c>
      <c r="U515" s="3" t="s">
        <v>39</v>
      </c>
      <c r="V515" s="5">
        <v>8903.65</v>
      </c>
      <c r="W515" s="5">
        <v>4496.34</v>
      </c>
      <c r="X515" s="5">
        <v>3085.11</v>
      </c>
      <c r="Y515" s="5">
        <v>1322.2</v>
      </c>
    </row>
    <row r="516" spans="1:25" ht="41.5" hidden="1" x14ac:dyDescent="0.35">
      <c r="A516" s="3" t="s">
        <v>26</v>
      </c>
      <c r="B516" s="3" t="s">
        <v>27</v>
      </c>
      <c r="C516" s="3" t="s">
        <v>90</v>
      </c>
      <c r="D516" s="3" t="s">
        <v>75</v>
      </c>
      <c r="E516" s="3" t="s">
        <v>895</v>
      </c>
      <c r="F516" s="3" t="s">
        <v>77</v>
      </c>
      <c r="G516" s="3" t="s">
        <v>895</v>
      </c>
      <c r="H516" s="3" t="s">
        <v>218</v>
      </c>
      <c r="I516" s="3">
        <v>2024</v>
      </c>
      <c r="J516" s="3" t="str">
        <f>CONCATENATE("44811280914")</f>
        <v>44811280914</v>
      </c>
      <c r="K516" s="3" t="s">
        <v>33</v>
      </c>
      <c r="L516" s="3" t="str">
        <f t="shared" ref="L516:L579" si="32">CONCATENATE("")</f>
        <v/>
      </c>
      <c r="M516" s="3" t="str">
        <f t="shared" si="31"/>
        <v>SRA29</v>
      </c>
      <c r="N516" s="3" t="str">
        <f>CONCATENATE("CLCGPP81R02I199M")</f>
        <v>CLCGPP81R02I199M</v>
      </c>
      <c r="O516" s="3" t="s">
        <v>896</v>
      </c>
      <c r="P516" s="3" t="s">
        <v>35</v>
      </c>
      <c r="Q516" s="3" t="s">
        <v>766</v>
      </c>
      <c r="R516" s="4">
        <v>45931</v>
      </c>
      <c r="S516" s="3" t="s">
        <v>37</v>
      </c>
      <c r="T516" s="3" t="s">
        <v>38</v>
      </c>
      <c r="U516" s="3" t="s">
        <v>39</v>
      </c>
      <c r="V516" s="3">
        <v>516.38</v>
      </c>
      <c r="W516" s="3">
        <v>260.77</v>
      </c>
      <c r="X516" s="3">
        <v>178.93</v>
      </c>
      <c r="Y516" s="3">
        <v>76.680000000000007</v>
      </c>
    </row>
    <row r="517" spans="1:25" ht="49.5" hidden="1" x14ac:dyDescent="0.35">
      <c r="A517" s="3" t="s">
        <v>26</v>
      </c>
      <c r="B517" s="3" t="s">
        <v>27</v>
      </c>
      <c r="C517" s="3" t="s">
        <v>90</v>
      </c>
      <c r="D517" s="3" t="s">
        <v>51</v>
      </c>
      <c r="E517" s="3" t="s">
        <v>754</v>
      </c>
      <c r="F517" s="3" t="s">
        <v>51</v>
      </c>
      <c r="G517" s="3" t="s">
        <v>754</v>
      </c>
      <c r="H517" s="3" t="s">
        <v>218</v>
      </c>
      <c r="I517" s="3">
        <v>2023</v>
      </c>
      <c r="J517" s="3" t="str">
        <f>CONCATENATE("34810340132")</f>
        <v>34810340132</v>
      </c>
      <c r="K517" s="3" t="s">
        <v>33</v>
      </c>
      <c r="L517" s="3" t="str">
        <f t="shared" si="32"/>
        <v/>
      </c>
      <c r="M517" s="3" t="str">
        <f t="shared" si="31"/>
        <v>SRA29</v>
      </c>
      <c r="N517" s="3" t="str">
        <f>CONCATENATE("CRRMNN57C45H850T")</f>
        <v>CRRMNN57C45H850T</v>
      </c>
      <c r="O517" s="3" t="s">
        <v>897</v>
      </c>
      <c r="P517" s="3" t="s">
        <v>35</v>
      </c>
      <c r="Q517" s="3" t="s">
        <v>766</v>
      </c>
      <c r="R517" s="4">
        <v>45931</v>
      </c>
      <c r="S517" s="3" t="s">
        <v>37</v>
      </c>
      <c r="T517" s="3" t="s">
        <v>38</v>
      </c>
      <c r="U517" s="3" t="s">
        <v>39</v>
      </c>
      <c r="V517" s="5">
        <v>4558.51</v>
      </c>
      <c r="W517" s="5">
        <v>2302.0500000000002</v>
      </c>
      <c r="X517" s="5">
        <v>1579.52</v>
      </c>
      <c r="Y517" s="3">
        <v>676.94</v>
      </c>
    </row>
    <row r="518" spans="1:25" ht="41.5" hidden="1" x14ac:dyDescent="0.35">
      <c r="A518" s="3" t="s">
        <v>26</v>
      </c>
      <c r="B518" s="3" t="s">
        <v>27</v>
      </c>
      <c r="C518" s="3" t="s">
        <v>90</v>
      </c>
      <c r="D518" s="3" t="s">
        <v>61</v>
      </c>
      <c r="E518" s="3" t="s">
        <v>240</v>
      </c>
      <c r="F518" s="3" t="s">
        <v>63</v>
      </c>
      <c r="G518" s="3" t="s">
        <v>240</v>
      </c>
      <c r="H518" s="3" t="s">
        <v>218</v>
      </c>
      <c r="I518" s="3">
        <v>2024</v>
      </c>
      <c r="J518" s="3" t="str">
        <f>CONCATENATE("44810810539")</f>
        <v>44810810539</v>
      </c>
      <c r="K518" s="3" t="s">
        <v>33</v>
      </c>
      <c r="L518" s="3" t="str">
        <f t="shared" si="32"/>
        <v/>
      </c>
      <c r="M518" s="3" t="str">
        <f t="shared" si="31"/>
        <v>SRA29</v>
      </c>
      <c r="N518" s="3" t="str">
        <f>CONCATENATE("CSTGPP79S11I199I")</f>
        <v>CSTGPP79S11I199I</v>
      </c>
      <c r="O518" s="3" t="s">
        <v>898</v>
      </c>
      <c r="P518" s="3" t="s">
        <v>35</v>
      </c>
      <c r="Q518" s="3" t="s">
        <v>766</v>
      </c>
      <c r="R518" s="4">
        <v>45931</v>
      </c>
      <c r="S518" s="3" t="s">
        <v>37</v>
      </c>
      <c r="T518" s="3" t="s">
        <v>38</v>
      </c>
      <c r="U518" s="3" t="s">
        <v>39</v>
      </c>
      <c r="V518" s="5">
        <v>12609.94</v>
      </c>
      <c r="W518" s="5">
        <v>6368.02</v>
      </c>
      <c r="X518" s="5">
        <v>4369.34</v>
      </c>
      <c r="Y518" s="5">
        <v>1872.58</v>
      </c>
    </row>
    <row r="519" spans="1:25" ht="41.5" hidden="1" x14ac:dyDescent="0.35">
      <c r="A519" s="3" t="s">
        <v>26</v>
      </c>
      <c r="B519" s="3" t="s">
        <v>27</v>
      </c>
      <c r="C519" s="3" t="s">
        <v>90</v>
      </c>
      <c r="D519" s="3" t="s">
        <v>41</v>
      </c>
      <c r="E519" s="3" t="s">
        <v>224</v>
      </c>
      <c r="F519" s="3" t="s">
        <v>43</v>
      </c>
      <c r="G519" s="3" t="s">
        <v>224</v>
      </c>
      <c r="H519" s="3" t="s">
        <v>218</v>
      </c>
      <c r="I519" s="3">
        <v>2023</v>
      </c>
      <c r="J519" s="3" t="str">
        <f>CONCATENATE("34810540327")</f>
        <v>34810540327</v>
      </c>
      <c r="K519" s="3" t="s">
        <v>33</v>
      </c>
      <c r="L519" s="3" t="str">
        <f t="shared" si="32"/>
        <v/>
      </c>
      <c r="M519" s="3" t="str">
        <f t="shared" si="31"/>
        <v>SRA29</v>
      </c>
      <c r="N519" s="3" t="str">
        <f>CONCATENATE("DCSVNC91H47A638F")</f>
        <v>DCSVNC91H47A638F</v>
      </c>
      <c r="O519" s="3" t="s">
        <v>899</v>
      </c>
      <c r="P519" s="3" t="s">
        <v>35</v>
      </c>
      <c r="Q519" s="3" t="s">
        <v>766</v>
      </c>
      <c r="R519" s="4">
        <v>45931</v>
      </c>
      <c r="S519" s="3" t="s">
        <v>37</v>
      </c>
      <c r="T519" s="3" t="s">
        <v>38</v>
      </c>
      <c r="U519" s="3" t="s">
        <v>39</v>
      </c>
      <c r="V519" s="5">
        <v>14987.93</v>
      </c>
      <c r="W519" s="5">
        <v>7568.9</v>
      </c>
      <c r="X519" s="5">
        <v>5193.32</v>
      </c>
      <c r="Y519" s="5">
        <v>2225.71</v>
      </c>
    </row>
    <row r="520" spans="1:25" ht="41.5" hidden="1" x14ac:dyDescent="0.35">
      <c r="A520" s="3" t="s">
        <v>26</v>
      </c>
      <c r="B520" s="3" t="s">
        <v>27</v>
      </c>
      <c r="C520" s="3" t="s">
        <v>90</v>
      </c>
      <c r="D520" s="3" t="s">
        <v>41</v>
      </c>
      <c r="E520" s="3" t="s">
        <v>396</v>
      </c>
      <c r="F520" s="3" t="s">
        <v>43</v>
      </c>
      <c r="G520" s="3" t="s">
        <v>396</v>
      </c>
      <c r="H520" s="3" t="s">
        <v>218</v>
      </c>
      <c r="I520" s="3">
        <v>2023</v>
      </c>
      <c r="J520" s="3" t="str">
        <f>CONCATENATE("34810692151")</f>
        <v>34810692151</v>
      </c>
      <c r="K520" s="3" t="s">
        <v>33</v>
      </c>
      <c r="L520" s="3" t="str">
        <f t="shared" si="32"/>
        <v/>
      </c>
      <c r="M520" s="3" t="str">
        <f t="shared" si="31"/>
        <v>SRA29</v>
      </c>
      <c r="N520" s="3" t="str">
        <f>CONCATENATE("FLUFNC64L30H850W")</f>
        <v>FLUFNC64L30H850W</v>
      </c>
      <c r="O520" s="3" t="s">
        <v>900</v>
      </c>
      <c r="P520" s="3" t="s">
        <v>35</v>
      </c>
      <c r="Q520" s="3" t="s">
        <v>766</v>
      </c>
      <c r="R520" s="4">
        <v>45931</v>
      </c>
      <c r="S520" s="3" t="s">
        <v>37</v>
      </c>
      <c r="T520" s="3" t="s">
        <v>38</v>
      </c>
      <c r="U520" s="3" t="s">
        <v>39</v>
      </c>
      <c r="V520" s="3">
        <v>514.57000000000005</v>
      </c>
      <c r="W520" s="3">
        <v>259.86</v>
      </c>
      <c r="X520" s="3">
        <v>178.3</v>
      </c>
      <c r="Y520" s="3">
        <v>76.41</v>
      </c>
    </row>
    <row r="521" spans="1:25" ht="25.5" hidden="1" x14ac:dyDescent="0.35">
      <c r="A521" s="3" t="s">
        <v>26</v>
      </c>
      <c r="B521" s="3" t="s">
        <v>27</v>
      </c>
      <c r="C521" s="3" t="s">
        <v>90</v>
      </c>
      <c r="D521" s="3" t="s">
        <v>51</v>
      </c>
      <c r="E521" s="3" t="s">
        <v>901</v>
      </c>
      <c r="F521" s="3" t="s">
        <v>51</v>
      </c>
      <c r="G521" s="3" t="s">
        <v>901</v>
      </c>
      <c r="H521" s="3" t="s">
        <v>218</v>
      </c>
      <c r="I521" s="3">
        <v>2024</v>
      </c>
      <c r="J521" s="3" t="str">
        <f>CONCATENATE("44810255164")</f>
        <v>44810255164</v>
      </c>
      <c r="K521" s="3" t="s">
        <v>33</v>
      </c>
      <c r="L521" s="3" t="str">
        <f t="shared" si="32"/>
        <v/>
      </c>
      <c r="M521" s="3" t="str">
        <f t="shared" si="31"/>
        <v>SRA29</v>
      </c>
      <c r="N521" s="3" t="str">
        <f>CONCATENATE("05405320879")</f>
        <v>05405320879</v>
      </c>
      <c r="O521" s="3" t="s">
        <v>902</v>
      </c>
      <c r="P521" s="3" t="s">
        <v>35</v>
      </c>
      <c r="Q521" s="3" t="s">
        <v>766</v>
      </c>
      <c r="R521" s="4">
        <v>45931</v>
      </c>
      <c r="S521" s="3" t="s">
        <v>37</v>
      </c>
      <c r="T521" s="3" t="s">
        <v>38</v>
      </c>
      <c r="U521" s="3" t="s">
        <v>39</v>
      </c>
      <c r="V521" s="5">
        <v>6632.02</v>
      </c>
      <c r="W521" s="5">
        <v>3349.17</v>
      </c>
      <c r="X521" s="5">
        <v>2297.9899999999998</v>
      </c>
      <c r="Y521" s="3">
        <v>984.86</v>
      </c>
    </row>
    <row r="522" spans="1:25" ht="41.5" hidden="1" x14ac:dyDescent="0.35">
      <c r="A522" s="3" t="s">
        <v>26</v>
      </c>
      <c r="B522" s="3" t="s">
        <v>27</v>
      </c>
      <c r="C522" s="3" t="s">
        <v>90</v>
      </c>
      <c r="D522" s="3" t="s">
        <v>164</v>
      </c>
      <c r="E522" s="3" t="s">
        <v>280</v>
      </c>
      <c r="F522" s="3" t="s">
        <v>166</v>
      </c>
      <c r="G522" s="3" t="s">
        <v>280</v>
      </c>
      <c r="H522" s="3" t="s">
        <v>218</v>
      </c>
      <c r="I522" s="3">
        <v>2024</v>
      </c>
      <c r="J522" s="3" t="str">
        <f>CONCATENATE("44810959351")</f>
        <v>44810959351</v>
      </c>
      <c r="K522" s="3" t="s">
        <v>33</v>
      </c>
      <c r="L522" s="3" t="str">
        <f t="shared" si="32"/>
        <v/>
      </c>
      <c r="M522" s="3" t="str">
        <f t="shared" si="31"/>
        <v>SRA29</v>
      </c>
      <c r="N522" s="3" t="str">
        <f>CONCATENATE("MLLMLF88T28C621F")</f>
        <v>MLLMLF88T28C621F</v>
      </c>
      <c r="O522" s="3" t="s">
        <v>903</v>
      </c>
      <c r="P522" s="3" t="s">
        <v>35</v>
      </c>
      <c r="Q522" s="3" t="s">
        <v>766</v>
      </c>
      <c r="R522" s="4">
        <v>45931</v>
      </c>
      <c r="S522" s="3" t="s">
        <v>37</v>
      </c>
      <c r="T522" s="3" t="s">
        <v>38</v>
      </c>
      <c r="U522" s="3" t="s">
        <v>39</v>
      </c>
      <c r="V522" s="5">
        <v>5523.57</v>
      </c>
      <c r="W522" s="5">
        <v>2789.4</v>
      </c>
      <c r="X522" s="5">
        <v>1913.92</v>
      </c>
      <c r="Y522" s="3">
        <v>820.25</v>
      </c>
    </row>
    <row r="523" spans="1:25" ht="41.5" hidden="1" x14ac:dyDescent="0.35">
      <c r="A523" s="3" t="s">
        <v>26</v>
      </c>
      <c r="B523" s="3" t="s">
        <v>27</v>
      </c>
      <c r="C523" s="3" t="s">
        <v>90</v>
      </c>
      <c r="D523" s="3" t="s">
        <v>51</v>
      </c>
      <c r="E523" s="3" t="s">
        <v>754</v>
      </c>
      <c r="F523" s="3" t="s">
        <v>51</v>
      </c>
      <c r="G523" s="3" t="s">
        <v>754</v>
      </c>
      <c r="H523" s="3" t="s">
        <v>218</v>
      </c>
      <c r="I523" s="3">
        <v>2023</v>
      </c>
      <c r="J523" s="3" t="str">
        <f>CONCATENATE("34810603646")</f>
        <v>34810603646</v>
      </c>
      <c r="K523" s="3" t="s">
        <v>33</v>
      </c>
      <c r="L523" s="3" t="str">
        <f t="shared" si="32"/>
        <v/>
      </c>
      <c r="M523" s="3" t="str">
        <f t="shared" si="31"/>
        <v>SRA29</v>
      </c>
      <c r="N523" s="3" t="str">
        <f>CONCATENATE("MNSCRN96E27F158U")</f>
        <v>MNSCRN96E27F158U</v>
      </c>
      <c r="O523" s="3" t="s">
        <v>904</v>
      </c>
      <c r="P523" s="3" t="s">
        <v>35</v>
      </c>
      <c r="Q523" s="3" t="s">
        <v>766</v>
      </c>
      <c r="R523" s="4">
        <v>45931</v>
      </c>
      <c r="S523" s="3" t="s">
        <v>37</v>
      </c>
      <c r="T523" s="3" t="s">
        <v>38</v>
      </c>
      <c r="U523" s="3" t="s">
        <v>39</v>
      </c>
      <c r="V523" s="5">
        <v>5470.8</v>
      </c>
      <c r="W523" s="5">
        <v>2762.75</v>
      </c>
      <c r="X523" s="5">
        <v>1895.63</v>
      </c>
      <c r="Y523" s="3">
        <v>812.42</v>
      </c>
    </row>
    <row r="524" spans="1:25" ht="41.5" hidden="1" x14ac:dyDescent="0.35">
      <c r="A524" s="3" t="s">
        <v>26</v>
      </c>
      <c r="B524" s="3" t="s">
        <v>27</v>
      </c>
      <c r="C524" s="3" t="s">
        <v>90</v>
      </c>
      <c r="D524" s="3" t="s">
        <v>41</v>
      </c>
      <c r="E524" s="3" t="s">
        <v>396</v>
      </c>
      <c r="F524" s="3" t="s">
        <v>43</v>
      </c>
      <c r="G524" s="3" t="s">
        <v>396</v>
      </c>
      <c r="H524" s="3" t="s">
        <v>218</v>
      </c>
      <c r="I524" s="3">
        <v>2024</v>
      </c>
      <c r="J524" s="3" t="str">
        <f>CONCATENATE("44810485274")</f>
        <v>44810485274</v>
      </c>
      <c r="K524" s="3" t="s">
        <v>33</v>
      </c>
      <c r="L524" s="3" t="str">
        <f t="shared" si="32"/>
        <v/>
      </c>
      <c r="M524" s="3" t="str">
        <f t="shared" si="31"/>
        <v>SRA29</v>
      </c>
      <c r="N524" s="3" t="str">
        <f>CONCATENATE("MNCMRS85H41F158S")</f>
        <v>MNCMRS85H41F158S</v>
      </c>
      <c r="O524" s="3" t="s">
        <v>905</v>
      </c>
      <c r="P524" s="3" t="s">
        <v>35</v>
      </c>
      <c r="Q524" s="3" t="s">
        <v>766</v>
      </c>
      <c r="R524" s="4">
        <v>45931</v>
      </c>
      <c r="S524" s="3" t="s">
        <v>37</v>
      </c>
      <c r="T524" s="3" t="s">
        <v>38</v>
      </c>
      <c r="U524" s="3" t="s">
        <v>39</v>
      </c>
      <c r="V524" s="5">
        <v>4736.28</v>
      </c>
      <c r="W524" s="5">
        <v>2391.8200000000002</v>
      </c>
      <c r="X524" s="5">
        <v>1641.12</v>
      </c>
      <c r="Y524" s="3">
        <v>703.34</v>
      </c>
    </row>
    <row r="525" spans="1:25" ht="41.5" hidden="1" x14ac:dyDescent="0.35">
      <c r="A525" s="3" t="s">
        <v>26</v>
      </c>
      <c r="B525" s="3" t="s">
        <v>27</v>
      </c>
      <c r="C525" s="3" t="s">
        <v>90</v>
      </c>
      <c r="D525" s="3" t="s">
        <v>55</v>
      </c>
      <c r="E525" s="3" t="s">
        <v>906</v>
      </c>
      <c r="F525" s="3" t="s">
        <v>57</v>
      </c>
      <c r="G525" s="3" t="s">
        <v>906</v>
      </c>
      <c r="H525" s="3" t="s">
        <v>218</v>
      </c>
      <c r="I525" s="3">
        <v>2024</v>
      </c>
      <c r="J525" s="3" t="str">
        <f>CONCATENATE("44811268455")</f>
        <v>44811268455</v>
      </c>
      <c r="K525" s="3" t="s">
        <v>33</v>
      </c>
      <c r="L525" s="3" t="str">
        <f t="shared" si="32"/>
        <v/>
      </c>
      <c r="M525" s="3" t="str">
        <f t="shared" si="31"/>
        <v>SRA29</v>
      </c>
      <c r="N525" s="3" t="str">
        <f>CONCATENATE("MRTGPP45C19I086Q")</f>
        <v>MRTGPP45C19I086Q</v>
      </c>
      <c r="O525" s="3" t="s">
        <v>907</v>
      </c>
      <c r="P525" s="3" t="s">
        <v>35</v>
      </c>
      <c r="Q525" s="3" t="s">
        <v>766</v>
      </c>
      <c r="R525" s="4">
        <v>45931</v>
      </c>
      <c r="S525" s="3" t="s">
        <v>37</v>
      </c>
      <c r="T525" s="3" t="s">
        <v>38</v>
      </c>
      <c r="U525" s="3" t="s">
        <v>39</v>
      </c>
      <c r="V525" s="5">
        <v>16178.3</v>
      </c>
      <c r="W525" s="5">
        <v>8170.04</v>
      </c>
      <c r="X525" s="5">
        <v>5605.78</v>
      </c>
      <c r="Y525" s="5">
        <v>2402.48</v>
      </c>
    </row>
    <row r="526" spans="1:25" ht="41.5" hidden="1" x14ac:dyDescent="0.35">
      <c r="A526" s="3" t="s">
        <v>26</v>
      </c>
      <c r="B526" s="3" t="s">
        <v>27</v>
      </c>
      <c r="C526" s="3" t="s">
        <v>90</v>
      </c>
      <c r="D526" s="3" t="s">
        <v>164</v>
      </c>
      <c r="E526" s="3" t="s">
        <v>280</v>
      </c>
      <c r="F526" s="3" t="s">
        <v>166</v>
      </c>
      <c r="G526" s="3" t="s">
        <v>280</v>
      </c>
      <c r="H526" s="3" t="s">
        <v>218</v>
      </c>
      <c r="I526" s="3">
        <v>2024</v>
      </c>
      <c r="J526" s="3" t="str">
        <f>CONCATENATE("44811150406")</f>
        <v>44811150406</v>
      </c>
      <c r="K526" s="3" t="s">
        <v>33</v>
      </c>
      <c r="L526" s="3" t="str">
        <f t="shared" si="32"/>
        <v/>
      </c>
      <c r="M526" s="3" t="str">
        <f t="shared" si="31"/>
        <v>SRA29</v>
      </c>
      <c r="N526" s="3" t="str">
        <f>CONCATENATE("MSCRLB86S51F251Q")</f>
        <v>MSCRLB86S51F251Q</v>
      </c>
      <c r="O526" s="3" t="s">
        <v>908</v>
      </c>
      <c r="P526" s="3" t="s">
        <v>35</v>
      </c>
      <c r="Q526" s="3" t="s">
        <v>766</v>
      </c>
      <c r="R526" s="4">
        <v>45931</v>
      </c>
      <c r="S526" s="3" t="s">
        <v>37</v>
      </c>
      <c r="T526" s="3" t="s">
        <v>38</v>
      </c>
      <c r="U526" s="3" t="s">
        <v>39</v>
      </c>
      <c r="V526" s="5">
        <v>9637.11</v>
      </c>
      <c r="W526" s="5">
        <v>4866.74</v>
      </c>
      <c r="X526" s="5">
        <v>3339.26</v>
      </c>
      <c r="Y526" s="5">
        <v>1431.11</v>
      </c>
    </row>
    <row r="527" spans="1:25" ht="49.5" hidden="1" x14ac:dyDescent="0.35">
      <c r="A527" s="3" t="s">
        <v>26</v>
      </c>
      <c r="B527" s="3" t="s">
        <v>27</v>
      </c>
      <c r="C527" s="3" t="s">
        <v>470</v>
      </c>
      <c r="D527" s="3" t="s">
        <v>51</v>
      </c>
      <c r="E527" s="3" t="s">
        <v>909</v>
      </c>
      <c r="F527" s="3" t="s">
        <v>51</v>
      </c>
      <c r="G527" s="3" t="s">
        <v>909</v>
      </c>
      <c r="H527" s="3" t="s">
        <v>664</v>
      </c>
      <c r="I527" s="3">
        <v>2024</v>
      </c>
      <c r="J527" s="3" t="str">
        <f>CONCATENATE("44810108603")</f>
        <v>44810108603</v>
      </c>
      <c r="K527" s="3" t="s">
        <v>33</v>
      </c>
      <c r="L527" s="3" t="str">
        <f t="shared" si="32"/>
        <v/>
      </c>
      <c r="M527" s="3" t="str">
        <f t="shared" si="31"/>
        <v>SRA29</v>
      </c>
      <c r="N527" s="3" t="str">
        <f>CONCATENATE("CNNMDM41R25F637M")</f>
        <v>CNNMDM41R25F637M</v>
      </c>
      <c r="O527" s="3" t="s">
        <v>910</v>
      </c>
      <c r="P527" s="3" t="s">
        <v>35</v>
      </c>
      <c r="Q527" s="3" t="s">
        <v>772</v>
      </c>
      <c r="R527" s="4">
        <v>45915</v>
      </c>
      <c r="S527" s="3" t="s">
        <v>37</v>
      </c>
      <c r="T527" s="3" t="s">
        <v>38</v>
      </c>
      <c r="U527" s="3" t="s">
        <v>39</v>
      </c>
      <c r="V527" s="5">
        <v>4013.38</v>
      </c>
      <c r="W527" s="5">
        <v>2026.76</v>
      </c>
      <c r="X527" s="5">
        <v>1390.64</v>
      </c>
      <c r="Y527" s="3">
        <v>595.98</v>
      </c>
    </row>
    <row r="528" spans="1:25" ht="41.5" hidden="1" x14ac:dyDescent="0.35">
      <c r="A528" s="3" t="s">
        <v>26</v>
      </c>
      <c r="B528" s="3" t="s">
        <v>27</v>
      </c>
      <c r="C528" s="3" t="s">
        <v>470</v>
      </c>
      <c r="D528" s="3" t="s">
        <v>61</v>
      </c>
      <c r="E528" s="3" t="s">
        <v>911</v>
      </c>
      <c r="F528" s="3" t="s">
        <v>63</v>
      </c>
      <c r="G528" s="3" t="s">
        <v>911</v>
      </c>
      <c r="H528" s="3" t="s">
        <v>664</v>
      </c>
      <c r="I528" s="3">
        <v>2024</v>
      </c>
      <c r="J528" s="3" t="str">
        <f>CONCATENATE("44810360329")</f>
        <v>44810360329</v>
      </c>
      <c r="K528" s="3" t="s">
        <v>33</v>
      </c>
      <c r="L528" s="3" t="str">
        <f t="shared" si="32"/>
        <v/>
      </c>
      <c r="M528" s="3" t="str">
        <f t="shared" si="31"/>
        <v>SRA29</v>
      </c>
      <c r="N528" s="3" t="str">
        <f>CONCATENATE("CRRGNN59L23A942E")</f>
        <v>CRRGNN59L23A942E</v>
      </c>
      <c r="O528" s="3" t="s">
        <v>912</v>
      </c>
      <c r="P528" s="3" t="s">
        <v>35</v>
      </c>
      <c r="Q528" s="3" t="s">
        <v>772</v>
      </c>
      <c r="R528" s="4">
        <v>45915</v>
      </c>
      <c r="S528" s="3" t="s">
        <v>37</v>
      </c>
      <c r="T528" s="3" t="s">
        <v>38</v>
      </c>
      <c r="U528" s="3" t="s">
        <v>39</v>
      </c>
      <c r="V528" s="5">
        <v>7683.74</v>
      </c>
      <c r="W528" s="5">
        <v>3880.29</v>
      </c>
      <c r="X528" s="5">
        <v>2662.42</v>
      </c>
      <c r="Y528" s="5">
        <v>1141.03</v>
      </c>
    </row>
    <row r="529" spans="1:25" ht="41.5" hidden="1" x14ac:dyDescent="0.35">
      <c r="A529" s="3" t="s">
        <v>26</v>
      </c>
      <c r="B529" s="3" t="s">
        <v>27</v>
      </c>
      <c r="C529" s="3" t="s">
        <v>470</v>
      </c>
      <c r="D529" s="3" t="s">
        <v>41</v>
      </c>
      <c r="E529" s="3" t="s">
        <v>913</v>
      </c>
      <c r="F529" s="3" t="s">
        <v>43</v>
      </c>
      <c r="G529" s="3" t="s">
        <v>913</v>
      </c>
      <c r="H529" s="3" t="s">
        <v>664</v>
      </c>
      <c r="I529" s="3">
        <v>2024</v>
      </c>
      <c r="J529" s="3" t="str">
        <f>CONCATENATE("44810902112")</f>
        <v>44810902112</v>
      </c>
      <c r="K529" s="3" t="s">
        <v>33</v>
      </c>
      <c r="L529" s="3" t="str">
        <f t="shared" si="32"/>
        <v/>
      </c>
      <c r="M529" s="3" t="str">
        <f t="shared" si="31"/>
        <v>SRA29</v>
      </c>
      <c r="N529" s="3" t="str">
        <f>CONCATENATE("DPLMRA97H05I954R")</f>
        <v>DPLMRA97H05I954R</v>
      </c>
      <c r="O529" s="3" t="s">
        <v>914</v>
      </c>
      <c r="P529" s="3" t="s">
        <v>35</v>
      </c>
      <c r="Q529" s="3" t="s">
        <v>772</v>
      </c>
      <c r="R529" s="4">
        <v>45915</v>
      </c>
      <c r="S529" s="3" t="s">
        <v>37</v>
      </c>
      <c r="T529" s="3" t="s">
        <v>38</v>
      </c>
      <c r="U529" s="3" t="s">
        <v>39</v>
      </c>
      <c r="V529" s="5">
        <v>1948.87</v>
      </c>
      <c r="W529" s="3">
        <v>984.18</v>
      </c>
      <c r="X529" s="3">
        <v>675.28</v>
      </c>
      <c r="Y529" s="3">
        <v>289.41000000000003</v>
      </c>
    </row>
    <row r="530" spans="1:25" ht="41.5" hidden="1" x14ac:dyDescent="0.35">
      <c r="A530" s="3" t="s">
        <v>26</v>
      </c>
      <c r="B530" s="3" t="s">
        <v>27</v>
      </c>
      <c r="C530" s="3" t="s">
        <v>90</v>
      </c>
      <c r="D530" s="3" t="s">
        <v>51</v>
      </c>
      <c r="E530" s="3" t="s">
        <v>221</v>
      </c>
      <c r="F530" s="3" t="s">
        <v>51</v>
      </c>
      <c r="G530" s="3" t="s">
        <v>221</v>
      </c>
      <c r="H530" s="3" t="s">
        <v>218</v>
      </c>
      <c r="I530" s="3">
        <v>2024</v>
      </c>
      <c r="J530" s="3" t="str">
        <f>CONCATENATE("44810745495")</f>
        <v>44810745495</v>
      </c>
      <c r="K530" s="3" t="s">
        <v>33</v>
      </c>
      <c r="L530" s="3" t="str">
        <f t="shared" si="32"/>
        <v/>
      </c>
      <c r="M530" s="3" t="str">
        <f t="shared" si="31"/>
        <v>SRA29</v>
      </c>
      <c r="N530" s="3" t="str">
        <f>CONCATENATE("SPNLRI81R13F251V")</f>
        <v>SPNLRI81R13F251V</v>
      </c>
      <c r="O530" s="3" t="s">
        <v>915</v>
      </c>
      <c r="P530" s="3" t="s">
        <v>35</v>
      </c>
      <c r="Q530" s="3" t="s">
        <v>766</v>
      </c>
      <c r="R530" s="4">
        <v>45931</v>
      </c>
      <c r="S530" s="3" t="s">
        <v>37</v>
      </c>
      <c r="T530" s="3" t="s">
        <v>38</v>
      </c>
      <c r="U530" s="3" t="s">
        <v>39</v>
      </c>
      <c r="V530" s="5">
        <v>7984.58</v>
      </c>
      <c r="W530" s="5">
        <v>4032.21</v>
      </c>
      <c r="X530" s="5">
        <v>2766.66</v>
      </c>
      <c r="Y530" s="5">
        <v>1185.71</v>
      </c>
    </row>
    <row r="531" spans="1:25" ht="41.5" hidden="1" x14ac:dyDescent="0.35">
      <c r="A531" s="3" t="s">
        <v>26</v>
      </c>
      <c r="B531" s="3" t="s">
        <v>27</v>
      </c>
      <c r="C531" s="3" t="s">
        <v>90</v>
      </c>
      <c r="D531" s="3" t="s">
        <v>51</v>
      </c>
      <c r="E531" s="3" t="s">
        <v>221</v>
      </c>
      <c r="F531" s="3" t="s">
        <v>51</v>
      </c>
      <c r="G531" s="3" t="s">
        <v>221</v>
      </c>
      <c r="H531" s="3" t="s">
        <v>218</v>
      </c>
      <c r="I531" s="3">
        <v>2024</v>
      </c>
      <c r="J531" s="3" t="str">
        <f>CONCATENATE("44810745503")</f>
        <v>44810745503</v>
      </c>
      <c r="K531" s="3" t="s">
        <v>33</v>
      </c>
      <c r="L531" s="3" t="str">
        <f t="shared" si="32"/>
        <v/>
      </c>
      <c r="M531" s="3" t="str">
        <f t="shared" si="31"/>
        <v>SRA29</v>
      </c>
      <c r="N531" s="3" t="str">
        <f>CONCATENATE("SPNLRI81R13F251V")</f>
        <v>SPNLRI81R13F251V</v>
      </c>
      <c r="O531" s="3" t="s">
        <v>915</v>
      </c>
      <c r="P531" s="3" t="s">
        <v>35</v>
      </c>
      <c r="Q531" s="3" t="s">
        <v>766</v>
      </c>
      <c r="R531" s="4">
        <v>45931</v>
      </c>
      <c r="S531" s="3" t="s">
        <v>37</v>
      </c>
      <c r="T531" s="3" t="s">
        <v>38</v>
      </c>
      <c r="U531" s="3" t="s">
        <v>39</v>
      </c>
      <c r="V531" s="5">
        <v>5488.74</v>
      </c>
      <c r="W531" s="5">
        <v>2771.81</v>
      </c>
      <c r="X531" s="5">
        <v>1901.85</v>
      </c>
      <c r="Y531" s="3">
        <v>815.08</v>
      </c>
    </row>
    <row r="532" spans="1:25" ht="25.5" hidden="1" x14ac:dyDescent="0.35">
      <c r="A532" s="3" t="s">
        <v>26</v>
      </c>
      <c r="B532" s="3" t="s">
        <v>27</v>
      </c>
      <c r="C532" s="3" t="s">
        <v>90</v>
      </c>
      <c r="D532" s="3" t="s">
        <v>228</v>
      </c>
      <c r="E532" s="3" t="s">
        <v>888</v>
      </c>
      <c r="F532" s="3" t="s">
        <v>230</v>
      </c>
      <c r="G532" s="3" t="s">
        <v>888</v>
      </c>
      <c r="H532" s="3" t="s">
        <v>218</v>
      </c>
      <c r="I532" s="3">
        <v>2024</v>
      </c>
      <c r="J532" s="3" t="str">
        <f>CONCATENATE("44811274891")</f>
        <v>44811274891</v>
      </c>
      <c r="K532" s="3" t="s">
        <v>33</v>
      </c>
      <c r="L532" s="3" t="str">
        <f t="shared" si="32"/>
        <v/>
      </c>
      <c r="M532" s="3" t="str">
        <f t="shared" si="31"/>
        <v>SRA29</v>
      </c>
      <c r="N532" s="3" t="str">
        <f>CONCATENATE("04741170825")</f>
        <v>04741170825</v>
      </c>
      <c r="O532" s="3" t="s">
        <v>916</v>
      </c>
      <c r="P532" s="3" t="s">
        <v>35</v>
      </c>
      <c r="Q532" s="3" t="s">
        <v>766</v>
      </c>
      <c r="R532" s="4">
        <v>45931</v>
      </c>
      <c r="S532" s="3" t="s">
        <v>37</v>
      </c>
      <c r="T532" s="3" t="s">
        <v>38</v>
      </c>
      <c r="U532" s="3" t="s">
        <v>39</v>
      </c>
      <c r="V532" s="5">
        <v>15817.28</v>
      </c>
      <c r="W532" s="5">
        <v>7987.73</v>
      </c>
      <c r="X532" s="5">
        <v>5480.69</v>
      </c>
      <c r="Y532" s="5">
        <v>2348.86</v>
      </c>
    </row>
    <row r="533" spans="1:25" ht="41.5" hidden="1" x14ac:dyDescent="0.35">
      <c r="A533" s="3" t="s">
        <v>26</v>
      </c>
      <c r="B533" s="3" t="s">
        <v>27</v>
      </c>
      <c r="C533" s="3" t="s">
        <v>90</v>
      </c>
      <c r="D533" s="3" t="s">
        <v>99</v>
      </c>
      <c r="E533" s="3" t="s">
        <v>917</v>
      </c>
      <c r="F533" s="3" t="s">
        <v>101</v>
      </c>
      <c r="G533" s="3" t="s">
        <v>917</v>
      </c>
      <c r="H533" s="3" t="s">
        <v>96</v>
      </c>
      <c r="I533" s="3">
        <v>2024</v>
      </c>
      <c r="J533" s="3" t="str">
        <f>CONCATENATE("44820304556")</f>
        <v>44820304556</v>
      </c>
      <c r="K533" s="3" t="s">
        <v>33</v>
      </c>
      <c r="L533" s="3" t="str">
        <f t="shared" si="32"/>
        <v/>
      </c>
      <c r="M533" s="3" t="str">
        <f>CONCATENATE("SRB01")</f>
        <v>SRB01</v>
      </c>
      <c r="N533" s="3" t="str">
        <f>CONCATENATE("FRRGRG49A18B315P")</f>
        <v>FRRGRG49A18B315P</v>
      </c>
      <c r="O533" s="3" t="s">
        <v>918</v>
      </c>
      <c r="P533" s="3" t="s">
        <v>35</v>
      </c>
      <c r="Q533" s="3" t="s">
        <v>919</v>
      </c>
      <c r="R533" s="4">
        <v>45915</v>
      </c>
      <c r="S533" s="3" t="s">
        <v>37</v>
      </c>
      <c r="T533" s="3" t="s">
        <v>38</v>
      </c>
      <c r="U533" s="3" t="s">
        <v>39</v>
      </c>
      <c r="V533" s="5">
        <v>7547.84</v>
      </c>
      <c r="W533" s="5">
        <v>3811.66</v>
      </c>
      <c r="X533" s="5">
        <v>2615.33</v>
      </c>
      <c r="Y533" s="5">
        <v>1120.8499999999999</v>
      </c>
    </row>
    <row r="534" spans="1:25" ht="41.5" hidden="1" x14ac:dyDescent="0.35">
      <c r="A534" s="3" t="s">
        <v>26</v>
      </c>
      <c r="B534" s="3" t="s">
        <v>27</v>
      </c>
      <c r="C534" s="3" t="s">
        <v>90</v>
      </c>
      <c r="D534" s="3" t="s">
        <v>41</v>
      </c>
      <c r="E534" s="3" t="s">
        <v>262</v>
      </c>
      <c r="F534" s="3" t="s">
        <v>43</v>
      </c>
      <c r="G534" s="3" t="s">
        <v>262</v>
      </c>
      <c r="H534" s="3" t="s">
        <v>96</v>
      </c>
      <c r="I534" s="3">
        <v>2024</v>
      </c>
      <c r="J534" s="3" t="str">
        <f>CONCATENATE("44820396461")</f>
        <v>44820396461</v>
      </c>
      <c r="K534" s="3" t="s">
        <v>33</v>
      </c>
      <c r="L534" s="3" t="str">
        <f t="shared" si="32"/>
        <v/>
      </c>
      <c r="M534" s="3" t="str">
        <f>CONCATENATE("SRB01")</f>
        <v>SRB01</v>
      </c>
      <c r="N534" s="3" t="str">
        <f>CONCATENATE("MLZSVT92L20G273Y")</f>
        <v>MLZSVT92L20G273Y</v>
      </c>
      <c r="O534" s="3" t="s">
        <v>920</v>
      </c>
      <c r="P534" s="3" t="s">
        <v>35</v>
      </c>
      <c r="Q534" s="3" t="s">
        <v>919</v>
      </c>
      <c r="R534" s="4">
        <v>45915</v>
      </c>
      <c r="S534" s="3" t="s">
        <v>37</v>
      </c>
      <c r="T534" s="3" t="s">
        <v>38</v>
      </c>
      <c r="U534" s="3" t="s">
        <v>39</v>
      </c>
      <c r="V534" s="5">
        <v>6776.25</v>
      </c>
      <c r="W534" s="5">
        <v>3422.01</v>
      </c>
      <c r="X534" s="5">
        <v>2347.9699999999998</v>
      </c>
      <c r="Y534" s="5">
        <v>1006.27</v>
      </c>
    </row>
    <row r="535" spans="1:25" ht="41.5" hidden="1" x14ac:dyDescent="0.35">
      <c r="A535" s="3" t="s">
        <v>26</v>
      </c>
      <c r="B535" s="3" t="s">
        <v>27</v>
      </c>
      <c r="C535" s="3" t="s">
        <v>478</v>
      </c>
      <c r="D535" s="3" t="s">
        <v>51</v>
      </c>
      <c r="E535" s="3" t="s">
        <v>585</v>
      </c>
      <c r="F535" s="3" t="s">
        <v>51</v>
      </c>
      <c r="G535" s="3" t="s">
        <v>585</v>
      </c>
      <c r="H535" s="3" t="s">
        <v>484</v>
      </c>
      <c r="I535" s="3">
        <v>2024</v>
      </c>
      <c r="J535" s="3" t="str">
        <f>CONCATENATE("44811132644")</f>
        <v>44811132644</v>
      </c>
      <c r="K535" s="3" t="s">
        <v>33</v>
      </c>
      <c r="L535" s="3" t="str">
        <f t="shared" si="32"/>
        <v/>
      </c>
      <c r="M535" s="3" t="str">
        <f>CONCATENATE("SRA01")</f>
        <v>SRA01</v>
      </c>
      <c r="N535" s="3" t="str">
        <f>CONCATENATE("DRSGPP90A20F799H")</f>
        <v>DRSGPP90A20F799H</v>
      </c>
      <c r="O535" s="3" t="s">
        <v>921</v>
      </c>
      <c r="P535" s="3" t="s">
        <v>35</v>
      </c>
      <c r="Q535" s="3" t="s">
        <v>922</v>
      </c>
      <c r="R535" s="4">
        <v>45931</v>
      </c>
      <c r="S535" s="3" t="s">
        <v>37</v>
      </c>
      <c r="T535" s="3" t="s">
        <v>38</v>
      </c>
      <c r="U535" s="3" t="s">
        <v>39</v>
      </c>
      <c r="V535" s="3">
        <v>453.93</v>
      </c>
      <c r="W535" s="3">
        <v>229.23</v>
      </c>
      <c r="X535" s="3">
        <v>157.29</v>
      </c>
      <c r="Y535" s="3">
        <v>67.41</v>
      </c>
    </row>
    <row r="536" spans="1:25" ht="25.5" hidden="1" x14ac:dyDescent="0.35">
      <c r="A536" s="3" t="s">
        <v>26</v>
      </c>
      <c r="B536" s="3" t="s">
        <v>27</v>
      </c>
      <c r="C536" s="3" t="s">
        <v>40</v>
      </c>
      <c r="D536" s="3" t="s">
        <v>41</v>
      </c>
      <c r="E536" s="3" t="s">
        <v>143</v>
      </c>
      <c r="F536" s="3" t="s">
        <v>43</v>
      </c>
      <c r="G536" s="3" t="s">
        <v>143</v>
      </c>
      <c r="H536" s="3" t="s">
        <v>64</v>
      </c>
      <c r="I536" s="3">
        <v>2024</v>
      </c>
      <c r="J536" s="3" t="str">
        <f>CONCATENATE("44810270999")</f>
        <v>44810270999</v>
      </c>
      <c r="K536" s="3" t="s">
        <v>33</v>
      </c>
      <c r="L536" s="3" t="str">
        <f t="shared" si="32"/>
        <v/>
      </c>
      <c r="M536" s="3" t="str">
        <f>CONCATENATE("SRA29")</f>
        <v>SRA29</v>
      </c>
      <c r="N536" s="3" t="str">
        <f>CONCATENATE("02693320588")</f>
        <v>02693320588</v>
      </c>
      <c r="O536" s="3" t="s">
        <v>833</v>
      </c>
      <c r="P536" s="3" t="s">
        <v>35</v>
      </c>
      <c r="Q536" s="3" t="s">
        <v>923</v>
      </c>
      <c r="R536" s="4">
        <v>45933</v>
      </c>
      <c r="S536" s="3" t="s">
        <v>37</v>
      </c>
      <c r="T536" s="3" t="s">
        <v>38</v>
      </c>
      <c r="U536" s="3" t="s">
        <v>39</v>
      </c>
      <c r="V536" s="5">
        <v>3859.55</v>
      </c>
      <c r="W536" s="5">
        <v>1570.84</v>
      </c>
      <c r="X536" s="5">
        <v>1602.1</v>
      </c>
      <c r="Y536" s="3">
        <v>686.61</v>
      </c>
    </row>
    <row r="537" spans="1:25" ht="25.5" hidden="1" x14ac:dyDescent="0.35">
      <c r="A537" s="3" t="s">
        <v>26</v>
      </c>
      <c r="B537" s="3" t="s">
        <v>27</v>
      </c>
      <c r="C537" s="3" t="s">
        <v>40</v>
      </c>
      <c r="D537" s="3" t="s">
        <v>41</v>
      </c>
      <c r="E537" s="3" t="s">
        <v>844</v>
      </c>
      <c r="F537" s="3" t="s">
        <v>43</v>
      </c>
      <c r="G537" s="3" t="s">
        <v>844</v>
      </c>
      <c r="H537" s="3" t="s">
        <v>64</v>
      </c>
      <c r="I537" s="3">
        <v>2024</v>
      </c>
      <c r="J537" s="3" t="str">
        <f>CONCATENATE("44810427953")</f>
        <v>44810427953</v>
      </c>
      <c r="K537" s="3" t="s">
        <v>33</v>
      </c>
      <c r="L537" s="3" t="str">
        <f t="shared" si="32"/>
        <v/>
      </c>
      <c r="M537" s="3" t="str">
        <f>CONCATENATE("SRA29")</f>
        <v>SRA29</v>
      </c>
      <c r="N537" s="3" t="str">
        <f>CONCATENATE("08468831006")</f>
        <v>08468831006</v>
      </c>
      <c r="O537" s="3" t="s">
        <v>845</v>
      </c>
      <c r="P537" s="3" t="s">
        <v>35</v>
      </c>
      <c r="Q537" s="3" t="s">
        <v>923</v>
      </c>
      <c r="R537" s="4">
        <v>45933</v>
      </c>
      <c r="S537" s="3" t="s">
        <v>37</v>
      </c>
      <c r="T537" s="3" t="s">
        <v>38</v>
      </c>
      <c r="U537" s="3" t="s">
        <v>39</v>
      </c>
      <c r="V537" s="5">
        <v>1418.12</v>
      </c>
      <c r="W537" s="3">
        <v>577.16999999999996</v>
      </c>
      <c r="X537" s="3">
        <v>588.66</v>
      </c>
      <c r="Y537" s="3">
        <v>252.29</v>
      </c>
    </row>
    <row r="538" spans="1:25" ht="25.5" hidden="1" x14ac:dyDescent="0.35">
      <c r="A538" s="3" t="s">
        <v>26</v>
      </c>
      <c r="B538" s="3" t="s">
        <v>27</v>
      </c>
      <c r="C538" s="3" t="s">
        <v>40</v>
      </c>
      <c r="D538" s="3" t="s">
        <v>228</v>
      </c>
      <c r="E538" s="3" t="s">
        <v>924</v>
      </c>
      <c r="F538" s="3" t="s">
        <v>230</v>
      </c>
      <c r="G538" s="3" t="s">
        <v>924</v>
      </c>
      <c r="H538" s="3" t="s">
        <v>64</v>
      </c>
      <c r="I538" s="3">
        <v>2024</v>
      </c>
      <c r="J538" s="3" t="str">
        <f>CONCATENATE("44811433745")</f>
        <v>44811433745</v>
      </c>
      <c r="K538" s="3" t="s">
        <v>33</v>
      </c>
      <c r="L538" s="3" t="str">
        <f t="shared" si="32"/>
        <v/>
      </c>
      <c r="M538" s="3" t="str">
        <f>CONCATENATE("SRA29")</f>
        <v>SRA29</v>
      </c>
      <c r="N538" s="3" t="str">
        <f>CONCATENATE("15727011007")</f>
        <v>15727011007</v>
      </c>
      <c r="O538" s="3" t="s">
        <v>925</v>
      </c>
      <c r="P538" s="3" t="s">
        <v>35</v>
      </c>
      <c r="Q538" s="3" t="s">
        <v>923</v>
      </c>
      <c r="R538" s="4">
        <v>45933</v>
      </c>
      <c r="S538" s="3" t="s">
        <v>37</v>
      </c>
      <c r="T538" s="3" t="s">
        <v>38</v>
      </c>
      <c r="U538" s="3" t="s">
        <v>39</v>
      </c>
      <c r="V538" s="5">
        <v>1533.03</v>
      </c>
      <c r="W538" s="3">
        <v>623.94000000000005</v>
      </c>
      <c r="X538" s="3">
        <v>636.36</v>
      </c>
      <c r="Y538" s="3">
        <v>272.73</v>
      </c>
    </row>
    <row r="539" spans="1:25" ht="41.5" hidden="1" x14ac:dyDescent="0.35">
      <c r="A539" s="3" t="s">
        <v>26</v>
      </c>
      <c r="B539" s="3" t="s">
        <v>27</v>
      </c>
      <c r="C539" s="3" t="s">
        <v>90</v>
      </c>
      <c r="D539" s="3" t="s">
        <v>215</v>
      </c>
      <c r="E539" s="3" t="s">
        <v>216</v>
      </c>
      <c r="F539" s="3" t="s">
        <v>217</v>
      </c>
      <c r="G539" s="3" t="s">
        <v>216</v>
      </c>
      <c r="H539" s="3" t="s">
        <v>218</v>
      </c>
      <c r="I539" s="3">
        <v>2024</v>
      </c>
      <c r="J539" s="3" t="str">
        <f>CONCATENATE("44811077476")</f>
        <v>44811077476</v>
      </c>
      <c r="K539" s="3" t="s">
        <v>33</v>
      </c>
      <c r="L539" s="3" t="str">
        <f t="shared" si="32"/>
        <v/>
      </c>
      <c r="M539" s="3" t="str">
        <f>CONCATENATE("SRA30")</f>
        <v>SRA30</v>
      </c>
      <c r="N539" s="3" t="str">
        <f>CONCATENATE("SLNMRA73A47I199N")</f>
        <v>SLNMRA73A47I199N</v>
      </c>
      <c r="O539" s="3" t="s">
        <v>926</v>
      </c>
      <c r="P539" s="3" t="s">
        <v>35</v>
      </c>
      <c r="Q539" s="3" t="s">
        <v>607</v>
      </c>
      <c r="R539" s="4">
        <v>45932</v>
      </c>
      <c r="S539" s="3" t="s">
        <v>37</v>
      </c>
      <c r="T539" s="3" t="s">
        <v>38</v>
      </c>
      <c r="U539" s="3" t="s">
        <v>39</v>
      </c>
      <c r="V539" s="5">
        <v>3900.65</v>
      </c>
      <c r="W539" s="5">
        <v>1969.83</v>
      </c>
      <c r="X539" s="5">
        <v>1351.58</v>
      </c>
      <c r="Y539" s="3">
        <v>579.24</v>
      </c>
    </row>
    <row r="540" spans="1:25" ht="41.5" hidden="1" x14ac:dyDescent="0.35">
      <c r="A540" s="3" t="s">
        <v>26</v>
      </c>
      <c r="B540" s="3" t="s">
        <v>27</v>
      </c>
      <c r="C540" s="3" t="s">
        <v>90</v>
      </c>
      <c r="D540" s="3" t="s">
        <v>215</v>
      </c>
      <c r="E540" s="3" t="s">
        <v>216</v>
      </c>
      <c r="F540" s="3" t="s">
        <v>217</v>
      </c>
      <c r="G540" s="3" t="s">
        <v>216</v>
      </c>
      <c r="H540" s="3" t="s">
        <v>218</v>
      </c>
      <c r="I540" s="3">
        <v>2024</v>
      </c>
      <c r="J540" s="3" t="str">
        <f>CONCATENATE("44811077468")</f>
        <v>44811077468</v>
      </c>
      <c r="K540" s="3" t="s">
        <v>33</v>
      </c>
      <c r="L540" s="3" t="str">
        <f t="shared" si="32"/>
        <v/>
      </c>
      <c r="M540" s="3" t="str">
        <f>CONCATENATE("SRA29")</f>
        <v>SRA29</v>
      </c>
      <c r="N540" s="3" t="str">
        <f>CONCATENATE("SLNMRA73A47I199N")</f>
        <v>SLNMRA73A47I199N</v>
      </c>
      <c r="O540" s="3" t="s">
        <v>926</v>
      </c>
      <c r="P540" s="3" t="s">
        <v>35</v>
      </c>
      <c r="Q540" s="3" t="s">
        <v>766</v>
      </c>
      <c r="R540" s="4">
        <v>45931</v>
      </c>
      <c r="S540" s="3" t="s">
        <v>37</v>
      </c>
      <c r="T540" s="3" t="s">
        <v>38</v>
      </c>
      <c r="U540" s="3" t="s">
        <v>39</v>
      </c>
      <c r="V540" s="5">
        <v>14323.52</v>
      </c>
      <c r="W540" s="5">
        <v>7233.38</v>
      </c>
      <c r="X540" s="5">
        <v>4963.1000000000004</v>
      </c>
      <c r="Y540" s="5">
        <v>2127.04</v>
      </c>
    </row>
    <row r="541" spans="1:25" ht="41.5" hidden="1" x14ac:dyDescent="0.35">
      <c r="A541" s="3" t="s">
        <v>26</v>
      </c>
      <c r="B541" s="3" t="s">
        <v>27</v>
      </c>
      <c r="C541" s="3" t="s">
        <v>40</v>
      </c>
      <c r="D541" s="3" t="s">
        <v>180</v>
      </c>
      <c r="E541" s="3" t="s">
        <v>839</v>
      </c>
      <c r="F541" s="3" t="s">
        <v>85</v>
      </c>
      <c r="G541" s="3" t="s">
        <v>839</v>
      </c>
      <c r="H541" s="3" t="s">
        <v>44</v>
      </c>
      <c r="I541" s="3">
        <v>2024</v>
      </c>
      <c r="J541" s="3" t="str">
        <f>CONCATENATE("44820177143")</f>
        <v>44820177143</v>
      </c>
      <c r="K541" s="3" t="s">
        <v>33</v>
      </c>
      <c r="L541" s="3" t="str">
        <f t="shared" si="32"/>
        <v/>
      </c>
      <c r="M541" s="3" t="str">
        <f>CONCATENATE("SRB01")</f>
        <v>SRB01</v>
      </c>
      <c r="N541" s="3" t="str">
        <f>CONCATENATE("NGLGPP87H60L182Y")</f>
        <v>NGLGPP87H60L182Y</v>
      </c>
      <c r="O541" s="3" t="s">
        <v>927</v>
      </c>
      <c r="P541" s="3" t="s">
        <v>35</v>
      </c>
      <c r="Q541" s="3" t="s">
        <v>759</v>
      </c>
      <c r="R541" s="4">
        <v>45933</v>
      </c>
      <c r="S541" s="3" t="s">
        <v>37</v>
      </c>
      <c r="T541" s="3" t="s">
        <v>38</v>
      </c>
      <c r="U541" s="3" t="s">
        <v>39</v>
      </c>
      <c r="V541" s="5">
        <v>2037.91</v>
      </c>
      <c r="W541" s="3">
        <v>829.43</v>
      </c>
      <c r="X541" s="3">
        <v>845.94</v>
      </c>
      <c r="Y541" s="3">
        <v>362.54</v>
      </c>
    </row>
    <row r="542" spans="1:25" ht="25.5" hidden="1" x14ac:dyDescent="0.35">
      <c r="A542" s="3" t="s">
        <v>26</v>
      </c>
      <c r="B542" s="3" t="s">
        <v>27</v>
      </c>
      <c r="C542" s="3" t="s">
        <v>40</v>
      </c>
      <c r="D542" s="3" t="s">
        <v>180</v>
      </c>
      <c r="E542" s="3" t="s">
        <v>839</v>
      </c>
      <c r="F542" s="3" t="s">
        <v>85</v>
      </c>
      <c r="G542" s="3" t="s">
        <v>839</v>
      </c>
      <c r="H542" s="3" t="s">
        <v>44</v>
      </c>
      <c r="I542" s="3">
        <v>2024</v>
      </c>
      <c r="J542" s="3" t="str">
        <f>CONCATENATE("44820243309")</f>
        <v>44820243309</v>
      </c>
      <c r="K542" s="3" t="s">
        <v>33</v>
      </c>
      <c r="L542" s="3" t="str">
        <f t="shared" si="32"/>
        <v/>
      </c>
      <c r="M542" s="3" t="str">
        <f>CONCATENATE("SRB01")</f>
        <v>SRB01</v>
      </c>
      <c r="N542" s="3" t="str">
        <f>CONCATENATE("01133380574")</f>
        <v>01133380574</v>
      </c>
      <c r="O542" s="3" t="s">
        <v>928</v>
      </c>
      <c r="P542" s="3" t="s">
        <v>35</v>
      </c>
      <c r="Q542" s="3" t="s">
        <v>759</v>
      </c>
      <c r="R542" s="4">
        <v>45933</v>
      </c>
      <c r="S542" s="3" t="s">
        <v>37</v>
      </c>
      <c r="T542" s="3" t="s">
        <v>38</v>
      </c>
      <c r="U542" s="3" t="s">
        <v>39</v>
      </c>
      <c r="V542" s="3">
        <v>568.44000000000005</v>
      </c>
      <c r="W542" s="3">
        <v>231.36</v>
      </c>
      <c r="X542" s="3">
        <v>235.96</v>
      </c>
      <c r="Y542" s="3">
        <v>101.12</v>
      </c>
    </row>
    <row r="543" spans="1:25" ht="41.5" hidden="1" x14ac:dyDescent="0.35">
      <c r="A543" s="3" t="s">
        <v>26</v>
      </c>
      <c r="B543" s="3" t="s">
        <v>27</v>
      </c>
      <c r="C543" s="3" t="s">
        <v>40</v>
      </c>
      <c r="D543" s="3" t="s">
        <v>180</v>
      </c>
      <c r="E543" s="3" t="s">
        <v>839</v>
      </c>
      <c r="F543" s="3" t="s">
        <v>85</v>
      </c>
      <c r="G543" s="3" t="s">
        <v>839</v>
      </c>
      <c r="H543" s="3" t="s">
        <v>44</v>
      </c>
      <c r="I543" s="3">
        <v>2024</v>
      </c>
      <c r="J543" s="3" t="str">
        <f>CONCATENATE("44810554343")</f>
        <v>44810554343</v>
      </c>
      <c r="K543" s="3" t="s">
        <v>33</v>
      </c>
      <c r="L543" s="3" t="str">
        <f t="shared" si="32"/>
        <v/>
      </c>
      <c r="M543" s="3" t="str">
        <f>CONCATENATE("SRA14")</f>
        <v>SRA14</v>
      </c>
      <c r="N543" s="3" t="str">
        <f>CONCATENATE("DPLGNN86T21H501W")</f>
        <v>DPLGNN86T21H501W</v>
      </c>
      <c r="O543" s="3" t="s">
        <v>929</v>
      </c>
      <c r="P543" s="3" t="s">
        <v>35</v>
      </c>
      <c r="Q543" s="3" t="s">
        <v>764</v>
      </c>
      <c r="R543" s="4">
        <v>45933</v>
      </c>
      <c r="S543" s="3" t="s">
        <v>37</v>
      </c>
      <c r="T543" s="3" t="s">
        <v>38</v>
      </c>
      <c r="U543" s="3" t="s">
        <v>39</v>
      </c>
      <c r="V543" s="5">
        <v>1600</v>
      </c>
      <c r="W543" s="3">
        <v>651.20000000000005</v>
      </c>
      <c r="X543" s="3">
        <v>664.16</v>
      </c>
      <c r="Y543" s="3">
        <v>284.64</v>
      </c>
    </row>
    <row r="544" spans="1:25" ht="25.5" hidden="1" x14ac:dyDescent="0.35">
      <c r="A544" s="3" t="s">
        <v>26</v>
      </c>
      <c r="B544" s="3" t="s">
        <v>27</v>
      </c>
      <c r="C544" s="3" t="s">
        <v>40</v>
      </c>
      <c r="D544" s="3" t="s">
        <v>41</v>
      </c>
      <c r="E544" s="3" t="s">
        <v>42</v>
      </c>
      <c r="F544" s="3" t="s">
        <v>43</v>
      </c>
      <c r="G544" s="3" t="s">
        <v>42</v>
      </c>
      <c r="H544" s="3" t="s">
        <v>44</v>
      </c>
      <c r="I544" s="3">
        <v>2024</v>
      </c>
      <c r="J544" s="3" t="str">
        <f>CONCATENATE("44820477113")</f>
        <v>44820477113</v>
      </c>
      <c r="K544" s="3" t="s">
        <v>33</v>
      </c>
      <c r="L544" s="3" t="str">
        <f t="shared" si="32"/>
        <v/>
      </c>
      <c r="M544" s="3" t="str">
        <f t="shared" ref="M544:M560" si="33">CONCATENATE("SRB01")</f>
        <v>SRB01</v>
      </c>
      <c r="N544" s="3" t="str">
        <f>CONCATENATE("00918480575")</f>
        <v>00918480575</v>
      </c>
      <c r="O544" s="3" t="s">
        <v>930</v>
      </c>
      <c r="P544" s="3" t="s">
        <v>35</v>
      </c>
      <c r="Q544" s="3" t="s">
        <v>759</v>
      </c>
      <c r="R544" s="4">
        <v>45933</v>
      </c>
      <c r="S544" s="3" t="s">
        <v>37</v>
      </c>
      <c r="T544" s="3" t="s">
        <v>38</v>
      </c>
      <c r="U544" s="3" t="s">
        <v>39</v>
      </c>
      <c r="V544" s="3">
        <v>233</v>
      </c>
      <c r="W544" s="3">
        <v>94.83</v>
      </c>
      <c r="X544" s="3">
        <v>96.72</v>
      </c>
      <c r="Y544" s="3">
        <v>41.45</v>
      </c>
    </row>
    <row r="545" spans="1:25" ht="49.5" hidden="1" x14ac:dyDescent="0.35">
      <c r="A545" s="3" t="s">
        <v>26</v>
      </c>
      <c r="B545" s="3" t="s">
        <v>27</v>
      </c>
      <c r="C545" s="3" t="s">
        <v>40</v>
      </c>
      <c r="D545" s="3" t="s">
        <v>41</v>
      </c>
      <c r="E545" s="3" t="s">
        <v>42</v>
      </c>
      <c r="F545" s="3" t="s">
        <v>43</v>
      </c>
      <c r="G545" s="3" t="s">
        <v>42</v>
      </c>
      <c r="H545" s="3" t="s">
        <v>44</v>
      </c>
      <c r="I545" s="3">
        <v>2024</v>
      </c>
      <c r="J545" s="3" t="str">
        <f>CONCATENATE("44820300810")</f>
        <v>44820300810</v>
      </c>
      <c r="K545" s="3" t="s">
        <v>33</v>
      </c>
      <c r="L545" s="3" t="str">
        <f t="shared" si="32"/>
        <v/>
      </c>
      <c r="M545" s="3" t="str">
        <f t="shared" si="33"/>
        <v>SRB01</v>
      </c>
      <c r="N545" s="3" t="str">
        <f>CONCATENATE("FCRNMR69C41H282Z")</f>
        <v>FCRNMR69C41H282Z</v>
      </c>
      <c r="O545" s="3" t="s">
        <v>931</v>
      </c>
      <c r="P545" s="3" t="s">
        <v>35</v>
      </c>
      <c r="Q545" s="3" t="s">
        <v>759</v>
      </c>
      <c r="R545" s="4">
        <v>45933</v>
      </c>
      <c r="S545" s="3" t="s">
        <v>37</v>
      </c>
      <c r="T545" s="3" t="s">
        <v>38</v>
      </c>
      <c r="U545" s="3" t="s">
        <v>39</v>
      </c>
      <c r="V545" s="3">
        <v>5.96</v>
      </c>
      <c r="W545" s="3">
        <v>2.4300000000000002</v>
      </c>
      <c r="X545" s="3">
        <v>2.4700000000000002</v>
      </c>
      <c r="Y545" s="3">
        <v>1.06</v>
      </c>
    </row>
    <row r="546" spans="1:25" ht="49.5" hidden="1" x14ac:dyDescent="0.35">
      <c r="A546" s="3" t="s">
        <v>26</v>
      </c>
      <c r="B546" s="3" t="s">
        <v>27</v>
      </c>
      <c r="C546" s="3" t="s">
        <v>40</v>
      </c>
      <c r="D546" s="3" t="s">
        <v>180</v>
      </c>
      <c r="E546" s="3" t="s">
        <v>839</v>
      </c>
      <c r="F546" s="3" t="s">
        <v>85</v>
      </c>
      <c r="G546" s="3" t="s">
        <v>839</v>
      </c>
      <c r="H546" s="3" t="s">
        <v>44</v>
      </c>
      <c r="I546" s="3">
        <v>2024</v>
      </c>
      <c r="J546" s="3" t="str">
        <f>CONCATENATE("44820108973")</f>
        <v>44820108973</v>
      </c>
      <c r="K546" s="3" t="s">
        <v>33</v>
      </c>
      <c r="L546" s="3" t="str">
        <f t="shared" si="32"/>
        <v/>
      </c>
      <c r="M546" s="3" t="str">
        <f t="shared" si="33"/>
        <v>SRB01</v>
      </c>
      <c r="N546" s="3" t="str">
        <f>CONCATENATE("BZZGNN64B28H282W")</f>
        <v>BZZGNN64B28H282W</v>
      </c>
      <c r="O546" s="3" t="s">
        <v>932</v>
      </c>
      <c r="P546" s="3" t="s">
        <v>35</v>
      </c>
      <c r="Q546" s="3" t="s">
        <v>759</v>
      </c>
      <c r="R546" s="4">
        <v>45933</v>
      </c>
      <c r="S546" s="3" t="s">
        <v>37</v>
      </c>
      <c r="T546" s="3" t="s">
        <v>38</v>
      </c>
      <c r="U546" s="3" t="s">
        <v>39</v>
      </c>
      <c r="V546" s="3">
        <v>116.06</v>
      </c>
      <c r="W546" s="3">
        <v>47.24</v>
      </c>
      <c r="X546" s="3">
        <v>48.18</v>
      </c>
      <c r="Y546" s="3">
        <v>20.64</v>
      </c>
    </row>
    <row r="547" spans="1:25" ht="49.5" hidden="1" x14ac:dyDescent="0.35">
      <c r="A547" s="3" t="s">
        <v>26</v>
      </c>
      <c r="B547" s="3" t="s">
        <v>27</v>
      </c>
      <c r="C547" s="3" t="s">
        <v>40</v>
      </c>
      <c r="D547" s="3" t="s">
        <v>41</v>
      </c>
      <c r="E547" s="3" t="s">
        <v>42</v>
      </c>
      <c r="F547" s="3" t="s">
        <v>43</v>
      </c>
      <c r="G547" s="3" t="s">
        <v>42</v>
      </c>
      <c r="H547" s="3" t="s">
        <v>44</v>
      </c>
      <c r="I547" s="3">
        <v>2024</v>
      </c>
      <c r="J547" s="3" t="str">
        <f>CONCATENATE("44820245817")</f>
        <v>44820245817</v>
      </c>
      <c r="K547" s="3" t="s">
        <v>33</v>
      </c>
      <c r="L547" s="3" t="str">
        <f t="shared" si="32"/>
        <v/>
      </c>
      <c r="M547" s="3" t="str">
        <f t="shared" si="33"/>
        <v>SRB01</v>
      </c>
      <c r="N547" s="3" t="str">
        <f>CONCATENATE("CRDMHL95H06H282W")</f>
        <v>CRDMHL95H06H282W</v>
      </c>
      <c r="O547" s="3" t="s">
        <v>933</v>
      </c>
      <c r="P547" s="3" t="s">
        <v>35</v>
      </c>
      <c r="Q547" s="3" t="s">
        <v>759</v>
      </c>
      <c r="R547" s="4">
        <v>45933</v>
      </c>
      <c r="S547" s="3" t="s">
        <v>37</v>
      </c>
      <c r="T547" s="3" t="s">
        <v>38</v>
      </c>
      <c r="U547" s="3" t="s">
        <v>39</v>
      </c>
      <c r="V547" s="3">
        <v>371.86</v>
      </c>
      <c r="W547" s="3">
        <v>151.35</v>
      </c>
      <c r="X547" s="3">
        <v>154.36000000000001</v>
      </c>
      <c r="Y547" s="3">
        <v>66.150000000000006</v>
      </c>
    </row>
    <row r="548" spans="1:25" ht="41.5" hidden="1" x14ac:dyDescent="0.35">
      <c r="A548" s="3" t="s">
        <v>26</v>
      </c>
      <c r="B548" s="3" t="s">
        <v>27</v>
      </c>
      <c r="C548" s="3" t="s">
        <v>40</v>
      </c>
      <c r="D548" s="3" t="s">
        <v>41</v>
      </c>
      <c r="E548" s="3" t="s">
        <v>42</v>
      </c>
      <c r="F548" s="3" t="s">
        <v>43</v>
      </c>
      <c r="G548" s="3" t="s">
        <v>42</v>
      </c>
      <c r="H548" s="3" t="s">
        <v>44</v>
      </c>
      <c r="I548" s="3">
        <v>2024</v>
      </c>
      <c r="J548" s="3" t="str">
        <f>CONCATENATE("44820157392")</f>
        <v>44820157392</v>
      </c>
      <c r="K548" s="3" t="s">
        <v>33</v>
      </c>
      <c r="L548" s="3" t="str">
        <f t="shared" si="32"/>
        <v/>
      </c>
      <c r="M548" s="3" t="str">
        <f t="shared" si="33"/>
        <v>SRB01</v>
      </c>
      <c r="N548" s="3" t="str">
        <f>CONCATENATE("DCRMRZ60R07B008T")</f>
        <v>DCRMRZ60R07B008T</v>
      </c>
      <c r="O548" s="3" t="s">
        <v>934</v>
      </c>
      <c r="P548" s="3" t="s">
        <v>35</v>
      </c>
      <c r="Q548" s="3" t="s">
        <v>759</v>
      </c>
      <c r="R548" s="4">
        <v>45933</v>
      </c>
      <c r="S548" s="3" t="s">
        <v>37</v>
      </c>
      <c r="T548" s="3" t="s">
        <v>38</v>
      </c>
      <c r="U548" s="3" t="s">
        <v>39</v>
      </c>
      <c r="V548" s="5">
        <v>5152.53</v>
      </c>
      <c r="W548" s="5">
        <v>2097.08</v>
      </c>
      <c r="X548" s="5">
        <v>2138.8200000000002</v>
      </c>
      <c r="Y548" s="3">
        <v>916.63</v>
      </c>
    </row>
    <row r="549" spans="1:25" ht="41.5" hidden="1" x14ac:dyDescent="0.35">
      <c r="A549" s="3" t="s">
        <v>26</v>
      </c>
      <c r="B549" s="3" t="s">
        <v>27</v>
      </c>
      <c r="C549" s="3" t="s">
        <v>40</v>
      </c>
      <c r="D549" s="3" t="s">
        <v>51</v>
      </c>
      <c r="E549" s="3" t="s">
        <v>52</v>
      </c>
      <c r="F549" s="3" t="s">
        <v>51</v>
      </c>
      <c r="G549" s="3" t="s">
        <v>52</v>
      </c>
      <c r="H549" s="3" t="s">
        <v>44</v>
      </c>
      <c r="I549" s="3">
        <v>2024</v>
      </c>
      <c r="J549" s="3" t="str">
        <f>CONCATENATE("44820177499")</f>
        <v>44820177499</v>
      </c>
      <c r="K549" s="3" t="s">
        <v>33</v>
      </c>
      <c r="L549" s="3" t="str">
        <f t="shared" si="32"/>
        <v/>
      </c>
      <c r="M549" s="3" t="str">
        <f t="shared" si="33"/>
        <v>SRB01</v>
      </c>
      <c r="N549" s="3" t="str">
        <f>CONCATENATE("CRRLGU74E30A345E")</f>
        <v>CRRLGU74E30A345E</v>
      </c>
      <c r="O549" s="3" t="s">
        <v>935</v>
      </c>
      <c r="P549" s="3" t="s">
        <v>35</v>
      </c>
      <c r="Q549" s="3" t="s">
        <v>759</v>
      </c>
      <c r="R549" s="4">
        <v>45933</v>
      </c>
      <c r="S549" s="3" t="s">
        <v>37</v>
      </c>
      <c r="T549" s="3" t="s">
        <v>38</v>
      </c>
      <c r="U549" s="3" t="s">
        <v>39</v>
      </c>
      <c r="V549" s="3">
        <v>86.37</v>
      </c>
      <c r="W549" s="3">
        <v>35.15</v>
      </c>
      <c r="X549" s="3">
        <v>35.85</v>
      </c>
      <c r="Y549" s="3">
        <v>15.37</v>
      </c>
    </row>
    <row r="550" spans="1:25" ht="41.5" hidden="1" x14ac:dyDescent="0.35">
      <c r="A550" s="3" t="s">
        <v>26</v>
      </c>
      <c r="B550" s="3" t="s">
        <v>27</v>
      </c>
      <c r="C550" s="3" t="s">
        <v>40</v>
      </c>
      <c r="D550" s="3" t="s">
        <v>41</v>
      </c>
      <c r="E550" s="3" t="s">
        <v>42</v>
      </c>
      <c r="F550" s="3" t="s">
        <v>43</v>
      </c>
      <c r="G550" s="3" t="s">
        <v>42</v>
      </c>
      <c r="H550" s="3" t="s">
        <v>44</v>
      </c>
      <c r="I550" s="3">
        <v>2024</v>
      </c>
      <c r="J550" s="3" t="str">
        <f>CONCATENATE("44820010617")</f>
        <v>44820010617</v>
      </c>
      <c r="K550" s="3" t="s">
        <v>33</v>
      </c>
      <c r="L550" s="3" t="str">
        <f t="shared" si="32"/>
        <v/>
      </c>
      <c r="M550" s="3" t="str">
        <f t="shared" si="33"/>
        <v>SRB01</v>
      </c>
      <c r="N550" s="3" t="str">
        <f>CONCATENATE("CNTLRA62C70L117G")</f>
        <v>CNTLRA62C70L117G</v>
      </c>
      <c r="O550" s="3" t="s">
        <v>936</v>
      </c>
      <c r="P550" s="3" t="s">
        <v>35</v>
      </c>
      <c r="Q550" s="3" t="s">
        <v>759</v>
      </c>
      <c r="R550" s="4">
        <v>45933</v>
      </c>
      <c r="S550" s="3" t="s">
        <v>37</v>
      </c>
      <c r="T550" s="3" t="s">
        <v>38</v>
      </c>
      <c r="U550" s="3" t="s">
        <v>39</v>
      </c>
      <c r="V550" s="3">
        <v>218.4</v>
      </c>
      <c r="W550" s="3">
        <v>88.89</v>
      </c>
      <c r="X550" s="3">
        <v>90.66</v>
      </c>
      <c r="Y550" s="3">
        <v>38.85</v>
      </c>
    </row>
    <row r="551" spans="1:25" ht="49.5" hidden="1" x14ac:dyDescent="0.35">
      <c r="A551" s="3" t="s">
        <v>26</v>
      </c>
      <c r="B551" s="3" t="s">
        <v>27</v>
      </c>
      <c r="C551" s="3" t="s">
        <v>40</v>
      </c>
      <c r="D551" s="3" t="s">
        <v>61</v>
      </c>
      <c r="E551" s="3" t="s">
        <v>829</v>
      </c>
      <c r="F551" s="3" t="s">
        <v>63</v>
      </c>
      <c r="G551" s="3" t="s">
        <v>829</v>
      </c>
      <c r="H551" s="3" t="s">
        <v>44</v>
      </c>
      <c r="I551" s="3">
        <v>2024</v>
      </c>
      <c r="J551" s="3" t="str">
        <f>CONCATENATE("44820467791")</f>
        <v>44820467791</v>
      </c>
      <c r="K551" s="3" t="s">
        <v>33</v>
      </c>
      <c r="L551" s="3" t="str">
        <f t="shared" si="32"/>
        <v/>
      </c>
      <c r="M551" s="3" t="str">
        <f t="shared" si="33"/>
        <v>SRB01</v>
      </c>
      <c r="N551" s="3" t="str">
        <f>CONCATENATE("CLSMRT72B68H282G")</f>
        <v>CLSMRT72B68H282G</v>
      </c>
      <c r="O551" s="3" t="s">
        <v>937</v>
      </c>
      <c r="P551" s="3" t="s">
        <v>35</v>
      </c>
      <c r="Q551" s="3" t="s">
        <v>759</v>
      </c>
      <c r="R551" s="4">
        <v>45933</v>
      </c>
      <c r="S551" s="3" t="s">
        <v>37</v>
      </c>
      <c r="T551" s="3" t="s">
        <v>38</v>
      </c>
      <c r="U551" s="3" t="s">
        <v>39</v>
      </c>
      <c r="V551" s="3">
        <v>177.92</v>
      </c>
      <c r="W551" s="3">
        <v>72.41</v>
      </c>
      <c r="X551" s="3">
        <v>73.849999999999994</v>
      </c>
      <c r="Y551" s="3">
        <v>31.66</v>
      </c>
    </row>
    <row r="552" spans="1:25" ht="41.5" hidden="1" x14ac:dyDescent="0.35">
      <c r="A552" s="3" t="s">
        <v>26</v>
      </c>
      <c r="B552" s="3" t="s">
        <v>27</v>
      </c>
      <c r="C552" s="3" t="s">
        <v>40</v>
      </c>
      <c r="D552" s="3" t="s">
        <v>41</v>
      </c>
      <c r="E552" s="3" t="s">
        <v>42</v>
      </c>
      <c r="F552" s="3" t="s">
        <v>43</v>
      </c>
      <c r="G552" s="3" t="s">
        <v>42</v>
      </c>
      <c r="H552" s="3" t="s">
        <v>44</v>
      </c>
      <c r="I552" s="3">
        <v>2024</v>
      </c>
      <c r="J552" s="3" t="str">
        <f>CONCATENATE("44820467239")</f>
        <v>44820467239</v>
      </c>
      <c r="K552" s="3" t="s">
        <v>33</v>
      </c>
      <c r="L552" s="3" t="str">
        <f t="shared" si="32"/>
        <v/>
      </c>
      <c r="M552" s="3" t="str">
        <f t="shared" si="33"/>
        <v>SRB01</v>
      </c>
      <c r="N552" s="3" t="str">
        <f>CONCATENATE("DLCFNC50L02B008P")</f>
        <v>DLCFNC50L02B008P</v>
      </c>
      <c r="O552" s="3" t="s">
        <v>938</v>
      </c>
      <c r="P552" s="3" t="s">
        <v>35</v>
      </c>
      <c r="Q552" s="3" t="s">
        <v>759</v>
      </c>
      <c r="R552" s="4">
        <v>45933</v>
      </c>
      <c r="S552" s="3" t="s">
        <v>37</v>
      </c>
      <c r="T552" s="3" t="s">
        <v>38</v>
      </c>
      <c r="U552" s="3" t="s">
        <v>39</v>
      </c>
      <c r="V552" s="3">
        <v>399.15</v>
      </c>
      <c r="W552" s="3">
        <v>162.44999999999999</v>
      </c>
      <c r="X552" s="3">
        <v>165.69</v>
      </c>
      <c r="Y552" s="3">
        <v>71.010000000000005</v>
      </c>
    </row>
    <row r="553" spans="1:25" ht="41.5" hidden="1" x14ac:dyDescent="0.35">
      <c r="A553" s="3" t="s">
        <v>26</v>
      </c>
      <c r="B553" s="3" t="s">
        <v>27</v>
      </c>
      <c r="C553" s="3" t="s">
        <v>40</v>
      </c>
      <c r="D553" s="3" t="s">
        <v>41</v>
      </c>
      <c r="E553" s="3" t="s">
        <v>42</v>
      </c>
      <c r="F553" s="3" t="s">
        <v>43</v>
      </c>
      <c r="G553" s="3" t="s">
        <v>42</v>
      </c>
      <c r="H553" s="3" t="s">
        <v>44</v>
      </c>
      <c r="I553" s="3">
        <v>2024</v>
      </c>
      <c r="J553" s="3" t="str">
        <f>CONCATENATE("44820476016")</f>
        <v>44820476016</v>
      </c>
      <c r="K553" s="3" t="s">
        <v>33</v>
      </c>
      <c r="L553" s="3" t="str">
        <f t="shared" si="32"/>
        <v/>
      </c>
      <c r="M553" s="3" t="str">
        <f t="shared" si="33"/>
        <v>SRB01</v>
      </c>
      <c r="N553" s="3" t="str">
        <f>CONCATENATE("NPLMRC88B24A345T")</f>
        <v>NPLMRC88B24A345T</v>
      </c>
      <c r="O553" s="3" t="s">
        <v>939</v>
      </c>
      <c r="P553" s="3" t="s">
        <v>35</v>
      </c>
      <c r="Q553" s="3" t="s">
        <v>759</v>
      </c>
      <c r="R553" s="4">
        <v>45933</v>
      </c>
      <c r="S553" s="3" t="s">
        <v>37</v>
      </c>
      <c r="T553" s="3" t="s">
        <v>38</v>
      </c>
      <c r="U553" s="3" t="s">
        <v>39</v>
      </c>
      <c r="V553" s="3">
        <v>176.22</v>
      </c>
      <c r="W553" s="3">
        <v>71.72</v>
      </c>
      <c r="X553" s="3">
        <v>73.150000000000006</v>
      </c>
      <c r="Y553" s="3">
        <v>31.35</v>
      </c>
    </row>
    <row r="554" spans="1:25" ht="41.5" hidden="1" x14ac:dyDescent="0.35">
      <c r="A554" s="3" t="s">
        <v>26</v>
      </c>
      <c r="B554" s="3" t="s">
        <v>27</v>
      </c>
      <c r="C554" s="3" t="s">
        <v>40</v>
      </c>
      <c r="D554" s="3" t="s">
        <v>41</v>
      </c>
      <c r="E554" s="3" t="s">
        <v>42</v>
      </c>
      <c r="F554" s="3" t="s">
        <v>43</v>
      </c>
      <c r="G554" s="3" t="s">
        <v>42</v>
      </c>
      <c r="H554" s="3" t="s">
        <v>44</v>
      </c>
      <c r="I554" s="3">
        <v>2024</v>
      </c>
      <c r="J554" s="3" t="str">
        <f>CONCATENATE("44820211900")</f>
        <v>44820211900</v>
      </c>
      <c r="K554" s="3" t="s">
        <v>33</v>
      </c>
      <c r="L554" s="3" t="str">
        <f t="shared" si="32"/>
        <v/>
      </c>
      <c r="M554" s="3" t="str">
        <f t="shared" si="33"/>
        <v>SRB01</v>
      </c>
      <c r="N554" s="3" t="str">
        <f>CONCATENATE("PLNLCT59B59H579J")</f>
        <v>PLNLCT59B59H579J</v>
      </c>
      <c r="O554" s="3" t="s">
        <v>940</v>
      </c>
      <c r="P554" s="3" t="s">
        <v>35</v>
      </c>
      <c r="Q554" s="3" t="s">
        <v>759</v>
      </c>
      <c r="R554" s="4">
        <v>45933</v>
      </c>
      <c r="S554" s="3" t="s">
        <v>37</v>
      </c>
      <c r="T554" s="3" t="s">
        <v>38</v>
      </c>
      <c r="U554" s="3" t="s">
        <v>39</v>
      </c>
      <c r="V554" s="3">
        <v>26.81</v>
      </c>
      <c r="W554" s="3">
        <v>10.91</v>
      </c>
      <c r="X554" s="3">
        <v>11.13</v>
      </c>
      <c r="Y554" s="3">
        <v>4.7699999999999996</v>
      </c>
    </row>
    <row r="555" spans="1:25" ht="41.5" hidden="1" x14ac:dyDescent="0.35">
      <c r="A555" s="3" t="s">
        <v>26</v>
      </c>
      <c r="B555" s="3" t="s">
        <v>27</v>
      </c>
      <c r="C555" s="3" t="s">
        <v>40</v>
      </c>
      <c r="D555" s="3" t="s">
        <v>51</v>
      </c>
      <c r="E555" s="3" t="s">
        <v>941</v>
      </c>
      <c r="F555" s="3" t="s">
        <v>51</v>
      </c>
      <c r="G555" s="3" t="s">
        <v>941</v>
      </c>
      <c r="H555" s="3" t="s">
        <v>64</v>
      </c>
      <c r="I555" s="3">
        <v>2024</v>
      </c>
      <c r="J555" s="3" t="str">
        <f>CONCATENATE("44820377065")</f>
        <v>44820377065</v>
      </c>
      <c r="K555" s="3" t="s">
        <v>33</v>
      </c>
      <c r="L555" s="3" t="str">
        <f t="shared" si="32"/>
        <v/>
      </c>
      <c r="M555" s="3" t="str">
        <f t="shared" si="33"/>
        <v>SRB01</v>
      </c>
      <c r="N555" s="3" t="str">
        <f>CONCATENATE("GSINLN50S51E924S")</f>
        <v>GSINLN50S51E924S</v>
      </c>
      <c r="O555" s="3" t="s">
        <v>942</v>
      </c>
      <c r="P555" s="3" t="s">
        <v>35</v>
      </c>
      <c r="Q555" s="3" t="s">
        <v>759</v>
      </c>
      <c r="R555" s="4">
        <v>45933</v>
      </c>
      <c r="S555" s="3" t="s">
        <v>37</v>
      </c>
      <c r="T555" s="3" t="s">
        <v>38</v>
      </c>
      <c r="U555" s="3" t="s">
        <v>39</v>
      </c>
      <c r="V555" s="3">
        <v>327.12</v>
      </c>
      <c r="W555" s="3">
        <v>133.13999999999999</v>
      </c>
      <c r="X555" s="3">
        <v>135.79</v>
      </c>
      <c r="Y555" s="3">
        <v>58.19</v>
      </c>
    </row>
    <row r="556" spans="1:25" ht="41.5" hidden="1" x14ac:dyDescent="0.35">
      <c r="A556" s="3" t="s">
        <v>26</v>
      </c>
      <c r="B556" s="3" t="s">
        <v>27</v>
      </c>
      <c r="C556" s="3" t="s">
        <v>40</v>
      </c>
      <c r="D556" s="3" t="s">
        <v>61</v>
      </c>
      <c r="E556" s="3" t="s">
        <v>829</v>
      </c>
      <c r="F556" s="3" t="s">
        <v>63</v>
      </c>
      <c r="G556" s="3" t="s">
        <v>829</v>
      </c>
      <c r="H556" s="3" t="s">
        <v>44</v>
      </c>
      <c r="I556" s="3">
        <v>2024</v>
      </c>
      <c r="J556" s="3" t="str">
        <f>CONCATENATE("44820082160")</f>
        <v>44820082160</v>
      </c>
      <c r="K556" s="3" t="s">
        <v>33</v>
      </c>
      <c r="L556" s="3" t="str">
        <f t="shared" si="32"/>
        <v/>
      </c>
      <c r="M556" s="3" t="str">
        <f t="shared" si="33"/>
        <v>SRB01</v>
      </c>
      <c r="N556" s="3" t="str">
        <f>CONCATENATE("DSNMHL74R06H282Y")</f>
        <v>DSNMHL74R06H282Y</v>
      </c>
      <c r="O556" s="3" t="s">
        <v>943</v>
      </c>
      <c r="P556" s="3" t="s">
        <v>35</v>
      </c>
      <c r="Q556" s="3" t="s">
        <v>759</v>
      </c>
      <c r="R556" s="4">
        <v>45933</v>
      </c>
      <c r="S556" s="3" t="s">
        <v>37</v>
      </c>
      <c r="T556" s="3" t="s">
        <v>38</v>
      </c>
      <c r="U556" s="3" t="s">
        <v>39</v>
      </c>
      <c r="V556" s="3">
        <v>307.77</v>
      </c>
      <c r="W556" s="3">
        <v>125.26</v>
      </c>
      <c r="X556" s="3">
        <v>127.76</v>
      </c>
      <c r="Y556" s="3">
        <v>54.75</v>
      </c>
    </row>
    <row r="557" spans="1:25" ht="41.5" hidden="1" x14ac:dyDescent="0.35">
      <c r="A557" s="3" t="s">
        <v>26</v>
      </c>
      <c r="B557" s="3" t="s">
        <v>27</v>
      </c>
      <c r="C557" s="3" t="s">
        <v>40</v>
      </c>
      <c r="D557" s="3" t="s">
        <v>41</v>
      </c>
      <c r="E557" s="3" t="s">
        <v>42</v>
      </c>
      <c r="F557" s="3" t="s">
        <v>43</v>
      </c>
      <c r="G557" s="3" t="s">
        <v>42</v>
      </c>
      <c r="H557" s="3" t="s">
        <v>44</v>
      </c>
      <c r="I557" s="3">
        <v>2024</v>
      </c>
      <c r="J557" s="3" t="str">
        <f>CONCATENATE("44820476719")</f>
        <v>44820476719</v>
      </c>
      <c r="K557" s="3" t="s">
        <v>33</v>
      </c>
      <c r="L557" s="3" t="str">
        <f t="shared" si="32"/>
        <v/>
      </c>
      <c r="M557" s="3" t="str">
        <f t="shared" si="33"/>
        <v>SRB01</v>
      </c>
      <c r="N557" s="3" t="str">
        <f>CONCATENATE("PRNLSN94E30L182I")</f>
        <v>PRNLSN94E30L182I</v>
      </c>
      <c r="O557" s="3" t="s">
        <v>944</v>
      </c>
      <c r="P557" s="3" t="s">
        <v>35</v>
      </c>
      <c r="Q557" s="3" t="s">
        <v>759</v>
      </c>
      <c r="R557" s="4">
        <v>45933</v>
      </c>
      <c r="S557" s="3" t="s">
        <v>37</v>
      </c>
      <c r="T557" s="3" t="s">
        <v>38</v>
      </c>
      <c r="U557" s="3" t="s">
        <v>39</v>
      </c>
      <c r="V557" s="5">
        <v>2673.98</v>
      </c>
      <c r="W557" s="5">
        <v>1088.31</v>
      </c>
      <c r="X557" s="5">
        <v>1109.97</v>
      </c>
      <c r="Y557" s="3">
        <v>475.7</v>
      </c>
    </row>
    <row r="558" spans="1:25" ht="41.5" hidden="1" x14ac:dyDescent="0.35">
      <c r="A558" s="3" t="s">
        <v>26</v>
      </c>
      <c r="B558" s="3" t="s">
        <v>27</v>
      </c>
      <c r="C558" s="3" t="s">
        <v>40</v>
      </c>
      <c r="D558" s="3" t="s">
        <v>41</v>
      </c>
      <c r="E558" s="3" t="s">
        <v>42</v>
      </c>
      <c r="F558" s="3" t="s">
        <v>43</v>
      </c>
      <c r="G558" s="3" t="s">
        <v>42</v>
      </c>
      <c r="H558" s="3" t="s">
        <v>44</v>
      </c>
      <c r="I558" s="3">
        <v>2024</v>
      </c>
      <c r="J558" s="3" t="str">
        <f>CONCATENATE("44820158119")</f>
        <v>44820158119</v>
      </c>
      <c r="K558" s="3" t="s">
        <v>33</v>
      </c>
      <c r="L558" s="3" t="str">
        <f t="shared" si="32"/>
        <v/>
      </c>
      <c r="M558" s="3" t="str">
        <f t="shared" si="33"/>
        <v>SRB01</v>
      </c>
      <c r="N558" s="3" t="str">
        <f>CONCATENATE("DSMCRL60H41C841V")</f>
        <v>DSMCRL60H41C841V</v>
      </c>
      <c r="O558" s="3" t="s">
        <v>945</v>
      </c>
      <c r="P558" s="3" t="s">
        <v>35</v>
      </c>
      <c r="Q558" s="3" t="s">
        <v>759</v>
      </c>
      <c r="R558" s="4">
        <v>45933</v>
      </c>
      <c r="S558" s="3" t="s">
        <v>37</v>
      </c>
      <c r="T558" s="3" t="s">
        <v>38</v>
      </c>
      <c r="U558" s="3" t="s">
        <v>39</v>
      </c>
      <c r="V558" s="3">
        <v>485.94</v>
      </c>
      <c r="W558" s="3">
        <v>197.78</v>
      </c>
      <c r="X558" s="3">
        <v>201.71</v>
      </c>
      <c r="Y558" s="3">
        <v>86.45</v>
      </c>
    </row>
    <row r="559" spans="1:25" ht="41.5" hidden="1" x14ac:dyDescent="0.35">
      <c r="A559" s="3" t="s">
        <v>26</v>
      </c>
      <c r="B559" s="3" t="s">
        <v>27</v>
      </c>
      <c r="C559" s="3" t="s">
        <v>40</v>
      </c>
      <c r="D559" s="3" t="s">
        <v>41</v>
      </c>
      <c r="E559" s="3" t="s">
        <v>42</v>
      </c>
      <c r="F559" s="3" t="s">
        <v>43</v>
      </c>
      <c r="G559" s="3" t="s">
        <v>42</v>
      </c>
      <c r="H559" s="3" t="s">
        <v>44</v>
      </c>
      <c r="I559" s="3">
        <v>2024</v>
      </c>
      <c r="J559" s="3" t="str">
        <f>CONCATENATE("44820541066")</f>
        <v>44820541066</v>
      </c>
      <c r="K559" s="3" t="s">
        <v>33</v>
      </c>
      <c r="L559" s="3" t="str">
        <f t="shared" si="32"/>
        <v/>
      </c>
      <c r="M559" s="3" t="str">
        <f t="shared" si="33"/>
        <v>SRB01</v>
      </c>
      <c r="N559" s="3" t="str">
        <f>CONCATENATE("DCNRLL69L55B519N")</f>
        <v>DCNRLL69L55B519N</v>
      </c>
      <c r="O559" s="3" t="s">
        <v>946</v>
      </c>
      <c r="P559" s="3" t="s">
        <v>35</v>
      </c>
      <c r="Q559" s="3" t="s">
        <v>759</v>
      </c>
      <c r="R559" s="4">
        <v>45933</v>
      </c>
      <c r="S559" s="3" t="s">
        <v>37</v>
      </c>
      <c r="T559" s="3" t="s">
        <v>38</v>
      </c>
      <c r="U559" s="3" t="s">
        <v>39</v>
      </c>
      <c r="V559" s="3">
        <v>97.27</v>
      </c>
      <c r="W559" s="3">
        <v>39.590000000000003</v>
      </c>
      <c r="X559" s="3">
        <v>40.380000000000003</v>
      </c>
      <c r="Y559" s="3">
        <v>17.3</v>
      </c>
    </row>
    <row r="560" spans="1:25" ht="25.5" hidden="1" x14ac:dyDescent="0.35">
      <c r="A560" s="3" t="s">
        <v>26</v>
      </c>
      <c r="B560" s="3" t="s">
        <v>27</v>
      </c>
      <c r="C560" s="3" t="s">
        <v>40</v>
      </c>
      <c r="D560" s="3" t="s">
        <v>41</v>
      </c>
      <c r="E560" s="3" t="s">
        <v>42</v>
      </c>
      <c r="F560" s="3" t="s">
        <v>43</v>
      </c>
      <c r="G560" s="3" t="s">
        <v>42</v>
      </c>
      <c r="H560" s="3" t="s">
        <v>44</v>
      </c>
      <c r="I560" s="3">
        <v>2024</v>
      </c>
      <c r="J560" s="3" t="str">
        <f>CONCATENATE("44820210811")</f>
        <v>44820210811</v>
      </c>
      <c r="K560" s="3" t="s">
        <v>33</v>
      </c>
      <c r="L560" s="3" t="str">
        <f t="shared" si="32"/>
        <v/>
      </c>
      <c r="M560" s="3" t="str">
        <f t="shared" si="33"/>
        <v>SRB01</v>
      </c>
      <c r="N560" s="3" t="str">
        <f>CONCATENATE("00961470572")</f>
        <v>00961470572</v>
      </c>
      <c r="O560" s="3" t="s">
        <v>947</v>
      </c>
      <c r="P560" s="3" t="s">
        <v>35</v>
      </c>
      <c r="Q560" s="3" t="s">
        <v>759</v>
      </c>
      <c r="R560" s="4">
        <v>45933</v>
      </c>
      <c r="S560" s="3" t="s">
        <v>37</v>
      </c>
      <c r="T560" s="3" t="s">
        <v>38</v>
      </c>
      <c r="U560" s="3" t="s">
        <v>39</v>
      </c>
      <c r="V560" s="5">
        <v>1147.05</v>
      </c>
      <c r="W560" s="3">
        <v>466.85</v>
      </c>
      <c r="X560" s="3">
        <v>476.14</v>
      </c>
      <c r="Y560" s="3">
        <v>204.06</v>
      </c>
    </row>
    <row r="561" spans="1:25" ht="41.5" hidden="1" x14ac:dyDescent="0.35">
      <c r="A561" s="3" t="s">
        <v>26</v>
      </c>
      <c r="B561" s="3" t="s">
        <v>27</v>
      </c>
      <c r="C561" s="3" t="s">
        <v>40</v>
      </c>
      <c r="D561" s="3" t="s">
        <v>41</v>
      </c>
      <c r="E561" s="3" t="s">
        <v>125</v>
      </c>
      <c r="F561" s="3" t="s">
        <v>43</v>
      </c>
      <c r="G561" s="3" t="s">
        <v>125</v>
      </c>
      <c r="H561" s="3" t="s">
        <v>116</v>
      </c>
      <c r="I561" s="3">
        <v>2024</v>
      </c>
      <c r="J561" s="3" t="str">
        <f>CONCATENATE("44810218543")</f>
        <v>44810218543</v>
      </c>
      <c r="K561" s="3" t="s">
        <v>33</v>
      </c>
      <c r="L561" s="3" t="str">
        <f t="shared" si="32"/>
        <v/>
      </c>
      <c r="M561" s="3" t="str">
        <f>CONCATENATE("SRA14")</f>
        <v>SRA14</v>
      </c>
      <c r="N561" s="3" t="str">
        <f>CONCATENATE("GRSMLY97T42D662I")</f>
        <v>GRSMLY97T42D662I</v>
      </c>
      <c r="O561" s="3" t="s">
        <v>948</v>
      </c>
      <c r="P561" s="3" t="s">
        <v>35</v>
      </c>
      <c r="Q561" s="3" t="s">
        <v>764</v>
      </c>
      <c r="R561" s="4">
        <v>45933</v>
      </c>
      <c r="S561" s="3" t="s">
        <v>37</v>
      </c>
      <c r="T561" s="3" t="s">
        <v>38</v>
      </c>
      <c r="U561" s="3" t="s">
        <v>39</v>
      </c>
      <c r="V561" s="5">
        <v>4477.5</v>
      </c>
      <c r="W561" s="5">
        <v>1822.34</v>
      </c>
      <c r="X561" s="5">
        <v>1858.61</v>
      </c>
      <c r="Y561" s="3">
        <v>796.55</v>
      </c>
    </row>
    <row r="562" spans="1:25" ht="49.5" hidden="1" x14ac:dyDescent="0.35">
      <c r="A562" s="3" t="s">
        <v>26</v>
      </c>
      <c r="B562" s="3" t="s">
        <v>27</v>
      </c>
      <c r="C562" s="3" t="s">
        <v>40</v>
      </c>
      <c r="D562" s="3" t="s">
        <v>41</v>
      </c>
      <c r="E562" s="3" t="s">
        <v>42</v>
      </c>
      <c r="F562" s="3" t="s">
        <v>43</v>
      </c>
      <c r="G562" s="3" t="s">
        <v>42</v>
      </c>
      <c r="H562" s="3" t="s">
        <v>44</v>
      </c>
      <c r="I562" s="3">
        <v>2024</v>
      </c>
      <c r="J562" s="3" t="str">
        <f>CONCATENATE("44820370466")</f>
        <v>44820370466</v>
      </c>
      <c r="K562" s="3" t="s">
        <v>33</v>
      </c>
      <c r="L562" s="3" t="str">
        <f t="shared" si="32"/>
        <v/>
      </c>
      <c r="M562" s="3" t="str">
        <f t="shared" ref="M562:M572" si="34">CONCATENATE("SRB01")</f>
        <v>SRB01</v>
      </c>
      <c r="N562" s="3" t="str">
        <f>CONCATENATE("FRNGDM65P02B627I")</f>
        <v>FRNGDM65P02B627I</v>
      </c>
      <c r="O562" s="3" t="s">
        <v>949</v>
      </c>
      <c r="P562" s="3" t="s">
        <v>35</v>
      </c>
      <c r="Q562" s="3" t="s">
        <v>759</v>
      </c>
      <c r="R562" s="4">
        <v>45933</v>
      </c>
      <c r="S562" s="3" t="s">
        <v>37</v>
      </c>
      <c r="T562" s="3" t="s">
        <v>38</v>
      </c>
      <c r="U562" s="3" t="s">
        <v>39</v>
      </c>
      <c r="V562" s="3">
        <v>797.88</v>
      </c>
      <c r="W562" s="3">
        <v>324.74</v>
      </c>
      <c r="X562" s="3">
        <v>331.2</v>
      </c>
      <c r="Y562" s="3">
        <v>141.94</v>
      </c>
    </row>
    <row r="563" spans="1:25" ht="41.5" hidden="1" x14ac:dyDescent="0.35">
      <c r="A563" s="3" t="s">
        <v>26</v>
      </c>
      <c r="B563" s="3" t="s">
        <v>27</v>
      </c>
      <c r="C563" s="3" t="s">
        <v>40</v>
      </c>
      <c r="D563" s="3" t="s">
        <v>51</v>
      </c>
      <c r="E563" s="3" t="s">
        <v>52</v>
      </c>
      <c r="F563" s="3" t="s">
        <v>51</v>
      </c>
      <c r="G563" s="3" t="s">
        <v>52</v>
      </c>
      <c r="H563" s="3" t="s">
        <v>44</v>
      </c>
      <c r="I563" s="3">
        <v>2024</v>
      </c>
      <c r="J563" s="3" t="str">
        <f>CONCATENATE("44820438537")</f>
        <v>44820438537</v>
      </c>
      <c r="K563" s="3" t="s">
        <v>33</v>
      </c>
      <c r="L563" s="3" t="str">
        <f t="shared" si="32"/>
        <v/>
      </c>
      <c r="M563" s="3" t="str">
        <f t="shared" si="34"/>
        <v>SRB01</v>
      </c>
      <c r="N563" s="3" t="str">
        <f>CONCATENATE("GLNPLG57M09H282Z")</f>
        <v>GLNPLG57M09H282Z</v>
      </c>
      <c r="O563" s="3" t="s">
        <v>950</v>
      </c>
      <c r="P563" s="3" t="s">
        <v>35</v>
      </c>
      <c r="Q563" s="3" t="s">
        <v>759</v>
      </c>
      <c r="R563" s="4">
        <v>45933</v>
      </c>
      <c r="S563" s="3" t="s">
        <v>37</v>
      </c>
      <c r="T563" s="3" t="s">
        <v>38</v>
      </c>
      <c r="U563" s="3" t="s">
        <v>39</v>
      </c>
      <c r="V563" s="5">
        <v>6030.79</v>
      </c>
      <c r="W563" s="5">
        <v>2454.5300000000002</v>
      </c>
      <c r="X563" s="5">
        <v>2503.38</v>
      </c>
      <c r="Y563" s="5">
        <v>1072.8800000000001</v>
      </c>
    </row>
    <row r="564" spans="1:25" ht="41.5" hidden="1" x14ac:dyDescent="0.35">
      <c r="A564" s="3" t="s">
        <v>26</v>
      </c>
      <c r="B564" s="3" t="s">
        <v>27</v>
      </c>
      <c r="C564" s="3" t="s">
        <v>40</v>
      </c>
      <c r="D564" s="3" t="s">
        <v>61</v>
      </c>
      <c r="E564" s="3" t="s">
        <v>829</v>
      </c>
      <c r="F564" s="3" t="s">
        <v>63</v>
      </c>
      <c r="G564" s="3" t="s">
        <v>829</v>
      </c>
      <c r="H564" s="3" t="s">
        <v>44</v>
      </c>
      <c r="I564" s="3">
        <v>2024</v>
      </c>
      <c r="J564" s="3" t="str">
        <f>CONCATENATE("44820188942")</f>
        <v>44820188942</v>
      </c>
      <c r="K564" s="3" t="s">
        <v>33</v>
      </c>
      <c r="L564" s="3" t="str">
        <f t="shared" si="32"/>
        <v/>
      </c>
      <c r="M564" s="3" t="str">
        <f t="shared" si="34"/>
        <v>SRB01</v>
      </c>
      <c r="N564" s="3" t="str">
        <f>CONCATENATE("MRCDLA39L69B627Z")</f>
        <v>MRCDLA39L69B627Z</v>
      </c>
      <c r="O564" s="3" t="s">
        <v>951</v>
      </c>
      <c r="P564" s="3" t="s">
        <v>35</v>
      </c>
      <c r="Q564" s="3" t="s">
        <v>759</v>
      </c>
      <c r="R564" s="4">
        <v>45933</v>
      </c>
      <c r="S564" s="3" t="s">
        <v>37</v>
      </c>
      <c r="T564" s="3" t="s">
        <v>38</v>
      </c>
      <c r="U564" s="3" t="s">
        <v>39</v>
      </c>
      <c r="V564" s="3">
        <v>59.76</v>
      </c>
      <c r="W564" s="3">
        <v>24.32</v>
      </c>
      <c r="X564" s="3">
        <v>24.81</v>
      </c>
      <c r="Y564" s="3">
        <v>10.63</v>
      </c>
    </row>
    <row r="565" spans="1:25" ht="49.5" hidden="1" x14ac:dyDescent="0.35">
      <c r="A565" s="3" t="s">
        <v>26</v>
      </c>
      <c r="B565" s="3" t="s">
        <v>27</v>
      </c>
      <c r="C565" s="3" t="s">
        <v>40</v>
      </c>
      <c r="D565" s="3" t="s">
        <v>51</v>
      </c>
      <c r="E565" s="3" t="s">
        <v>52</v>
      </c>
      <c r="F565" s="3" t="s">
        <v>51</v>
      </c>
      <c r="G565" s="3" t="s">
        <v>52</v>
      </c>
      <c r="H565" s="3" t="s">
        <v>44</v>
      </c>
      <c r="I565" s="3">
        <v>2024</v>
      </c>
      <c r="J565" s="3" t="str">
        <f>CONCATENATE("44820122552")</f>
        <v>44820122552</v>
      </c>
      <c r="K565" s="3" t="s">
        <v>33</v>
      </c>
      <c r="L565" s="3" t="str">
        <f t="shared" si="32"/>
        <v/>
      </c>
      <c r="M565" s="3" t="str">
        <f t="shared" si="34"/>
        <v>SRB01</v>
      </c>
      <c r="N565" s="3" t="str">
        <f>CONCATENATE("MRNSFN80T16H282R")</f>
        <v>MRNSFN80T16H282R</v>
      </c>
      <c r="O565" s="3" t="s">
        <v>952</v>
      </c>
      <c r="P565" s="3" t="s">
        <v>35</v>
      </c>
      <c r="Q565" s="3" t="s">
        <v>759</v>
      </c>
      <c r="R565" s="4">
        <v>45933</v>
      </c>
      <c r="S565" s="3" t="s">
        <v>37</v>
      </c>
      <c r="T565" s="3" t="s">
        <v>38</v>
      </c>
      <c r="U565" s="3" t="s">
        <v>39</v>
      </c>
      <c r="V565" s="3">
        <v>680.31</v>
      </c>
      <c r="W565" s="3">
        <v>276.89</v>
      </c>
      <c r="X565" s="3">
        <v>282.39999999999998</v>
      </c>
      <c r="Y565" s="3">
        <v>121.02</v>
      </c>
    </row>
    <row r="566" spans="1:25" ht="41.5" hidden="1" x14ac:dyDescent="0.35">
      <c r="A566" s="3" t="s">
        <v>26</v>
      </c>
      <c r="B566" s="3" t="s">
        <v>27</v>
      </c>
      <c r="C566" s="3" t="s">
        <v>40</v>
      </c>
      <c r="D566" s="3" t="s">
        <v>41</v>
      </c>
      <c r="E566" s="3" t="s">
        <v>953</v>
      </c>
      <c r="F566" s="3" t="s">
        <v>43</v>
      </c>
      <c r="G566" s="3" t="s">
        <v>953</v>
      </c>
      <c r="H566" s="3" t="s">
        <v>64</v>
      </c>
      <c r="I566" s="3">
        <v>2024</v>
      </c>
      <c r="J566" s="3" t="str">
        <f>CONCATENATE("44820560587")</f>
        <v>44820560587</v>
      </c>
      <c r="K566" s="3" t="s">
        <v>33</v>
      </c>
      <c r="L566" s="3" t="str">
        <f t="shared" si="32"/>
        <v/>
      </c>
      <c r="M566" s="3" t="str">
        <f t="shared" si="34"/>
        <v>SRB01</v>
      </c>
      <c r="N566" s="3" t="str">
        <f>CONCATENATE("PLNGST59T27E924G")</f>
        <v>PLNGST59T27E924G</v>
      </c>
      <c r="O566" s="3" t="s">
        <v>954</v>
      </c>
      <c r="P566" s="3" t="s">
        <v>35</v>
      </c>
      <c r="Q566" s="3" t="s">
        <v>759</v>
      </c>
      <c r="R566" s="4">
        <v>45933</v>
      </c>
      <c r="S566" s="3" t="s">
        <v>37</v>
      </c>
      <c r="T566" s="3" t="s">
        <v>38</v>
      </c>
      <c r="U566" s="3" t="s">
        <v>39</v>
      </c>
      <c r="V566" s="3">
        <v>2.77</v>
      </c>
      <c r="W566" s="3">
        <v>1.1299999999999999</v>
      </c>
      <c r="X566" s="3">
        <v>1.1499999999999999</v>
      </c>
      <c r="Y566" s="3">
        <v>0.49</v>
      </c>
    </row>
    <row r="567" spans="1:25" ht="41.5" hidden="1" x14ac:dyDescent="0.35">
      <c r="A567" s="3" t="s">
        <v>26</v>
      </c>
      <c r="B567" s="3" t="s">
        <v>27</v>
      </c>
      <c r="C567" s="3" t="s">
        <v>40</v>
      </c>
      <c r="D567" s="3" t="s">
        <v>41</v>
      </c>
      <c r="E567" s="3" t="s">
        <v>955</v>
      </c>
      <c r="F567" s="3" t="s">
        <v>43</v>
      </c>
      <c r="G567" s="3" t="s">
        <v>955</v>
      </c>
      <c r="H567" s="3" t="s">
        <v>64</v>
      </c>
      <c r="I567" s="3">
        <v>2024</v>
      </c>
      <c r="J567" s="3" t="str">
        <f>CONCATENATE("44820490041")</f>
        <v>44820490041</v>
      </c>
      <c r="K567" s="3" t="s">
        <v>33</v>
      </c>
      <c r="L567" s="3" t="str">
        <f t="shared" si="32"/>
        <v/>
      </c>
      <c r="M567" s="3" t="str">
        <f t="shared" si="34"/>
        <v>SRB01</v>
      </c>
      <c r="N567" s="3" t="str">
        <f>CONCATENATE("MCLMRZ58L21B828H")</f>
        <v>MCLMRZ58L21B828H</v>
      </c>
      <c r="O567" s="3" t="s">
        <v>956</v>
      </c>
      <c r="P567" s="3" t="s">
        <v>35</v>
      </c>
      <c r="Q567" s="3" t="s">
        <v>759</v>
      </c>
      <c r="R567" s="4">
        <v>45933</v>
      </c>
      <c r="S567" s="3" t="s">
        <v>37</v>
      </c>
      <c r="T567" s="3" t="s">
        <v>38</v>
      </c>
      <c r="U567" s="3" t="s">
        <v>39</v>
      </c>
      <c r="V567" s="3">
        <v>415.81</v>
      </c>
      <c r="W567" s="3">
        <v>169.23</v>
      </c>
      <c r="X567" s="3">
        <v>172.6</v>
      </c>
      <c r="Y567" s="3">
        <v>73.98</v>
      </c>
    </row>
    <row r="568" spans="1:25" ht="49.5" hidden="1" x14ac:dyDescent="0.35">
      <c r="A568" s="3" t="s">
        <v>26</v>
      </c>
      <c r="B568" s="3" t="s">
        <v>27</v>
      </c>
      <c r="C568" s="3" t="s">
        <v>40</v>
      </c>
      <c r="D568" s="3" t="s">
        <v>41</v>
      </c>
      <c r="E568" s="3" t="s">
        <v>42</v>
      </c>
      <c r="F568" s="3" t="s">
        <v>43</v>
      </c>
      <c r="G568" s="3" t="s">
        <v>42</v>
      </c>
      <c r="H568" s="3" t="s">
        <v>44</v>
      </c>
      <c r="I568" s="3">
        <v>2024</v>
      </c>
      <c r="J568" s="3" t="str">
        <f>CONCATENATE("44820623476")</f>
        <v>44820623476</v>
      </c>
      <c r="K568" s="3" t="s">
        <v>33</v>
      </c>
      <c r="L568" s="3" t="str">
        <f t="shared" si="32"/>
        <v/>
      </c>
      <c r="M568" s="3" t="str">
        <f t="shared" si="34"/>
        <v>SRB01</v>
      </c>
      <c r="N568" s="3" t="str">
        <f>CONCATENATE("MCRNNT62H53B008R")</f>
        <v>MCRNNT62H53B008R</v>
      </c>
      <c r="O568" s="3" t="s">
        <v>957</v>
      </c>
      <c r="P568" s="3" t="s">
        <v>35</v>
      </c>
      <c r="Q568" s="3" t="s">
        <v>759</v>
      </c>
      <c r="R568" s="4">
        <v>45933</v>
      </c>
      <c r="S568" s="3" t="s">
        <v>37</v>
      </c>
      <c r="T568" s="3" t="s">
        <v>38</v>
      </c>
      <c r="U568" s="3" t="s">
        <v>39</v>
      </c>
      <c r="V568" s="3">
        <v>859.87</v>
      </c>
      <c r="W568" s="3">
        <v>349.97</v>
      </c>
      <c r="X568" s="3">
        <v>356.93</v>
      </c>
      <c r="Y568" s="3">
        <v>152.97</v>
      </c>
    </row>
    <row r="569" spans="1:25" ht="41.5" hidden="1" x14ac:dyDescent="0.35">
      <c r="A569" s="3" t="s">
        <v>26</v>
      </c>
      <c r="B569" s="3" t="s">
        <v>27</v>
      </c>
      <c r="C569" s="3" t="s">
        <v>40</v>
      </c>
      <c r="D569" s="3" t="s">
        <v>51</v>
      </c>
      <c r="E569" s="3" t="s">
        <v>52</v>
      </c>
      <c r="F569" s="3" t="s">
        <v>51</v>
      </c>
      <c r="G569" s="3" t="s">
        <v>52</v>
      </c>
      <c r="H569" s="3" t="s">
        <v>44</v>
      </c>
      <c r="I569" s="3">
        <v>2024</v>
      </c>
      <c r="J569" s="3" t="str">
        <f>CONCATENATE("44820438198")</f>
        <v>44820438198</v>
      </c>
      <c r="K569" s="3" t="s">
        <v>33</v>
      </c>
      <c r="L569" s="3" t="str">
        <f t="shared" si="32"/>
        <v/>
      </c>
      <c r="M569" s="3" t="str">
        <f t="shared" si="34"/>
        <v>SRB01</v>
      </c>
      <c r="N569" s="3" t="str">
        <f>CONCATENATE("MRCMLN98T12H282N")</f>
        <v>MRCMLN98T12H282N</v>
      </c>
      <c r="O569" s="3" t="s">
        <v>958</v>
      </c>
      <c r="P569" s="3" t="s">
        <v>35</v>
      </c>
      <c r="Q569" s="3" t="s">
        <v>759</v>
      </c>
      <c r="R569" s="4">
        <v>45933</v>
      </c>
      <c r="S569" s="3" t="s">
        <v>37</v>
      </c>
      <c r="T569" s="3" t="s">
        <v>38</v>
      </c>
      <c r="U569" s="3" t="s">
        <v>39</v>
      </c>
      <c r="V569" s="3">
        <v>63.69</v>
      </c>
      <c r="W569" s="3">
        <v>25.92</v>
      </c>
      <c r="X569" s="3">
        <v>26.44</v>
      </c>
      <c r="Y569" s="3">
        <v>11.33</v>
      </c>
    </row>
    <row r="570" spans="1:25" ht="49.5" hidden="1" x14ac:dyDescent="0.35">
      <c r="A570" s="3" t="s">
        <v>26</v>
      </c>
      <c r="B570" s="3" t="s">
        <v>27</v>
      </c>
      <c r="C570" s="3" t="s">
        <v>40</v>
      </c>
      <c r="D570" s="3" t="s">
        <v>41</v>
      </c>
      <c r="E570" s="3" t="s">
        <v>761</v>
      </c>
      <c r="F570" s="3" t="s">
        <v>43</v>
      </c>
      <c r="G570" s="3" t="s">
        <v>761</v>
      </c>
      <c r="H570" s="3" t="s">
        <v>44</v>
      </c>
      <c r="I570" s="3">
        <v>2024</v>
      </c>
      <c r="J570" s="3" t="str">
        <f>CONCATENATE("44820232914")</f>
        <v>44820232914</v>
      </c>
      <c r="K570" s="3" t="s">
        <v>33</v>
      </c>
      <c r="L570" s="3" t="str">
        <f t="shared" si="32"/>
        <v/>
      </c>
      <c r="M570" s="3" t="str">
        <f t="shared" si="34"/>
        <v>SRB01</v>
      </c>
      <c r="N570" s="3" t="str">
        <f>CONCATENATE("MRGCLD86B44H282S")</f>
        <v>MRGCLD86B44H282S</v>
      </c>
      <c r="O570" s="3" t="s">
        <v>959</v>
      </c>
      <c r="P570" s="3" t="s">
        <v>35</v>
      </c>
      <c r="Q570" s="3" t="s">
        <v>759</v>
      </c>
      <c r="R570" s="4">
        <v>45933</v>
      </c>
      <c r="S570" s="3" t="s">
        <v>37</v>
      </c>
      <c r="T570" s="3" t="s">
        <v>38</v>
      </c>
      <c r="U570" s="3" t="s">
        <v>39</v>
      </c>
      <c r="V570" s="3">
        <v>126.27</v>
      </c>
      <c r="W570" s="3">
        <v>51.39</v>
      </c>
      <c r="X570" s="3">
        <v>52.41</v>
      </c>
      <c r="Y570" s="3">
        <v>22.47</v>
      </c>
    </row>
    <row r="571" spans="1:25" ht="41.5" hidden="1" x14ac:dyDescent="0.35">
      <c r="A571" s="3" t="s">
        <v>26</v>
      </c>
      <c r="B571" s="3" t="s">
        <v>27</v>
      </c>
      <c r="C571" s="3" t="s">
        <v>40</v>
      </c>
      <c r="D571" s="3" t="s">
        <v>61</v>
      </c>
      <c r="E571" s="3" t="s">
        <v>829</v>
      </c>
      <c r="F571" s="3" t="s">
        <v>51</v>
      </c>
      <c r="G571" s="3" t="s">
        <v>52</v>
      </c>
      <c r="H571" s="3" t="s">
        <v>44</v>
      </c>
      <c r="I571" s="3">
        <v>2024</v>
      </c>
      <c r="J571" s="3" t="str">
        <f>CONCATENATE("44820189312")</f>
        <v>44820189312</v>
      </c>
      <c r="K571" s="3" t="s">
        <v>33</v>
      </c>
      <c r="L571" s="3" t="str">
        <f t="shared" si="32"/>
        <v/>
      </c>
      <c r="M571" s="3" t="str">
        <f t="shared" si="34"/>
        <v>SRB01</v>
      </c>
      <c r="N571" s="3" t="str">
        <f>CONCATENATE("MSCSNO68C48H501I")</f>
        <v>MSCSNO68C48H501I</v>
      </c>
      <c r="O571" s="3" t="s">
        <v>960</v>
      </c>
      <c r="P571" s="3" t="s">
        <v>35</v>
      </c>
      <c r="Q571" s="3" t="s">
        <v>759</v>
      </c>
      <c r="R571" s="4">
        <v>45933</v>
      </c>
      <c r="S571" s="3" t="s">
        <v>37</v>
      </c>
      <c r="T571" s="3" t="s">
        <v>38</v>
      </c>
      <c r="U571" s="3" t="s">
        <v>39</v>
      </c>
      <c r="V571" s="3">
        <v>85.62</v>
      </c>
      <c r="W571" s="3">
        <v>34.85</v>
      </c>
      <c r="X571" s="3">
        <v>35.54</v>
      </c>
      <c r="Y571" s="3">
        <v>15.23</v>
      </c>
    </row>
    <row r="572" spans="1:25" ht="41.5" hidden="1" x14ac:dyDescent="0.35">
      <c r="A572" s="3" t="s">
        <v>26</v>
      </c>
      <c r="B572" s="3" t="s">
        <v>27</v>
      </c>
      <c r="C572" s="3" t="s">
        <v>40</v>
      </c>
      <c r="D572" s="3" t="s">
        <v>41</v>
      </c>
      <c r="E572" s="3" t="s">
        <v>42</v>
      </c>
      <c r="F572" s="3" t="s">
        <v>43</v>
      </c>
      <c r="G572" s="3" t="s">
        <v>42</v>
      </c>
      <c r="H572" s="3" t="s">
        <v>44</v>
      </c>
      <c r="I572" s="3">
        <v>2024</v>
      </c>
      <c r="J572" s="3" t="str">
        <f>CONCATENATE("44820217147")</f>
        <v>44820217147</v>
      </c>
      <c r="K572" s="3" t="s">
        <v>33</v>
      </c>
      <c r="L572" s="3" t="str">
        <f t="shared" si="32"/>
        <v/>
      </c>
      <c r="M572" s="3" t="str">
        <f t="shared" si="34"/>
        <v>SRB01</v>
      </c>
      <c r="N572" s="3" t="str">
        <f>CONCATENATE("MLLLGU77C21L117J")</f>
        <v>MLLLGU77C21L117J</v>
      </c>
      <c r="O572" s="3" t="s">
        <v>961</v>
      </c>
      <c r="P572" s="3" t="s">
        <v>35</v>
      </c>
      <c r="Q572" s="3" t="s">
        <v>759</v>
      </c>
      <c r="R572" s="4">
        <v>45933</v>
      </c>
      <c r="S572" s="3" t="s">
        <v>37</v>
      </c>
      <c r="T572" s="3" t="s">
        <v>38</v>
      </c>
      <c r="U572" s="3" t="s">
        <v>39</v>
      </c>
      <c r="V572" s="3">
        <v>28.89</v>
      </c>
      <c r="W572" s="3">
        <v>11.76</v>
      </c>
      <c r="X572" s="3">
        <v>11.99</v>
      </c>
      <c r="Y572" s="3">
        <v>5.14</v>
      </c>
    </row>
    <row r="573" spans="1:25" ht="49.5" hidden="1" x14ac:dyDescent="0.35">
      <c r="A573" s="3" t="s">
        <v>26</v>
      </c>
      <c r="B573" s="3" t="s">
        <v>27</v>
      </c>
      <c r="C573" s="3" t="s">
        <v>658</v>
      </c>
      <c r="D573" s="3" t="s">
        <v>254</v>
      </c>
      <c r="E573" s="3" t="s">
        <v>962</v>
      </c>
      <c r="F573" s="3" t="s">
        <v>256</v>
      </c>
      <c r="G573" s="3" t="s">
        <v>962</v>
      </c>
      <c r="H573" s="3" t="s">
        <v>660</v>
      </c>
      <c r="I573" s="3">
        <v>2024</v>
      </c>
      <c r="J573" s="3" t="str">
        <f>CONCATENATE("44811149937")</f>
        <v>44811149937</v>
      </c>
      <c r="K573" s="3" t="s">
        <v>33</v>
      </c>
      <c r="L573" s="3" t="str">
        <f t="shared" si="32"/>
        <v/>
      </c>
      <c r="M573" s="3" t="str">
        <f>CONCATENATE("SRA08")</f>
        <v>SRA08</v>
      </c>
      <c r="N573" s="3" t="str">
        <f>CONCATENATE("DLBMNL85R08A326G")</f>
        <v>DLBMNL85R08A326G</v>
      </c>
      <c r="O573" s="3" t="s">
        <v>963</v>
      </c>
      <c r="P573" s="3" t="s">
        <v>35</v>
      </c>
      <c r="Q573" s="3" t="s">
        <v>964</v>
      </c>
      <c r="R573" s="4">
        <v>45926</v>
      </c>
      <c r="S573" s="3" t="s">
        <v>37</v>
      </c>
      <c r="T573" s="3" t="s">
        <v>38</v>
      </c>
      <c r="U573" s="3" t="s">
        <v>39</v>
      </c>
      <c r="V573" s="5">
        <v>12870.59</v>
      </c>
      <c r="W573" s="5">
        <v>5238.33</v>
      </c>
      <c r="X573" s="5">
        <v>5342.58</v>
      </c>
      <c r="Y573" s="5">
        <v>2289.6799999999998</v>
      </c>
    </row>
    <row r="574" spans="1:25" ht="41.5" hidden="1" x14ac:dyDescent="0.35">
      <c r="A574" s="3" t="s">
        <v>26</v>
      </c>
      <c r="B574" s="3" t="s">
        <v>27</v>
      </c>
      <c r="C574" s="3" t="s">
        <v>658</v>
      </c>
      <c r="D574" s="3" t="s">
        <v>29</v>
      </c>
      <c r="E574" s="3" t="s">
        <v>965</v>
      </c>
      <c r="F574" s="3" t="s">
        <v>31</v>
      </c>
      <c r="G574" s="3" t="s">
        <v>965</v>
      </c>
      <c r="H574" s="3" t="s">
        <v>660</v>
      </c>
      <c r="I574" s="3">
        <v>2024</v>
      </c>
      <c r="J574" s="3" t="str">
        <f>CONCATENATE("44810929388")</f>
        <v>44810929388</v>
      </c>
      <c r="K574" s="3" t="s">
        <v>33</v>
      </c>
      <c r="L574" s="3" t="str">
        <f t="shared" si="32"/>
        <v/>
      </c>
      <c r="M574" s="3" t="str">
        <f>CONCATENATE("SRA08")</f>
        <v>SRA08</v>
      </c>
      <c r="N574" s="3" t="str">
        <f>CONCATENATE("GLSVNI53P69A326B")</f>
        <v>GLSVNI53P69A326B</v>
      </c>
      <c r="O574" s="3" t="s">
        <v>966</v>
      </c>
      <c r="P574" s="3" t="s">
        <v>35</v>
      </c>
      <c r="Q574" s="3" t="s">
        <v>964</v>
      </c>
      <c r="R574" s="4">
        <v>45926</v>
      </c>
      <c r="S574" s="3" t="s">
        <v>37</v>
      </c>
      <c r="T574" s="3" t="s">
        <v>38</v>
      </c>
      <c r="U574" s="3" t="s">
        <v>39</v>
      </c>
      <c r="V574" s="5">
        <v>11379.83</v>
      </c>
      <c r="W574" s="5">
        <v>4631.59</v>
      </c>
      <c r="X574" s="5">
        <v>4723.7700000000004</v>
      </c>
      <c r="Y574" s="5">
        <v>2024.47</v>
      </c>
    </row>
    <row r="575" spans="1:25" ht="41.5" hidden="1" x14ac:dyDescent="0.35">
      <c r="A575" s="3" t="s">
        <v>26</v>
      </c>
      <c r="B575" s="3" t="s">
        <v>27</v>
      </c>
      <c r="C575" s="3" t="s">
        <v>40</v>
      </c>
      <c r="D575" s="3" t="s">
        <v>51</v>
      </c>
      <c r="E575" s="3" t="s">
        <v>52</v>
      </c>
      <c r="F575" s="3" t="s">
        <v>51</v>
      </c>
      <c r="G575" s="3" t="s">
        <v>52</v>
      </c>
      <c r="H575" s="3" t="s">
        <v>44</v>
      </c>
      <c r="I575" s="3">
        <v>2024</v>
      </c>
      <c r="J575" s="3" t="str">
        <f>CONCATENATE("44820437968")</f>
        <v>44820437968</v>
      </c>
      <c r="K575" s="3" t="s">
        <v>33</v>
      </c>
      <c r="L575" s="3" t="str">
        <f t="shared" si="32"/>
        <v/>
      </c>
      <c r="M575" s="3" t="str">
        <f>CONCATENATE("SRB01")</f>
        <v>SRB01</v>
      </c>
      <c r="N575" s="3" t="str">
        <f>CONCATENATE("MCCLDR40S26H354W")</f>
        <v>MCCLDR40S26H354W</v>
      </c>
      <c r="O575" s="3" t="s">
        <v>967</v>
      </c>
      <c r="P575" s="3" t="s">
        <v>35</v>
      </c>
      <c r="Q575" s="3" t="s">
        <v>759</v>
      </c>
      <c r="R575" s="4">
        <v>45933</v>
      </c>
      <c r="S575" s="3" t="s">
        <v>37</v>
      </c>
      <c r="T575" s="3" t="s">
        <v>38</v>
      </c>
      <c r="U575" s="3" t="s">
        <v>39</v>
      </c>
      <c r="V575" s="5">
        <v>2115.63</v>
      </c>
      <c r="W575" s="3">
        <v>861.06</v>
      </c>
      <c r="X575" s="3">
        <v>878.2</v>
      </c>
      <c r="Y575" s="3">
        <v>376.37</v>
      </c>
    </row>
    <row r="576" spans="1:25" ht="41.5" hidden="1" x14ac:dyDescent="0.35">
      <c r="A576" s="3" t="s">
        <v>26</v>
      </c>
      <c r="B576" s="3" t="s">
        <v>27</v>
      </c>
      <c r="C576" s="3" t="s">
        <v>40</v>
      </c>
      <c r="D576" s="3" t="s">
        <v>61</v>
      </c>
      <c r="E576" s="3" t="s">
        <v>829</v>
      </c>
      <c r="F576" s="3" t="s">
        <v>63</v>
      </c>
      <c r="G576" s="3" t="s">
        <v>829</v>
      </c>
      <c r="H576" s="3" t="s">
        <v>44</v>
      </c>
      <c r="I576" s="3">
        <v>2024</v>
      </c>
      <c r="J576" s="3" t="str">
        <f>CONCATENATE("44820189924")</f>
        <v>44820189924</v>
      </c>
      <c r="K576" s="3" t="s">
        <v>33</v>
      </c>
      <c r="L576" s="3" t="str">
        <f t="shared" si="32"/>
        <v/>
      </c>
      <c r="M576" s="3" t="str">
        <f>CONCATENATE("SRB01")</f>
        <v>SRB01</v>
      </c>
      <c r="N576" s="3" t="str">
        <f>CONCATENATE("MCRMRT61E02A019Q")</f>
        <v>MCRMRT61E02A019Q</v>
      </c>
      <c r="O576" s="3" t="s">
        <v>968</v>
      </c>
      <c r="P576" s="3" t="s">
        <v>35</v>
      </c>
      <c r="Q576" s="3" t="s">
        <v>759</v>
      </c>
      <c r="R576" s="4">
        <v>45933</v>
      </c>
      <c r="S576" s="3" t="s">
        <v>37</v>
      </c>
      <c r="T576" s="3" t="s">
        <v>38</v>
      </c>
      <c r="U576" s="3" t="s">
        <v>39</v>
      </c>
      <c r="V576" s="3">
        <v>4.05</v>
      </c>
      <c r="W576" s="3">
        <v>1.65</v>
      </c>
      <c r="X576" s="3">
        <v>1.68</v>
      </c>
      <c r="Y576" s="3">
        <v>0.72</v>
      </c>
    </row>
    <row r="577" spans="1:25" ht="49.5" hidden="1" x14ac:dyDescent="0.35">
      <c r="A577" s="3" t="s">
        <v>26</v>
      </c>
      <c r="B577" s="3" t="s">
        <v>27</v>
      </c>
      <c r="C577" s="3" t="s">
        <v>40</v>
      </c>
      <c r="D577" s="3" t="s">
        <v>61</v>
      </c>
      <c r="E577" s="3" t="s">
        <v>829</v>
      </c>
      <c r="F577" s="3" t="s">
        <v>63</v>
      </c>
      <c r="G577" s="3" t="s">
        <v>829</v>
      </c>
      <c r="H577" s="3" t="s">
        <v>44</v>
      </c>
      <c r="I577" s="3">
        <v>2024</v>
      </c>
      <c r="J577" s="3" t="str">
        <f>CONCATENATE("44820489936")</f>
        <v>44820489936</v>
      </c>
      <c r="K577" s="3" t="s">
        <v>33</v>
      </c>
      <c r="L577" s="3" t="str">
        <f t="shared" si="32"/>
        <v/>
      </c>
      <c r="M577" s="3" t="str">
        <f>CONCATENATE("SRB01")</f>
        <v>SRB01</v>
      </c>
      <c r="N577" s="3" t="str">
        <f>CONCATENATE("RSSFNC92R19H282N")</f>
        <v>RSSFNC92R19H282N</v>
      </c>
      <c r="O577" s="3" t="s">
        <v>969</v>
      </c>
      <c r="P577" s="3" t="s">
        <v>35</v>
      </c>
      <c r="Q577" s="3" t="s">
        <v>759</v>
      </c>
      <c r="R577" s="4">
        <v>45933</v>
      </c>
      <c r="S577" s="3" t="s">
        <v>37</v>
      </c>
      <c r="T577" s="3" t="s">
        <v>38</v>
      </c>
      <c r="U577" s="3" t="s">
        <v>39</v>
      </c>
      <c r="V577" s="5">
        <v>1966.82</v>
      </c>
      <c r="W577" s="3">
        <v>800.5</v>
      </c>
      <c r="X577" s="3">
        <v>816.43</v>
      </c>
      <c r="Y577" s="3">
        <v>349.89</v>
      </c>
    </row>
    <row r="578" spans="1:25" ht="49.5" hidden="1" x14ac:dyDescent="0.35">
      <c r="A578" s="3" t="s">
        <v>26</v>
      </c>
      <c r="B578" s="3" t="s">
        <v>27</v>
      </c>
      <c r="C578" s="3" t="s">
        <v>40</v>
      </c>
      <c r="D578" s="3" t="s">
        <v>61</v>
      </c>
      <c r="E578" s="3" t="s">
        <v>829</v>
      </c>
      <c r="F578" s="3" t="s">
        <v>63</v>
      </c>
      <c r="G578" s="3" t="s">
        <v>829</v>
      </c>
      <c r="H578" s="3" t="s">
        <v>44</v>
      </c>
      <c r="I578" s="3">
        <v>2024</v>
      </c>
      <c r="J578" s="3" t="str">
        <f>CONCATENATE("44820405494")</f>
        <v>44820405494</v>
      </c>
      <c r="K578" s="3" t="s">
        <v>33</v>
      </c>
      <c r="L578" s="3" t="str">
        <f t="shared" si="32"/>
        <v/>
      </c>
      <c r="M578" s="3" t="str">
        <f>CONCATENATE("SRB01")</f>
        <v>SRB01</v>
      </c>
      <c r="N578" s="3" t="str">
        <f>CONCATENATE("MCHDVD94M31H282U")</f>
        <v>MCHDVD94M31H282U</v>
      </c>
      <c r="O578" s="3" t="s">
        <v>970</v>
      </c>
      <c r="P578" s="3" t="s">
        <v>35</v>
      </c>
      <c r="Q578" s="3" t="s">
        <v>759</v>
      </c>
      <c r="R578" s="4">
        <v>45933</v>
      </c>
      <c r="S578" s="3" t="s">
        <v>37</v>
      </c>
      <c r="T578" s="3" t="s">
        <v>38</v>
      </c>
      <c r="U578" s="3" t="s">
        <v>39</v>
      </c>
      <c r="V578" s="3">
        <v>102.33</v>
      </c>
      <c r="W578" s="3">
        <v>41.65</v>
      </c>
      <c r="X578" s="3">
        <v>42.48</v>
      </c>
      <c r="Y578" s="3">
        <v>18.2</v>
      </c>
    </row>
    <row r="579" spans="1:25" ht="41.5" hidden="1" x14ac:dyDescent="0.35">
      <c r="A579" s="3" t="s">
        <v>26</v>
      </c>
      <c r="B579" s="3" t="s">
        <v>27</v>
      </c>
      <c r="C579" s="3" t="s">
        <v>40</v>
      </c>
      <c r="D579" s="3" t="s">
        <v>41</v>
      </c>
      <c r="E579" s="3" t="s">
        <v>125</v>
      </c>
      <c r="F579" s="3" t="s">
        <v>43</v>
      </c>
      <c r="G579" s="3" t="s">
        <v>125</v>
      </c>
      <c r="H579" s="3" t="s">
        <v>116</v>
      </c>
      <c r="I579" s="3">
        <v>2024</v>
      </c>
      <c r="J579" s="3" t="str">
        <f>CONCATENATE("44810666139")</f>
        <v>44810666139</v>
      </c>
      <c r="K579" s="3" t="s">
        <v>33</v>
      </c>
      <c r="L579" s="3" t="str">
        <f t="shared" si="32"/>
        <v/>
      </c>
      <c r="M579" s="3" t="str">
        <f>CONCATENATE("SRA14")</f>
        <v>SRA14</v>
      </c>
      <c r="N579" s="3" t="str">
        <f>CONCATENATE("DLCBGI54R20F616H")</f>
        <v>DLCBGI54R20F616H</v>
      </c>
      <c r="O579" s="3" t="s">
        <v>971</v>
      </c>
      <c r="P579" s="3" t="s">
        <v>35</v>
      </c>
      <c r="Q579" s="3" t="s">
        <v>764</v>
      </c>
      <c r="R579" s="4">
        <v>45933</v>
      </c>
      <c r="S579" s="3" t="s">
        <v>37</v>
      </c>
      <c r="T579" s="3" t="s">
        <v>38</v>
      </c>
      <c r="U579" s="3" t="s">
        <v>39</v>
      </c>
      <c r="V579" s="5">
        <v>5100</v>
      </c>
      <c r="W579" s="5">
        <v>2075.6999999999998</v>
      </c>
      <c r="X579" s="5">
        <v>2117.0100000000002</v>
      </c>
      <c r="Y579" s="3">
        <v>907.29</v>
      </c>
    </row>
    <row r="580" spans="1:25" ht="41.5" hidden="1" x14ac:dyDescent="0.35">
      <c r="A580" s="3" t="s">
        <v>26</v>
      </c>
      <c r="B580" s="3" t="s">
        <v>27</v>
      </c>
      <c r="C580" s="3" t="s">
        <v>40</v>
      </c>
      <c r="D580" s="3" t="s">
        <v>51</v>
      </c>
      <c r="E580" s="3" t="s">
        <v>52</v>
      </c>
      <c r="F580" s="3" t="s">
        <v>51</v>
      </c>
      <c r="G580" s="3" t="s">
        <v>52</v>
      </c>
      <c r="H580" s="3" t="s">
        <v>44</v>
      </c>
      <c r="I580" s="3">
        <v>2024</v>
      </c>
      <c r="J580" s="3" t="str">
        <f>CONCATENATE("44820290946")</f>
        <v>44820290946</v>
      </c>
      <c r="K580" s="3" t="s">
        <v>33</v>
      </c>
      <c r="L580" s="3" t="str">
        <f t="shared" ref="L580:L643" si="35">CONCATENATE("")</f>
        <v/>
      </c>
      <c r="M580" s="3" t="str">
        <f>CONCATENATE("SRB01")</f>
        <v>SRB01</v>
      </c>
      <c r="N580" s="3" t="str">
        <f>CONCATENATE("PCTCLR94T70H282K")</f>
        <v>PCTCLR94T70H282K</v>
      </c>
      <c r="O580" s="3" t="s">
        <v>972</v>
      </c>
      <c r="P580" s="3" t="s">
        <v>35</v>
      </c>
      <c r="Q580" s="3" t="s">
        <v>759</v>
      </c>
      <c r="R580" s="4">
        <v>45933</v>
      </c>
      <c r="S580" s="3" t="s">
        <v>37</v>
      </c>
      <c r="T580" s="3" t="s">
        <v>38</v>
      </c>
      <c r="U580" s="3" t="s">
        <v>39</v>
      </c>
      <c r="V580" s="5">
        <v>2252.41</v>
      </c>
      <c r="W580" s="3">
        <v>916.73</v>
      </c>
      <c r="X580" s="3">
        <v>934.98</v>
      </c>
      <c r="Y580" s="3">
        <v>400.7</v>
      </c>
    </row>
    <row r="581" spans="1:25" ht="41.5" hidden="1" x14ac:dyDescent="0.35">
      <c r="A581" s="3" t="s">
        <v>26</v>
      </c>
      <c r="B581" s="3" t="s">
        <v>27</v>
      </c>
      <c r="C581" s="3" t="s">
        <v>40</v>
      </c>
      <c r="D581" s="3" t="s">
        <v>55</v>
      </c>
      <c r="E581" s="3" t="s">
        <v>973</v>
      </c>
      <c r="F581" s="3" t="s">
        <v>57</v>
      </c>
      <c r="G581" s="3" t="s">
        <v>973</v>
      </c>
      <c r="H581" s="3" t="s">
        <v>44</v>
      </c>
      <c r="I581" s="3">
        <v>2024</v>
      </c>
      <c r="J581" s="3" t="str">
        <f>CONCATENATE("44820120531")</f>
        <v>44820120531</v>
      </c>
      <c r="K581" s="3" t="s">
        <v>33</v>
      </c>
      <c r="L581" s="3" t="str">
        <f t="shared" si="35"/>
        <v/>
      </c>
      <c r="M581" s="3" t="str">
        <f>CONCATENATE("SRB01")</f>
        <v>SRB01</v>
      </c>
      <c r="N581" s="3" t="str">
        <f>CONCATENATE("SLLFBA70S20H282L")</f>
        <v>SLLFBA70S20H282L</v>
      </c>
      <c r="O581" s="3" t="s">
        <v>974</v>
      </c>
      <c r="P581" s="3" t="s">
        <v>35</v>
      </c>
      <c r="Q581" s="3" t="s">
        <v>759</v>
      </c>
      <c r="R581" s="4">
        <v>45933</v>
      </c>
      <c r="S581" s="3" t="s">
        <v>37</v>
      </c>
      <c r="T581" s="3" t="s">
        <v>38</v>
      </c>
      <c r="U581" s="3" t="s">
        <v>39</v>
      </c>
      <c r="V581" s="3">
        <v>210.96</v>
      </c>
      <c r="W581" s="3">
        <v>85.86</v>
      </c>
      <c r="X581" s="3">
        <v>87.57</v>
      </c>
      <c r="Y581" s="3">
        <v>37.53</v>
      </c>
    </row>
    <row r="582" spans="1:25" ht="25.5" hidden="1" x14ac:dyDescent="0.35">
      <c r="A582" s="3" t="s">
        <v>26</v>
      </c>
      <c r="B582" s="3" t="s">
        <v>27</v>
      </c>
      <c r="C582" s="3" t="s">
        <v>40</v>
      </c>
      <c r="D582" s="3" t="s">
        <v>61</v>
      </c>
      <c r="E582" s="3" t="s">
        <v>656</v>
      </c>
      <c r="F582" s="3" t="s">
        <v>63</v>
      </c>
      <c r="G582" s="3" t="s">
        <v>656</v>
      </c>
      <c r="H582" s="3" t="s">
        <v>64</v>
      </c>
      <c r="I582" s="3">
        <v>2024</v>
      </c>
      <c r="J582" s="3" t="str">
        <f>CONCATENATE("44820764148")</f>
        <v>44820764148</v>
      </c>
      <c r="K582" s="3" t="s">
        <v>33</v>
      </c>
      <c r="L582" s="3" t="str">
        <f t="shared" si="35"/>
        <v/>
      </c>
      <c r="M582" s="3" t="str">
        <f>CONCATENATE("SRB01")</f>
        <v>SRB01</v>
      </c>
      <c r="N582" s="3" t="str">
        <f>CONCATENATE("02454440062")</f>
        <v>02454440062</v>
      </c>
      <c r="O582" s="3" t="s">
        <v>975</v>
      </c>
      <c r="P582" s="3" t="s">
        <v>35</v>
      </c>
      <c r="Q582" s="3" t="s">
        <v>759</v>
      </c>
      <c r="R582" s="4">
        <v>45933</v>
      </c>
      <c r="S582" s="3" t="s">
        <v>37</v>
      </c>
      <c r="T582" s="3" t="s">
        <v>38</v>
      </c>
      <c r="U582" s="3" t="s">
        <v>39</v>
      </c>
      <c r="V582" s="3">
        <v>108.66</v>
      </c>
      <c r="W582" s="3">
        <v>44.22</v>
      </c>
      <c r="X582" s="3">
        <v>45.1</v>
      </c>
      <c r="Y582" s="3">
        <v>19.34</v>
      </c>
    </row>
    <row r="583" spans="1:25" ht="41.5" hidden="1" x14ac:dyDescent="0.35">
      <c r="A583" s="3" t="s">
        <v>26</v>
      </c>
      <c r="B583" s="3" t="s">
        <v>27</v>
      </c>
      <c r="C583" s="3" t="s">
        <v>40</v>
      </c>
      <c r="D583" s="3" t="s">
        <v>137</v>
      </c>
      <c r="E583" s="3" t="s">
        <v>138</v>
      </c>
      <c r="F583" s="3" t="s">
        <v>139</v>
      </c>
      <c r="G583" s="3" t="s">
        <v>138</v>
      </c>
      <c r="H583" s="3" t="s">
        <v>44</v>
      </c>
      <c r="I583" s="3">
        <v>2024</v>
      </c>
      <c r="J583" s="3" t="str">
        <f>CONCATENATE("44820626396")</f>
        <v>44820626396</v>
      </c>
      <c r="K583" s="3" t="s">
        <v>33</v>
      </c>
      <c r="L583" s="3" t="str">
        <f t="shared" si="35"/>
        <v/>
      </c>
      <c r="M583" s="3" t="str">
        <f>CONCATENATE("SRB01")</f>
        <v>SRB01</v>
      </c>
      <c r="N583" s="3" t="str">
        <f>CONCATENATE("SBSNCM80B28H501L")</f>
        <v>SBSNCM80B28H501L</v>
      </c>
      <c r="O583" s="3" t="s">
        <v>976</v>
      </c>
      <c r="P583" s="3" t="s">
        <v>35</v>
      </c>
      <c r="Q583" s="3" t="s">
        <v>759</v>
      </c>
      <c r="R583" s="4">
        <v>45933</v>
      </c>
      <c r="S583" s="3" t="s">
        <v>37</v>
      </c>
      <c r="T583" s="3" t="s">
        <v>38</v>
      </c>
      <c r="U583" s="3" t="s">
        <v>39</v>
      </c>
      <c r="V583" s="5">
        <v>1032.54</v>
      </c>
      <c r="W583" s="3">
        <v>420.24</v>
      </c>
      <c r="X583" s="3">
        <v>428.61</v>
      </c>
      <c r="Y583" s="3">
        <v>183.69</v>
      </c>
    </row>
    <row r="584" spans="1:25" ht="41.5" hidden="1" x14ac:dyDescent="0.35">
      <c r="A584" s="3" t="s">
        <v>26</v>
      </c>
      <c r="B584" s="3" t="s">
        <v>27</v>
      </c>
      <c r="C584" s="3" t="s">
        <v>40</v>
      </c>
      <c r="D584" s="3" t="s">
        <v>51</v>
      </c>
      <c r="E584" s="3" t="s">
        <v>52</v>
      </c>
      <c r="F584" s="3" t="s">
        <v>85</v>
      </c>
      <c r="G584" s="3" t="s">
        <v>839</v>
      </c>
      <c r="H584" s="3" t="s">
        <v>44</v>
      </c>
      <c r="I584" s="3">
        <v>2024</v>
      </c>
      <c r="J584" s="3" t="str">
        <f>CONCATENATE("44820538039")</f>
        <v>44820538039</v>
      </c>
      <c r="K584" s="3" t="s">
        <v>33</v>
      </c>
      <c r="L584" s="3" t="str">
        <f t="shared" si="35"/>
        <v/>
      </c>
      <c r="M584" s="3" t="str">
        <f>CONCATENATE("SRB01")</f>
        <v>SRB01</v>
      </c>
      <c r="N584" s="3" t="str">
        <f>CONCATENATE("TMSMLL76E48H282P")</f>
        <v>TMSMLL76E48H282P</v>
      </c>
      <c r="O584" s="3" t="s">
        <v>977</v>
      </c>
      <c r="P584" s="3" t="s">
        <v>35</v>
      </c>
      <c r="Q584" s="3" t="s">
        <v>759</v>
      </c>
      <c r="R584" s="4">
        <v>45933</v>
      </c>
      <c r="S584" s="3" t="s">
        <v>37</v>
      </c>
      <c r="T584" s="3" t="s">
        <v>38</v>
      </c>
      <c r="U584" s="3" t="s">
        <v>39</v>
      </c>
      <c r="V584" s="3">
        <v>33.03</v>
      </c>
      <c r="W584" s="3">
        <v>13.44</v>
      </c>
      <c r="X584" s="3">
        <v>13.71</v>
      </c>
      <c r="Y584" s="3">
        <v>5.88</v>
      </c>
    </row>
    <row r="585" spans="1:25" ht="41.5" hidden="1" x14ac:dyDescent="0.35">
      <c r="A585" s="3" t="s">
        <v>26</v>
      </c>
      <c r="B585" s="3" t="s">
        <v>27</v>
      </c>
      <c r="C585" s="3" t="s">
        <v>40</v>
      </c>
      <c r="D585" s="3" t="s">
        <v>41</v>
      </c>
      <c r="E585" s="3" t="s">
        <v>125</v>
      </c>
      <c r="F585" s="3" t="s">
        <v>43</v>
      </c>
      <c r="G585" s="3" t="s">
        <v>125</v>
      </c>
      <c r="H585" s="3" t="s">
        <v>116</v>
      </c>
      <c r="I585" s="3">
        <v>2024</v>
      </c>
      <c r="J585" s="3" t="str">
        <f>CONCATENATE("44811347135")</f>
        <v>44811347135</v>
      </c>
      <c r="K585" s="3" t="s">
        <v>33</v>
      </c>
      <c r="L585" s="3" t="str">
        <f t="shared" si="35"/>
        <v/>
      </c>
      <c r="M585" s="3" t="str">
        <f t="shared" ref="M585:M591" si="36">CONCATENATE("SRA14")</f>
        <v>SRA14</v>
      </c>
      <c r="N585" s="3" t="str">
        <f>CONCATENATE("BRNNTN84E21D662K")</f>
        <v>BRNNTN84E21D662K</v>
      </c>
      <c r="O585" s="3" t="s">
        <v>978</v>
      </c>
      <c r="P585" s="3" t="s">
        <v>35</v>
      </c>
      <c r="Q585" s="3" t="s">
        <v>764</v>
      </c>
      <c r="R585" s="4">
        <v>45933</v>
      </c>
      <c r="S585" s="3" t="s">
        <v>37</v>
      </c>
      <c r="T585" s="3" t="s">
        <v>38</v>
      </c>
      <c r="U585" s="3" t="s">
        <v>39</v>
      </c>
      <c r="V585" s="5">
        <v>1320</v>
      </c>
      <c r="W585" s="3">
        <v>537.24</v>
      </c>
      <c r="X585" s="3">
        <v>547.92999999999995</v>
      </c>
      <c r="Y585" s="3">
        <v>234.83</v>
      </c>
    </row>
    <row r="586" spans="1:25" ht="41.5" hidden="1" x14ac:dyDescent="0.35">
      <c r="A586" s="3" t="s">
        <v>26</v>
      </c>
      <c r="B586" s="3" t="s">
        <v>27</v>
      </c>
      <c r="C586" s="3" t="s">
        <v>40</v>
      </c>
      <c r="D586" s="3" t="s">
        <v>41</v>
      </c>
      <c r="E586" s="3" t="s">
        <v>125</v>
      </c>
      <c r="F586" s="3" t="s">
        <v>43</v>
      </c>
      <c r="G586" s="3" t="s">
        <v>125</v>
      </c>
      <c r="H586" s="3" t="s">
        <v>116</v>
      </c>
      <c r="I586" s="3">
        <v>2024</v>
      </c>
      <c r="J586" s="3" t="str">
        <f>CONCATENATE("44810462141")</f>
        <v>44810462141</v>
      </c>
      <c r="K586" s="3" t="s">
        <v>33</v>
      </c>
      <c r="L586" s="3" t="str">
        <f t="shared" si="35"/>
        <v/>
      </c>
      <c r="M586" s="3" t="str">
        <f t="shared" si="36"/>
        <v>SRA14</v>
      </c>
      <c r="N586" s="3" t="str">
        <f>CONCATENATE("DLCGPR54H29F616M")</f>
        <v>DLCGPR54H29F616M</v>
      </c>
      <c r="O586" s="3" t="s">
        <v>979</v>
      </c>
      <c r="P586" s="3" t="s">
        <v>35</v>
      </c>
      <c r="Q586" s="3" t="s">
        <v>764</v>
      </c>
      <c r="R586" s="4">
        <v>45933</v>
      </c>
      <c r="S586" s="3" t="s">
        <v>37</v>
      </c>
      <c r="T586" s="3" t="s">
        <v>38</v>
      </c>
      <c r="U586" s="3" t="s">
        <v>39</v>
      </c>
      <c r="V586" s="5">
        <v>8700</v>
      </c>
      <c r="W586" s="5">
        <v>3540.9</v>
      </c>
      <c r="X586" s="5">
        <v>3611.37</v>
      </c>
      <c r="Y586" s="5">
        <v>1547.73</v>
      </c>
    </row>
    <row r="587" spans="1:25" ht="41.5" hidden="1" x14ac:dyDescent="0.35">
      <c r="A587" s="3" t="s">
        <v>26</v>
      </c>
      <c r="B587" s="3" t="s">
        <v>27</v>
      </c>
      <c r="C587" s="3" t="s">
        <v>40</v>
      </c>
      <c r="D587" s="3" t="s">
        <v>41</v>
      </c>
      <c r="E587" s="3" t="s">
        <v>125</v>
      </c>
      <c r="F587" s="3" t="s">
        <v>43</v>
      </c>
      <c r="G587" s="3" t="s">
        <v>125</v>
      </c>
      <c r="H587" s="3" t="s">
        <v>116</v>
      </c>
      <c r="I587" s="3">
        <v>2024</v>
      </c>
      <c r="J587" s="3" t="str">
        <f>CONCATENATE("44810216307")</f>
        <v>44810216307</v>
      </c>
      <c r="K587" s="3" t="s">
        <v>33</v>
      </c>
      <c r="L587" s="3" t="str">
        <f t="shared" si="35"/>
        <v/>
      </c>
      <c r="M587" s="3" t="str">
        <f t="shared" si="36"/>
        <v>SRA14</v>
      </c>
      <c r="N587" s="3" t="str">
        <f>CONCATENATE("MTTGPP64E05E527W")</f>
        <v>MTTGPP64E05E527W</v>
      </c>
      <c r="O587" s="3" t="s">
        <v>980</v>
      </c>
      <c r="P587" s="3" t="s">
        <v>35</v>
      </c>
      <c r="Q587" s="3" t="s">
        <v>764</v>
      </c>
      <c r="R587" s="4">
        <v>45933</v>
      </c>
      <c r="S587" s="3" t="s">
        <v>37</v>
      </c>
      <c r="T587" s="3" t="s">
        <v>38</v>
      </c>
      <c r="U587" s="3" t="s">
        <v>39</v>
      </c>
      <c r="V587" s="5">
        <v>3450</v>
      </c>
      <c r="W587" s="5">
        <v>1404.15</v>
      </c>
      <c r="X587" s="5">
        <v>1432.1</v>
      </c>
      <c r="Y587" s="3">
        <v>613.75</v>
      </c>
    </row>
    <row r="588" spans="1:25" ht="49.5" hidden="1" x14ac:dyDescent="0.35">
      <c r="A588" s="3" t="s">
        <v>26</v>
      </c>
      <c r="B588" s="3" t="s">
        <v>27</v>
      </c>
      <c r="C588" s="3" t="s">
        <v>40</v>
      </c>
      <c r="D588" s="3" t="s">
        <v>41</v>
      </c>
      <c r="E588" s="3" t="s">
        <v>981</v>
      </c>
      <c r="F588" s="3" t="s">
        <v>43</v>
      </c>
      <c r="G588" s="3" t="s">
        <v>981</v>
      </c>
      <c r="H588" s="3" t="s">
        <v>116</v>
      </c>
      <c r="I588" s="3">
        <v>2024</v>
      </c>
      <c r="J588" s="3" t="str">
        <f>CONCATENATE("44811056900")</f>
        <v>44811056900</v>
      </c>
      <c r="K588" s="3" t="s">
        <v>33</v>
      </c>
      <c r="L588" s="3" t="str">
        <f t="shared" si="35"/>
        <v/>
      </c>
      <c r="M588" s="3" t="str">
        <f t="shared" si="36"/>
        <v>SRA14</v>
      </c>
      <c r="N588" s="3" t="str">
        <f>CONCATENATE("MNCGPP93A10D708W")</f>
        <v>MNCGPP93A10D708W</v>
      </c>
      <c r="O588" s="3" t="s">
        <v>126</v>
      </c>
      <c r="P588" s="3" t="s">
        <v>35</v>
      </c>
      <c r="Q588" s="3" t="s">
        <v>764</v>
      </c>
      <c r="R588" s="4">
        <v>45933</v>
      </c>
      <c r="S588" s="3" t="s">
        <v>37</v>
      </c>
      <c r="T588" s="3" t="s">
        <v>38</v>
      </c>
      <c r="U588" s="3" t="s">
        <v>39</v>
      </c>
      <c r="V588" s="5">
        <v>5190</v>
      </c>
      <c r="W588" s="5">
        <v>2112.33</v>
      </c>
      <c r="X588" s="5">
        <v>2154.37</v>
      </c>
      <c r="Y588" s="3">
        <v>923.3</v>
      </c>
    </row>
    <row r="589" spans="1:25" ht="41.5" hidden="1" x14ac:dyDescent="0.35">
      <c r="A589" s="3" t="s">
        <v>26</v>
      </c>
      <c r="B589" s="3" t="s">
        <v>27</v>
      </c>
      <c r="C589" s="3" t="s">
        <v>40</v>
      </c>
      <c r="D589" s="3" t="s">
        <v>41</v>
      </c>
      <c r="E589" s="3" t="s">
        <v>981</v>
      </c>
      <c r="F589" s="3" t="s">
        <v>43</v>
      </c>
      <c r="G589" s="3" t="s">
        <v>981</v>
      </c>
      <c r="H589" s="3" t="s">
        <v>116</v>
      </c>
      <c r="I589" s="3">
        <v>2024</v>
      </c>
      <c r="J589" s="3" t="str">
        <f>CONCATENATE("44811057510")</f>
        <v>44811057510</v>
      </c>
      <c r="K589" s="3" t="s">
        <v>33</v>
      </c>
      <c r="L589" s="3" t="str">
        <f t="shared" si="35"/>
        <v/>
      </c>
      <c r="M589" s="3" t="str">
        <f t="shared" si="36"/>
        <v>SRA14</v>
      </c>
      <c r="N589" s="3" t="str">
        <f>CONCATENATE("RGGFLC84D03D843G")</f>
        <v>RGGFLC84D03D843G</v>
      </c>
      <c r="O589" s="3" t="s">
        <v>982</v>
      </c>
      <c r="P589" s="3" t="s">
        <v>35</v>
      </c>
      <c r="Q589" s="3" t="s">
        <v>764</v>
      </c>
      <c r="R589" s="4">
        <v>45933</v>
      </c>
      <c r="S589" s="3" t="s">
        <v>37</v>
      </c>
      <c r="T589" s="3" t="s">
        <v>38</v>
      </c>
      <c r="U589" s="3" t="s">
        <v>39</v>
      </c>
      <c r="V589" s="5">
        <v>5070</v>
      </c>
      <c r="W589" s="5">
        <v>2063.4899999999998</v>
      </c>
      <c r="X589" s="5">
        <v>2104.56</v>
      </c>
      <c r="Y589" s="3">
        <v>901.95</v>
      </c>
    </row>
    <row r="590" spans="1:25" ht="41.5" hidden="1" x14ac:dyDescent="0.35">
      <c r="A590" s="3" t="s">
        <v>26</v>
      </c>
      <c r="B590" s="3" t="s">
        <v>27</v>
      </c>
      <c r="C590" s="3" t="s">
        <v>40</v>
      </c>
      <c r="D590" s="3" t="s">
        <v>61</v>
      </c>
      <c r="E590" s="3" t="s">
        <v>62</v>
      </c>
      <c r="F590" s="3" t="s">
        <v>63</v>
      </c>
      <c r="G590" s="3" t="s">
        <v>62</v>
      </c>
      <c r="H590" s="3" t="s">
        <v>64</v>
      </c>
      <c r="I590" s="3">
        <v>2024</v>
      </c>
      <c r="J590" s="3" t="str">
        <f>CONCATENATE("44810809390")</f>
        <v>44810809390</v>
      </c>
      <c r="K590" s="3" t="s">
        <v>33</v>
      </c>
      <c r="L590" s="3" t="str">
        <f t="shared" si="35"/>
        <v/>
      </c>
      <c r="M590" s="3" t="str">
        <f t="shared" si="36"/>
        <v>SRA14</v>
      </c>
      <c r="N590" s="3" t="str">
        <f>CONCATENATE("SPRLCU81E09D773Z")</f>
        <v>SPRLCU81E09D773Z</v>
      </c>
      <c r="O590" s="3" t="s">
        <v>983</v>
      </c>
      <c r="P590" s="3" t="s">
        <v>35</v>
      </c>
      <c r="Q590" s="3" t="s">
        <v>764</v>
      </c>
      <c r="R590" s="4">
        <v>45933</v>
      </c>
      <c r="S590" s="3" t="s">
        <v>37</v>
      </c>
      <c r="T590" s="3" t="s">
        <v>38</v>
      </c>
      <c r="U590" s="3" t="s">
        <v>39</v>
      </c>
      <c r="V590" s="3">
        <v>600</v>
      </c>
      <c r="W590" s="3">
        <v>244.2</v>
      </c>
      <c r="X590" s="3">
        <v>249.06</v>
      </c>
      <c r="Y590" s="3">
        <v>106.74</v>
      </c>
    </row>
    <row r="591" spans="1:25" ht="41.5" hidden="1" x14ac:dyDescent="0.35">
      <c r="A591" s="3" t="s">
        <v>26</v>
      </c>
      <c r="B591" s="3" t="s">
        <v>27</v>
      </c>
      <c r="C591" s="3" t="s">
        <v>40</v>
      </c>
      <c r="D591" s="3" t="s">
        <v>51</v>
      </c>
      <c r="E591" s="3" t="s">
        <v>52</v>
      </c>
      <c r="F591" s="3" t="s">
        <v>51</v>
      </c>
      <c r="G591" s="3" t="s">
        <v>52</v>
      </c>
      <c r="H591" s="3" t="s">
        <v>64</v>
      </c>
      <c r="I591" s="3">
        <v>2024</v>
      </c>
      <c r="J591" s="3" t="str">
        <f>CONCATENATE("44810645745")</f>
        <v>44810645745</v>
      </c>
      <c r="K591" s="3" t="s">
        <v>33</v>
      </c>
      <c r="L591" s="3" t="str">
        <f t="shared" si="35"/>
        <v/>
      </c>
      <c r="M591" s="3" t="str">
        <f t="shared" si="36"/>
        <v>SRA14</v>
      </c>
      <c r="N591" s="3" t="str">
        <f>CONCATENATE("SPLDNL75A30H501I")</f>
        <v>SPLDNL75A30H501I</v>
      </c>
      <c r="O591" s="3" t="s">
        <v>984</v>
      </c>
      <c r="P591" s="3" t="s">
        <v>35</v>
      </c>
      <c r="Q591" s="3" t="s">
        <v>764</v>
      </c>
      <c r="R591" s="4">
        <v>45933</v>
      </c>
      <c r="S591" s="3" t="s">
        <v>37</v>
      </c>
      <c r="T591" s="3" t="s">
        <v>38</v>
      </c>
      <c r="U591" s="3" t="s">
        <v>39</v>
      </c>
      <c r="V591" s="3">
        <v>200</v>
      </c>
      <c r="W591" s="3">
        <v>81.400000000000006</v>
      </c>
      <c r="X591" s="3">
        <v>83.02</v>
      </c>
      <c r="Y591" s="3">
        <v>35.58</v>
      </c>
    </row>
    <row r="592" spans="1:25" ht="25.5" hidden="1" x14ac:dyDescent="0.35">
      <c r="A592" s="3" t="s">
        <v>26</v>
      </c>
      <c r="B592" s="3" t="s">
        <v>27</v>
      </c>
      <c r="C592" s="3" t="s">
        <v>28</v>
      </c>
      <c r="D592" s="3" t="s">
        <v>107</v>
      </c>
      <c r="E592" s="3" t="s">
        <v>985</v>
      </c>
      <c r="F592" s="3" t="s">
        <v>115</v>
      </c>
      <c r="G592" s="3" t="s">
        <v>985</v>
      </c>
      <c r="H592" s="3" t="s">
        <v>866</v>
      </c>
      <c r="I592" s="3">
        <v>2024</v>
      </c>
      <c r="J592" s="3" t="str">
        <f>CONCATENATE("44811141355")</f>
        <v>44811141355</v>
      </c>
      <c r="K592" s="3" t="s">
        <v>33</v>
      </c>
      <c r="L592" s="3" t="str">
        <f t="shared" si="35"/>
        <v/>
      </c>
      <c r="M592" s="3" t="str">
        <f t="shared" ref="M592:M608" si="37">CONCATENATE("SRA29")</f>
        <v>SRA29</v>
      </c>
      <c r="N592" s="3" t="str">
        <f>CONCATENATE("02708700733")</f>
        <v>02708700733</v>
      </c>
      <c r="O592" s="3" t="s">
        <v>986</v>
      </c>
      <c r="P592" s="3" t="s">
        <v>35</v>
      </c>
      <c r="Q592" s="3" t="s">
        <v>868</v>
      </c>
      <c r="R592" s="4">
        <v>45926</v>
      </c>
      <c r="S592" s="3" t="s">
        <v>37</v>
      </c>
      <c r="T592" s="3" t="s">
        <v>38</v>
      </c>
      <c r="U592" s="3" t="s">
        <v>39</v>
      </c>
      <c r="V592" s="3">
        <v>117.65</v>
      </c>
      <c r="W592" s="3">
        <v>59.41</v>
      </c>
      <c r="X592" s="3">
        <v>40.770000000000003</v>
      </c>
      <c r="Y592" s="3">
        <v>17.47</v>
      </c>
    </row>
    <row r="593" spans="1:25" ht="41.5" hidden="1" x14ac:dyDescent="0.35">
      <c r="A593" s="3" t="s">
        <v>26</v>
      </c>
      <c r="B593" s="3" t="s">
        <v>27</v>
      </c>
      <c r="C593" s="3" t="s">
        <v>28</v>
      </c>
      <c r="D593" s="3" t="s">
        <v>41</v>
      </c>
      <c r="E593" s="3" t="s">
        <v>987</v>
      </c>
      <c r="F593" s="3" t="s">
        <v>43</v>
      </c>
      <c r="G593" s="3" t="s">
        <v>987</v>
      </c>
      <c r="H593" s="3" t="s">
        <v>866</v>
      </c>
      <c r="I593" s="3">
        <v>2024</v>
      </c>
      <c r="J593" s="3" t="str">
        <f>CONCATENATE("44810692994")</f>
        <v>44810692994</v>
      </c>
      <c r="K593" s="3" t="s">
        <v>33</v>
      </c>
      <c r="L593" s="3" t="str">
        <f t="shared" si="35"/>
        <v/>
      </c>
      <c r="M593" s="3" t="str">
        <f t="shared" si="37"/>
        <v>SRA29</v>
      </c>
      <c r="N593" s="3" t="str">
        <f>CONCATENATE("TNLLSN93S03L049R")</f>
        <v>TNLLSN93S03L049R</v>
      </c>
      <c r="O593" s="3" t="s">
        <v>988</v>
      </c>
      <c r="P593" s="3" t="s">
        <v>35</v>
      </c>
      <c r="Q593" s="3" t="s">
        <v>868</v>
      </c>
      <c r="R593" s="4">
        <v>45926</v>
      </c>
      <c r="S593" s="3" t="s">
        <v>37</v>
      </c>
      <c r="T593" s="3" t="s">
        <v>38</v>
      </c>
      <c r="U593" s="3" t="s">
        <v>39</v>
      </c>
      <c r="V593" s="3">
        <v>810.37</v>
      </c>
      <c r="W593" s="3">
        <v>409.24</v>
      </c>
      <c r="X593" s="3">
        <v>280.79000000000002</v>
      </c>
      <c r="Y593" s="3">
        <v>120.34</v>
      </c>
    </row>
    <row r="594" spans="1:25" ht="49.5" hidden="1" x14ac:dyDescent="0.35">
      <c r="A594" s="3" t="s">
        <v>26</v>
      </c>
      <c r="B594" s="3" t="s">
        <v>27</v>
      </c>
      <c r="C594" s="3" t="s">
        <v>90</v>
      </c>
      <c r="D594" s="3" t="s">
        <v>41</v>
      </c>
      <c r="E594" s="3" t="s">
        <v>224</v>
      </c>
      <c r="F594" s="3" t="s">
        <v>43</v>
      </c>
      <c r="G594" s="3" t="s">
        <v>224</v>
      </c>
      <c r="H594" s="3" t="s">
        <v>218</v>
      </c>
      <c r="I594" s="3">
        <v>2023</v>
      </c>
      <c r="J594" s="3" t="str">
        <f>CONCATENATE("34810547512")</f>
        <v>34810547512</v>
      </c>
      <c r="K594" s="3" t="s">
        <v>33</v>
      </c>
      <c r="L594" s="3" t="str">
        <f t="shared" si="35"/>
        <v/>
      </c>
      <c r="M594" s="3" t="str">
        <f t="shared" si="37"/>
        <v>SRA29</v>
      </c>
      <c r="N594" s="3" t="str">
        <f>CONCATENATE("CMPCML88R28G377O")</f>
        <v>CMPCML88R28G377O</v>
      </c>
      <c r="O594" s="3" t="s">
        <v>989</v>
      </c>
      <c r="P594" s="3" t="s">
        <v>35</v>
      </c>
      <c r="Q594" s="3" t="s">
        <v>766</v>
      </c>
      <c r="R594" s="4">
        <v>45931</v>
      </c>
      <c r="S594" s="3" t="s">
        <v>37</v>
      </c>
      <c r="T594" s="3" t="s">
        <v>38</v>
      </c>
      <c r="U594" s="3" t="s">
        <v>39</v>
      </c>
      <c r="V594" s="5">
        <v>2813.32</v>
      </c>
      <c r="W594" s="5">
        <v>1420.73</v>
      </c>
      <c r="X594" s="3">
        <v>974.82</v>
      </c>
      <c r="Y594" s="3">
        <v>417.77</v>
      </c>
    </row>
    <row r="595" spans="1:25" ht="49.5" hidden="1" x14ac:dyDescent="0.35">
      <c r="A595" s="3" t="s">
        <v>26</v>
      </c>
      <c r="B595" s="3" t="s">
        <v>27</v>
      </c>
      <c r="C595" s="3" t="s">
        <v>90</v>
      </c>
      <c r="D595" s="3" t="s">
        <v>99</v>
      </c>
      <c r="E595" s="3" t="s">
        <v>990</v>
      </c>
      <c r="F595" s="3" t="s">
        <v>101</v>
      </c>
      <c r="G595" s="3" t="s">
        <v>990</v>
      </c>
      <c r="H595" s="3" t="s">
        <v>218</v>
      </c>
      <c r="I595" s="3">
        <v>2024</v>
      </c>
      <c r="J595" s="3" t="str">
        <f>CONCATENATE("44811157005")</f>
        <v>44811157005</v>
      </c>
      <c r="K595" s="3" t="s">
        <v>33</v>
      </c>
      <c r="L595" s="3" t="str">
        <f t="shared" si="35"/>
        <v/>
      </c>
      <c r="M595" s="3" t="str">
        <f t="shared" si="37"/>
        <v>SRA29</v>
      </c>
      <c r="N595" s="3" t="str">
        <f>CONCATENATE("CSSGNN67B28G273M")</f>
        <v>CSSGNN67B28G273M</v>
      </c>
      <c r="O595" s="3" t="s">
        <v>991</v>
      </c>
      <c r="P595" s="3" t="s">
        <v>35</v>
      </c>
      <c r="Q595" s="3" t="s">
        <v>766</v>
      </c>
      <c r="R595" s="4">
        <v>45931</v>
      </c>
      <c r="S595" s="3" t="s">
        <v>37</v>
      </c>
      <c r="T595" s="3" t="s">
        <v>38</v>
      </c>
      <c r="U595" s="3" t="s">
        <v>39</v>
      </c>
      <c r="V595" s="5">
        <v>21873.58</v>
      </c>
      <c r="W595" s="5">
        <v>11046.16</v>
      </c>
      <c r="X595" s="5">
        <v>7579.2</v>
      </c>
      <c r="Y595" s="5">
        <v>3248.22</v>
      </c>
    </row>
    <row r="596" spans="1:25" ht="25.5" hidden="1" x14ac:dyDescent="0.35">
      <c r="A596" s="3" t="s">
        <v>26</v>
      </c>
      <c r="B596" s="3" t="s">
        <v>27</v>
      </c>
      <c r="C596" s="3" t="s">
        <v>470</v>
      </c>
      <c r="D596" s="3" t="s">
        <v>29</v>
      </c>
      <c r="E596" s="3" t="s">
        <v>199</v>
      </c>
      <c r="F596" s="3" t="s">
        <v>31</v>
      </c>
      <c r="G596" s="3" t="s">
        <v>199</v>
      </c>
      <c r="H596" s="3" t="s">
        <v>664</v>
      </c>
      <c r="I596" s="3">
        <v>2024</v>
      </c>
      <c r="J596" s="3" t="str">
        <f>CONCATENATE("44811916558")</f>
        <v>44811916558</v>
      </c>
      <c r="K596" s="3" t="s">
        <v>33</v>
      </c>
      <c r="L596" s="3" t="str">
        <f t="shared" si="35"/>
        <v/>
      </c>
      <c r="M596" s="3" t="str">
        <f t="shared" si="37"/>
        <v>SRA29</v>
      </c>
      <c r="N596" s="3" t="str">
        <f>CONCATENATE("01310280779")</f>
        <v>01310280779</v>
      </c>
      <c r="O596" s="3" t="s">
        <v>992</v>
      </c>
      <c r="P596" s="3" t="s">
        <v>35</v>
      </c>
      <c r="Q596" s="3" t="s">
        <v>772</v>
      </c>
      <c r="R596" s="4">
        <v>45915</v>
      </c>
      <c r="S596" s="3" t="s">
        <v>37</v>
      </c>
      <c r="T596" s="3" t="s">
        <v>38</v>
      </c>
      <c r="U596" s="3" t="s">
        <v>39</v>
      </c>
      <c r="V596" s="5">
        <v>14474.15</v>
      </c>
      <c r="W596" s="5">
        <v>7309.45</v>
      </c>
      <c r="X596" s="5">
        <v>5015.29</v>
      </c>
      <c r="Y596" s="5">
        <v>2149.41</v>
      </c>
    </row>
    <row r="597" spans="1:25" ht="41.5" hidden="1" x14ac:dyDescent="0.35">
      <c r="A597" s="3" t="s">
        <v>26</v>
      </c>
      <c r="B597" s="3" t="s">
        <v>27</v>
      </c>
      <c r="C597" s="3" t="s">
        <v>470</v>
      </c>
      <c r="D597" s="3" t="s">
        <v>51</v>
      </c>
      <c r="E597" s="3" t="s">
        <v>909</v>
      </c>
      <c r="F597" s="3" t="s">
        <v>51</v>
      </c>
      <c r="G597" s="3" t="s">
        <v>909</v>
      </c>
      <c r="H597" s="3" t="s">
        <v>664</v>
      </c>
      <c r="I597" s="3">
        <v>2024</v>
      </c>
      <c r="J597" s="3" t="str">
        <f>CONCATENATE("44810658508")</f>
        <v>44810658508</v>
      </c>
      <c r="K597" s="3" t="s">
        <v>33</v>
      </c>
      <c r="L597" s="3" t="str">
        <f t="shared" si="35"/>
        <v/>
      </c>
      <c r="M597" s="3" t="str">
        <f t="shared" si="37"/>
        <v>SRA29</v>
      </c>
      <c r="N597" s="3" t="str">
        <f>CONCATENATE("FNLNTN61S17L418A")</f>
        <v>FNLNTN61S17L418A</v>
      </c>
      <c r="O597" s="3" t="s">
        <v>993</v>
      </c>
      <c r="P597" s="3" t="s">
        <v>35</v>
      </c>
      <c r="Q597" s="3" t="s">
        <v>772</v>
      </c>
      <c r="R597" s="4">
        <v>45915</v>
      </c>
      <c r="S597" s="3" t="s">
        <v>37</v>
      </c>
      <c r="T597" s="3" t="s">
        <v>38</v>
      </c>
      <c r="U597" s="3" t="s">
        <v>39</v>
      </c>
      <c r="V597" s="5">
        <v>1346.37</v>
      </c>
      <c r="W597" s="3">
        <v>679.92</v>
      </c>
      <c r="X597" s="3">
        <v>466.52</v>
      </c>
      <c r="Y597" s="3">
        <v>199.93</v>
      </c>
    </row>
    <row r="598" spans="1:25" ht="41.5" hidden="1" x14ac:dyDescent="0.35">
      <c r="A598" s="3" t="s">
        <v>26</v>
      </c>
      <c r="B598" s="3" t="s">
        <v>27</v>
      </c>
      <c r="C598" s="3" t="s">
        <v>470</v>
      </c>
      <c r="D598" s="3" t="s">
        <v>41</v>
      </c>
      <c r="E598" s="3" t="s">
        <v>770</v>
      </c>
      <c r="F598" s="3" t="s">
        <v>43</v>
      </c>
      <c r="G598" s="3" t="s">
        <v>770</v>
      </c>
      <c r="H598" s="3" t="s">
        <v>664</v>
      </c>
      <c r="I598" s="3">
        <v>2024</v>
      </c>
      <c r="J598" s="3" t="str">
        <f>CONCATENATE("44810723195")</f>
        <v>44810723195</v>
      </c>
      <c r="K598" s="3" t="s">
        <v>33</v>
      </c>
      <c r="L598" s="3" t="str">
        <f t="shared" si="35"/>
        <v/>
      </c>
      <c r="M598" s="3" t="str">
        <f t="shared" si="37"/>
        <v>SRA29</v>
      </c>
      <c r="N598" s="3" t="str">
        <f>CONCATENATE("MSTLCU36D47D547I")</f>
        <v>MSTLCU36D47D547I</v>
      </c>
      <c r="O598" s="3" t="s">
        <v>994</v>
      </c>
      <c r="P598" s="3" t="s">
        <v>35</v>
      </c>
      <c r="Q598" s="3" t="s">
        <v>772</v>
      </c>
      <c r="R598" s="4">
        <v>45915</v>
      </c>
      <c r="S598" s="3" t="s">
        <v>37</v>
      </c>
      <c r="T598" s="3" t="s">
        <v>38</v>
      </c>
      <c r="U598" s="3" t="s">
        <v>39</v>
      </c>
      <c r="V598" s="5">
        <v>6641.92</v>
      </c>
      <c r="W598" s="5">
        <v>3354.17</v>
      </c>
      <c r="X598" s="5">
        <v>2301.4299999999998</v>
      </c>
      <c r="Y598" s="3">
        <v>986.32</v>
      </c>
    </row>
    <row r="599" spans="1:25" ht="41.5" hidden="1" x14ac:dyDescent="0.35">
      <c r="A599" s="3" t="s">
        <v>26</v>
      </c>
      <c r="B599" s="3" t="s">
        <v>27</v>
      </c>
      <c r="C599" s="3" t="s">
        <v>470</v>
      </c>
      <c r="D599" s="3" t="s">
        <v>51</v>
      </c>
      <c r="E599" s="3" t="s">
        <v>995</v>
      </c>
      <c r="F599" s="3" t="s">
        <v>101</v>
      </c>
      <c r="G599" s="3" t="s">
        <v>882</v>
      </c>
      <c r="H599" s="3" t="s">
        <v>664</v>
      </c>
      <c r="I599" s="3">
        <v>2024</v>
      </c>
      <c r="J599" s="3" t="str">
        <f>CONCATENATE("44810284230")</f>
        <v>44810284230</v>
      </c>
      <c r="K599" s="3" t="s">
        <v>33</v>
      </c>
      <c r="L599" s="3" t="str">
        <f t="shared" si="35"/>
        <v/>
      </c>
      <c r="M599" s="3" t="str">
        <f t="shared" si="37"/>
        <v>SRA29</v>
      </c>
      <c r="N599" s="3" t="str">
        <f>CONCATENATE("MDGBGI55E28D547P")</f>
        <v>MDGBGI55E28D547P</v>
      </c>
      <c r="O599" s="3" t="s">
        <v>996</v>
      </c>
      <c r="P599" s="3" t="s">
        <v>35</v>
      </c>
      <c r="Q599" s="3" t="s">
        <v>772</v>
      </c>
      <c r="R599" s="4">
        <v>45915</v>
      </c>
      <c r="S599" s="3" t="s">
        <v>37</v>
      </c>
      <c r="T599" s="3" t="s">
        <v>38</v>
      </c>
      <c r="U599" s="3" t="s">
        <v>39</v>
      </c>
      <c r="V599" s="5">
        <v>7897</v>
      </c>
      <c r="W599" s="5">
        <v>3987.99</v>
      </c>
      <c r="X599" s="5">
        <v>2736.31</v>
      </c>
      <c r="Y599" s="5">
        <v>1172.7</v>
      </c>
    </row>
    <row r="600" spans="1:25" ht="41.5" hidden="1" x14ac:dyDescent="0.35">
      <c r="A600" s="3" t="s">
        <v>26</v>
      </c>
      <c r="B600" s="3" t="s">
        <v>27</v>
      </c>
      <c r="C600" s="3" t="s">
        <v>470</v>
      </c>
      <c r="D600" s="3" t="s">
        <v>75</v>
      </c>
      <c r="E600" s="3" t="s">
        <v>997</v>
      </c>
      <c r="F600" s="3" t="s">
        <v>77</v>
      </c>
      <c r="G600" s="3" t="s">
        <v>997</v>
      </c>
      <c r="H600" s="3" t="s">
        <v>664</v>
      </c>
      <c r="I600" s="3">
        <v>2024</v>
      </c>
      <c r="J600" s="3" t="str">
        <f>CONCATENATE("44810891414")</f>
        <v>44810891414</v>
      </c>
      <c r="K600" s="3" t="s">
        <v>33</v>
      </c>
      <c r="L600" s="3" t="str">
        <f t="shared" si="35"/>
        <v/>
      </c>
      <c r="M600" s="3" t="str">
        <f t="shared" si="37"/>
        <v>SRA29</v>
      </c>
      <c r="N600" s="3" t="str">
        <f>CONCATENATE("MNTMFR64H55F637Z")</f>
        <v>MNTMFR64H55F637Z</v>
      </c>
      <c r="O600" s="3" t="s">
        <v>998</v>
      </c>
      <c r="P600" s="3" t="s">
        <v>35</v>
      </c>
      <c r="Q600" s="3" t="s">
        <v>772</v>
      </c>
      <c r="R600" s="4">
        <v>45915</v>
      </c>
      <c r="S600" s="3" t="s">
        <v>37</v>
      </c>
      <c r="T600" s="3" t="s">
        <v>38</v>
      </c>
      <c r="U600" s="3" t="s">
        <v>39</v>
      </c>
      <c r="V600" s="3">
        <v>309.06</v>
      </c>
      <c r="W600" s="3">
        <v>156.08000000000001</v>
      </c>
      <c r="X600" s="3">
        <v>107.09</v>
      </c>
      <c r="Y600" s="3">
        <v>45.89</v>
      </c>
    </row>
    <row r="601" spans="1:25" ht="41.5" hidden="1" x14ac:dyDescent="0.35">
      <c r="A601" s="3" t="s">
        <v>26</v>
      </c>
      <c r="B601" s="3" t="s">
        <v>27</v>
      </c>
      <c r="C601" s="3" t="s">
        <v>470</v>
      </c>
      <c r="D601" s="3" t="s">
        <v>99</v>
      </c>
      <c r="E601" s="3" t="s">
        <v>999</v>
      </c>
      <c r="F601" s="3" t="s">
        <v>101</v>
      </c>
      <c r="G601" s="3" t="s">
        <v>999</v>
      </c>
      <c r="H601" s="3" t="s">
        <v>664</v>
      </c>
      <c r="I601" s="3">
        <v>2024</v>
      </c>
      <c r="J601" s="3" t="str">
        <f>CONCATENATE("44810875581")</f>
        <v>44810875581</v>
      </c>
      <c r="K601" s="3" t="s">
        <v>33</v>
      </c>
      <c r="L601" s="3" t="str">
        <f t="shared" si="35"/>
        <v/>
      </c>
      <c r="M601" s="3" t="str">
        <f t="shared" si="37"/>
        <v>SRA29</v>
      </c>
      <c r="N601" s="3" t="str">
        <f>CONCATENATE("STTTRS76B49A225C")</f>
        <v>STTTRS76B49A225C</v>
      </c>
      <c r="O601" s="3" t="s">
        <v>1000</v>
      </c>
      <c r="P601" s="3" t="s">
        <v>35</v>
      </c>
      <c r="Q601" s="3" t="s">
        <v>772</v>
      </c>
      <c r="R601" s="4">
        <v>45915</v>
      </c>
      <c r="S601" s="3" t="s">
        <v>37</v>
      </c>
      <c r="T601" s="3" t="s">
        <v>38</v>
      </c>
      <c r="U601" s="3" t="s">
        <v>39</v>
      </c>
      <c r="V601" s="5">
        <v>3608.74</v>
      </c>
      <c r="W601" s="5">
        <v>1822.41</v>
      </c>
      <c r="X601" s="5">
        <v>1250.43</v>
      </c>
      <c r="Y601" s="3">
        <v>535.9</v>
      </c>
    </row>
    <row r="602" spans="1:25" ht="41.5" hidden="1" x14ac:dyDescent="0.35">
      <c r="A602" s="3" t="s">
        <v>26</v>
      </c>
      <c r="B602" s="3" t="s">
        <v>27</v>
      </c>
      <c r="C602" s="3" t="s">
        <v>470</v>
      </c>
      <c r="D602" s="3" t="s">
        <v>234</v>
      </c>
      <c r="E602" s="3" t="s">
        <v>1001</v>
      </c>
      <c r="F602" s="3" t="s">
        <v>119</v>
      </c>
      <c r="G602" s="3" t="s">
        <v>1001</v>
      </c>
      <c r="H602" s="3" t="s">
        <v>664</v>
      </c>
      <c r="I602" s="3">
        <v>2024</v>
      </c>
      <c r="J602" s="3" t="str">
        <f>CONCATENATE("44810017358")</f>
        <v>44810017358</v>
      </c>
      <c r="K602" s="3" t="s">
        <v>33</v>
      </c>
      <c r="L602" s="3" t="str">
        <f t="shared" si="35"/>
        <v/>
      </c>
      <c r="M602" s="3" t="str">
        <f t="shared" si="37"/>
        <v>SRA29</v>
      </c>
      <c r="N602" s="3" t="str">
        <f>CONCATENATE("VGGCLL54P20G712W")</f>
        <v>VGGCLL54P20G712W</v>
      </c>
      <c r="O602" s="3" t="s">
        <v>1002</v>
      </c>
      <c r="P602" s="3" t="s">
        <v>35</v>
      </c>
      <c r="Q602" s="3" t="s">
        <v>772</v>
      </c>
      <c r="R602" s="4">
        <v>45915</v>
      </c>
      <c r="S602" s="3" t="s">
        <v>37</v>
      </c>
      <c r="T602" s="3" t="s">
        <v>38</v>
      </c>
      <c r="U602" s="3" t="s">
        <v>39</v>
      </c>
      <c r="V602" s="5">
        <v>1314.32</v>
      </c>
      <c r="W602" s="3">
        <v>663.73</v>
      </c>
      <c r="X602" s="3">
        <v>455.41</v>
      </c>
      <c r="Y602" s="3">
        <v>195.18</v>
      </c>
    </row>
    <row r="603" spans="1:25" ht="49.5" hidden="1" x14ac:dyDescent="0.35">
      <c r="A603" s="3" t="s">
        <v>26</v>
      </c>
      <c r="B603" s="3" t="s">
        <v>27</v>
      </c>
      <c r="C603" s="3" t="s">
        <v>90</v>
      </c>
      <c r="D603" s="3" t="s">
        <v>164</v>
      </c>
      <c r="E603" s="3" t="s">
        <v>429</v>
      </c>
      <c r="F603" s="3" t="s">
        <v>166</v>
      </c>
      <c r="G603" s="3" t="s">
        <v>429</v>
      </c>
      <c r="H603" s="3" t="s">
        <v>218</v>
      </c>
      <c r="I603" s="3">
        <v>2023</v>
      </c>
      <c r="J603" s="3" t="str">
        <f>CONCATENATE("34810541762")</f>
        <v>34810541762</v>
      </c>
      <c r="K603" s="3" t="s">
        <v>33</v>
      </c>
      <c r="L603" s="3" t="str">
        <f t="shared" si="35"/>
        <v/>
      </c>
      <c r="M603" s="3" t="str">
        <f t="shared" si="37"/>
        <v>SRA29</v>
      </c>
      <c r="N603" s="3" t="str">
        <f>CONCATENATE("MSRMVN84H51F251J")</f>
        <v>MSRMVN84H51F251J</v>
      </c>
      <c r="O603" s="3" t="s">
        <v>1003</v>
      </c>
      <c r="P603" s="3" t="s">
        <v>35</v>
      </c>
      <c r="Q603" s="3" t="s">
        <v>766</v>
      </c>
      <c r="R603" s="4">
        <v>45931</v>
      </c>
      <c r="S603" s="3" t="s">
        <v>37</v>
      </c>
      <c r="T603" s="3" t="s">
        <v>38</v>
      </c>
      <c r="U603" s="3" t="s">
        <v>39</v>
      </c>
      <c r="V603" s="5">
        <v>3180.34</v>
      </c>
      <c r="W603" s="5">
        <v>1606.07</v>
      </c>
      <c r="X603" s="5">
        <v>1101.99</v>
      </c>
      <c r="Y603" s="3">
        <v>472.28</v>
      </c>
    </row>
    <row r="604" spans="1:25" ht="41.5" hidden="1" x14ac:dyDescent="0.35">
      <c r="A604" s="3" t="s">
        <v>26</v>
      </c>
      <c r="B604" s="3" t="s">
        <v>27</v>
      </c>
      <c r="C604" s="3" t="s">
        <v>90</v>
      </c>
      <c r="D604" s="3" t="s">
        <v>164</v>
      </c>
      <c r="E604" s="3" t="s">
        <v>280</v>
      </c>
      <c r="F604" s="3" t="s">
        <v>166</v>
      </c>
      <c r="G604" s="3" t="s">
        <v>280</v>
      </c>
      <c r="H604" s="3" t="s">
        <v>218</v>
      </c>
      <c r="I604" s="3">
        <v>2024</v>
      </c>
      <c r="J604" s="3" t="str">
        <f>CONCATENATE("44811217403")</f>
        <v>44811217403</v>
      </c>
      <c r="K604" s="3" t="s">
        <v>33</v>
      </c>
      <c r="L604" s="3" t="str">
        <f t="shared" si="35"/>
        <v/>
      </c>
      <c r="M604" s="3" t="str">
        <f t="shared" si="37"/>
        <v>SRA29</v>
      </c>
      <c r="N604" s="3" t="str">
        <f>CONCATENATE("PRTSVT82E29G377P")</f>
        <v>PRTSVT82E29G377P</v>
      </c>
      <c r="O604" s="3" t="s">
        <v>1004</v>
      </c>
      <c r="P604" s="3" t="s">
        <v>35</v>
      </c>
      <c r="Q604" s="3" t="s">
        <v>766</v>
      </c>
      <c r="R604" s="4">
        <v>45931</v>
      </c>
      <c r="S604" s="3" t="s">
        <v>37</v>
      </c>
      <c r="T604" s="3" t="s">
        <v>38</v>
      </c>
      <c r="U604" s="3" t="s">
        <v>39</v>
      </c>
      <c r="V604" s="5">
        <v>2679.01</v>
      </c>
      <c r="W604" s="5">
        <v>1352.9</v>
      </c>
      <c r="X604" s="3">
        <v>928.28</v>
      </c>
      <c r="Y604" s="3">
        <v>397.83</v>
      </c>
    </row>
    <row r="605" spans="1:25" ht="41.5" hidden="1" x14ac:dyDescent="0.35">
      <c r="A605" s="3" t="s">
        <v>26</v>
      </c>
      <c r="B605" s="3" t="s">
        <v>27</v>
      </c>
      <c r="C605" s="3" t="s">
        <v>90</v>
      </c>
      <c r="D605" s="3" t="s">
        <v>234</v>
      </c>
      <c r="E605" s="3" t="s">
        <v>1005</v>
      </c>
      <c r="F605" s="3" t="s">
        <v>119</v>
      </c>
      <c r="G605" s="3" t="s">
        <v>1005</v>
      </c>
      <c r="H605" s="3" t="s">
        <v>218</v>
      </c>
      <c r="I605" s="3">
        <v>2024</v>
      </c>
      <c r="J605" s="3" t="str">
        <f>CONCATENATE("44810835031")</f>
        <v>44810835031</v>
      </c>
      <c r="K605" s="3" t="s">
        <v>33</v>
      </c>
      <c r="L605" s="3" t="str">
        <f t="shared" si="35"/>
        <v/>
      </c>
      <c r="M605" s="3" t="str">
        <f t="shared" si="37"/>
        <v>SRA29</v>
      </c>
      <c r="N605" s="3" t="str">
        <f>CONCATENATE("SCCFNC70L66C094F")</f>
        <v>SCCFNC70L66C094F</v>
      </c>
      <c r="O605" s="3" t="s">
        <v>1006</v>
      </c>
      <c r="P605" s="3" t="s">
        <v>35</v>
      </c>
      <c r="Q605" s="3" t="s">
        <v>766</v>
      </c>
      <c r="R605" s="4">
        <v>45931</v>
      </c>
      <c r="S605" s="3" t="s">
        <v>37</v>
      </c>
      <c r="T605" s="3" t="s">
        <v>38</v>
      </c>
      <c r="U605" s="3" t="s">
        <v>39</v>
      </c>
      <c r="V605" s="5">
        <v>14406.96</v>
      </c>
      <c r="W605" s="5">
        <v>7275.51</v>
      </c>
      <c r="X605" s="5">
        <v>4992.01</v>
      </c>
      <c r="Y605" s="5">
        <v>2139.44</v>
      </c>
    </row>
    <row r="606" spans="1:25" ht="41.5" hidden="1" x14ac:dyDescent="0.35">
      <c r="A606" s="3" t="s">
        <v>26</v>
      </c>
      <c r="B606" s="3" t="s">
        <v>27</v>
      </c>
      <c r="C606" s="3" t="s">
        <v>90</v>
      </c>
      <c r="D606" s="3" t="s">
        <v>75</v>
      </c>
      <c r="E606" s="3" t="s">
        <v>895</v>
      </c>
      <c r="F606" s="3" t="s">
        <v>77</v>
      </c>
      <c r="G606" s="3" t="s">
        <v>895</v>
      </c>
      <c r="H606" s="3" t="s">
        <v>218</v>
      </c>
      <c r="I606" s="3">
        <v>2024</v>
      </c>
      <c r="J606" s="3" t="str">
        <f>CONCATENATE("44811275765")</f>
        <v>44811275765</v>
      </c>
      <c r="K606" s="3" t="s">
        <v>33</v>
      </c>
      <c r="L606" s="3" t="str">
        <f t="shared" si="35"/>
        <v/>
      </c>
      <c r="M606" s="3" t="str">
        <f t="shared" si="37"/>
        <v>SRA29</v>
      </c>
      <c r="N606" s="3" t="str">
        <f>CONCATENATE("SCDTSN64L47D661D")</f>
        <v>SCDTSN64L47D661D</v>
      </c>
      <c r="O606" s="3" t="s">
        <v>1007</v>
      </c>
      <c r="P606" s="3" t="s">
        <v>35</v>
      </c>
      <c r="Q606" s="3" t="s">
        <v>766</v>
      </c>
      <c r="R606" s="4">
        <v>45931</v>
      </c>
      <c r="S606" s="3" t="s">
        <v>37</v>
      </c>
      <c r="T606" s="3" t="s">
        <v>38</v>
      </c>
      <c r="U606" s="3" t="s">
        <v>39</v>
      </c>
      <c r="V606" s="5">
        <v>4744.38</v>
      </c>
      <c r="W606" s="5">
        <v>2395.91</v>
      </c>
      <c r="X606" s="5">
        <v>1643.93</v>
      </c>
      <c r="Y606" s="3">
        <v>704.54</v>
      </c>
    </row>
    <row r="607" spans="1:25" ht="41.5" hidden="1" x14ac:dyDescent="0.35">
      <c r="A607" s="3" t="s">
        <v>26</v>
      </c>
      <c r="B607" s="3" t="s">
        <v>27</v>
      </c>
      <c r="C607" s="3" t="s">
        <v>90</v>
      </c>
      <c r="D607" s="3" t="s">
        <v>164</v>
      </c>
      <c r="E607" s="3" t="s">
        <v>280</v>
      </c>
      <c r="F607" s="3" t="s">
        <v>166</v>
      </c>
      <c r="G607" s="3" t="s">
        <v>280</v>
      </c>
      <c r="H607" s="3" t="s">
        <v>218</v>
      </c>
      <c r="I607" s="3">
        <v>2024</v>
      </c>
      <c r="J607" s="3" t="str">
        <f>CONCATENATE("44811243995")</f>
        <v>44811243995</v>
      </c>
      <c r="K607" s="3" t="s">
        <v>33</v>
      </c>
      <c r="L607" s="3" t="str">
        <f t="shared" si="35"/>
        <v/>
      </c>
      <c r="M607" s="3" t="str">
        <f t="shared" si="37"/>
        <v>SRA29</v>
      </c>
      <c r="N607" s="3" t="str">
        <f>CONCATENATE("SCDNTN73H25C094E")</f>
        <v>SCDNTN73H25C094E</v>
      </c>
      <c r="O607" s="3" t="s">
        <v>1008</v>
      </c>
      <c r="P607" s="3" t="s">
        <v>35</v>
      </c>
      <c r="Q607" s="3" t="s">
        <v>766</v>
      </c>
      <c r="R607" s="4">
        <v>45931</v>
      </c>
      <c r="S607" s="3" t="s">
        <v>37</v>
      </c>
      <c r="T607" s="3" t="s">
        <v>38</v>
      </c>
      <c r="U607" s="3" t="s">
        <v>39</v>
      </c>
      <c r="V607" s="3">
        <v>612.54999999999995</v>
      </c>
      <c r="W607" s="3">
        <v>309.33999999999997</v>
      </c>
      <c r="X607" s="3">
        <v>212.25</v>
      </c>
      <c r="Y607" s="3">
        <v>90.96</v>
      </c>
    </row>
    <row r="608" spans="1:25" ht="49.5" hidden="1" x14ac:dyDescent="0.35">
      <c r="A608" s="3" t="s">
        <v>26</v>
      </c>
      <c r="B608" s="3" t="s">
        <v>27</v>
      </c>
      <c r="C608" s="3" t="s">
        <v>90</v>
      </c>
      <c r="D608" s="3" t="s">
        <v>107</v>
      </c>
      <c r="E608" s="3" t="s">
        <v>242</v>
      </c>
      <c r="F608" s="3" t="s">
        <v>115</v>
      </c>
      <c r="G608" s="3" t="s">
        <v>242</v>
      </c>
      <c r="H608" s="3" t="s">
        <v>218</v>
      </c>
      <c r="I608" s="3">
        <v>2023</v>
      </c>
      <c r="J608" s="3" t="str">
        <f>CONCATENATE("34810736545")</f>
        <v>34810736545</v>
      </c>
      <c r="K608" s="3" t="s">
        <v>33</v>
      </c>
      <c r="L608" s="3" t="str">
        <f t="shared" si="35"/>
        <v/>
      </c>
      <c r="M608" s="3" t="str">
        <f t="shared" si="37"/>
        <v>SRA29</v>
      </c>
      <c r="N608" s="3" t="str">
        <f>CONCATENATE("WDOTCY71A59Z114I")</f>
        <v>WDOTCY71A59Z114I</v>
      </c>
      <c r="O608" s="3" t="s">
        <v>1009</v>
      </c>
      <c r="P608" s="3" t="s">
        <v>35</v>
      </c>
      <c r="Q608" s="3" t="s">
        <v>766</v>
      </c>
      <c r="R608" s="4">
        <v>45931</v>
      </c>
      <c r="S608" s="3" t="s">
        <v>37</v>
      </c>
      <c r="T608" s="3" t="s">
        <v>38</v>
      </c>
      <c r="U608" s="3" t="s">
        <v>39</v>
      </c>
      <c r="V608" s="5">
        <v>6596.86</v>
      </c>
      <c r="W608" s="5">
        <v>3331.41</v>
      </c>
      <c r="X608" s="5">
        <v>2285.81</v>
      </c>
      <c r="Y608" s="3">
        <v>979.64</v>
      </c>
    </row>
    <row r="609" spans="1:25" ht="41.5" hidden="1" x14ac:dyDescent="0.35">
      <c r="A609" s="3" t="s">
        <v>26</v>
      </c>
      <c r="B609" s="3" t="s">
        <v>27</v>
      </c>
      <c r="C609" s="3" t="s">
        <v>28</v>
      </c>
      <c r="D609" s="3" t="s">
        <v>29</v>
      </c>
      <c r="E609" s="3" t="s">
        <v>159</v>
      </c>
      <c r="F609" s="3" t="s">
        <v>77</v>
      </c>
      <c r="G609" s="3" t="s">
        <v>1010</v>
      </c>
      <c r="H609" s="3" t="s">
        <v>32</v>
      </c>
      <c r="I609" s="3">
        <v>2024</v>
      </c>
      <c r="J609" s="3" t="str">
        <f>CONCATENATE("44811189479")</f>
        <v>44811189479</v>
      </c>
      <c r="K609" s="3" t="s">
        <v>33</v>
      </c>
      <c r="L609" s="3" t="str">
        <f t="shared" si="35"/>
        <v/>
      </c>
      <c r="M609" s="3" t="str">
        <f>CONCATENATE("SRA13")</f>
        <v>SRA13</v>
      </c>
      <c r="N609" s="3" t="str">
        <f>CONCATENATE("PMPMRC82L15D643E")</f>
        <v>PMPMRC82L15D643E</v>
      </c>
      <c r="O609" s="3" t="s">
        <v>1011</v>
      </c>
      <c r="P609" s="3" t="s">
        <v>35</v>
      </c>
      <c r="Q609" s="3" t="s">
        <v>1012</v>
      </c>
      <c r="R609" s="4">
        <v>45916</v>
      </c>
      <c r="S609" s="3" t="s">
        <v>37</v>
      </c>
      <c r="T609" s="3" t="s">
        <v>38</v>
      </c>
      <c r="U609" s="3" t="s">
        <v>39</v>
      </c>
      <c r="V609" s="3">
        <v>148.13</v>
      </c>
      <c r="W609" s="3">
        <v>74.81</v>
      </c>
      <c r="X609" s="3">
        <v>51.33</v>
      </c>
      <c r="Y609" s="3">
        <v>21.99</v>
      </c>
    </row>
    <row r="610" spans="1:25" ht="41.5" hidden="1" x14ac:dyDescent="0.35">
      <c r="A610" s="3" t="s">
        <v>26</v>
      </c>
      <c r="B610" s="3" t="s">
        <v>27</v>
      </c>
      <c r="C610" s="3" t="s">
        <v>28</v>
      </c>
      <c r="D610" s="3" t="s">
        <v>41</v>
      </c>
      <c r="E610" s="3" t="s">
        <v>168</v>
      </c>
      <c r="F610" s="3" t="s">
        <v>43</v>
      </c>
      <c r="G610" s="3" t="s">
        <v>168</v>
      </c>
      <c r="H610" s="3" t="s">
        <v>32</v>
      </c>
      <c r="I610" s="3">
        <v>2024</v>
      </c>
      <c r="J610" s="3" t="str">
        <f>CONCATENATE("44810989929")</f>
        <v>44810989929</v>
      </c>
      <c r="K610" s="3" t="s">
        <v>33</v>
      </c>
      <c r="L610" s="3" t="str">
        <f t="shared" si="35"/>
        <v/>
      </c>
      <c r="M610" s="3" t="str">
        <f>CONCATENATE("SRA13")</f>
        <v>SRA13</v>
      </c>
      <c r="N610" s="3" t="str">
        <f>CONCATENATE("RCCNCL68D29E716E")</f>
        <v>RCCNCL68D29E716E</v>
      </c>
      <c r="O610" s="3" t="s">
        <v>1013</v>
      </c>
      <c r="P610" s="3" t="s">
        <v>35</v>
      </c>
      <c r="Q610" s="3" t="s">
        <v>1012</v>
      </c>
      <c r="R610" s="4">
        <v>45916</v>
      </c>
      <c r="S610" s="3" t="s">
        <v>37</v>
      </c>
      <c r="T610" s="3" t="s">
        <v>38</v>
      </c>
      <c r="U610" s="3" t="s">
        <v>39</v>
      </c>
      <c r="V610" s="5">
        <v>1300.33</v>
      </c>
      <c r="W610" s="3">
        <v>656.67</v>
      </c>
      <c r="X610" s="3">
        <v>450.56</v>
      </c>
      <c r="Y610" s="3">
        <v>193.1</v>
      </c>
    </row>
    <row r="611" spans="1:25" ht="41.5" hidden="1" x14ac:dyDescent="0.35">
      <c r="A611" s="3" t="s">
        <v>26</v>
      </c>
      <c r="B611" s="3" t="s">
        <v>27</v>
      </c>
      <c r="C611" s="3" t="s">
        <v>28</v>
      </c>
      <c r="D611" s="3" t="s">
        <v>41</v>
      </c>
      <c r="E611" s="3" t="s">
        <v>88</v>
      </c>
      <c r="F611" s="3" t="s">
        <v>43</v>
      </c>
      <c r="G611" s="3" t="s">
        <v>88</v>
      </c>
      <c r="H611" s="3" t="s">
        <v>32</v>
      </c>
      <c r="I611" s="3">
        <v>2024</v>
      </c>
      <c r="J611" s="3" t="str">
        <f>CONCATENATE("44810937381")</f>
        <v>44810937381</v>
      </c>
      <c r="K611" s="3" t="s">
        <v>33</v>
      </c>
      <c r="L611" s="3" t="str">
        <f t="shared" si="35"/>
        <v/>
      </c>
      <c r="M611" s="3" t="str">
        <f>CONCATENATE("SRA13")</f>
        <v>SRA13</v>
      </c>
      <c r="N611" s="3" t="str">
        <f>CONCATENATE("ZTIFST85T30D643M")</f>
        <v>ZTIFST85T30D643M</v>
      </c>
      <c r="O611" s="3" t="s">
        <v>1014</v>
      </c>
      <c r="P611" s="3" t="s">
        <v>35</v>
      </c>
      <c r="Q611" s="3" t="s">
        <v>1012</v>
      </c>
      <c r="R611" s="4">
        <v>45916</v>
      </c>
      <c r="S611" s="3" t="s">
        <v>37</v>
      </c>
      <c r="T611" s="3" t="s">
        <v>38</v>
      </c>
      <c r="U611" s="3" t="s">
        <v>39</v>
      </c>
      <c r="V611" s="5">
        <v>2701.6</v>
      </c>
      <c r="W611" s="5">
        <v>1364.31</v>
      </c>
      <c r="X611" s="3">
        <v>936.1</v>
      </c>
      <c r="Y611" s="3">
        <v>401.19</v>
      </c>
    </row>
    <row r="612" spans="1:25" ht="25.5" hidden="1" x14ac:dyDescent="0.35">
      <c r="A612" s="3" t="s">
        <v>26</v>
      </c>
      <c r="B612" s="3" t="s">
        <v>27</v>
      </c>
      <c r="C612" s="3" t="s">
        <v>470</v>
      </c>
      <c r="D612" s="3" t="s">
        <v>41</v>
      </c>
      <c r="E612" s="3" t="s">
        <v>1015</v>
      </c>
      <c r="F612" s="3" t="s">
        <v>43</v>
      </c>
      <c r="G612" s="3" t="s">
        <v>1015</v>
      </c>
      <c r="H612" s="3" t="s">
        <v>664</v>
      </c>
      <c r="I612" s="3">
        <v>2024</v>
      </c>
      <c r="J612" s="3" t="str">
        <f>CONCATENATE("44810550010")</f>
        <v>44810550010</v>
      </c>
      <c r="K612" s="3" t="s">
        <v>33</v>
      </c>
      <c r="L612" s="3" t="str">
        <f t="shared" si="35"/>
        <v/>
      </c>
      <c r="M612" s="3" t="str">
        <f>CONCATENATE("SRA03")</f>
        <v>SRA03</v>
      </c>
      <c r="N612" s="3" t="str">
        <f>CONCATENATE("01320070772")</f>
        <v>01320070772</v>
      </c>
      <c r="O612" s="3" t="s">
        <v>1016</v>
      </c>
      <c r="P612" s="3" t="s">
        <v>35</v>
      </c>
      <c r="Q612" s="3" t="s">
        <v>1017</v>
      </c>
      <c r="R612" s="4">
        <v>45915</v>
      </c>
      <c r="S612" s="3" t="s">
        <v>37</v>
      </c>
      <c r="T612" s="3" t="s">
        <v>38</v>
      </c>
      <c r="U612" s="3" t="s">
        <v>39</v>
      </c>
      <c r="V612" s="5">
        <v>12604.19</v>
      </c>
      <c r="W612" s="5">
        <v>6365.12</v>
      </c>
      <c r="X612" s="5">
        <v>4367.3500000000004</v>
      </c>
      <c r="Y612" s="5">
        <v>1871.72</v>
      </c>
    </row>
    <row r="613" spans="1:25" ht="25.5" hidden="1" x14ac:dyDescent="0.35">
      <c r="A613" s="3" t="s">
        <v>26</v>
      </c>
      <c r="B613" s="3" t="s">
        <v>27</v>
      </c>
      <c r="C613" s="3" t="s">
        <v>470</v>
      </c>
      <c r="D613" s="3" t="s">
        <v>41</v>
      </c>
      <c r="E613" s="3" t="s">
        <v>1015</v>
      </c>
      <c r="F613" s="3" t="s">
        <v>43</v>
      </c>
      <c r="G613" s="3" t="s">
        <v>1015</v>
      </c>
      <c r="H613" s="3" t="s">
        <v>664</v>
      </c>
      <c r="I613" s="3">
        <v>2024</v>
      </c>
      <c r="J613" s="3" t="str">
        <f>CONCATENATE("44810098697")</f>
        <v>44810098697</v>
      </c>
      <c r="K613" s="3" t="s">
        <v>33</v>
      </c>
      <c r="L613" s="3" t="str">
        <f t="shared" si="35"/>
        <v/>
      </c>
      <c r="M613" s="3" t="str">
        <f>CONCATENATE("SRA03")</f>
        <v>SRA03</v>
      </c>
      <c r="N613" s="3" t="str">
        <f>CONCATENATE("01409520770")</f>
        <v>01409520770</v>
      </c>
      <c r="O613" s="3" t="s">
        <v>1018</v>
      </c>
      <c r="P613" s="3" t="s">
        <v>35</v>
      </c>
      <c r="Q613" s="3" t="s">
        <v>1017</v>
      </c>
      <c r="R613" s="4">
        <v>45915</v>
      </c>
      <c r="S613" s="3" t="s">
        <v>37</v>
      </c>
      <c r="T613" s="3" t="s">
        <v>38</v>
      </c>
      <c r="U613" s="3" t="s">
        <v>39</v>
      </c>
      <c r="V613" s="5">
        <v>5779.07</v>
      </c>
      <c r="W613" s="5">
        <v>2918.43</v>
      </c>
      <c r="X613" s="5">
        <v>2002.45</v>
      </c>
      <c r="Y613" s="3">
        <v>858.19</v>
      </c>
    </row>
    <row r="614" spans="1:25" ht="41.5" hidden="1" x14ac:dyDescent="0.35">
      <c r="A614" s="3" t="s">
        <v>26</v>
      </c>
      <c r="B614" s="3" t="s">
        <v>27</v>
      </c>
      <c r="C614" s="3" t="s">
        <v>470</v>
      </c>
      <c r="D614" s="3" t="s">
        <v>99</v>
      </c>
      <c r="E614" s="3" t="s">
        <v>1019</v>
      </c>
      <c r="F614" s="3" t="s">
        <v>101</v>
      </c>
      <c r="G614" s="3" t="s">
        <v>1019</v>
      </c>
      <c r="H614" s="3" t="s">
        <v>664</v>
      </c>
      <c r="I614" s="3">
        <v>2024</v>
      </c>
      <c r="J614" s="3" t="str">
        <f>CONCATENATE("44810773976")</f>
        <v>44810773976</v>
      </c>
      <c r="K614" s="3" t="s">
        <v>33</v>
      </c>
      <c r="L614" s="3" t="str">
        <f t="shared" si="35"/>
        <v/>
      </c>
      <c r="M614" s="3" t="str">
        <f>CONCATENATE("SRA03")</f>
        <v>SRA03</v>
      </c>
      <c r="N614" s="3" t="str">
        <f>CONCATENATE("CSRGPP80C06E155M")</f>
        <v>CSRGPP80C06E155M</v>
      </c>
      <c r="O614" s="3" t="s">
        <v>1020</v>
      </c>
      <c r="P614" s="3" t="s">
        <v>35</v>
      </c>
      <c r="Q614" s="3" t="s">
        <v>1017</v>
      </c>
      <c r="R614" s="4">
        <v>45915</v>
      </c>
      <c r="S614" s="3" t="s">
        <v>37</v>
      </c>
      <c r="T614" s="3" t="s">
        <v>38</v>
      </c>
      <c r="U614" s="3" t="s">
        <v>39</v>
      </c>
      <c r="V614" s="5">
        <v>23965.14</v>
      </c>
      <c r="W614" s="5">
        <v>12102.4</v>
      </c>
      <c r="X614" s="5">
        <v>8303.92</v>
      </c>
      <c r="Y614" s="5">
        <v>3558.82</v>
      </c>
    </row>
    <row r="615" spans="1:25" ht="41.5" hidden="1" x14ac:dyDescent="0.35">
      <c r="A615" s="3" t="s">
        <v>26</v>
      </c>
      <c r="B615" s="3" t="s">
        <v>27</v>
      </c>
      <c r="C615" s="3" t="s">
        <v>470</v>
      </c>
      <c r="D615" s="3" t="s">
        <v>99</v>
      </c>
      <c r="E615" s="3" t="s">
        <v>1019</v>
      </c>
      <c r="F615" s="3" t="s">
        <v>101</v>
      </c>
      <c r="G615" s="3" t="s">
        <v>1019</v>
      </c>
      <c r="H615" s="3" t="s">
        <v>664</v>
      </c>
      <c r="I615" s="3">
        <v>2023</v>
      </c>
      <c r="J615" s="3" t="str">
        <f>CONCATENATE("34810270842")</f>
        <v>34810270842</v>
      </c>
      <c r="K615" s="3" t="s">
        <v>33</v>
      </c>
      <c r="L615" s="3" t="str">
        <f t="shared" si="35"/>
        <v/>
      </c>
      <c r="M615" s="3" t="str">
        <f>CONCATENATE("SRA03")</f>
        <v>SRA03</v>
      </c>
      <c r="N615" s="3" t="str">
        <f>CONCATENATE("CSRGPP80C06E155M")</f>
        <v>CSRGPP80C06E155M</v>
      </c>
      <c r="O615" s="3" t="s">
        <v>1020</v>
      </c>
      <c r="P615" s="3" t="s">
        <v>35</v>
      </c>
      <c r="Q615" s="3" t="s">
        <v>1017</v>
      </c>
      <c r="R615" s="4">
        <v>45915</v>
      </c>
      <c r="S615" s="3" t="s">
        <v>37</v>
      </c>
      <c r="T615" s="3" t="s">
        <v>38</v>
      </c>
      <c r="U615" s="3" t="s">
        <v>39</v>
      </c>
      <c r="V615" s="3">
        <v>104.34</v>
      </c>
      <c r="W615" s="3">
        <v>52.69</v>
      </c>
      <c r="X615" s="3">
        <v>36.15</v>
      </c>
      <c r="Y615" s="3">
        <v>15.5</v>
      </c>
    </row>
    <row r="616" spans="1:25" ht="41.5" hidden="1" x14ac:dyDescent="0.35">
      <c r="A616" s="3" t="s">
        <v>26</v>
      </c>
      <c r="B616" s="3" t="s">
        <v>27</v>
      </c>
      <c r="C616" s="3" t="s">
        <v>470</v>
      </c>
      <c r="D616" s="3" t="s">
        <v>99</v>
      </c>
      <c r="E616" s="3" t="s">
        <v>1021</v>
      </c>
      <c r="F616" s="3" t="s">
        <v>101</v>
      </c>
      <c r="G616" s="3" t="s">
        <v>1021</v>
      </c>
      <c r="H616" s="3" t="s">
        <v>664</v>
      </c>
      <c r="I616" s="3">
        <v>2024</v>
      </c>
      <c r="J616" s="3" t="str">
        <f>CONCATENATE("44811299252")</f>
        <v>44811299252</v>
      </c>
      <c r="K616" s="3" t="s">
        <v>33</v>
      </c>
      <c r="L616" s="3" t="str">
        <f t="shared" si="35"/>
        <v/>
      </c>
      <c r="M616" s="3" t="str">
        <f>CONCATENATE("SRA03")</f>
        <v>SRA03</v>
      </c>
      <c r="N616" s="3" t="str">
        <f>CONCATENATE("LGLVCN75L02A225A")</f>
        <v>LGLVCN75L02A225A</v>
      </c>
      <c r="O616" s="3" t="s">
        <v>1022</v>
      </c>
      <c r="P616" s="3" t="s">
        <v>35</v>
      </c>
      <c r="Q616" s="3" t="s">
        <v>1017</v>
      </c>
      <c r="R616" s="4">
        <v>45915</v>
      </c>
      <c r="S616" s="3" t="s">
        <v>37</v>
      </c>
      <c r="T616" s="3" t="s">
        <v>38</v>
      </c>
      <c r="U616" s="3" t="s">
        <v>39</v>
      </c>
      <c r="V616" s="3">
        <v>10.210000000000001</v>
      </c>
      <c r="W616" s="3">
        <v>5.16</v>
      </c>
      <c r="X616" s="3">
        <v>3.54</v>
      </c>
      <c r="Y616" s="3">
        <v>1.51</v>
      </c>
    </row>
    <row r="617" spans="1:25" ht="41.5" hidden="1" x14ac:dyDescent="0.35">
      <c r="A617" s="3" t="s">
        <v>26</v>
      </c>
      <c r="B617" s="3" t="s">
        <v>27</v>
      </c>
      <c r="C617" s="3" t="s">
        <v>478</v>
      </c>
      <c r="D617" s="3" t="s">
        <v>75</v>
      </c>
      <c r="E617" s="3" t="s">
        <v>582</v>
      </c>
      <c r="F617" s="3" t="s">
        <v>77</v>
      </c>
      <c r="G617" s="3" t="s">
        <v>582</v>
      </c>
      <c r="H617" s="3" t="s">
        <v>484</v>
      </c>
      <c r="I617" s="3">
        <v>2024</v>
      </c>
      <c r="J617" s="3" t="str">
        <f>CONCATENATE("44810729598")</f>
        <v>44810729598</v>
      </c>
      <c r="K617" s="3" t="s">
        <v>33</v>
      </c>
      <c r="L617" s="3" t="str">
        <f t="shared" si="35"/>
        <v/>
      </c>
      <c r="M617" s="3" t="str">
        <f>CONCATENATE("SRA29")</f>
        <v>SRA29</v>
      </c>
      <c r="N617" s="3" t="str">
        <f>CONCATENATE("CRSLNS65H26I130T")</f>
        <v>CRSLNS65H26I130T</v>
      </c>
      <c r="O617" s="3" t="s">
        <v>1023</v>
      </c>
      <c r="P617" s="3" t="s">
        <v>35</v>
      </c>
      <c r="Q617" s="3" t="s">
        <v>1024</v>
      </c>
      <c r="R617" s="4">
        <v>45917</v>
      </c>
      <c r="S617" s="3" t="s">
        <v>37</v>
      </c>
      <c r="T617" s="3" t="s">
        <v>38</v>
      </c>
      <c r="U617" s="3" t="s">
        <v>39</v>
      </c>
      <c r="V617" s="5">
        <v>1666.99</v>
      </c>
      <c r="W617" s="3">
        <v>841.83</v>
      </c>
      <c r="X617" s="3">
        <v>577.61</v>
      </c>
      <c r="Y617" s="3">
        <v>247.55</v>
      </c>
    </row>
    <row r="618" spans="1:25" ht="49.5" hidden="1" x14ac:dyDescent="0.35">
      <c r="A618" s="3" t="s">
        <v>26</v>
      </c>
      <c r="B618" s="3" t="s">
        <v>27</v>
      </c>
      <c r="C618" s="3" t="s">
        <v>478</v>
      </c>
      <c r="D618" s="3" t="s">
        <v>75</v>
      </c>
      <c r="E618" s="3" t="s">
        <v>582</v>
      </c>
      <c r="F618" s="3" t="s">
        <v>77</v>
      </c>
      <c r="G618" s="3" t="s">
        <v>582</v>
      </c>
      <c r="H618" s="3" t="s">
        <v>484</v>
      </c>
      <c r="I618" s="3">
        <v>2024</v>
      </c>
      <c r="J618" s="3" t="str">
        <f>CONCATENATE("44810618908")</f>
        <v>44810618908</v>
      </c>
      <c r="K618" s="3" t="s">
        <v>33</v>
      </c>
      <c r="L618" s="3" t="str">
        <f t="shared" si="35"/>
        <v/>
      </c>
      <c r="M618" s="3" t="str">
        <f>CONCATENATE("SRA29")</f>
        <v>SRA29</v>
      </c>
      <c r="N618" s="3" t="str">
        <f>CONCATENATE("FRRNTN63M01H202B")</f>
        <v>FRRNTN63M01H202B</v>
      </c>
      <c r="O618" s="3" t="s">
        <v>1025</v>
      </c>
      <c r="P618" s="3" t="s">
        <v>35</v>
      </c>
      <c r="Q618" s="3" t="s">
        <v>1024</v>
      </c>
      <c r="R618" s="4">
        <v>45917</v>
      </c>
      <c r="S618" s="3" t="s">
        <v>37</v>
      </c>
      <c r="T618" s="3" t="s">
        <v>38</v>
      </c>
      <c r="U618" s="3" t="s">
        <v>39</v>
      </c>
      <c r="V618" s="3">
        <v>109.5</v>
      </c>
      <c r="W618" s="3">
        <v>55.3</v>
      </c>
      <c r="X618" s="3">
        <v>37.94</v>
      </c>
      <c r="Y618" s="3">
        <v>16.260000000000002</v>
      </c>
    </row>
    <row r="619" spans="1:25" ht="41.5" hidden="1" x14ac:dyDescent="0.35">
      <c r="A619" s="3" t="s">
        <v>26</v>
      </c>
      <c r="B619" s="3" t="s">
        <v>27</v>
      </c>
      <c r="C619" s="3" t="s">
        <v>478</v>
      </c>
      <c r="D619" s="3" t="s">
        <v>61</v>
      </c>
      <c r="E619" s="3" t="s">
        <v>705</v>
      </c>
      <c r="F619" s="3" t="s">
        <v>63</v>
      </c>
      <c r="G619" s="3" t="s">
        <v>705</v>
      </c>
      <c r="H619" s="3" t="s">
        <v>484</v>
      </c>
      <c r="I619" s="3">
        <v>2024</v>
      </c>
      <c r="J619" s="3" t="str">
        <f>CONCATENATE("44810340255")</f>
        <v>44810340255</v>
      </c>
      <c r="K619" s="3" t="s">
        <v>33</v>
      </c>
      <c r="L619" s="3" t="str">
        <f t="shared" si="35"/>
        <v/>
      </c>
      <c r="M619" s="3" t="str">
        <f>CONCATENATE("SRA29")</f>
        <v>SRA29</v>
      </c>
      <c r="N619" s="3" t="str">
        <f>CONCATENATE("ZZIRML92D15C034Q")</f>
        <v>ZZIRML92D15C034Q</v>
      </c>
      <c r="O619" s="3" t="s">
        <v>1026</v>
      </c>
      <c r="P619" s="3" t="s">
        <v>35</v>
      </c>
      <c r="Q619" s="3" t="s">
        <v>1024</v>
      </c>
      <c r="R619" s="4">
        <v>45917</v>
      </c>
      <c r="S619" s="3" t="s">
        <v>37</v>
      </c>
      <c r="T619" s="3" t="s">
        <v>38</v>
      </c>
      <c r="U619" s="3" t="s">
        <v>39</v>
      </c>
      <c r="V619" s="5">
        <v>2699.4</v>
      </c>
      <c r="W619" s="5">
        <v>1363.2</v>
      </c>
      <c r="X619" s="3">
        <v>935.34</v>
      </c>
      <c r="Y619" s="3">
        <v>400.86</v>
      </c>
    </row>
    <row r="620" spans="1:25" ht="25.5" hidden="1" x14ac:dyDescent="0.35">
      <c r="A620" s="3" t="s">
        <v>26</v>
      </c>
      <c r="B620" s="3" t="s">
        <v>27</v>
      </c>
      <c r="C620" s="3" t="s">
        <v>478</v>
      </c>
      <c r="D620" s="3" t="s">
        <v>61</v>
      </c>
      <c r="E620" s="3" t="s">
        <v>579</v>
      </c>
      <c r="F620" s="3" t="s">
        <v>63</v>
      </c>
      <c r="G620" s="3" t="s">
        <v>579</v>
      </c>
      <c r="H620" s="3" t="s">
        <v>484</v>
      </c>
      <c r="I620" s="3">
        <v>2024</v>
      </c>
      <c r="J620" s="3" t="str">
        <f>CONCATENATE("44810996064")</f>
        <v>44810996064</v>
      </c>
      <c r="K620" s="3" t="s">
        <v>33</v>
      </c>
      <c r="L620" s="3" t="str">
        <f t="shared" si="35"/>
        <v/>
      </c>
      <c r="M620" s="3" t="str">
        <f>CONCATENATE("SRA29")</f>
        <v>SRA29</v>
      </c>
      <c r="N620" s="3" t="str">
        <f>CONCATENATE("04480790619")</f>
        <v>04480790619</v>
      </c>
      <c r="O620" s="3" t="s">
        <v>1027</v>
      </c>
      <c r="P620" s="3" t="s">
        <v>35</v>
      </c>
      <c r="Q620" s="3" t="s">
        <v>1024</v>
      </c>
      <c r="R620" s="4">
        <v>45917</v>
      </c>
      <c r="S620" s="3" t="s">
        <v>37</v>
      </c>
      <c r="T620" s="3" t="s">
        <v>38</v>
      </c>
      <c r="U620" s="3" t="s">
        <v>39</v>
      </c>
      <c r="V620" s="5">
        <v>27684.959999999999</v>
      </c>
      <c r="W620" s="5">
        <v>13980.9</v>
      </c>
      <c r="X620" s="5">
        <v>9592.84</v>
      </c>
      <c r="Y620" s="5">
        <v>4111.22</v>
      </c>
    </row>
    <row r="621" spans="1:25" ht="41.5" hidden="1" x14ac:dyDescent="0.35">
      <c r="A621" s="3" t="s">
        <v>26</v>
      </c>
      <c r="B621" s="3" t="s">
        <v>27</v>
      </c>
      <c r="C621" s="3" t="s">
        <v>478</v>
      </c>
      <c r="D621" s="3" t="s">
        <v>51</v>
      </c>
      <c r="E621" s="3" t="s">
        <v>1028</v>
      </c>
      <c r="F621" s="3" t="s">
        <v>51</v>
      </c>
      <c r="G621" s="3" t="s">
        <v>1028</v>
      </c>
      <c r="H621" s="3" t="s">
        <v>604</v>
      </c>
      <c r="I621" s="3">
        <v>2024</v>
      </c>
      <c r="J621" s="3" t="str">
        <f>CONCATENATE("44811233343")</f>
        <v>44811233343</v>
      </c>
      <c r="K621" s="3" t="s">
        <v>33</v>
      </c>
      <c r="L621" s="3" t="str">
        <f t="shared" si="35"/>
        <v/>
      </c>
      <c r="M621" s="3" t="str">
        <f>CONCATENATE("SRA01")</f>
        <v>SRA01</v>
      </c>
      <c r="N621" s="3" t="str">
        <f>CONCATENATE("GLZDNT57A63I630W")</f>
        <v>GLZDNT57A63I630W</v>
      </c>
      <c r="O621" s="3" t="s">
        <v>1029</v>
      </c>
      <c r="P621" s="3" t="s">
        <v>35</v>
      </c>
      <c r="Q621" s="3" t="s">
        <v>1030</v>
      </c>
      <c r="R621" s="4">
        <v>45915</v>
      </c>
      <c r="S621" s="3" t="s">
        <v>37</v>
      </c>
      <c r="T621" s="3" t="s">
        <v>38</v>
      </c>
      <c r="U621" s="3" t="s">
        <v>39</v>
      </c>
      <c r="V621" s="3">
        <v>912.99</v>
      </c>
      <c r="W621" s="3">
        <v>461.06</v>
      </c>
      <c r="X621" s="3">
        <v>316.35000000000002</v>
      </c>
      <c r="Y621" s="3">
        <v>135.58000000000001</v>
      </c>
    </row>
    <row r="622" spans="1:25" ht="41.5" hidden="1" x14ac:dyDescent="0.35">
      <c r="A622" s="3" t="s">
        <v>26</v>
      </c>
      <c r="B622" s="3" t="s">
        <v>27</v>
      </c>
      <c r="C622" s="3" t="s">
        <v>478</v>
      </c>
      <c r="D622" s="3" t="s">
        <v>51</v>
      </c>
      <c r="E622" s="3" t="s">
        <v>1028</v>
      </c>
      <c r="F622" s="3" t="s">
        <v>51</v>
      </c>
      <c r="G622" s="3" t="s">
        <v>1028</v>
      </c>
      <c r="H622" s="3" t="s">
        <v>604</v>
      </c>
      <c r="I622" s="3">
        <v>2024</v>
      </c>
      <c r="J622" s="3" t="str">
        <f>CONCATENATE("44811234135")</f>
        <v>44811234135</v>
      </c>
      <c r="K622" s="3" t="s">
        <v>33</v>
      </c>
      <c r="L622" s="3" t="str">
        <f t="shared" si="35"/>
        <v/>
      </c>
      <c r="M622" s="3" t="str">
        <f>CONCATENATE("SRA01")</f>
        <v>SRA01</v>
      </c>
      <c r="N622" s="3" t="str">
        <f>CONCATENATE("GRZMRC75B03A509K")</f>
        <v>GRZMRC75B03A509K</v>
      </c>
      <c r="O622" s="3" t="s">
        <v>1031</v>
      </c>
      <c r="P622" s="3" t="s">
        <v>35</v>
      </c>
      <c r="Q622" s="3" t="s">
        <v>1030</v>
      </c>
      <c r="R622" s="4">
        <v>45915</v>
      </c>
      <c r="S622" s="3" t="s">
        <v>37</v>
      </c>
      <c r="T622" s="3" t="s">
        <v>38</v>
      </c>
      <c r="U622" s="3" t="s">
        <v>39</v>
      </c>
      <c r="V622" s="3">
        <v>785.86</v>
      </c>
      <c r="W622" s="3">
        <v>396.86</v>
      </c>
      <c r="X622" s="3">
        <v>272.3</v>
      </c>
      <c r="Y622" s="3">
        <v>116.7</v>
      </c>
    </row>
    <row r="623" spans="1:25" ht="25.5" hidden="1" x14ac:dyDescent="0.35">
      <c r="A623" s="3" t="s">
        <v>26</v>
      </c>
      <c r="B623" s="3" t="s">
        <v>27</v>
      </c>
      <c r="C623" s="3" t="s">
        <v>478</v>
      </c>
      <c r="D623" s="3" t="s">
        <v>41</v>
      </c>
      <c r="E623" s="3" t="s">
        <v>1032</v>
      </c>
      <c r="F623" s="3" t="s">
        <v>43</v>
      </c>
      <c r="G623" s="3" t="s">
        <v>1032</v>
      </c>
      <c r="H623" s="3" t="s">
        <v>484</v>
      </c>
      <c r="I623" s="3">
        <v>2024</v>
      </c>
      <c r="J623" s="3" t="str">
        <f>CONCATENATE("44810561587")</f>
        <v>44810561587</v>
      </c>
      <c r="K623" s="3" t="s">
        <v>33</v>
      </c>
      <c r="L623" s="3" t="str">
        <f t="shared" si="35"/>
        <v/>
      </c>
      <c r="M623" s="3" t="str">
        <f>CONCATENATE("SRA01")</f>
        <v>SRA01</v>
      </c>
      <c r="N623" s="3" t="str">
        <f>CONCATENATE("03106660610")</f>
        <v>03106660610</v>
      </c>
      <c r="O623" s="3" t="s">
        <v>1033</v>
      </c>
      <c r="P623" s="3" t="s">
        <v>35</v>
      </c>
      <c r="Q623" s="3" t="s">
        <v>922</v>
      </c>
      <c r="R623" s="4">
        <v>45931</v>
      </c>
      <c r="S623" s="3" t="s">
        <v>37</v>
      </c>
      <c r="T623" s="3" t="s">
        <v>38</v>
      </c>
      <c r="U623" s="3" t="s">
        <v>39</v>
      </c>
      <c r="V623" s="5">
        <v>22649.67</v>
      </c>
      <c r="W623" s="5">
        <v>11438.08</v>
      </c>
      <c r="X623" s="5">
        <v>7848.11</v>
      </c>
      <c r="Y623" s="5">
        <v>3363.48</v>
      </c>
    </row>
    <row r="624" spans="1:25" ht="41.5" hidden="1" x14ac:dyDescent="0.35">
      <c r="A624" s="3" t="s">
        <v>26</v>
      </c>
      <c r="B624" s="3" t="s">
        <v>27</v>
      </c>
      <c r="C624" s="3" t="s">
        <v>478</v>
      </c>
      <c r="D624" s="3" t="s">
        <v>51</v>
      </c>
      <c r="E624" s="3" t="s">
        <v>585</v>
      </c>
      <c r="F624" s="3" t="s">
        <v>51</v>
      </c>
      <c r="G624" s="3" t="s">
        <v>585</v>
      </c>
      <c r="H624" s="3" t="s">
        <v>484</v>
      </c>
      <c r="I624" s="3">
        <v>2024</v>
      </c>
      <c r="J624" s="3" t="str">
        <f>CONCATENATE("44811465846")</f>
        <v>44811465846</v>
      </c>
      <c r="K624" s="3" t="s">
        <v>33</v>
      </c>
      <c r="L624" s="3" t="str">
        <f t="shared" si="35"/>
        <v/>
      </c>
      <c r="M624" s="3" t="str">
        <f>CONCATENATE("SRA01")</f>
        <v>SRA01</v>
      </c>
      <c r="N624" s="3" t="str">
        <f>CONCATENATE("BTTLGU70L06H978N")</f>
        <v>BTTLGU70L06H978N</v>
      </c>
      <c r="O624" s="3" t="s">
        <v>1034</v>
      </c>
      <c r="P624" s="3" t="s">
        <v>35</v>
      </c>
      <c r="Q624" s="3" t="s">
        <v>922</v>
      </c>
      <c r="R624" s="4">
        <v>45931</v>
      </c>
      <c r="S624" s="3" t="s">
        <v>37</v>
      </c>
      <c r="T624" s="3" t="s">
        <v>38</v>
      </c>
      <c r="U624" s="3" t="s">
        <v>39</v>
      </c>
      <c r="V624" s="5">
        <v>4542.13</v>
      </c>
      <c r="W624" s="5">
        <v>2293.7800000000002</v>
      </c>
      <c r="X624" s="5">
        <v>1573.85</v>
      </c>
      <c r="Y624" s="3">
        <v>674.5</v>
      </c>
    </row>
    <row r="625" spans="1:25" ht="41.5" hidden="1" x14ac:dyDescent="0.35">
      <c r="A625" s="3" t="s">
        <v>26</v>
      </c>
      <c r="B625" s="3" t="s">
        <v>27</v>
      </c>
      <c r="C625" s="3" t="s">
        <v>478</v>
      </c>
      <c r="D625" s="3" t="s">
        <v>51</v>
      </c>
      <c r="E625" s="3" t="s">
        <v>1028</v>
      </c>
      <c r="F625" s="3" t="s">
        <v>51</v>
      </c>
      <c r="G625" s="3" t="s">
        <v>1028</v>
      </c>
      <c r="H625" s="3" t="s">
        <v>604</v>
      </c>
      <c r="I625" s="3">
        <v>2024</v>
      </c>
      <c r="J625" s="3" t="str">
        <f>CONCATENATE("44811236528")</f>
        <v>44811236528</v>
      </c>
      <c r="K625" s="3" t="s">
        <v>33</v>
      </c>
      <c r="L625" s="3" t="str">
        <f t="shared" si="35"/>
        <v/>
      </c>
      <c r="M625" s="3" t="str">
        <f>CONCATENATE("SRA01")</f>
        <v>SRA01</v>
      </c>
      <c r="N625" s="3" t="str">
        <f>CONCATENATE("RVLLRT34B54I630T")</f>
        <v>RVLLRT34B54I630T</v>
      </c>
      <c r="O625" s="3" t="s">
        <v>1035</v>
      </c>
      <c r="P625" s="3" t="s">
        <v>35</v>
      </c>
      <c r="Q625" s="3" t="s">
        <v>1030</v>
      </c>
      <c r="R625" s="4">
        <v>45915</v>
      </c>
      <c r="S625" s="3" t="s">
        <v>37</v>
      </c>
      <c r="T625" s="3" t="s">
        <v>38</v>
      </c>
      <c r="U625" s="3" t="s">
        <v>39</v>
      </c>
      <c r="V625" s="3">
        <v>985.91</v>
      </c>
      <c r="W625" s="3">
        <v>497.88</v>
      </c>
      <c r="X625" s="3">
        <v>341.62</v>
      </c>
      <c r="Y625" s="3">
        <v>146.41</v>
      </c>
    </row>
    <row r="626" spans="1:25" ht="49.5" hidden="1" x14ac:dyDescent="0.35">
      <c r="A626" s="3" t="s">
        <v>26</v>
      </c>
      <c r="B626" s="3" t="s">
        <v>27</v>
      </c>
      <c r="C626" s="3" t="s">
        <v>28</v>
      </c>
      <c r="D626" s="3" t="s">
        <v>41</v>
      </c>
      <c r="E626" s="3" t="s">
        <v>1036</v>
      </c>
      <c r="F626" s="3" t="s">
        <v>43</v>
      </c>
      <c r="G626" s="3" t="s">
        <v>1036</v>
      </c>
      <c r="H626" s="3" t="s">
        <v>32</v>
      </c>
      <c r="I626" s="3">
        <v>2024</v>
      </c>
      <c r="J626" s="3" t="str">
        <f>CONCATENATE("44820360491")</f>
        <v>44820360491</v>
      </c>
      <c r="K626" s="3" t="s">
        <v>33</v>
      </c>
      <c r="L626" s="3" t="str">
        <f t="shared" si="35"/>
        <v/>
      </c>
      <c r="M626" s="3" t="str">
        <f>CONCATENATE("SRB01")</f>
        <v>SRB01</v>
      </c>
      <c r="N626" s="3" t="str">
        <f>CONCATENATE("SGGNNT89A59H926D")</f>
        <v>SGGNNT89A59H926D</v>
      </c>
      <c r="O626" s="3" t="s">
        <v>1037</v>
      </c>
      <c r="P626" s="3" t="s">
        <v>35</v>
      </c>
      <c r="Q626" s="3" t="s">
        <v>1038</v>
      </c>
      <c r="R626" s="4">
        <v>45916</v>
      </c>
      <c r="S626" s="3" t="s">
        <v>37</v>
      </c>
      <c r="T626" s="3" t="s">
        <v>38</v>
      </c>
      <c r="U626" s="3" t="s">
        <v>39</v>
      </c>
      <c r="V626" s="5">
        <v>4422.18</v>
      </c>
      <c r="W626" s="5">
        <v>2233.1999999999998</v>
      </c>
      <c r="X626" s="5">
        <v>1532.29</v>
      </c>
      <c r="Y626" s="3">
        <v>656.69</v>
      </c>
    </row>
    <row r="627" spans="1:25" ht="41.5" hidden="1" x14ac:dyDescent="0.35">
      <c r="A627" s="3" t="s">
        <v>26</v>
      </c>
      <c r="B627" s="3" t="s">
        <v>27</v>
      </c>
      <c r="C627" s="3" t="s">
        <v>478</v>
      </c>
      <c r="D627" s="3" t="s">
        <v>41</v>
      </c>
      <c r="E627" s="3" t="s">
        <v>1039</v>
      </c>
      <c r="F627" s="3" t="s">
        <v>43</v>
      </c>
      <c r="G627" s="3" t="s">
        <v>1039</v>
      </c>
      <c r="H627" s="3" t="s">
        <v>484</v>
      </c>
      <c r="I627" s="3">
        <v>2024</v>
      </c>
      <c r="J627" s="3" t="str">
        <f>CONCATENATE("44810057826")</f>
        <v>44810057826</v>
      </c>
      <c r="K627" s="3" t="s">
        <v>33</v>
      </c>
      <c r="L627" s="3" t="str">
        <f t="shared" si="35"/>
        <v/>
      </c>
      <c r="M627" s="3" t="str">
        <f t="shared" ref="M627:M632" si="38">CONCATENATE("SRA01")</f>
        <v>SRA01</v>
      </c>
      <c r="N627" s="3" t="str">
        <f>CONCATENATE("CMPPQL76T06B963J")</f>
        <v>CMPPQL76T06B963J</v>
      </c>
      <c r="O627" s="3" t="s">
        <v>1040</v>
      </c>
      <c r="P627" s="3" t="s">
        <v>35</v>
      </c>
      <c r="Q627" s="3" t="s">
        <v>922</v>
      </c>
      <c r="R627" s="4">
        <v>45931</v>
      </c>
      <c r="S627" s="3" t="s">
        <v>37</v>
      </c>
      <c r="T627" s="3" t="s">
        <v>38</v>
      </c>
      <c r="U627" s="3" t="s">
        <v>39</v>
      </c>
      <c r="V627" s="3">
        <v>99.08</v>
      </c>
      <c r="W627" s="3">
        <v>50.04</v>
      </c>
      <c r="X627" s="3">
        <v>34.33</v>
      </c>
      <c r="Y627" s="3">
        <v>14.71</v>
      </c>
    </row>
    <row r="628" spans="1:25" ht="41.5" hidden="1" x14ac:dyDescent="0.35">
      <c r="A628" s="3" t="s">
        <v>26</v>
      </c>
      <c r="B628" s="3" t="s">
        <v>27</v>
      </c>
      <c r="C628" s="3" t="s">
        <v>478</v>
      </c>
      <c r="D628" s="3" t="s">
        <v>51</v>
      </c>
      <c r="E628" s="3" t="s">
        <v>585</v>
      </c>
      <c r="F628" s="3" t="s">
        <v>51</v>
      </c>
      <c r="G628" s="3" t="s">
        <v>585</v>
      </c>
      <c r="H628" s="3" t="s">
        <v>484</v>
      </c>
      <c r="I628" s="3">
        <v>2024</v>
      </c>
      <c r="J628" s="3" t="str">
        <f>CONCATENATE("44810037638")</f>
        <v>44810037638</v>
      </c>
      <c r="K628" s="3" t="s">
        <v>33</v>
      </c>
      <c r="L628" s="3" t="str">
        <f t="shared" si="35"/>
        <v/>
      </c>
      <c r="M628" s="3" t="str">
        <f t="shared" si="38"/>
        <v>SRA01</v>
      </c>
      <c r="N628" s="3" t="str">
        <f>CONCATENATE("FLCLCU81S60B715G")</f>
        <v>FLCLCU81S60B715G</v>
      </c>
      <c r="O628" s="3" t="s">
        <v>1041</v>
      </c>
      <c r="P628" s="3" t="s">
        <v>35</v>
      </c>
      <c r="Q628" s="3" t="s">
        <v>922</v>
      </c>
      <c r="R628" s="4">
        <v>45931</v>
      </c>
      <c r="S628" s="3" t="s">
        <v>37</v>
      </c>
      <c r="T628" s="3" t="s">
        <v>38</v>
      </c>
      <c r="U628" s="3" t="s">
        <v>39</v>
      </c>
      <c r="V628" s="3">
        <v>264.14999999999998</v>
      </c>
      <c r="W628" s="3">
        <v>133.4</v>
      </c>
      <c r="X628" s="3">
        <v>91.53</v>
      </c>
      <c r="Y628" s="3">
        <v>39.22</v>
      </c>
    </row>
    <row r="629" spans="1:25" ht="41.5" hidden="1" x14ac:dyDescent="0.35">
      <c r="A629" s="3" t="s">
        <v>26</v>
      </c>
      <c r="B629" s="3" t="s">
        <v>27</v>
      </c>
      <c r="C629" s="3" t="s">
        <v>478</v>
      </c>
      <c r="D629" s="3" t="s">
        <v>51</v>
      </c>
      <c r="E629" s="3" t="s">
        <v>1042</v>
      </c>
      <c r="F629" s="3" t="s">
        <v>51</v>
      </c>
      <c r="G629" s="3" t="s">
        <v>1042</v>
      </c>
      <c r="H629" s="3" t="s">
        <v>484</v>
      </c>
      <c r="I629" s="3">
        <v>2023</v>
      </c>
      <c r="J629" s="3" t="str">
        <f>CONCATENATE("34810702372")</f>
        <v>34810702372</v>
      </c>
      <c r="K629" s="3" t="s">
        <v>33</v>
      </c>
      <c r="L629" s="3" t="str">
        <f t="shared" si="35"/>
        <v/>
      </c>
      <c r="M629" s="3" t="str">
        <f t="shared" si="38"/>
        <v>SRA01</v>
      </c>
      <c r="N629" s="3" t="str">
        <f>CONCATENATE("MPRFLR56C41B781R")</f>
        <v>MPRFLR56C41B781R</v>
      </c>
      <c r="O629" s="3" t="s">
        <v>1043</v>
      </c>
      <c r="P629" s="3" t="s">
        <v>35</v>
      </c>
      <c r="Q629" s="3" t="s">
        <v>922</v>
      </c>
      <c r="R629" s="4">
        <v>45931</v>
      </c>
      <c r="S629" s="3" t="s">
        <v>37</v>
      </c>
      <c r="T629" s="3" t="s">
        <v>38</v>
      </c>
      <c r="U629" s="3" t="s">
        <v>39</v>
      </c>
      <c r="V629" s="5">
        <v>2392.14</v>
      </c>
      <c r="W629" s="5">
        <v>1208.03</v>
      </c>
      <c r="X629" s="3">
        <v>828.88</v>
      </c>
      <c r="Y629" s="3">
        <v>355.23</v>
      </c>
    </row>
    <row r="630" spans="1:25" ht="41.5" hidden="1" x14ac:dyDescent="0.35">
      <c r="A630" s="3" t="s">
        <v>26</v>
      </c>
      <c r="B630" s="3" t="s">
        <v>27</v>
      </c>
      <c r="C630" s="3" t="s">
        <v>478</v>
      </c>
      <c r="D630" s="3" t="s">
        <v>75</v>
      </c>
      <c r="E630" s="3" t="s">
        <v>719</v>
      </c>
      <c r="F630" s="3" t="s">
        <v>77</v>
      </c>
      <c r="G630" s="3" t="s">
        <v>719</v>
      </c>
      <c r="H630" s="3" t="s">
        <v>484</v>
      </c>
      <c r="I630" s="3">
        <v>2024</v>
      </c>
      <c r="J630" s="3" t="str">
        <f>CONCATENATE("44810147866")</f>
        <v>44810147866</v>
      </c>
      <c r="K630" s="3" t="s">
        <v>33</v>
      </c>
      <c r="L630" s="3" t="str">
        <f t="shared" si="35"/>
        <v/>
      </c>
      <c r="M630" s="3" t="str">
        <f t="shared" si="38"/>
        <v>SRA01</v>
      </c>
      <c r="N630" s="3" t="str">
        <f>CONCATENATE("PLMNTN61L02G309B")</f>
        <v>PLMNTN61L02G309B</v>
      </c>
      <c r="O630" s="3" t="s">
        <v>1044</v>
      </c>
      <c r="P630" s="3" t="s">
        <v>35</v>
      </c>
      <c r="Q630" s="3" t="s">
        <v>922</v>
      </c>
      <c r="R630" s="4">
        <v>45931</v>
      </c>
      <c r="S630" s="3" t="s">
        <v>37</v>
      </c>
      <c r="T630" s="3" t="s">
        <v>38</v>
      </c>
      <c r="U630" s="3" t="s">
        <v>39</v>
      </c>
      <c r="V630" s="5">
        <v>10343.15</v>
      </c>
      <c r="W630" s="5">
        <v>5223.29</v>
      </c>
      <c r="X630" s="5">
        <v>3583.9</v>
      </c>
      <c r="Y630" s="5">
        <v>1535.96</v>
      </c>
    </row>
    <row r="631" spans="1:25" ht="41.5" hidden="1" x14ac:dyDescent="0.35">
      <c r="A631" s="3" t="s">
        <v>26</v>
      </c>
      <c r="B631" s="3" t="s">
        <v>27</v>
      </c>
      <c r="C631" s="3" t="s">
        <v>478</v>
      </c>
      <c r="D631" s="3" t="s">
        <v>41</v>
      </c>
      <c r="E631" s="3" t="s">
        <v>709</v>
      </c>
      <c r="F631" s="3" t="s">
        <v>119</v>
      </c>
      <c r="G631" s="3" t="s">
        <v>120</v>
      </c>
      <c r="H631" s="3" t="s">
        <v>484</v>
      </c>
      <c r="I631" s="3">
        <v>2024</v>
      </c>
      <c r="J631" s="3" t="str">
        <f>CONCATENATE("44810119436")</f>
        <v>44810119436</v>
      </c>
      <c r="K631" s="3" t="s">
        <v>33</v>
      </c>
      <c r="L631" s="3" t="str">
        <f t="shared" si="35"/>
        <v/>
      </c>
      <c r="M631" s="3" t="str">
        <f t="shared" si="38"/>
        <v>SRA01</v>
      </c>
      <c r="N631" s="3" t="str">
        <f>CONCATENATE("RCCRMR68T54F839K")</f>
        <v>RCCRMR68T54F839K</v>
      </c>
      <c r="O631" s="3" t="s">
        <v>1045</v>
      </c>
      <c r="P631" s="3" t="s">
        <v>35</v>
      </c>
      <c r="Q631" s="3" t="s">
        <v>922</v>
      </c>
      <c r="R631" s="4">
        <v>45931</v>
      </c>
      <c r="S631" s="3" t="s">
        <v>37</v>
      </c>
      <c r="T631" s="3" t="s">
        <v>38</v>
      </c>
      <c r="U631" s="3" t="s">
        <v>39</v>
      </c>
      <c r="V631" s="5">
        <v>4302.47</v>
      </c>
      <c r="W631" s="5">
        <v>2172.75</v>
      </c>
      <c r="X631" s="5">
        <v>1490.81</v>
      </c>
      <c r="Y631" s="3">
        <v>638.91</v>
      </c>
    </row>
    <row r="632" spans="1:25" ht="41.5" hidden="1" x14ac:dyDescent="0.35">
      <c r="A632" s="3" t="s">
        <v>26</v>
      </c>
      <c r="B632" s="3" t="s">
        <v>27</v>
      </c>
      <c r="C632" s="3" t="s">
        <v>478</v>
      </c>
      <c r="D632" s="3" t="s">
        <v>51</v>
      </c>
      <c r="E632" s="3" t="s">
        <v>1042</v>
      </c>
      <c r="F632" s="3" t="s">
        <v>51</v>
      </c>
      <c r="G632" s="3" t="s">
        <v>1042</v>
      </c>
      <c r="H632" s="3" t="s">
        <v>484</v>
      </c>
      <c r="I632" s="3">
        <v>2024</v>
      </c>
      <c r="J632" s="3" t="str">
        <f>CONCATENATE("44811030780")</f>
        <v>44811030780</v>
      </c>
      <c r="K632" s="3" t="s">
        <v>33</v>
      </c>
      <c r="L632" s="3" t="str">
        <f t="shared" si="35"/>
        <v/>
      </c>
      <c r="M632" s="3" t="str">
        <f t="shared" si="38"/>
        <v>SRA01</v>
      </c>
      <c r="N632" s="3" t="str">
        <f>CONCATENATE("VCRGST63T02L083R")</f>
        <v>VCRGST63T02L083R</v>
      </c>
      <c r="O632" s="3" t="s">
        <v>1046</v>
      </c>
      <c r="P632" s="3" t="s">
        <v>35</v>
      </c>
      <c r="Q632" s="3" t="s">
        <v>922</v>
      </c>
      <c r="R632" s="4">
        <v>45931</v>
      </c>
      <c r="S632" s="3" t="s">
        <v>37</v>
      </c>
      <c r="T632" s="3" t="s">
        <v>38</v>
      </c>
      <c r="U632" s="3" t="s">
        <v>39</v>
      </c>
      <c r="V632" s="5">
        <v>12018.43</v>
      </c>
      <c r="W632" s="5">
        <v>6069.31</v>
      </c>
      <c r="X632" s="5">
        <v>4164.3900000000003</v>
      </c>
      <c r="Y632" s="5">
        <v>1784.73</v>
      </c>
    </row>
    <row r="633" spans="1:25" ht="41.5" hidden="1" x14ac:dyDescent="0.35">
      <c r="A633" s="3" t="s">
        <v>26</v>
      </c>
      <c r="B633" s="3" t="s">
        <v>27</v>
      </c>
      <c r="C633" s="3" t="s">
        <v>40</v>
      </c>
      <c r="D633" s="3" t="s">
        <v>61</v>
      </c>
      <c r="E633" s="3" t="s">
        <v>1047</v>
      </c>
      <c r="F633" s="3" t="s">
        <v>63</v>
      </c>
      <c r="G633" s="3" t="s">
        <v>1047</v>
      </c>
      <c r="H633" s="3" t="s">
        <v>64</v>
      </c>
      <c r="I633" s="3">
        <v>2024</v>
      </c>
      <c r="J633" s="3" t="str">
        <f>CONCATENATE("44811113057")</f>
        <v>44811113057</v>
      </c>
      <c r="K633" s="3" t="s">
        <v>33</v>
      </c>
      <c r="L633" s="3" t="str">
        <f t="shared" si="35"/>
        <v/>
      </c>
      <c r="M633" s="3" t="str">
        <f t="shared" ref="M633:M642" si="39">CONCATENATE("SRA29")</f>
        <v>SRA29</v>
      </c>
      <c r="N633" s="3" t="str">
        <f>CONCATENATE("CRVSLV67M53H501R")</f>
        <v>CRVSLV67M53H501R</v>
      </c>
      <c r="O633" s="3" t="s">
        <v>1048</v>
      </c>
      <c r="P633" s="3" t="s">
        <v>35</v>
      </c>
      <c r="Q633" s="3" t="s">
        <v>923</v>
      </c>
      <c r="R633" s="4">
        <v>45933</v>
      </c>
      <c r="S633" s="3" t="s">
        <v>37</v>
      </c>
      <c r="T633" s="3" t="s">
        <v>38</v>
      </c>
      <c r="U633" s="3" t="s">
        <v>39</v>
      </c>
      <c r="V633" s="3">
        <v>17.45</v>
      </c>
      <c r="W633" s="3">
        <v>7.1</v>
      </c>
      <c r="X633" s="3">
        <v>7.24</v>
      </c>
      <c r="Y633" s="3">
        <v>3.11</v>
      </c>
    </row>
    <row r="634" spans="1:25" ht="25.5" hidden="1" x14ac:dyDescent="0.35">
      <c r="A634" s="3" t="s">
        <v>26</v>
      </c>
      <c r="B634" s="3" t="s">
        <v>27</v>
      </c>
      <c r="C634" s="3" t="s">
        <v>40</v>
      </c>
      <c r="D634" s="3" t="s">
        <v>180</v>
      </c>
      <c r="E634" s="3" t="s">
        <v>839</v>
      </c>
      <c r="F634" s="3" t="s">
        <v>85</v>
      </c>
      <c r="G634" s="3" t="s">
        <v>839</v>
      </c>
      <c r="H634" s="3" t="s">
        <v>44</v>
      </c>
      <c r="I634" s="3">
        <v>2024</v>
      </c>
      <c r="J634" s="3" t="str">
        <f>CONCATENATE("44810479533")</f>
        <v>44810479533</v>
      </c>
      <c r="K634" s="3" t="s">
        <v>33</v>
      </c>
      <c r="L634" s="3" t="str">
        <f t="shared" si="35"/>
        <v/>
      </c>
      <c r="M634" s="3" t="str">
        <f t="shared" si="39"/>
        <v>SRA29</v>
      </c>
      <c r="N634" s="3" t="str">
        <f>CONCATENATE("01017930577")</f>
        <v>01017930577</v>
      </c>
      <c r="O634" s="3" t="s">
        <v>1049</v>
      </c>
      <c r="P634" s="3" t="s">
        <v>35</v>
      </c>
      <c r="Q634" s="3" t="s">
        <v>923</v>
      </c>
      <c r="R634" s="4">
        <v>45933</v>
      </c>
      <c r="S634" s="3" t="s">
        <v>37</v>
      </c>
      <c r="T634" s="3" t="s">
        <v>38</v>
      </c>
      <c r="U634" s="3" t="s">
        <v>39</v>
      </c>
      <c r="V634" s="3">
        <v>390.03</v>
      </c>
      <c r="W634" s="3">
        <v>158.74</v>
      </c>
      <c r="X634" s="3">
        <v>161.9</v>
      </c>
      <c r="Y634" s="3">
        <v>69.39</v>
      </c>
    </row>
    <row r="635" spans="1:25" ht="41.5" hidden="1" x14ac:dyDescent="0.35">
      <c r="A635" s="3" t="s">
        <v>26</v>
      </c>
      <c r="B635" s="3" t="s">
        <v>27</v>
      </c>
      <c r="C635" s="3" t="s">
        <v>40</v>
      </c>
      <c r="D635" s="3" t="s">
        <v>41</v>
      </c>
      <c r="E635" s="3" t="s">
        <v>981</v>
      </c>
      <c r="F635" s="3" t="s">
        <v>43</v>
      </c>
      <c r="G635" s="3" t="s">
        <v>981</v>
      </c>
      <c r="H635" s="3" t="s">
        <v>116</v>
      </c>
      <c r="I635" s="3">
        <v>2024</v>
      </c>
      <c r="J635" s="3" t="str">
        <f>CONCATENATE("44810974277")</f>
        <v>44810974277</v>
      </c>
      <c r="K635" s="3" t="s">
        <v>33</v>
      </c>
      <c r="L635" s="3" t="str">
        <f t="shared" si="35"/>
        <v/>
      </c>
      <c r="M635" s="3" t="str">
        <f t="shared" si="39"/>
        <v>SRA29</v>
      </c>
      <c r="N635" s="3" t="str">
        <f>CONCATENATE("DBSGPP70S47D708D")</f>
        <v>DBSGPP70S47D708D</v>
      </c>
      <c r="O635" s="3" t="s">
        <v>1050</v>
      </c>
      <c r="P635" s="3" t="s">
        <v>35</v>
      </c>
      <c r="Q635" s="3" t="s">
        <v>923</v>
      </c>
      <c r="R635" s="4">
        <v>45933</v>
      </c>
      <c r="S635" s="3" t="s">
        <v>37</v>
      </c>
      <c r="T635" s="3" t="s">
        <v>38</v>
      </c>
      <c r="U635" s="3" t="s">
        <v>39</v>
      </c>
      <c r="V635" s="5">
        <v>1039.82</v>
      </c>
      <c r="W635" s="3">
        <v>423.21</v>
      </c>
      <c r="X635" s="3">
        <v>431.63</v>
      </c>
      <c r="Y635" s="3">
        <v>184.98</v>
      </c>
    </row>
    <row r="636" spans="1:25" ht="25.5" hidden="1" x14ac:dyDescent="0.35">
      <c r="A636" s="3" t="s">
        <v>26</v>
      </c>
      <c r="B636" s="3" t="s">
        <v>27</v>
      </c>
      <c r="C636" s="3" t="s">
        <v>40</v>
      </c>
      <c r="D636" s="3" t="s">
        <v>41</v>
      </c>
      <c r="E636" s="3" t="s">
        <v>844</v>
      </c>
      <c r="F636" s="3" t="s">
        <v>43</v>
      </c>
      <c r="G636" s="3" t="s">
        <v>844</v>
      </c>
      <c r="H636" s="3" t="s">
        <v>64</v>
      </c>
      <c r="I636" s="3">
        <v>2024</v>
      </c>
      <c r="J636" s="3" t="str">
        <f>CONCATENATE("44810196046")</f>
        <v>44810196046</v>
      </c>
      <c r="K636" s="3" t="s">
        <v>33</v>
      </c>
      <c r="L636" s="3" t="str">
        <f t="shared" si="35"/>
        <v/>
      </c>
      <c r="M636" s="3" t="str">
        <f t="shared" si="39"/>
        <v>SRA29</v>
      </c>
      <c r="N636" s="3" t="str">
        <f>CONCATENATE("08590190586")</f>
        <v>08590190586</v>
      </c>
      <c r="O636" s="3" t="s">
        <v>1051</v>
      </c>
      <c r="P636" s="3" t="s">
        <v>35</v>
      </c>
      <c r="Q636" s="3" t="s">
        <v>923</v>
      </c>
      <c r="R636" s="4">
        <v>45933</v>
      </c>
      <c r="S636" s="3" t="s">
        <v>37</v>
      </c>
      <c r="T636" s="3" t="s">
        <v>38</v>
      </c>
      <c r="U636" s="3" t="s">
        <v>39</v>
      </c>
      <c r="V636" s="5">
        <v>7403.48</v>
      </c>
      <c r="W636" s="5">
        <v>3013.22</v>
      </c>
      <c r="X636" s="5">
        <v>3073.18</v>
      </c>
      <c r="Y636" s="5">
        <v>1317.08</v>
      </c>
    </row>
    <row r="637" spans="1:25" ht="41.5" hidden="1" x14ac:dyDescent="0.35">
      <c r="A637" s="3" t="s">
        <v>26</v>
      </c>
      <c r="B637" s="3" t="s">
        <v>27</v>
      </c>
      <c r="C637" s="3" t="s">
        <v>40</v>
      </c>
      <c r="D637" s="3" t="s">
        <v>29</v>
      </c>
      <c r="E637" s="3" t="s">
        <v>1052</v>
      </c>
      <c r="F637" s="3" t="s">
        <v>31</v>
      </c>
      <c r="G637" s="3" t="s">
        <v>1052</v>
      </c>
      <c r="H637" s="3" t="s">
        <v>116</v>
      </c>
      <c r="I637" s="3">
        <v>2024</v>
      </c>
      <c r="J637" s="3" t="str">
        <f>CONCATENATE("44810413169")</f>
        <v>44810413169</v>
      </c>
      <c r="K637" s="3" t="s">
        <v>33</v>
      </c>
      <c r="L637" s="3" t="str">
        <f t="shared" si="35"/>
        <v/>
      </c>
      <c r="M637" s="3" t="str">
        <f t="shared" si="39"/>
        <v>SRA29</v>
      </c>
      <c r="N637" s="3" t="str">
        <f>CONCATENATE("PSTLSN74L59L719Q")</f>
        <v>PSTLSN74L59L719Q</v>
      </c>
      <c r="O637" s="3" t="s">
        <v>1053</v>
      </c>
      <c r="P637" s="3" t="s">
        <v>35</v>
      </c>
      <c r="Q637" s="3" t="s">
        <v>923</v>
      </c>
      <c r="R637" s="4">
        <v>45933</v>
      </c>
      <c r="S637" s="3" t="s">
        <v>37</v>
      </c>
      <c r="T637" s="3" t="s">
        <v>38</v>
      </c>
      <c r="U637" s="3" t="s">
        <v>39</v>
      </c>
      <c r="V637" s="3">
        <v>411.31</v>
      </c>
      <c r="W637" s="3">
        <v>167.4</v>
      </c>
      <c r="X637" s="3">
        <v>170.73</v>
      </c>
      <c r="Y637" s="3">
        <v>73.180000000000007</v>
      </c>
    </row>
    <row r="638" spans="1:25" ht="41.5" hidden="1" x14ac:dyDescent="0.35">
      <c r="A638" s="3" t="s">
        <v>26</v>
      </c>
      <c r="B638" s="3" t="s">
        <v>27</v>
      </c>
      <c r="C638" s="3" t="s">
        <v>40</v>
      </c>
      <c r="D638" s="3" t="s">
        <v>41</v>
      </c>
      <c r="E638" s="3" t="s">
        <v>955</v>
      </c>
      <c r="F638" s="3" t="s">
        <v>43</v>
      </c>
      <c r="G638" s="3" t="s">
        <v>955</v>
      </c>
      <c r="H638" s="3" t="s">
        <v>64</v>
      </c>
      <c r="I638" s="3">
        <v>2024</v>
      </c>
      <c r="J638" s="3" t="str">
        <f>CONCATENATE("44810232478")</f>
        <v>44810232478</v>
      </c>
      <c r="K638" s="3" t="s">
        <v>33</v>
      </c>
      <c r="L638" s="3" t="str">
        <f t="shared" si="35"/>
        <v/>
      </c>
      <c r="M638" s="3" t="str">
        <f t="shared" si="39"/>
        <v>SRA29</v>
      </c>
      <c r="N638" s="3" t="str">
        <f>CONCATENATE("PCLLSN74A45C858Z")</f>
        <v>PCLLSN74A45C858Z</v>
      </c>
      <c r="O638" s="3" t="s">
        <v>1054</v>
      </c>
      <c r="P638" s="3" t="s">
        <v>35</v>
      </c>
      <c r="Q638" s="3" t="s">
        <v>923</v>
      </c>
      <c r="R638" s="4">
        <v>45933</v>
      </c>
      <c r="S638" s="3" t="s">
        <v>37</v>
      </c>
      <c r="T638" s="3" t="s">
        <v>38</v>
      </c>
      <c r="U638" s="3" t="s">
        <v>39</v>
      </c>
      <c r="V638" s="3">
        <v>350.59</v>
      </c>
      <c r="W638" s="3">
        <v>142.69</v>
      </c>
      <c r="X638" s="3">
        <v>145.53</v>
      </c>
      <c r="Y638" s="3">
        <v>62.37</v>
      </c>
    </row>
    <row r="639" spans="1:25" ht="41.5" hidden="1" x14ac:dyDescent="0.35">
      <c r="A639" s="3" t="s">
        <v>26</v>
      </c>
      <c r="B639" s="3" t="s">
        <v>27</v>
      </c>
      <c r="C639" s="3" t="s">
        <v>40</v>
      </c>
      <c r="D639" s="3" t="s">
        <v>75</v>
      </c>
      <c r="E639" s="3" t="s">
        <v>76</v>
      </c>
      <c r="F639" s="3" t="s">
        <v>77</v>
      </c>
      <c r="G639" s="3" t="s">
        <v>76</v>
      </c>
      <c r="H639" s="3" t="s">
        <v>64</v>
      </c>
      <c r="I639" s="3">
        <v>2024</v>
      </c>
      <c r="J639" s="3" t="str">
        <f>CONCATENATE("44811880143")</f>
        <v>44811880143</v>
      </c>
      <c r="K639" s="3" t="s">
        <v>33</v>
      </c>
      <c r="L639" s="3" t="str">
        <f t="shared" si="35"/>
        <v/>
      </c>
      <c r="M639" s="3" t="str">
        <f t="shared" si="39"/>
        <v>SRA29</v>
      </c>
      <c r="N639" s="3" t="str">
        <f>CONCATENATE("RNCNTN28A17B496C")</f>
        <v>RNCNTN28A17B496C</v>
      </c>
      <c r="O639" s="3" t="s">
        <v>1055</v>
      </c>
      <c r="P639" s="3" t="s">
        <v>35</v>
      </c>
      <c r="Q639" s="3" t="s">
        <v>923</v>
      </c>
      <c r="R639" s="4">
        <v>45933</v>
      </c>
      <c r="S639" s="3" t="s">
        <v>37</v>
      </c>
      <c r="T639" s="3" t="s">
        <v>38</v>
      </c>
      <c r="U639" s="3" t="s">
        <v>39</v>
      </c>
      <c r="V639" s="5">
        <v>10085.85</v>
      </c>
      <c r="W639" s="5">
        <v>4104.9399999999996</v>
      </c>
      <c r="X639" s="5">
        <v>4186.6400000000003</v>
      </c>
      <c r="Y639" s="5">
        <v>1794.27</v>
      </c>
    </row>
    <row r="640" spans="1:25" ht="25.5" hidden="1" x14ac:dyDescent="0.35">
      <c r="A640" s="3" t="s">
        <v>26</v>
      </c>
      <c r="B640" s="3" t="s">
        <v>27</v>
      </c>
      <c r="C640" s="3" t="s">
        <v>40</v>
      </c>
      <c r="D640" s="3" t="s">
        <v>228</v>
      </c>
      <c r="E640" s="3" t="s">
        <v>924</v>
      </c>
      <c r="F640" s="3" t="s">
        <v>43</v>
      </c>
      <c r="G640" s="3" t="s">
        <v>844</v>
      </c>
      <c r="H640" s="3" t="s">
        <v>64</v>
      </c>
      <c r="I640" s="3">
        <v>2024</v>
      </c>
      <c r="J640" s="3" t="str">
        <f>CONCATENATE("44811330016")</f>
        <v>44811330016</v>
      </c>
      <c r="K640" s="3" t="s">
        <v>33</v>
      </c>
      <c r="L640" s="3" t="str">
        <f t="shared" si="35"/>
        <v/>
      </c>
      <c r="M640" s="3" t="str">
        <f t="shared" si="39"/>
        <v>SRA29</v>
      </c>
      <c r="N640" s="3" t="str">
        <f>CONCATENATE("08742641007")</f>
        <v>08742641007</v>
      </c>
      <c r="O640" s="3" t="s">
        <v>1056</v>
      </c>
      <c r="P640" s="3" t="s">
        <v>35</v>
      </c>
      <c r="Q640" s="3" t="s">
        <v>923</v>
      </c>
      <c r="R640" s="4">
        <v>45933</v>
      </c>
      <c r="S640" s="3" t="s">
        <v>37</v>
      </c>
      <c r="T640" s="3" t="s">
        <v>38</v>
      </c>
      <c r="U640" s="3" t="s">
        <v>39</v>
      </c>
      <c r="V640" s="3">
        <v>35.729999999999997</v>
      </c>
      <c r="W640" s="3">
        <v>14.54</v>
      </c>
      <c r="X640" s="3">
        <v>14.83</v>
      </c>
      <c r="Y640" s="3">
        <v>6.36</v>
      </c>
    </row>
    <row r="641" spans="1:25" ht="25.5" hidden="1" x14ac:dyDescent="0.35">
      <c r="A641" s="3" t="s">
        <v>26</v>
      </c>
      <c r="B641" s="3" t="s">
        <v>27</v>
      </c>
      <c r="C641" s="3" t="s">
        <v>40</v>
      </c>
      <c r="D641" s="3" t="s">
        <v>41</v>
      </c>
      <c r="E641" s="3" t="s">
        <v>1057</v>
      </c>
      <c r="F641" s="3" t="s">
        <v>43</v>
      </c>
      <c r="G641" s="3" t="s">
        <v>1057</v>
      </c>
      <c r="H641" s="3" t="s">
        <v>64</v>
      </c>
      <c r="I641" s="3">
        <v>2024</v>
      </c>
      <c r="J641" s="3" t="str">
        <f>CONCATENATE("44810747103")</f>
        <v>44810747103</v>
      </c>
      <c r="K641" s="3" t="s">
        <v>33</v>
      </c>
      <c r="L641" s="3" t="str">
        <f t="shared" si="35"/>
        <v/>
      </c>
      <c r="M641" s="3" t="str">
        <f t="shared" si="39"/>
        <v>SRA29</v>
      </c>
      <c r="N641" s="3" t="str">
        <f>CONCATENATE("16785901006")</f>
        <v>16785901006</v>
      </c>
      <c r="O641" s="3" t="s">
        <v>1058</v>
      </c>
      <c r="P641" s="3" t="s">
        <v>35</v>
      </c>
      <c r="Q641" s="3" t="s">
        <v>923</v>
      </c>
      <c r="R641" s="4">
        <v>45933</v>
      </c>
      <c r="S641" s="3" t="s">
        <v>37</v>
      </c>
      <c r="T641" s="3" t="s">
        <v>38</v>
      </c>
      <c r="U641" s="3" t="s">
        <v>39</v>
      </c>
      <c r="V641" s="5">
        <v>2111.14</v>
      </c>
      <c r="W641" s="3">
        <v>859.23</v>
      </c>
      <c r="X641" s="3">
        <v>876.33</v>
      </c>
      <c r="Y641" s="3">
        <v>375.58</v>
      </c>
    </row>
    <row r="642" spans="1:25" ht="25.5" hidden="1" x14ac:dyDescent="0.35">
      <c r="A642" s="3" t="s">
        <v>26</v>
      </c>
      <c r="B642" s="3" t="s">
        <v>27</v>
      </c>
      <c r="C642" s="3" t="s">
        <v>40</v>
      </c>
      <c r="D642" s="3" t="s">
        <v>137</v>
      </c>
      <c r="E642" s="3" t="s">
        <v>138</v>
      </c>
      <c r="F642" s="3" t="s">
        <v>85</v>
      </c>
      <c r="G642" s="3" t="s">
        <v>879</v>
      </c>
      <c r="H642" s="3" t="s">
        <v>64</v>
      </c>
      <c r="I642" s="3">
        <v>2024</v>
      </c>
      <c r="J642" s="3" t="str">
        <f>CONCATENATE("44811065174")</f>
        <v>44811065174</v>
      </c>
      <c r="K642" s="3" t="s">
        <v>33</v>
      </c>
      <c r="L642" s="3" t="str">
        <f t="shared" si="35"/>
        <v/>
      </c>
      <c r="M642" s="3" t="str">
        <f t="shared" si="39"/>
        <v>SRA29</v>
      </c>
      <c r="N642" s="3" t="str">
        <f>CONCATENATE("07095741000")</f>
        <v>07095741000</v>
      </c>
      <c r="O642" s="3" t="s">
        <v>880</v>
      </c>
      <c r="P642" s="3" t="s">
        <v>35</v>
      </c>
      <c r="Q642" s="3" t="s">
        <v>923</v>
      </c>
      <c r="R642" s="4">
        <v>45933</v>
      </c>
      <c r="S642" s="3" t="s">
        <v>37</v>
      </c>
      <c r="T642" s="3" t="s">
        <v>38</v>
      </c>
      <c r="U642" s="3" t="s">
        <v>39</v>
      </c>
      <c r="V642" s="5">
        <v>10808.68</v>
      </c>
      <c r="W642" s="5">
        <v>4399.13</v>
      </c>
      <c r="X642" s="5">
        <v>4486.68</v>
      </c>
      <c r="Y642" s="5">
        <v>1922.87</v>
      </c>
    </row>
    <row r="643" spans="1:25" ht="41.5" hidden="1" x14ac:dyDescent="0.35">
      <c r="A643" s="3" t="s">
        <v>26</v>
      </c>
      <c r="B643" s="3" t="s">
        <v>27</v>
      </c>
      <c r="C643" s="3" t="s">
        <v>478</v>
      </c>
      <c r="D643" s="3" t="s">
        <v>41</v>
      </c>
      <c r="E643" s="3" t="s">
        <v>483</v>
      </c>
      <c r="F643" s="3" t="s">
        <v>43</v>
      </c>
      <c r="G643" s="3" t="s">
        <v>483</v>
      </c>
      <c r="H643" s="3" t="s">
        <v>484</v>
      </c>
      <c r="I643" s="3">
        <v>2024</v>
      </c>
      <c r="J643" s="3" t="str">
        <f>CONCATENATE("44811148509")</f>
        <v>44811148509</v>
      </c>
      <c r="K643" s="3" t="s">
        <v>33</v>
      </c>
      <c r="L643" s="3" t="str">
        <f t="shared" si="35"/>
        <v/>
      </c>
      <c r="M643" s="3" t="str">
        <f>CONCATENATE("SRA14")</f>
        <v>SRA14</v>
      </c>
      <c r="N643" s="3" t="str">
        <f>CONCATENATE("MCANRC71C27B715O")</f>
        <v>MCANRC71C27B715O</v>
      </c>
      <c r="O643" s="3" t="s">
        <v>704</v>
      </c>
      <c r="P643" s="3" t="s">
        <v>35</v>
      </c>
      <c r="Q643" s="3" t="s">
        <v>1059</v>
      </c>
      <c r="R643" s="4">
        <v>45917</v>
      </c>
      <c r="S643" s="3" t="s">
        <v>37</v>
      </c>
      <c r="T643" s="3" t="s">
        <v>38</v>
      </c>
      <c r="U643" s="3" t="s">
        <v>39</v>
      </c>
      <c r="V643" s="5">
        <v>2101.44</v>
      </c>
      <c r="W643" s="5">
        <v>1061.23</v>
      </c>
      <c r="X643" s="3">
        <v>728.15</v>
      </c>
      <c r="Y643" s="3">
        <v>312.06</v>
      </c>
    </row>
    <row r="644" spans="1:25" ht="41.5" hidden="1" x14ac:dyDescent="0.35">
      <c r="A644" s="3" t="s">
        <v>26</v>
      </c>
      <c r="B644" s="3" t="s">
        <v>27</v>
      </c>
      <c r="C644" s="3" t="s">
        <v>90</v>
      </c>
      <c r="D644" s="3" t="s">
        <v>107</v>
      </c>
      <c r="E644" s="3" t="s">
        <v>242</v>
      </c>
      <c r="F644" s="3" t="s">
        <v>115</v>
      </c>
      <c r="G644" s="3" t="s">
        <v>242</v>
      </c>
      <c r="H644" s="3" t="s">
        <v>1060</v>
      </c>
      <c r="I644" s="3">
        <v>2024</v>
      </c>
      <c r="J644" s="3" t="str">
        <f>CONCATENATE("44820180683")</f>
        <v>44820180683</v>
      </c>
      <c r="K644" s="3" t="s">
        <v>33</v>
      </c>
      <c r="L644" s="3" t="str">
        <f t="shared" ref="L644:L707" si="40">CONCATENATE("")</f>
        <v/>
      </c>
      <c r="M644" s="3" t="str">
        <f>CONCATENATE("SRB01")</f>
        <v>SRB01</v>
      </c>
      <c r="N644" s="3" t="str">
        <f>CONCATENATE("CNTLBA01A64C351X")</f>
        <v>CNTLBA01A64C351X</v>
      </c>
      <c r="O644" s="3" t="s">
        <v>1061</v>
      </c>
      <c r="P644" s="3" t="s">
        <v>35</v>
      </c>
      <c r="Q644" s="3" t="s">
        <v>1062</v>
      </c>
      <c r="R644" s="4">
        <v>45931</v>
      </c>
      <c r="S644" s="3" t="s">
        <v>37</v>
      </c>
      <c r="T644" s="3" t="s">
        <v>38</v>
      </c>
      <c r="U644" s="3" t="s">
        <v>39</v>
      </c>
      <c r="V644" s="3">
        <v>1.2</v>
      </c>
      <c r="W644" s="3">
        <v>0.61</v>
      </c>
      <c r="X644" s="3">
        <v>0.42</v>
      </c>
      <c r="Y644" s="3">
        <v>0.17</v>
      </c>
    </row>
    <row r="645" spans="1:25" ht="49.5" hidden="1" x14ac:dyDescent="0.35">
      <c r="A645" s="3" t="s">
        <v>26</v>
      </c>
      <c r="B645" s="3" t="s">
        <v>27</v>
      </c>
      <c r="C645" s="3" t="s">
        <v>90</v>
      </c>
      <c r="D645" s="3" t="s">
        <v>107</v>
      </c>
      <c r="E645" s="3" t="s">
        <v>242</v>
      </c>
      <c r="F645" s="3" t="s">
        <v>115</v>
      </c>
      <c r="G645" s="3" t="s">
        <v>242</v>
      </c>
      <c r="H645" s="3" t="s">
        <v>1060</v>
      </c>
      <c r="I645" s="3">
        <v>2024</v>
      </c>
      <c r="J645" s="3" t="str">
        <f>CONCATENATE("44820264123")</f>
        <v>44820264123</v>
      </c>
      <c r="K645" s="3" t="s">
        <v>33</v>
      </c>
      <c r="L645" s="3" t="str">
        <f t="shared" si="40"/>
        <v/>
      </c>
      <c r="M645" s="3" t="str">
        <f>CONCATENATE("SRB01")</f>
        <v>SRB01</v>
      </c>
      <c r="N645" s="3" t="str">
        <f>CONCATENATE("CNTCRN98A64B202H")</f>
        <v>CNTCRN98A64B202H</v>
      </c>
      <c r="O645" s="3" t="s">
        <v>1063</v>
      </c>
      <c r="P645" s="3" t="s">
        <v>35</v>
      </c>
      <c r="Q645" s="3" t="s">
        <v>1062</v>
      </c>
      <c r="R645" s="4">
        <v>45931</v>
      </c>
      <c r="S645" s="3" t="s">
        <v>37</v>
      </c>
      <c r="T645" s="3" t="s">
        <v>38</v>
      </c>
      <c r="U645" s="3" t="s">
        <v>39</v>
      </c>
      <c r="V645" s="5">
        <v>8559.4</v>
      </c>
      <c r="W645" s="5">
        <v>4322.5</v>
      </c>
      <c r="X645" s="5">
        <v>2965.83</v>
      </c>
      <c r="Y645" s="5">
        <v>1271.07</v>
      </c>
    </row>
    <row r="646" spans="1:25" ht="41.5" hidden="1" x14ac:dyDescent="0.35">
      <c r="A646" s="3" t="s">
        <v>26</v>
      </c>
      <c r="B646" s="3" t="s">
        <v>27</v>
      </c>
      <c r="C646" s="3" t="s">
        <v>90</v>
      </c>
      <c r="D646" s="3" t="s">
        <v>107</v>
      </c>
      <c r="E646" s="3" t="s">
        <v>242</v>
      </c>
      <c r="F646" s="3" t="s">
        <v>115</v>
      </c>
      <c r="G646" s="3" t="s">
        <v>242</v>
      </c>
      <c r="H646" s="3" t="s">
        <v>1060</v>
      </c>
      <c r="I646" s="3">
        <v>2024</v>
      </c>
      <c r="J646" s="3" t="str">
        <f>CONCATENATE("44820580163")</f>
        <v>44820580163</v>
      </c>
      <c r="K646" s="3" t="s">
        <v>33</v>
      </c>
      <c r="L646" s="3" t="str">
        <f t="shared" si="40"/>
        <v/>
      </c>
      <c r="M646" s="3" t="str">
        <f>CONCATENATE("SRB01")</f>
        <v>SRB01</v>
      </c>
      <c r="N646" s="3" t="str">
        <f>CONCATENATE("LPCMLN02L59B202T")</f>
        <v>LPCMLN02L59B202T</v>
      </c>
      <c r="O646" s="3" t="s">
        <v>1064</v>
      </c>
      <c r="P646" s="3" t="s">
        <v>35</v>
      </c>
      <c r="Q646" s="3" t="s">
        <v>1062</v>
      </c>
      <c r="R646" s="4">
        <v>45931</v>
      </c>
      <c r="S646" s="3" t="s">
        <v>37</v>
      </c>
      <c r="T646" s="3" t="s">
        <v>38</v>
      </c>
      <c r="U646" s="3" t="s">
        <v>39</v>
      </c>
      <c r="V646" s="5">
        <v>3781.69</v>
      </c>
      <c r="W646" s="5">
        <v>1909.75</v>
      </c>
      <c r="X646" s="5">
        <v>1310.3599999999999</v>
      </c>
      <c r="Y646" s="3">
        <v>561.58000000000004</v>
      </c>
    </row>
    <row r="647" spans="1:25" ht="41.5" hidden="1" x14ac:dyDescent="0.35">
      <c r="A647" s="3" t="s">
        <v>26</v>
      </c>
      <c r="B647" s="3" t="s">
        <v>27</v>
      </c>
      <c r="C647" s="3" t="s">
        <v>90</v>
      </c>
      <c r="D647" s="3" t="s">
        <v>41</v>
      </c>
      <c r="E647" s="3" t="s">
        <v>1065</v>
      </c>
      <c r="F647" s="3" t="s">
        <v>43</v>
      </c>
      <c r="G647" s="3" t="s">
        <v>1065</v>
      </c>
      <c r="H647" s="3" t="s">
        <v>1060</v>
      </c>
      <c r="I647" s="3">
        <v>2024</v>
      </c>
      <c r="J647" s="3" t="str">
        <f>CONCATENATE("44820181442")</f>
        <v>44820181442</v>
      </c>
      <c r="K647" s="3" t="s">
        <v>33</v>
      </c>
      <c r="L647" s="3" t="str">
        <f t="shared" si="40"/>
        <v/>
      </c>
      <c r="M647" s="3" t="str">
        <f>CONCATENATE("SRB01")</f>
        <v>SRB01</v>
      </c>
      <c r="N647" s="3" t="str">
        <f>CONCATENATE("MRLBSL67A18B202N")</f>
        <v>MRLBSL67A18B202N</v>
      </c>
      <c r="O647" s="3" t="s">
        <v>1066</v>
      </c>
      <c r="P647" s="3" t="s">
        <v>35</v>
      </c>
      <c r="Q647" s="3" t="s">
        <v>1062</v>
      </c>
      <c r="R647" s="4">
        <v>45931</v>
      </c>
      <c r="S647" s="3" t="s">
        <v>37</v>
      </c>
      <c r="T647" s="3" t="s">
        <v>38</v>
      </c>
      <c r="U647" s="3" t="s">
        <v>39</v>
      </c>
      <c r="V647" s="3">
        <v>808.6</v>
      </c>
      <c r="W647" s="3">
        <v>408.34</v>
      </c>
      <c r="X647" s="3">
        <v>280.18</v>
      </c>
      <c r="Y647" s="3">
        <v>120.08</v>
      </c>
    </row>
    <row r="648" spans="1:25" ht="41.5" hidden="1" x14ac:dyDescent="0.35">
      <c r="A648" s="3" t="s">
        <v>26</v>
      </c>
      <c r="B648" s="3" t="s">
        <v>27</v>
      </c>
      <c r="C648" s="3" t="s">
        <v>90</v>
      </c>
      <c r="D648" s="3" t="s">
        <v>61</v>
      </c>
      <c r="E648" s="3" t="s">
        <v>1067</v>
      </c>
      <c r="F648" s="3" t="s">
        <v>63</v>
      </c>
      <c r="G648" s="3" t="s">
        <v>1067</v>
      </c>
      <c r="H648" s="3" t="s">
        <v>1060</v>
      </c>
      <c r="I648" s="3">
        <v>2024</v>
      </c>
      <c r="J648" s="3" t="str">
        <f>CONCATENATE("44820101713")</f>
        <v>44820101713</v>
      </c>
      <c r="K648" s="3" t="s">
        <v>33</v>
      </c>
      <c r="L648" s="3" t="str">
        <f t="shared" si="40"/>
        <v/>
      </c>
      <c r="M648" s="3" t="str">
        <f>CONCATENATE("SRB01")</f>
        <v>SRB01</v>
      </c>
      <c r="N648" s="3" t="str">
        <f>CONCATENATE("SNDMLS76T60Z129C")</f>
        <v>SNDMLS76T60Z129C</v>
      </c>
      <c r="O648" s="3" t="s">
        <v>1068</v>
      </c>
      <c r="P648" s="3" t="s">
        <v>35</v>
      </c>
      <c r="Q648" s="3" t="s">
        <v>1062</v>
      </c>
      <c r="R648" s="4">
        <v>45931</v>
      </c>
      <c r="S648" s="3" t="s">
        <v>37</v>
      </c>
      <c r="T648" s="3" t="s">
        <v>38</v>
      </c>
      <c r="U648" s="3" t="s">
        <v>39</v>
      </c>
      <c r="V648" s="5">
        <v>4368.3100000000004</v>
      </c>
      <c r="W648" s="5">
        <v>2206</v>
      </c>
      <c r="X648" s="5">
        <v>1513.62</v>
      </c>
      <c r="Y648" s="3">
        <v>648.69000000000005</v>
      </c>
    </row>
    <row r="649" spans="1:25" ht="41.5" hidden="1" x14ac:dyDescent="0.35">
      <c r="A649" s="3" t="s">
        <v>26</v>
      </c>
      <c r="B649" s="3" t="s">
        <v>27</v>
      </c>
      <c r="C649" s="3" t="s">
        <v>465</v>
      </c>
      <c r="D649" s="3" t="s">
        <v>234</v>
      </c>
      <c r="E649" s="3" t="s">
        <v>1069</v>
      </c>
      <c r="F649" s="3" t="s">
        <v>119</v>
      </c>
      <c r="G649" s="3" t="s">
        <v>1069</v>
      </c>
      <c r="H649" s="3" t="s">
        <v>467</v>
      </c>
      <c r="I649" s="3">
        <v>2024</v>
      </c>
      <c r="J649" s="3" t="str">
        <f>CONCATENATE("44811215472")</f>
        <v>44811215472</v>
      </c>
      <c r="K649" s="3" t="s">
        <v>33</v>
      </c>
      <c r="L649" s="3" t="str">
        <f t="shared" si="40"/>
        <v/>
      </c>
      <c r="M649" s="3" t="str">
        <f>CONCATENATE("SRA19")</f>
        <v>SRA19</v>
      </c>
      <c r="N649" s="3" t="str">
        <f>CONCATENATE("CNLLGU96S02A485M")</f>
        <v>CNLLGU96S02A485M</v>
      </c>
      <c r="O649" s="3" t="s">
        <v>1070</v>
      </c>
      <c r="P649" s="3" t="s">
        <v>35</v>
      </c>
      <c r="Q649" s="3" t="s">
        <v>1071</v>
      </c>
      <c r="R649" s="4">
        <v>45931</v>
      </c>
      <c r="S649" s="3" t="s">
        <v>37</v>
      </c>
      <c r="T649" s="3" t="s">
        <v>38</v>
      </c>
      <c r="U649" s="3" t="s">
        <v>39</v>
      </c>
      <c r="V649" s="5">
        <v>2623.57</v>
      </c>
      <c r="W649" s="5">
        <v>1115.02</v>
      </c>
      <c r="X649" s="5">
        <v>1055.99</v>
      </c>
      <c r="Y649" s="3">
        <v>452.56</v>
      </c>
    </row>
    <row r="650" spans="1:25" ht="41.5" hidden="1" x14ac:dyDescent="0.35">
      <c r="A650" s="3" t="s">
        <v>26</v>
      </c>
      <c r="B650" s="3" t="s">
        <v>27</v>
      </c>
      <c r="C650" s="3" t="s">
        <v>465</v>
      </c>
      <c r="D650" s="3" t="s">
        <v>41</v>
      </c>
      <c r="E650" s="3" t="s">
        <v>1072</v>
      </c>
      <c r="F650" s="3" t="s">
        <v>43</v>
      </c>
      <c r="G650" s="3" t="s">
        <v>1072</v>
      </c>
      <c r="H650" s="3" t="s">
        <v>467</v>
      </c>
      <c r="I650" s="3">
        <v>2024</v>
      </c>
      <c r="J650" s="3" t="str">
        <f>CONCATENATE("44811341021")</f>
        <v>44811341021</v>
      </c>
      <c r="K650" s="3" t="s">
        <v>33</v>
      </c>
      <c r="L650" s="3" t="str">
        <f t="shared" si="40"/>
        <v/>
      </c>
      <c r="M650" s="3" t="str">
        <f>CONCATENATE("SRA19")</f>
        <v>SRA19</v>
      </c>
      <c r="N650" s="3" t="str">
        <f>CONCATENATE("MRRMRC96R12E435F")</f>
        <v>MRRMRC96R12E435F</v>
      </c>
      <c r="O650" s="3" t="s">
        <v>1073</v>
      </c>
      <c r="P650" s="3" t="s">
        <v>35</v>
      </c>
      <c r="Q650" s="3" t="s">
        <v>1071</v>
      </c>
      <c r="R650" s="4">
        <v>45931</v>
      </c>
      <c r="S650" s="3" t="s">
        <v>37</v>
      </c>
      <c r="T650" s="3" t="s">
        <v>38</v>
      </c>
      <c r="U650" s="3" t="s">
        <v>39</v>
      </c>
      <c r="V650" s="3">
        <v>448.82</v>
      </c>
      <c r="W650" s="3">
        <v>190.75</v>
      </c>
      <c r="X650" s="3">
        <v>180.65</v>
      </c>
      <c r="Y650" s="3">
        <v>77.42</v>
      </c>
    </row>
    <row r="651" spans="1:25" ht="41.5" hidden="1" x14ac:dyDescent="0.35">
      <c r="A651" s="3" t="s">
        <v>26</v>
      </c>
      <c r="B651" s="3" t="s">
        <v>27</v>
      </c>
      <c r="C651" s="3" t="s">
        <v>465</v>
      </c>
      <c r="D651" s="3" t="s">
        <v>29</v>
      </c>
      <c r="E651" s="3" t="s">
        <v>1074</v>
      </c>
      <c r="F651" s="3" t="s">
        <v>31</v>
      </c>
      <c r="G651" s="3" t="s">
        <v>1074</v>
      </c>
      <c r="H651" s="3" t="s">
        <v>467</v>
      </c>
      <c r="I651" s="3">
        <v>2024</v>
      </c>
      <c r="J651" s="3" t="str">
        <f>CONCATENATE("44811029881")</f>
        <v>44811029881</v>
      </c>
      <c r="K651" s="3" t="s">
        <v>33</v>
      </c>
      <c r="L651" s="3" t="str">
        <f t="shared" si="40"/>
        <v/>
      </c>
      <c r="M651" s="3" t="str">
        <f>CONCATENATE("SRA19")</f>
        <v>SRA19</v>
      </c>
      <c r="N651" s="3" t="str">
        <f>CONCATENATE("RBTCLM69P15C632D")</f>
        <v>RBTCLM69P15C632D</v>
      </c>
      <c r="O651" s="3" t="s">
        <v>1075</v>
      </c>
      <c r="P651" s="3" t="s">
        <v>35</v>
      </c>
      <c r="Q651" s="3" t="s">
        <v>1071</v>
      </c>
      <c r="R651" s="4">
        <v>45931</v>
      </c>
      <c r="S651" s="3" t="s">
        <v>37</v>
      </c>
      <c r="T651" s="3" t="s">
        <v>38</v>
      </c>
      <c r="U651" s="3" t="s">
        <v>39</v>
      </c>
      <c r="V651" s="3">
        <v>291.33</v>
      </c>
      <c r="W651" s="3">
        <v>123.82</v>
      </c>
      <c r="X651" s="3">
        <v>117.26</v>
      </c>
      <c r="Y651" s="3">
        <v>50.25</v>
      </c>
    </row>
    <row r="652" spans="1:25" ht="25.5" hidden="1" x14ac:dyDescent="0.35">
      <c r="A652" s="3" t="s">
        <v>26</v>
      </c>
      <c r="B652" s="3" t="s">
        <v>27</v>
      </c>
      <c r="C652" s="3" t="s">
        <v>90</v>
      </c>
      <c r="D652" s="3" t="s">
        <v>180</v>
      </c>
      <c r="E652" s="3" t="s">
        <v>258</v>
      </c>
      <c r="F652" s="3" t="s">
        <v>85</v>
      </c>
      <c r="G652" s="3" t="s">
        <v>258</v>
      </c>
      <c r="H652" s="3" t="s">
        <v>96</v>
      </c>
      <c r="I652" s="3">
        <v>2024</v>
      </c>
      <c r="J652" s="3" t="str">
        <f>CONCATENATE("44820210738")</f>
        <v>44820210738</v>
      </c>
      <c r="K652" s="3" t="s">
        <v>33</v>
      </c>
      <c r="L652" s="3" t="str">
        <f t="shared" si="40"/>
        <v/>
      </c>
      <c r="M652" s="3" t="str">
        <f>CONCATENATE("SRB01")</f>
        <v>SRB01</v>
      </c>
      <c r="N652" s="3" t="str">
        <f>CONCATENATE("06813310825")</f>
        <v>06813310825</v>
      </c>
      <c r="O652" s="3" t="s">
        <v>357</v>
      </c>
      <c r="P652" s="3" t="s">
        <v>35</v>
      </c>
      <c r="Q652" s="3" t="s">
        <v>1076</v>
      </c>
      <c r="R652" s="4">
        <v>45931</v>
      </c>
      <c r="S652" s="3" t="s">
        <v>37</v>
      </c>
      <c r="T652" s="3" t="s">
        <v>38</v>
      </c>
      <c r="U652" s="3" t="s">
        <v>39</v>
      </c>
      <c r="V652" s="5">
        <v>11429.1</v>
      </c>
      <c r="W652" s="5">
        <v>5771.7</v>
      </c>
      <c r="X652" s="5">
        <v>3960.18</v>
      </c>
      <c r="Y652" s="5">
        <v>1697.22</v>
      </c>
    </row>
    <row r="653" spans="1:25" ht="41.5" hidden="1" x14ac:dyDescent="0.35">
      <c r="A653" s="3" t="s">
        <v>26</v>
      </c>
      <c r="B653" s="3" t="s">
        <v>27</v>
      </c>
      <c r="C653" s="3" t="s">
        <v>90</v>
      </c>
      <c r="D653" s="3" t="s">
        <v>51</v>
      </c>
      <c r="E653" s="3" t="s">
        <v>105</v>
      </c>
      <c r="F653" s="3" t="s">
        <v>51</v>
      </c>
      <c r="G653" s="3" t="s">
        <v>105</v>
      </c>
      <c r="H653" s="3" t="s">
        <v>96</v>
      </c>
      <c r="I653" s="3">
        <v>2024</v>
      </c>
      <c r="J653" s="3" t="str">
        <f>CONCATENATE("44820220752")</f>
        <v>44820220752</v>
      </c>
      <c r="K653" s="3" t="s">
        <v>33</v>
      </c>
      <c r="L653" s="3" t="str">
        <f t="shared" si="40"/>
        <v/>
      </c>
      <c r="M653" s="3" t="str">
        <f>CONCATENATE("SRB01")</f>
        <v>SRB01</v>
      </c>
      <c r="N653" s="3" t="str">
        <f>CONCATENATE("CRLCRL80P16G273G")</f>
        <v>CRLCRL80P16G273G</v>
      </c>
      <c r="O653" s="3" t="s">
        <v>1077</v>
      </c>
      <c r="P653" s="3" t="s">
        <v>35</v>
      </c>
      <c r="Q653" s="3" t="s">
        <v>1076</v>
      </c>
      <c r="R653" s="4">
        <v>45931</v>
      </c>
      <c r="S653" s="3" t="s">
        <v>37</v>
      </c>
      <c r="T653" s="3" t="s">
        <v>38</v>
      </c>
      <c r="U653" s="3" t="s">
        <v>39</v>
      </c>
      <c r="V653" s="5">
        <v>1597.13</v>
      </c>
      <c r="W653" s="3">
        <v>806.55</v>
      </c>
      <c r="X653" s="3">
        <v>553.41</v>
      </c>
      <c r="Y653" s="3">
        <v>237.17</v>
      </c>
    </row>
    <row r="654" spans="1:25" ht="25.5" hidden="1" x14ac:dyDescent="0.35">
      <c r="A654" s="3" t="s">
        <v>26</v>
      </c>
      <c r="B654" s="3" t="s">
        <v>27</v>
      </c>
      <c r="C654" s="3" t="s">
        <v>478</v>
      </c>
      <c r="D654" s="3" t="s">
        <v>29</v>
      </c>
      <c r="E654" s="3" t="s">
        <v>1078</v>
      </c>
      <c r="F654" s="3" t="s">
        <v>31</v>
      </c>
      <c r="G654" s="3" t="s">
        <v>1078</v>
      </c>
      <c r="H654" s="3" t="s">
        <v>614</v>
      </c>
      <c r="I654" s="3">
        <v>2024</v>
      </c>
      <c r="J654" s="3" t="str">
        <f>CONCATENATE("44811426863")</f>
        <v>44811426863</v>
      </c>
      <c r="K654" s="3" t="s">
        <v>33</v>
      </c>
      <c r="L654" s="3" t="str">
        <f t="shared" si="40"/>
        <v/>
      </c>
      <c r="M654" s="3" t="str">
        <f t="shared" ref="M654:M659" si="41">CONCATENATE("SRA29")</f>
        <v>SRA29</v>
      </c>
      <c r="N654" s="3" t="str">
        <f>CONCATENATE("07559151217")</f>
        <v>07559151217</v>
      </c>
      <c r="O654" s="3" t="s">
        <v>1079</v>
      </c>
      <c r="P654" s="3" t="s">
        <v>35</v>
      </c>
      <c r="Q654" s="3" t="s">
        <v>1080</v>
      </c>
      <c r="R654" s="4">
        <v>45933</v>
      </c>
      <c r="S654" s="3" t="s">
        <v>37</v>
      </c>
      <c r="T654" s="3" t="s">
        <v>38</v>
      </c>
      <c r="U654" s="3" t="s">
        <v>39</v>
      </c>
      <c r="V654" s="5">
        <v>4466.8599999999997</v>
      </c>
      <c r="W654" s="5">
        <v>2255.7600000000002</v>
      </c>
      <c r="X654" s="5">
        <v>1547.77</v>
      </c>
      <c r="Y654" s="3">
        <v>663.33</v>
      </c>
    </row>
    <row r="655" spans="1:25" ht="49.5" hidden="1" x14ac:dyDescent="0.35">
      <c r="A655" s="3" t="s">
        <v>26</v>
      </c>
      <c r="B655" s="3" t="s">
        <v>27</v>
      </c>
      <c r="C655" s="3" t="s">
        <v>478</v>
      </c>
      <c r="D655" s="3" t="s">
        <v>234</v>
      </c>
      <c r="E655" s="3" t="s">
        <v>120</v>
      </c>
      <c r="F655" s="3" t="s">
        <v>119</v>
      </c>
      <c r="G655" s="3" t="s">
        <v>120</v>
      </c>
      <c r="H655" s="3" t="s">
        <v>614</v>
      </c>
      <c r="I655" s="3">
        <v>2024</v>
      </c>
      <c r="J655" s="3" t="str">
        <f>CONCATENATE("44811254075")</f>
        <v>44811254075</v>
      </c>
      <c r="K655" s="3" t="s">
        <v>33</v>
      </c>
      <c r="L655" s="3" t="str">
        <f t="shared" si="40"/>
        <v/>
      </c>
      <c r="M655" s="3" t="str">
        <f t="shared" si="41"/>
        <v>SRA29</v>
      </c>
      <c r="N655" s="3" t="str">
        <f>CONCATENATE("DSMPQL66A19A783V")</f>
        <v>DSMPQL66A19A783V</v>
      </c>
      <c r="O655" s="3" t="s">
        <v>1081</v>
      </c>
      <c r="P655" s="3" t="s">
        <v>35</v>
      </c>
      <c r="Q655" s="3" t="s">
        <v>1080</v>
      </c>
      <c r="R655" s="4">
        <v>45933</v>
      </c>
      <c r="S655" s="3" t="s">
        <v>37</v>
      </c>
      <c r="T655" s="3" t="s">
        <v>38</v>
      </c>
      <c r="U655" s="3" t="s">
        <v>39</v>
      </c>
      <c r="V655" s="5">
        <v>5294.76</v>
      </c>
      <c r="W655" s="5">
        <v>2673.85</v>
      </c>
      <c r="X655" s="5">
        <v>1834.63</v>
      </c>
      <c r="Y655" s="3">
        <v>786.28</v>
      </c>
    </row>
    <row r="656" spans="1:25" ht="49.5" hidden="1" x14ac:dyDescent="0.35">
      <c r="A656" s="3" t="s">
        <v>26</v>
      </c>
      <c r="B656" s="3" t="s">
        <v>27</v>
      </c>
      <c r="C656" s="3" t="s">
        <v>478</v>
      </c>
      <c r="D656" s="3" t="s">
        <v>75</v>
      </c>
      <c r="E656" s="3" t="s">
        <v>1082</v>
      </c>
      <c r="F656" s="3" t="s">
        <v>77</v>
      </c>
      <c r="G656" s="3" t="s">
        <v>1082</v>
      </c>
      <c r="H656" s="3" t="s">
        <v>614</v>
      </c>
      <c r="I656" s="3">
        <v>2024</v>
      </c>
      <c r="J656" s="3" t="str">
        <f>CONCATENATE("44810125656")</f>
        <v>44810125656</v>
      </c>
      <c r="K656" s="3" t="s">
        <v>33</v>
      </c>
      <c r="L656" s="3" t="str">
        <f t="shared" si="40"/>
        <v/>
      </c>
      <c r="M656" s="3" t="str">
        <f t="shared" si="41"/>
        <v>SRA29</v>
      </c>
      <c r="N656" s="3" t="str">
        <f>CONCATENATE("FRRGNN01H25B519R")</f>
        <v>FRRGNN01H25B519R</v>
      </c>
      <c r="O656" s="3" t="s">
        <v>1083</v>
      </c>
      <c r="P656" s="3" t="s">
        <v>35</v>
      </c>
      <c r="Q656" s="3" t="s">
        <v>1080</v>
      </c>
      <c r="R656" s="4">
        <v>45933</v>
      </c>
      <c r="S656" s="3" t="s">
        <v>37</v>
      </c>
      <c r="T656" s="3" t="s">
        <v>38</v>
      </c>
      <c r="U656" s="3" t="s">
        <v>39</v>
      </c>
      <c r="V656" s="5">
        <v>5065.18</v>
      </c>
      <c r="W656" s="5">
        <v>2557.92</v>
      </c>
      <c r="X656" s="5">
        <v>1755.08</v>
      </c>
      <c r="Y656" s="3">
        <v>752.18</v>
      </c>
    </row>
    <row r="657" spans="1:25" ht="41.5" hidden="1" x14ac:dyDescent="0.35">
      <c r="A657" s="3" t="s">
        <v>26</v>
      </c>
      <c r="B657" s="3" t="s">
        <v>27</v>
      </c>
      <c r="C657" s="3" t="s">
        <v>478</v>
      </c>
      <c r="D657" s="3" t="s">
        <v>75</v>
      </c>
      <c r="E657" s="3" t="s">
        <v>582</v>
      </c>
      <c r="F657" s="3" t="s">
        <v>77</v>
      </c>
      <c r="G657" s="3" t="s">
        <v>582</v>
      </c>
      <c r="H657" s="3" t="s">
        <v>614</v>
      </c>
      <c r="I657" s="3">
        <v>2024</v>
      </c>
      <c r="J657" s="3" t="str">
        <f>CONCATENATE("44811064425")</f>
        <v>44811064425</v>
      </c>
      <c r="K657" s="3" t="s">
        <v>33</v>
      </c>
      <c r="L657" s="3" t="str">
        <f t="shared" si="40"/>
        <v/>
      </c>
      <c r="M657" s="3" t="str">
        <f t="shared" si="41"/>
        <v>SRA29</v>
      </c>
      <c r="N657" s="3" t="str">
        <f>CONCATENATE("FRNLSN86S03A783G")</f>
        <v>FRNLSN86S03A783G</v>
      </c>
      <c r="O657" s="3" t="s">
        <v>1084</v>
      </c>
      <c r="P657" s="3" t="s">
        <v>35</v>
      </c>
      <c r="Q657" s="3" t="s">
        <v>1080</v>
      </c>
      <c r="R657" s="4">
        <v>45933</v>
      </c>
      <c r="S657" s="3" t="s">
        <v>37</v>
      </c>
      <c r="T657" s="3" t="s">
        <v>38</v>
      </c>
      <c r="U657" s="3" t="s">
        <v>39</v>
      </c>
      <c r="V657" s="5">
        <v>6706.95</v>
      </c>
      <c r="W657" s="5">
        <v>3387.01</v>
      </c>
      <c r="X657" s="5">
        <v>2323.96</v>
      </c>
      <c r="Y657" s="3">
        <v>995.98</v>
      </c>
    </row>
    <row r="658" spans="1:25" ht="41.5" hidden="1" x14ac:dyDescent="0.35">
      <c r="A658" s="3" t="s">
        <v>26</v>
      </c>
      <c r="B658" s="3" t="s">
        <v>27</v>
      </c>
      <c r="C658" s="3" t="s">
        <v>478</v>
      </c>
      <c r="D658" s="3" t="s">
        <v>75</v>
      </c>
      <c r="E658" s="3" t="s">
        <v>582</v>
      </c>
      <c r="F658" s="3" t="s">
        <v>77</v>
      </c>
      <c r="G658" s="3" t="s">
        <v>582</v>
      </c>
      <c r="H658" s="3" t="s">
        <v>614</v>
      </c>
      <c r="I658" s="3">
        <v>2024</v>
      </c>
      <c r="J658" s="3" t="str">
        <f>CONCATENATE("44811108933")</f>
        <v>44811108933</v>
      </c>
      <c r="K658" s="3" t="s">
        <v>33</v>
      </c>
      <c r="L658" s="3" t="str">
        <f t="shared" si="40"/>
        <v/>
      </c>
      <c r="M658" s="3" t="str">
        <f t="shared" si="41"/>
        <v>SRA29</v>
      </c>
      <c r="N658" s="3" t="str">
        <f>CONCATENATE("MZZRCC60B29G227C")</f>
        <v>MZZRCC60B29G227C</v>
      </c>
      <c r="O658" s="3" t="s">
        <v>1085</v>
      </c>
      <c r="P658" s="3" t="s">
        <v>35</v>
      </c>
      <c r="Q658" s="3" t="s">
        <v>1080</v>
      </c>
      <c r="R658" s="4">
        <v>45933</v>
      </c>
      <c r="S658" s="3" t="s">
        <v>37</v>
      </c>
      <c r="T658" s="3" t="s">
        <v>38</v>
      </c>
      <c r="U658" s="3" t="s">
        <v>39</v>
      </c>
      <c r="V658" s="5">
        <v>5768.81</v>
      </c>
      <c r="W658" s="5">
        <v>2913.25</v>
      </c>
      <c r="X658" s="5">
        <v>1998.89</v>
      </c>
      <c r="Y658" s="3">
        <v>856.67</v>
      </c>
    </row>
    <row r="659" spans="1:25" ht="41.5" hidden="1" x14ac:dyDescent="0.35">
      <c r="A659" s="3" t="s">
        <v>26</v>
      </c>
      <c r="B659" s="3" t="s">
        <v>27</v>
      </c>
      <c r="C659" s="3" t="s">
        <v>478</v>
      </c>
      <c r="D659" s="3" t="s">
        <v>75</v>
      </c>
      <c r="E659" s="3" t="s">
        <v>582</v>
      </c>
      <c r="F659" s="3" t="s">
        <v>77</v>
      </c>
      <c r="G659" s="3" t="s">
        <v>582</v>
      </c>
      <c r="H659" s="3" t="s">
        <v>614</v>
      </c>
      <c r="I659" s="3">
        <v>2024</v>
      </c>
      <c r="J659" s="3" t="str">
        <f>CONCATENATE("44811454535")</f>
        <v>44811454535</v>
      </c>
      <c r="K659" s="3" t="s">
        <v>33</v>
      </c>
      <c r="L659" s="3" t="str">
        <f t="shared" si="40"/>
        <v/>
      </c>
      <c r="M659" s="3" t="str">
        <f t="shared" si="41"/>
        <v>SRA29</v>
      </c>
      <c r="N659" s="3" t="str">
        <f>CONCATENATE("VTTGRZ72M62H898C")</f>
        <v>VTTGRZ72M62H898C</v>
      </c>
      <c r="O659" s="3" t="s">
        <v>734</v>
      </c>
      <c r="P659" s="3" t="s">
        <v>35</v>
      </c>
      <c r="Q659" s="3" t="s">
        <v>1080</v>
      </c>
      <c r="R659" s="4">
        <v>45933</v>
      </c>
      <c r="S659" s="3" t="s">
        <v>37</v>
      </c>
      <c r="T659" s="3" t="s">
        <v>38</v>
      </c>
      <c r="U659" s="3" t="s">
        <v>39</v>
      </c>
      <c r="V659" s="5">
        <v>5281.97</v>
      </c>
      <c r="W659" s="5">
        <v>2667.39</v>
      </c>
      <c r="X659" s="5">
        <v>1830.2</v>
      </c>
      <c r="Y659" s="3">
        <v>784.38</v>
      </c>
    </row>
    <row r="660" spans="1:25" ht="25.5" hidden="1" x14ac:dyDescent="0.35">
      <c r="A660" s="3" t="s">
        <v>26</v>
      </c>
      <c r="B660" s="3" t="s">
        <v>27</v>
      </c>
      <c r="C660" s="3" t="s">
        <v>28</v>
      </c>
      <c r="D660" s="3" t="s">
        <v>164</v>
      </c>
      <c r="E660" s="3" t="s">
        <v>165</v>
      </c>
      <c r="F660" s="3" t="s">
        <v>166</v>
      </c>
      <c r="G660" s="3" t="s">
        <v>165</v>
      </c>
      <c r="H660" s="3" t="s">
        <v>72</v>
      </c>
      <c r="I660" s="3">
        <v>2024</v>
      </c>
      <c r="J660" s="3" t="str">
        <f>CONCATENATE("44811517935")</f>
        <v>44811517935</v>
      </c>
      <c r="K660" s="3" t="s">
        <v>33</v>
      </c>
      <c r="L660" s="3" t="str">
        <f t="shared" si="40"/>
        <v/>
      </c>
      <c r="M660" s="3" t="str">
        <f>CONCATENATE("SRA14")</f>
        <v>SRA14</v>
      </c>
      <c r="N660" s="3" t="str">
        <f>CONCATENATE("07789780728")</f>
        <v>07789780728</v>
      </c>
      <c r="O660" s="3" t="s">
        <v>170</v>
      </c>
      <c r="P660" s="3" t="s">
        <v>35</v>
      </c>
      <c r="Q660" s="3" t="s">
        <v>1086</v>
      </c>
      <c r="R660" s="4">
        <v>45916</v>
      </c>
      <c r="S660" s="3" t="s">
        <v>37</v>
      </c>
      <c r="T660" s="3" t="s">
        <v>38</v>
      </c>
      <c r="U660" s="3" t="s">
        <v>39</v>
      </c>
      <c r="V660" s="5">
        <v>2613.6</v>
      </c>
      <c r="W660" s="5">
        <v>1319.87</v>
      </c>
      <c r="X660" s="3">
        <v>905.61</v>
      </c>
      <c r="Y660" s="3">
        <v>388.12</v>
      </c>
    </row>
    <row r="661" spans="1:25" ht="41.5" hidden="1" x14ac:dyDescent="0.35">
      <c r="A661" s="3" t="s">
        <v>26</v>
      </c>
      <c r="B661" s="3" t="s">
        <v>27</v>
      </c>
      <c r="C661" s="3" t="s">
        <v>90</v>
      </c>
      <c r="D661" s="3" t="s">
        <v>228</v>
      </c>
      <c r="E661" s="3" t="s">
        <v>1087</v>
      </c>
      <c r="F661" s="3" t="s">
        <v>230</v>
      </c>
      <c r="G661" s="3" t="s">
        <v>1087</v>
      </c>
      <c r="H661" s="3" t="s">
        <v>92</v>
      </c>
      <c r="I661" s="3">
        <v>2023</v>
      </c>
      <c r="J661" s="3" t="str">
        <f>CONCATENATE("34810015098")</f>
        <v>34810015098</v>
      </c>
      <c r="K661" s="3" t="s">
        <v>33</v>
      </c>
      <c r="L661" s="3" t="str">
        <f t="shared" si="40"/>
        <v/>
      </c>
      <c r="M661" s="3" t="str">
        <f t="shared" ref="M661:M666" si="42">CONCATENATE("SRA29")</f>
        <v>SRA29</v>
      </c>
      <c r="N661" s="3" t="str">
        <f>CONCATENATE("LMBSFN92H21A494Z")</f>
        <v>LMBSFN92H21A494Z</v>
      </c>
      <c r="O661" s="3" t="s">
        <v>1088</v>
      </c>
      <c r="P661" s="3" t="s">
        <v>35</v>
      </c>
      <c r="Q661" s="3" t="s">
        <v>1089</v>
      </c>
      <c r="R661" s="4">
        <v>45915</v>
      </c>
      <c r="S661" s="3" t="s">
        <v>37</v>
      </c>
      <c r="T661" s="3" t="s">
        <v>38</v>
      </c>
      <c r="U661" s="3" t="s">
        <v>39</v>
      </c>
      <c r="V661" s="5">
        <v>11675</v>
      </c>
      <c r="W661" s="5">
        <v>5895.88</v>
      </c>
      <c r="X661" s="5">
        <v>4045.39</v>
      </c>
      <c r="Y661" s="5">
        <v>1733.73</v>
      </c>
    </row>
    <row r="662" spans="1:25" ht="41.5" hidden="1" x14ac:dyDescent="0.35">
      <c r="A662" s="3" t="s">
        <v>26</v>
      </c>
      <c r="B662" s="3" t="s">
        <v>27</v>
      </c>
      <c r="C662" s="3" t="s">
        <v>90</v>
      </c>
      <c r="D662" s="3" t="s">
        <v>61</v>
      </c>
      <c r="E662" s="3" t="s">
        <v>1090</v>
      </c>
      <c r="F662" s="3" t="s">
        <v>63</v>
      </c>
      <c r="G662" s="3" t="s">
        <v>1090</v>
      </c>
      <c r="H662" s="3" t="s">
        <v>92</v>
      </c>
      <c r="I662" s="3">
        <v>2024</v>
      </c>
      <c r="J662" s="3" t="str">
        <f>CONCATENATE("44810752939")</f>
        <v>44810752939</v>
      </c>
      <c r="K662" s="3" t="s">
        <v>33</v>
      </c>
      <c r="L662" s="3" t="str">
        <f t="shared" si="40"/>
        <v/>
      </c>
      <c r="M662" s="3" t="str">
        <f t="shared" si="42"/>
        <v>SRA29</v>
      </c>
      <c r="N662" s="3" t="str">
        <f>CONCATENATE("MLEVCN80L09F258Z")</f>
        <v>MLEVCN80L09F258Z</v>
      </c>
      <c r="O662" s="3" t="s">
        <v>1091</v>
      </c>
      <c r="P662" s="3" t="s">
        <v>35</v>
      </c>
      <c r="Q662" s="3" t="s">
        <v>1089</v>
      </c>
      <c r="R662" s="4">
        <v>45915</v>
      </c>
      <c r="S662" s="3" t="s">
        <v>37</v>
      </c>
      <c r="T662" s="3" t="s">
        <v>38</v>
      </c>
      <c r="U662" s="3" t="s">
        <v>39</v>
      </c>
      <c r="V662" s="5">
        <v>1263.1300000000001</v>
      </c>
      <c r="W662" s="3">
        <v>637.88</v>
      </c>
      <c r="X662" s="3">
        <v>437.67</v>
      </c>
      <c r="Y662" s="3">
        <v>187.58</v>
      </c>
    </row>
    <row r="663" spans="1:25" ht="41.5" hidden="1" x14ac:dyDescent="0.35">
      <c r="A663" s="3" t="s">
        <v>26</v>
      </c>
      <c r="B663" s="3" t="s">
        <v>27</v>
      </c>
      <c r="C663" s="3" t="s">
        <v>90</v>
      </c>
      <c r="D663" s="3" t="s">
        <v>61</v>
      </c>
      <c r="E663" s="3" t="s">
        <v>1090</v>
      </c>
      <c r="F663" s="3" t="s">
        <v>63</v>
      </c>
      <c r="G663" s="3" t="s">
        <v>1090</v>
      </c>
      <c r="H663" s="3" t="s">
        <v>92</v>
      </c>
      <c r="I663" s="3">
        <v>2023</v>
      </c>
      <c r="J663" s="3" t="str">
        <f>CONCATENATE("34810230192")</f>
        <v>34810230192</v>
      </c>
      <c r="K663" s="3" t="s">
        <v>33</v>
      </c>
      <c r="L663" s="3" t="str">
        <f t="shared" si="40"/>
        <v/>
      </c>
      <c r="M663" s="3" t="str">
        <f t="shared" si="42"/>
        <v>SRA29</v>
      </c>
      <c r="N663" s="3" t="str">
        <f>CONCATENATE("MLEVCN80L09F258Z")</f>
        <v>MLEVCN80L09F258Z</v>
      </c>
      <c r="O663" s="3" t="s">
        <v>1091</v>
      </c>
      <c r="P663" s="3" t="s">
        <v>35</v>
      </c>
      <c r="Q663" s="3" t="s">
        <v>1089</v>
      </c>
      <c r="R663" s="4">
        <v>45915</v>
      </c>
      <c r="S663" s="3" t="s">
        <v>37</v>
      </c>
      <c r="T663" s="3" t="s">
        <v>38</v>
      </c>
      <c r="U663" s="3" t="s">
        <v>39</v>
      </c>
      <c r="V663" s="3">
        <v>875.77</v>
      </c>
      <c r="W663" s="3">
        <v>442.26</v>
      </c>
      <c r="X663" s="3">
        <v>303.45</v>
      </c>
      <c r="Y663" s="3">
        <v>130.06</v>
      </c>
    </row>
    <row r="664" spans="1:25" ht="25.5" hidden="1" x14ac:dyDescent="0.35">
      <c r="A664" s="3" t="s">
        <v>26</v>
      </c>
      <c r="B664" s="3" t="s">
        <v>27</v>
      </c>
      <c r="C664" s="3" t="s">
        <v>90</v>
      </c>
      <c r="D664" s="3" t="s">
        <v>29</v>
      </c>
      <c r="E664" s="3" t="s">
        <v>91</v>
      </c>
      <c r="F664" s="3" t="s">
        <v>31</v>
      </c>
      <c r="G664" s="3" t="s">
        <v>91</v>
      </c>
      <c r="H664" s="3" t="s">
        <v>92</v>
      </c>
      <c r="I664" s="3">
        <v>2024</v>
      </c>
      <c r="J664" s="3" t="str">
        <f>CONCATENATE("44811265014")</f>
        <v>44811265014</v>
      </c>
      <c r="K664" s="3" t="s">
        <v>33</v>
      </c>
      <c r="L664" s="3" t="str">
        <f t="shared" si="40"/>
        <v/>
      </c>
      <c r="M664" s="3" t="str">
        <f t="shared" si="42"/>
        <v>SRA29</v>
      </c>
      <c r="N664" s="3" t="str">
        <f>CONCATENATE("05967650879")</f>
        <v>05967650879</v>
      </c>
      <c r="O664" s="3" t="s">
        <v>1092</v>
      </c>
      <c r="P664" s="3" t="s">
        <v>35</v>
      </c>
      <c r="Q664" s="3" t="s">
        <v>1089</v>
      </c>
      <c r="R664" s="4">
        <v>45915</v>
      </c>
      <c r="S664" s="3" t="s">
        <v>37</v>
      </c>
      <c r="T664" s="3" t="s">
        <v>38</v>
      </c>
      <c r="U664" s="3" t="s">
        <v>39</v>
      </c>
      <c r="V664" s="5">
        <v>5874.15</v>
      </c>
      <c r="W664" s="5">
        <v>2966.45</v>
      </c>
      <c r="X664" s="5">
        <v>2035.39</v>
      </c>
      <c r="Y664" s="3">
        <v>872.31</v>
      </c>
    </row>
    <row r="665" spans="1:25" ht="41.5" hidden="1" x14ac:dyDescent="0.35">
      <c r="A665" s="3" t="s">
        <v>26</v>
      </c>
      <c r="B665" s="3" t="s">
        <v>27</v>
      </c>
      <c r="C665" s="3" t="s">
        <v>90</v>
      </c>
      <c r="D665" s="3" t="s">
        <v>61</v>
      </c>
      <c r="E665" s="3" t="s">
        <v>1093</v>
      </c>
      <c r="F665" s="3" t="s">
        <v>63</v>
      </c>
      <c r="G665" s="3" t="s">
        <v>1093</v>
      </c>
      <c r="H665" s="3" t="s">
        <v>92</v>
      </c>
      <c r="I665" s="3">
        <v>2023</v>
      </c>
      <c r="J665" s="3" t="str">
        <f>CONCATENATE("34810205418")</f>
        <v>34810205418</v>
      </c>
      <c r="K665" s="3" t="s">
        <v>33</v>
      </c>
      <c r="L665" s="3" t="str">
        <f t="shared" si="40"/>
        <v/>
      </c>
      <c r="M665" s="3" t="str">
        <f t="shared" si="42"/>
        <v>SRA29</v>
      </c>
      <c r="N665" s="3" t="str">
        <f>CONCATENATE("ZCCSVT59C09I754I")</f>
        <v>ZCCSVT59C09I754I</v>
      </c>
      <c r="O665" s="3" t="s">
        <v>1094</v>
      </c>
      <c r="P665" s="3" t="s">
        <v>35</v>
      </c>
      <c r="Q665" s="3" t="s">
        <v>1089</v>
      </c>
      <c r="R665" s="4">
        <v>45915</v>
      </c>
      <c r="S665" s="3" t="s">
        <v>37</v>
      </c>
      <c r="T665" s="3" t="s">
        <v>38</v>
      </c>
      <c r="U665" s="3" t="s">
        <v>39</v>
      </c>
      <c r="V665" s="5">
        <v>3621.65</v>
      </c>
      <c r="W665" s="5">
        <v>1828.93</v>
      </c>
      <c r="X665" s="5">
        <v>1254.9000000000001</v>
      </c>
      <c r="Y665" s="3">
        <v>537.82000000000005</v>
      </c>
    </row>
    <row r="666" spans="1:25" ht="41.5" hidden="1" x14ac:dyDescent="0.35">
      <c r="A666" s="3" t="s">
        <v>26</v>
      </c>
      <c r="B666" s="3" t="s">
        <v>27</v>
      </c>
      <c r="C666" s="3" t="s">
        <v>90</v>
      </c>
      <c r="D666" s="3" t="s">
        <v>61</v>
      </c>
      <c r="E666" s="3" t="s">
        <v>1093</v>
      </c>
      <c r="F666" s="3" t="s">
        <v>63</v>
      </c>
      <c r="G666" s="3" t="s">
        <v>1093</v>
      </c>
      <c r="H666" s="3" t="s">
        <v>92</v>
      </c>
      <c r="I666" s="3">
        <v>2024</v>
      </c>
      <c r="J666" s="3" t="str">
        <f>CONCATENATE("44810755619")</f>
        <v>44810755619</v>
      </c>
      <c r="K666" s="3" t="s">
        <v>33</v>
      </c>
      <c r="L666" s="3" t="str">
        <f t="shared" si="40"/>
        <v/>
      </c>
      <c r="M666" s="3" t="str">
        <f t="shared" si="42"/>
        <v>SRA29</v>
      </c>
      <c r="N666" s="3" t="str">
        <f>CONCATENATE("ZCCSVT59C09I754I")</f>
        <v>ZCCSVT59C09I754I</v>
      </c>
      <c r="O666" s="3" t="s">
        <v>1094</v>
      </c>
      <c r="P666" s="3" t="s">
        <v>35</v>
      </c>
      <c r="Q666" s="3" t="s">
        <v>1089</v>
      </c>
      <c r="R666" s="4">
        <v>45915</v>
      </c>
      <c r="S666" s="3" t="s">
        <v>37</v>
      </c>
      <c r="T666" s="3" t="s">
        <v>38</v>
      </c>
      <c r="U666" s="3" t="s">
        <v>39</v>
      </c>
      <c r="V666" s="5">
        <v>5810.56</v>
      </c>
      <c r="W666" s="5">
        <v>2934.33</v>
      </c>
      <c r="X666" s="5">
        <v>2013.36</v>
      </c>
      <c r="Y666" s="3">
        <v>862.87</v>
      </c>
    </row>
    <row r="667" spans="1:25" ht="25.5" hidden="1" x14ac:dyDescent="0.35">
      <c r="A667" s="3" t="s">
        <v>26</v>
      </c>
      <c r="B667" s="3" t="s">
        <v>27</v>
      </c>
      <c r="C667" s="3" t="s">
        <v>451</v>
      </c>
      <c r="D667" s="3" t="s">
        <v>41</v>
      </c>
      <c r="E667" s="3" t="s">
        <v>785</v>
      </c>
      <c r="F667" s="3" t="s">
        <v>43</v>
      </c>
      <c r="G667" s="3" t="s">
        <v>785</v>
      </c>
      <c r="H667" s="3" t="s">
        <v>453</v>
      </c>
      <c r="I667" s="3">
        <v>2024</v>
      </c>
      <c r="J667" s="3" t="str">
        <f>CONCATENATE("44811276763")</f>
        <v>44811276763</v>
      </c>
      <c r="K667" s="3" t="s">
        <v>33</v>
      </c>
      <c r="L667" s="3" t="str">
        <f t="shared" si="40"/>
        <v/>
      </c>
      <c r="M667" s="3" t="str">
        <f>CONCATENATE("SRA14")</f>
        <v>SRA14</v>
      </c>
      <c r="N667" s="3" t="str">
        <f>CONCATENATE("03523210544")</f>
        <v>03523210544</v>
      </c>
      <c r="O667" s="3" t="s">
        <v>1095</v>
      </c>
      <c r="P667" s="3" t="s">
        <v>35</v>
      </c>
      <c r="Q667" s="3" t="s">
        <v>1096</v>
      </c>
      <c r="R667" s="4">
        <v>45917</v>
      </c>
      <c r="S667" s="3" t="s">
        <v>37</v>
      </c>
      <c r="T667" s="3" t="s">
        <v>38</v>
      </c>
      <c r="U667" s="3" t="s">
        <v>39</v>
      </c>
      <c r="V667" s="3">
        <v>140</v>
      </c>
      <c r="W667" s="3">
        <v>59.5</v>
      </c>
      <c r="X667" s="3">
        <v>56.35</v>
      </c>
      <c r="Y667" s="3">
        <v>24.15</v>
      </c>
    </row>
    <row r="668" spans="1:25" ht="41.5" hidden="1" x14ac:dyDescent="0.35">
      <c r="A668" s="3" t="s">
        <v>26</v>
      </c>
      <c r="B668" s="3" t="s">
        <v>27</v>
      </c>
      <c r="C668" s="3" t="s">
        <v>470</v>
      </c>
      <c r="D668" s="3" t="s">
        <v>41</v>
      </c>
      <c r="E668" s="3" t="s">
        <v>1097</v>
      </c>
      <c r="F668" s="3" t="s">
        <v>43</v>
      </c>
      <c r="G668" s="3" t="s">
        <v>1097</v>
      </c>
      <c r="H668" s="3" t="s">
        <v>664</v>
      </c>
      <c r="I668" s="3">
        <v>2024</v>
      </c>
      <c r="J668" s="3" t="str">
        <f>CONCATENATE("44810189322")</f>
        <v>44810189322</v>
      </c>
      <c r="K668" s="3" t="s">
        <v>33</v>
      </c>
      <c r="L668" s="3" t="str">
        <f t="shared" si="40"/>
        <v/>
      </c>
      <c r="M668" s="3" t="str">
        <f t="shared" ref="M668:M676" si="43">CONCATENATE("SRA29")</f>
        <v>SRA29</v>
      </c>
      <c r="N668" s="3" t="str">
        <f>CONCATENATE("DMRGPP98P17E977U")</f>
        <v>DMRGPP98P17E977U</v>
      </c>
      <c r="O668" s="3" t="s">
        <v>1098</v>
      </c>
      <c r="P668" s="3" t="s">
        <v>35</v>
      </c>
      <c r="Q668" s="3" t="s">
        <v>772</v>
      </c>
      <c r="R668" s="4">
        <v>45915</v>
      </c>
      <c r="S668" s="3" t="s">
        <v>37</v>
      </c>
      <c r="T668" s="3" t="s">
        <v>38</v>
      </c>
      <c r="U668" s="3" t="s">
        <v>39</v>
      </c>
      <c r="V668" s="5">
        <v>1897.98</v>
      </c>
      <c r="W668" s="3">
        <v>958.48</v>
      </c>
      <c r="X668" s="3">
        <v>657.65</v>
      </c>
      <c r="Y668" s="3">
        <v>281.85000000000002</v>
      </c>
    </row>
    <row r="669" spans="1:25" ht="41.5" hidden="1" x14ac:dyDescent="0.35">
      <c r="A669" s="3" t="s">
        <v>26</v>
      </c>
      <c r="B669" s="3" t="s">
        <v>27</v>
      </c>
      <c r="C669" s="3" t="s">
        <v>470</v>
      </c>
      <c r="D669" s="3" t="s">
        <v>234</v>
      </c>
      <c r="E669" s="3" t="s">
        <v>1001</v>
      </c>
      <c r="F669" s="3" t="s">
        <v>119</v>
      </c>
      <c r="G669" s="3" t="s">
        <v>1001</v>
      </c>
      <c r="H669" s="3" t="s">
        <v>664</v>
      </c>
      <c r="I669" s="3">
        <v>2024</v>
      </c>
      <c r="J669" s="3" t="str">
        <f>CONCATENATE("44810830834")</f>
        <v>44810830834</v>
      </c>
      <c r="K669" s="3" t="s">
        <v>33</v>
      </c>
      <c r="L669" s="3" t="str">
        <f t="shared" si="40"/>
        <v/>
      </c>
      <c r="M669" s="3" t="str">
        <f t="shared" si="43"/>
        <v>SRA29</v>
      </c>
      <c r="N669" s="3" t="str">
        <f>CONCATENATE("LTTNLT54P51F637I")</f>
        <v>LTTNLT54P51F637I</v>
      </c>
      <c r="O669" s="3" t="s">
        <v>1099</v>
      </c>
      <c r="P669" s="3" t="s">
        <v>35</v>
      </c>
      <c r="Q669" s="3" t="s">
        <v>772</v>
      </c>
      <c r="R669" s="4">
        <v>45915</v>
      </c>
      <c r="S669" s="3" t="s">
        <v>37</v>
      </c>
      <c r="T669" s="3" t="s">
        <v>38</v>
      </c>
      <c r="U669" s="3" t="s">
        <v>39</v>
      </c>
      <c r="V669" s="5">
        <v>1012.99</v>
      </c>
      <c r="W669" s="3">
        <v>511.56</v>
      </c>
      <c r="X669" s="3">
        <v>351</v>
      </c>
      <c r="Y669" s="3">
        <v>150.43</v>
      </c>
    </row>
    <row r="670" spans="1:25" ht="41.5" hidden="1" x14ac:dyDescent="0.35">
      <c r="A670" s="3" t="s">
        <v>26</v>
      </c>
      <c r="B670" s="3" t="s">
        <v>27</v>
      </c>
      <c r="C670" s="3" t="s">
        <v>470</v>
      </c>
      <c r="D670" s="3" t="s">
        <v>164</v>
      </c>
      <c r="E670" s="3" t="s">
        <v>1100</v>
      </c>
      <c r="F670" s="3" t="s">
        <v>166</v>
      </c>
      <c r="G670" s="3" t="s">
        <v>1100</v>
      </c>
      <c r="H670" s="3" t="s">
        <v>664</v>
      </c>
      <c r="I670" s="3">
        <v>2024</v>
      </c>
      <c r="J670" s="3" t="str">
        <f>CONCATENATE("44811430071")</f>
        <v>44811430071</v>
      </c>
      <c r="K670" s="3" t="s">
        <v>33</v>
      </c>
      <c r="L670" s="3" t="str">
        <f t="shared" si="40"/>
        <v/>
      </c>
      <c r="M670" s="3" t="str">
        <f t="shared" si="43"/>
        <v>SRA29</v>
      </c>
      <c r="N670" s="3" t="str">
        <f>CONCATENATE("GRFLNT91H17L418K")</f>
        <v>GRFLNT91H17L418K</v>
      </c>
      <c r="O670" s="3" t="s">
        <v>1101</v>
      </c>
      <c r="P670" s="3" t="s">
        <v>35</v>
      </c>
      <c r="Q670" s="3" t="s">
        <v>772</v>
      </c>
      <c r="R670" s="4">
        <v>45915</v>
      </c>
      <c r="S670" s="3" t="s">
        <v>37</v>
      </c>
      <c r="T670" s="3" t="s">
        <v>38</v>
      </c>
      <c r="U670" s="3" t="s">
        <v>39</v>
      </c>
      <c r="V670" s="3">
        <v>478.69</v>
      </c>
      <c r="W670" s="3">
        <v>241.74</v>
      </c>
      <c r="X670" s="3">
        <v>165.87</v>
      </c>
      <c r="Y670" s="3">
        <v>71.08</v>
      </c>
    </row>
    <row r="671" spans="1:25" ht="41.5" hidden="1" x14ac:dyDescent="0.35">
      <c r="A671" s="3" t="s">
        <v>26</v>
      </c>
      <c r="B671" s="3" t="s">
        <v>27</v>
      </c>
      <c r="C671" s="3" t="s">
        <v>470</v>
      </c>
      <c r="D671" s="3" t="s">
        <v>41</v>
      </c>
      <c r="E671" s="3" t="s">
        <v>1015</v>
      </c>
      <c r="F671" s="3" t="s">
        <v>43</v>
      </c>
      <c r="G671" s="3" t="s">
        <v>1015</v>
      </c>
      <c r="H671" s="3" t="s">
        <v>664</v>
      </c>
      <c r="I671" s="3">
        <v>2024</v>
      </c>
      <c r="J671" s="3" t="str">
        <f>CONCATENATE("44810748077")</f>
        <v>44810748077</v>
      </c>
      <c r="K671" s="3" t="s">
        <v>33</v>
      </c>
      <c r="L671" s="3" t="str">
        <f t="shared" si="40"/>
        <v/>
      </c>
      <c r="M671" s="3" t="str">
        <f t="shared" si="43"/>
        <v>SRA29</v>
      </c>
      <c r="N671" s="3" t="str">
        <f>CONCATENATE("MNTMCL65C06F052Z")</f>
        <v>MNTMCL65C06F052Z</v>
      </c>
      <c r="O671" s="3" t="s">
        <v>1102</v>
      </c>
      <c r="P671" s="3" t="s">
        <v>35</v>
      </c>
      <c r="Q671" s="3" t="s">
        <v>772</v>
      </c>
      <c r="R671" s="4">
        <v>45915</v>
      </c>
      <c r="S671" s="3" t="s">
        <v>37</v>
      </c>
      <c r="T671" s="3" t="s">
        <v>38</v>
      </c>
      <c r="U671" s="3" t="s">
        <v>39</v>
      </c>
      <c r="V671" s="5">
        <v>1618.46</v>
      </c>
      <c r="W671" s="3">
        <v>817.32</v>
      </c>
      <c r="X671" s="3">
        <v>560.79999999999995</v>
      </c>
      <c r="Y671" s="3">
        <v>240.34</v>
      </c>
    </row>
    <row r="672" spans="1:25" ht="25.5" hidden="1" x14ac:dyDescent="0.35">
      <c r="A672" s="3" t="s">
        <v>26</v>
      </c>
      <c r="B672" s="3" t="s">
        <v>27</v>
      </c>
      <c r="C672" s="3" t="s">
        <v>470</v>
      </c>
      <c r="D672" s="3" t="s">
        <v>41</v>
      </c>
      <c r="E672" s="3" t="s">
        <v>913</v>
      </c>
      <c r="F672" s="3" t="s">
        <v>63</v>
      </c>
      <c r="G672" s="3" t="s">
        <v>1103</v>
      </c>
      <c r="H672" s="3" t="s">
        <v>664</v>
      </c>
      <c r="I672" s="3">
        <v>2024</v>
      </c>
      <c r="J672" s="3" t="str">
        <f>CONCATENATE("44810977676")</f>
        <v>44810977676</v>
      </c>
      <c r="K672" s="3" t="s">
        <v>33</v>
      </c>
      <c r="L672" s="3" t="str">
        <f t="shared" si="40"/>
        <v/>
      </c>
      <c r="M672" s="3" t="str">
        <f t="shared" si="43"/>
        <v>SRA29</v>
      </c>
      <c r="N672" s="3" t="str">
        <f>CONCATENATE("01318250774")</f>
        <v>01318250774</v>
      </c>
      <c r="O672" s="3" t="s">
        <v>1104</v>
      </c>
      <c r="P672" s="3" t="s">
        <v>35</v>
      </c>
      <c r="Q672" s="3" t="s">
        <v>772</v>
      </c>
      <c r="R672" s="4">
        <v>45915</v>
      </c>
      <c r="S672" s="3" t="s">
        <v>37</v>
      </c>
      <c r="T672" s="3" t="s">
        <v>38</v>
      </c>
      <c r="U672" s="3" t="s">
        <v>39</v>
      </c>
      <c r="V672" s="3">
        <v>229.22</v>
      </c>
      <c r="W672" s="3">
        <v>115.76</v>
      </c>
      <c r="X672" s="3">
        <v>79.42</v>
      </c>
      <c r="Y672" s="3">
        <v>34.04</v>
      </c>
    </row>
    <row r="673" spans="1:25" ht="41.5" hidden="1" x14ac:dyDescent="0.35">
      <c r="A673" s="3" t="s">
        <v>26</v>
      </c>
      <c r="B673" s="3" t="s">
        <v>27</v>
      </c>
      <c r="C673" s="3" t="s">
        <v>470</v>
      </c>
      <c r="D673" s="3" t="s">
        <v>75</v>
      </c>
      <c r="E673" s="3" t="s">
        <v>1105</v>
      </c>
      <c r="F673" s="3" t="s">
        <v>77</v>
      </c>
      <c r="G673" s="3" t="s">
        <v>1105</v>
      </c>
      <c r="H673" s="3" t="s">
        <v>664</v>
      </c>
      <c r="I673" s="3">
        <v>2024</v>
      </c>
      <c r="J673" s="3" t="str">
        <f>CONCATENATE("44811130226")</f>
        <v>44811130226</v>
      </c>
      <c r="K673" s="3" t="s">
        <v>33</v>
      </c>
      <c r="L673" s="3" t="str">
        <f t="shared" si="40"/>
        <v/>
      </c>
      <c r="M673" s="3" t="str">
        <f t="shared" si="43"/>
        <v>SRA29</v>
      </c>
      <c r="N673" s="3" t="str">
        <f>CONCATENATE("SNTLCU83P65I954G")</f>
        <v>SNTLCU83P65I954G</v>
      </c>
      <c r="O673" s="3" t="s">
        <v>1106</v>
      </c>
      <c r="P673" s="3" t="s">
        <v>35</v>
      </c>
      <c r="Q673" s="3" t="s">
        <v>772</v>
      </c>
      <c r="R673" s="4">
        <v>45915</v>
      </c>
      <c r="S673" s="3" t="s">
        <v>37</v>
      </c>
      <c r="T673" s="3" t="s">
        <v>38</v>
      </c>
      <c r="U673" s="3" t="s">
        <v>39</v>
      </c>
      <c r="V673" s="5">
        <v>1058.05</v>
      </c>
      <c r="W673" s="3">
        <v>534.32000000000005</v>
      </c>
      <c r="X673" s="3">
        <v>366.61</v>
      </c>
      <c r="Y673" s="3">
        <v>157.12</v>
      </c>
    </row>
    <row r="674" spans="1:25" ht="25.5" hidden="1" x14ac:dyDescent="0.35">
      <c r="A674" s="3" t="s">
        <v>26</v>
      </c>
      <c r="B674" s="3" t="s">
        <v>27</v>
      </c>
      <c r="C674" s="3" t="s">
        <v>470</v>
      </c>
      <c r="D674" s="3" t="s">
        <v>1107</v>
      </c>
      <c r="E674" s="3" t="s">
        <v>1108</v>
      </c>
      <c r="F674" s="3" t="s">
        <v>31</v>
      </c>
      <c r="G674" s="3" t="s">
        <v>1109</v>
      </c>
      <c r="H674" s="3" t="s">
        <v>664</v>
      </c>
      <c r="I674" s="3">
        <v>2024</v>
      </c>
      <c r="J674" s="3" t="str">
        <f>CONCATENATE("44811015427")</f>
        <v>44811015427</v>
      </c>
      <c r="K674" s="3" t="s">
        <v>33</v>
      </c>
      <c r="L674" s="3" t="str">
        <f t="shared" si="40"/>
        <v/>
      </c>
      <c r="M674" s="3" t="str">
        <f t="shared" si="43"/>
        <v>SRA29</v>
      </c>
      <c r="N674" s="3" t="str">
        <f>CONCATENATE("01319640775")</f>
        <v>01319640775</v>
      </c>
      <c r="O674" s="3" t="s">
        <v>1110</v>
      </c>
      <c r="P674" s="3" t="s">
        <v>35</v>
      </c>
      <c r="Q674" s="3" t="s">
        <v>772</v>
      </c>
      <c r="R674" s="4">
        <v>45915</v>
      </c>
      <c r="S674" s="3" t="s">
        <v>37</v>
      </c>
      <c r="T674" s="3" t="s">
        <v>38</v>
      </c>
      <c r="U674" s="3" t="s">
        <v>39</v>
      </c>
      <c r="V674" s="5">
        <v>9879.49</v>
      </c>
      <c r="W674" s="5">
        <v>4989.1400000000003</v>
      </c>
      <c r="X674" s="5">
        <v>3423.24</v>
      </c>
      <c r="Y674" s="5">
        <v>1467.11</v>
      </c>
    </row>
    <row r="675" spans="1:25" ht="41.5" hidden="1" x14ac:dyDescent="0.35">
      <c r="A675" s="3" t="s">
        <v>26</v>
      </c>
      <c r="B675" s="3" t="s">
        <v>27</v>
      </c>
      <c r="C675" s="3" t="s">
        <v>470</v>
      </c>
      <c r="D675" s="3" t="s">
        <v>51</v>
      </c>
      <c r="E675" s="3" t="s">
        <v>909</v>
      </c>
      <c r="F675" s="3" t="s">
        <v>51</v>
      </c>
      <c r="G675" s="3" t="s">
        <v>909</v>
      </c>
      <c r="H675" s="3" t="s">
        <v>664</v>
      </c>
      <c r="I675" s="3">
        <v>2024</v>
      </c>
      <c r="J675" s="3" t="str">
        <f>CONCATENATE("44810007474")</f>
        <v>44810007474</v>
      </c>
      <c r="K675" s="3" t="s">
        <v>33</v>
      </c>
      <c r="L675" s="3" t="str">
        <f t="shared" si="40"/>
        <v/>
      </c>
      <c r="M675" s="3" t="str">
        <f t="shared" si="43"/>
        <v>SRA29</v>
      </c>
      <c r="N675" s="3" t="str">
        <f>CONCATENATE("VNTDNC62L26F637K")</f>
        <v>VNTDNC62L26F637K</v>
      </c>
      <c r="O675" s="3" t="s">
        <v>1111</v>
      </c>
      <c r="P675" s="3" t="s">
        <v>35</v>
      </c>
      <c r="Q675" s="3" t="s">
        <v>772</v>
      </c>
      <c r="R675" s="4">
        <v>45915</v>
      </c>
      <c r="S675" s="3" t="s">
        <v>37</v>
      </c>
      <c r="T675" s="3" t="s">
        <v>38</v>
      </c>
      <c r="U675" s="3" t="s">
        <v>39</v>
      </c>
      <c r="V675" s="3">
        <v>604.30999999999995</v>
      </c>
      <c r="W675" s="3">
        <v>305.18</v>
      </c>
      <c r="X675" s="3">
        <v>209.39</v>
      </c>
      <c r="Y675" s="3">
        <v>89.74</v>
      </c>
    </row>
    <row r="676" spans="1:25" ht="41.5" hidden="1" x14ac:dyDescent="0.35">
      <c r="A676" s="3" t="s">
        <v>26</v>
      </c>
      <c r="B676" s="3" t="s">
        <v>27</v>
      </c>
      <c r="C676" s="3" t="s">
        <v>470</v>
      </c>
      <c r="D676" s="3" t="s">
        <v>69</v>
      </c>
      <c r="E676" s="3" t="s">
        <v>1112</v>
      </c>
      <c r="F676" s="3" t="s">
        <v>71</v>
      </c>
      <c r="G676" s="3" t="s">
        <v>1112</v>
      </c>
      <c r="H676" s="3" t="s">
        <v>664</v>
      </c>
      <c r="I676" s="3">
        <v>2024</v>
      </c>
      <c r="J676" s="3" t="str">
        <f>CONCATENATE("44810279008")</f>
        <v>44810279008</v>
      </c>
      <c r="K676" s="3" t="s">
        <v>33</v>
      </c>
      <c r="L676" s="3" t="str">
        <f t="shared" si="40"/>
        <v/>
      </c>
      <c r="M676" s="3" t="str">
        <f t="shared" si="43"/>
        <v>SRA29</v>
      </c>
      <c r="N676" s="3" t="str">
        <f>CONCATENATE("VZZMRA57S53F052I")</f>
        <v>VZZMRA57S53F052I</v>
      </c>
      <c r="O676" s="3" t="s">
        <v>1113</v>
      </c>
      <c r="P676" s="3" t="s">
        <v>35</v>
      </c>
      <c r="Q676" s="3" t="s">
        <v>772</v>
      </c>
      <c r="R676" s="4">
        <v>45915</v>
      </c>
      <c r="S676" s="3" t="s">
        <v>37</v>
      </c>
      <c r="T676" s="3" t="s">
        <v>38</v>
      </c>
      <c r="U676" s="3" t="s">
        <v>39</v>
      </c>
      <c r="V676" s="5">
        <v>1498.69</v>
      </c>
      <c r="W676" s="3">
        <v>756.84</v>
      </c>
      <c r="X676" s="3">
        <v>519.29999999999995</v>
      </c>
      <c r="Y676" s="3">
        <v>222.55</v>
      </c>
    </row>
    <row r="677" spans="1:25" ht="41.5" hidden="1" x14ac:dyDescent="0.35">
      <c r="A677" s="3" t="s">
        <v>26</v>
      </c>
      <c r="B677" s="3" t="s">
        <v>27</v>
      </c>
      <c r="C677" s="3" t="s">
        <v>470</v>
      </c>
      <c r="D677" s="3" t="s">
        <v>41</v>
      </c>
      <c r="E677" s="3" t="s">
        <v>1015</v>
      </c>
      <c r="F677" s="3" t="s">
        <v>43</v>
      </c>
      <c r="G677" s="3" t="s">
        <v>1015</v>
      </c>
      <c r="H677" s="3" t="s">
        <v>664</v>
      </c>
      <c r="I677" s="3">
        <v>2024</v>
      </c>
      <c r="J677" s="3" t="str">
        <f>CONCATENATE("44810614626")</f>
        <v>44810614626</v>
      </c>
      <c r="K677" s="3" t="s">
        <v>33</v>
      </c>
      <c r="L677" s="3" t="str">
        <f t="shared" si="40"/>
        <v/>
      </c>
      <c r="M677" s="3" t="str">
        <f>CONCATENATE("SRA03")</f>
        <v>SRA03</v>
      </c>
      <c r="N677" s="3" t="str">
        <f>CONCATENATE("BRALNI68S41F052I")</f>
        <v>BRALNI68S41F052I</v>
      </c>
      <c r="O677" s="3" t="s">
        <v>1114</v>
      </c>
      <c r="P677" s="3" t="s">
        <v>35</v>
      </c>
      <c r="Q677" s="3" t="s">
        <v>1017</v>
      </c>
      <c r="R677" s="4">
        <v>45915</v>
      </c>
      <c r="S677" s="3" t="s">
        <v>37</v>
      </c>
      <c r="T677" s="3" t="s">
        <v>38</v>
      </c>
      <c r="U677" s="3" t="s">
        <v>39</v>
      </c>
      <c r="V677" s="5">
        <v>5889.87</v>
      </c>
      <c r="W677" s="5">
        <v>2974.38</v>
      </c>
      <c r="X677" s="5">
        <v>2040.84</v>
      </c>
      <c r="Y677" s="3">
        <v>874.65</v>
      </c>
    </row>
    <row r="678" spans="1:25" ht="41.5" x14ac:dyDescent="0.35">
      <c r="A678" s="3" t="s">
        <v>26</v>
      </c>
      <c r="B678" s="3" t="s">
        <v>27</v>
      </c>
      <c r="C678" s="3" t="s">
        <v>132</v>
      </c>
      <c r="D678" s="3" t="s">
        <v>41</v>
      </c>
      <c r="E678" s="3" t="s">
        <v>1115</v>
      </c>
      <c r="F678" s="3" t="s">
        <v>43</v>
      </c>
      <c r="G678" s="3" t="s">
        <v>1115</v>
      </c>
      <c r="H678" s="3" t="s">
        <v>1116</v>
      </c>
      <c r="I678" s="3">
        <v>2024</v>
      </c>
      <c r="J678" s="3" t="str">
        <f>CONCATENATE("44810315679")</f>
        <v>44810315679</v>
      </c>
      <c r="K678" s="3" t="s">
        <v>33</v>
      </c>
      <c r="L678" s="3" t="str">
        <f t="shared" si="40"/>
        <v/>
      </c>
      <c r="M678" s="3" t="str">
        <f>CONCATENATE("SRA01")</f>
        <v>SRA01</v>
      </c>
      <c r="N678" s="3" t="str">
        <f>CONCATENATE("BFNMNL80S13E388P")</f>
        <v>BFNMNL80S13E388P</v>
      </c>
      <c r="O678" s="3" t="s">
        <v>1117</v>
      </c>
      <c r="P678" s="3" t="s">
        <v>35</v>
      </c>
      <c r="Q678" s="3" t="s">
        <v>1118</v>
      </c>
      <c r="R678" s="4">
        <v>45919</v>
      </c>
      <c r="S678" s="3" t="s">
        <v>37</v>
      </c>
      <c r="T678" s="3" t="s">
        <v>38</v>
      </c>
      <c r="U678" s="3" t="s">
        <v>39</v>
      </c>
      <c r="V678" s="5">
        <v>9437.7099999999991</v>
      </c>
      <c r="W678" s="5">
        <v>4011.03</v>
      </c>
      <c r="X678" s="5">
        <v>3798.68</v>
      </c>
      <c r="Y678" s="5">
        <v>1628</v>
      </c>
    </row>
    <row r="679" spans="1:25" ht="25.5" hidden="1" x14ac:dyDescent="0.35">
      <c r="A679" s="3" t="s">
        <v>26</v>
      </c>
      <c r="B679" s="3" t="s">
        <v>27</v>
      </c>
      <c r="C679" s="3" t="s">
        <v>90</v>
      </c>
      <c r="D679" s="3" t="s">
        <v>99</v>
      </c>
      <c r="E679" s="3" t="s">
        <v>990</v>
      </c>
      <c r="F679" s="3" t="s">
        <v>101</v>
      </c>
      <c r="G679" s="3" t="s">
        <v>990</v>
      </c>
      <c r="H679" s="3" t="s">
        <v>218</v>
      </c>
      <c r="I679" s="3">
        <v>2024</v>
      </c>
      <c r="J679" s="3" t="str">
        <f>CONCATENATE("44811183571")</f>
        <v>44811183571</v>
      </c>
      <c r="K679" s="3" t="s">
        <v>33</v>
      </c>
      <c r="L679" s="3" t="str">
        <f t="shared" si="40"/>
        <v/>
      </c>
      <c r="M679" s="3" t="str">
        <f>CONCATENATE("SRA29")</f>
        <v>SRA29</v>
      </c>
      <c r="N679" s="3" t="str">
        <f>CONCATENATE("03361400835")</f>
        <v>03361400835</v>
      </c>
      <c r="O679" s="3" t="s">
        <v>1119</v>
      </c>
      <c r="P679" s="3" t="s">
        <v>35</v>
      </c>
      <c r="Q679" s="3" t="s">
        <v>766</v>
      </c>
      <c r="R679" s="4">
        <v>45931</v>
      </c>
      <c r="S679" s="3" t="s">
        <v>37</v>
      </c>
      <c r="T679" s="3" t="s">
        <v>38</v>
      </c>
      <c r="U679" s="3" t="s">
        <v>39</v>
      </c>
      <c r="V679" s="5">
        <v>21800.95</v>
      </c>
      <c r="W679" s="5">
        <v>11009.48</v>
      </c>
      <c r="X679" s="5">
        <v>7554.03</v>
      </c>
      <c r="Y679" s="5">
        <v>3237.44</v>
      </c>
    </row>
    <row r="680" spans="1:25" ht="41.5" hidden="1" x14ac:dyDescent="0.35">
      <c r="A680" s="3" t="s">
        <v>26</v>
      </c>
      <c r="B680" s="3" t="s">
        <v>27</v>
      </c>
      <c r="C680" s="3" t="s">
        <v>90</v>
      </c>
      <c r="D680" s="3" t="s">
        <v>51</v>
      </c>
      <c r="E680" s="3" t="s">
        <v>754</v>
      </c>
      <c r="F680" s="3" t="s">
        <v>51</v>
      </c>
      <c r="G680" s="3" t="s">
        <v>754</v>
      </c>
      <c r="H680" s="3" t="s">
        <v>218</v>
      </c>
      <c r="I680" s="3">
        <v>2024</v>
      </c>
      <c r="J680" s="3" t="str">
        <f>CONCATENATE("44811435930")</f>
        <v>44811435930</v>
      </c>
      <c r="K680" s="3" t="s">
        <v>33</v>
      </c>
      <c r="L680" s="3" t="str">
        <f t="shared" si="40"/>
        <v/>
      </c>
      <c r="M680" s="3" t="str">
        <f>CONCATENATE("SRA29")</f>
        <v>SRA29</v>
      </c>
      <c r="N680" s="3" t="str">
        <f>CONCATENATE("ZTANLC93L65I199R")</f>
        <v>ZTANLC93L65I199R</v>
      </c>
      <c r="O680" s="3" t="s">
        <v>1120</v>
      </c>
      <c r="P680" s="3" t="s">
        <v>35</v>
      </c>
      <c r="Q680" s="3" t="s">
        <v>766</v>
      </c>
      <c r="R680" s="4">
        <v>45931</v>
      </c>
      <c r="S680" s="3" t="s">
        <v>37</v>
      </c>
      <c r="T680" s="3" t="s">
        <v>38</v>
      </c>
      <c r="U680" s="3" t="s">
        <v>39</v>
      </c>
      <c r="V680" s="5">
        <v>3899.31</v>
      </c>
      <c r="W680" s="5">
        <v>1969.15</v>
      </c>
      <c r="X680" s="5">
        <v>1351.11</v>
      </c>
      <c r="Y680" s="3">
        <v>579.04999999999995</v>
      </c>
    </row>
    <row r="681" spans="1:25" ht="41.5" hidden="1" x14ac:dyDescent="0.35">
      <c r="A681" s="3" t="s">
        <v>26</v>
      </c>
      <c r="B681" s="3" t="s">
        <v>27</v>
      </c>
      <c r="C681" s="3" t="s">
        <v>28</v>
      </c>
      <c r="D681" s="3" t="s">
        <v>29</v>
      </c>
      <c r="E681" s="3" t="s">
        <v>30</v>
      </c>
      <c r="F681" s="3" t="s">
        <v>31</v>
      </c>
      <c r="G681" s="3" t="s">
        <v>30</v>
      </c>
      <c r="H681" s="3" t="s">
        <v>32</v>
      </c>
      <c r="I681" s="3">
        <v>2024</v>
      </c>
      <c r="J681" s="3" t="str">
        <f>CONCATENATE("44810931749")</f>
        <v>44810931749</v>
      </c>
      <c r="K681" s="3" t="s">
        <v>33</v>
      </c>
      <c r="L681" s="3" t="str">
        <f t="shared" si="40"/>
        <v/>
      </c>
      <c r="M681" s="3" t="str">
        <f>CONCATENATE("SRA13")</f>
        <v>SRA13</v>
      </c>
      <c r="N681" s="3" t="str">
        <f>CONCATENATE("FRNSVT66T25D643U")</f>
        <v>FRNSVT66T25D643U</v>
      </c>
      <c r="O681" s="3" t="s">
        <v>1121</v>
      </c>
      <c r="P681" s="3" t="s">
        <v>35</v>
      </c>
      <c r="Q681" s="3" t="s">
        <v>1012</v>
      </c>
      <c r="R681" s="4">
        <v>45916</v>
      </c>
      <c r="S681" s="3" t="s">
        <v>37</v>
      </c>
      <c r="T681" s="3" t="s">
        <v>38</v>
      </c>
      <c r="U681" s="3" t="s">
        <v>39</v>
      </c>
      <c r="V681" s="3">
        <v>333.6</v>
      </c>
      <c r="W681" s="3">
        <v>168.47</v>
      </c>
      <c r="X681" s="3">
        <v>115.59</v>
      </c>
      <c r="Y681" s="3">
        <v>49.54</v>
      </c>
    </row>
    <row r="682" spans="1:25" ht="41.5" hidden="1" x14ac:dyDescent="0.35">
      <c r="A682" s="3" t="s">
        <v>26</v>
      </c>
      <c r="B682" s="3" t="s">
        <v>27</v>
      </c>
      <c r="C682" s="3" t="s">
        <v>28</v>
      </c>
      <c r="D682" s="3" t="s">
        <v>29</v>
      </c>
      <c r="E682" s="3" t="s">
        <v>30</v>
      </c>
      <c r="F682" s="3" t="s">
        <v>31</v>
      </c>
      <c r="G682" s="3" t="s">
        <v>30</v>
      </c>
      <c r="H682" s="3" t="s">
        <v>32</v>
      </c>
      <c r="I682" s="3">
        <v>2024</v>
      </c>
      <c r="J682" s="3" t="str">
        <f>CONCATENATE("44811001195")</f>
        <v>44811001195</v>
      </c>
      <c r="K682" s="3" t="s">
        <v>33</v>
      </c>
      <c r="L682" s="3" t="str">
        <f t="shared" si="40"/>
        <v/>
      </c>
      <c r="M682" s="3" t="str">
        <f>CONCATENATE("SRA13")</f>
        <v>SRA13</v>
      </c>
      <c r="N682" s="3" t="str">
        <f>CONCATENATE("MSCMLA84R66D643I")</f>
        <v>MSCMLA84R66D643I</v>
      </c>
      <c r="O682" s="3" t="s">
        <v>1122</v>
      </c>
      <c r="P682" s="3" t="s">
        <v>35</v>
      </c>
      <c r="Q682" s="3" t="s">
        <v>1012</v>
      </c>
      <c r="R682" s="4">
        <v>45916</v>
      </c>
      <c r="S682" s="3" t="s">
        <v>37</v>
      </c>
      <c r="T682" s="3" t="s">
        <v>38</v>
      </c>
      <c r="U682" s="3" t="s">
        <v>39</v>
      </c>
      <c r="V682" s="5">
        <v>4198.41</v>
      </c>
      <c r="W682" s="5">
        <v>2120.1999999999998</v>
      </c>
      <c r="X682" s="5">
        <v>1454.75</v>
      </c>
      <c r="Y682" s="3">
        <v>623.46</v>
      </c>
    </row>
    <row r="683" spans="1:25" ht="41.5" hidden="1" x14ac:dyDescent="0.35">
      <c r="A683" s="3" t="s">
        <v>26</v>
      </c>
      <c r="B683" s="3" t="s">
        <v>27</v>
      </c>
      <c r="C683" s="3" t="s">
        <v>28</v>
      </c>
      <c r="D683" s="3" t="s">
        <v>61</v>
      </c>
      <c r="E683" s="3" t="s">
        <v>1123</v>
      </c>
      <c r="F683" s="3" t="s">
        <v>63</v>
      </c>
      <c r="G683" s="3" t="s">
        <v>1123</v>
      </c>
      <c r="H683" s="3" t="s">
        <v>32</v>
      </c>
      <c r="I683" s="3">
        <v>2024</v>
      </c>
      <c r="J683" s="3" t="str">
        <f>CONCATENATE("44811291267")</f>
        <v>44811291267</v>
      </c>
      <c r="K683" s="3" t="s">
        <v>33</v>
      </c>
      <c r="L683" s="3" t="str">
        <f t="shared" si="40"/>
        <v/>
      </c>
      <c r="M683" s="3" t="str">
        <f>CONCATENATE("SRA13")</f>
        <v>SRA13</v>
      </c>
      <c r="N683" s="3" t="str">
        <f>CONCATENATE("RSSNGL91L16E716A")</f>
        <v>RSSNGL91L16E716A</v>
      </c>
      <c r="O683" s="3" t="s">
        <v>1124</v>
      </c>
      <c r="P683" s="3" t="s">
        <v>35</v>
      </c>
      <c r="Q683" s="3" t="s">
        <v>1012</v>
      </c>
      <c r="R683" s="4">
        <v>45916</v>
      </c>
      <c r="S683" s="3" t="s">
        <v>37</v>
      </c>
      <c r="T683" s="3" t="s">
        <v>38</v>
      </c>
      <c r="U683" s="3" t="s">
        <v>39</v>
      </c>
      <c r="V683" s="3">
        <v>398.3</v>
      </c>
      <c r="W683" s="3">
        <v>201.14</v>
      </c>
      <c r="X683" s="3">
        <v>138.01</v>
      </c>
      <c r="Y683" s="3">
        <v>59.15</v>
      </c>
    </row>
    <row r="684" spans="1:25" ht="41.5" hidden="1" x14ac:dyDescent="0.35">
      <c r="A684" s="3" t="s">
        <v>26</v>
      </c>
      <c r="B684" s="3" t="s">
        <v>27</v>
      </c>
      <c r="C684" s="3" t="s">
        <v>470</v>
      </c>
      <c r="D684" s="3" t="s">
        <v>41</v>
      </c>
      <c r="E684" s="3" t="s">
        <v>1015</v>
      </c>
      <c r="F684" s="3" t="s">
        <v>43</v>
      </c>
      <c r="G684" s="3" t="s">
        <v>1015</v>
      </c>
      <c r="H684" s="3" t="s">
        <v>664</v>
      </c>
      <c r="I684" s="3">
        <v>2024</v>
      </c>
      <c r="J684" s="3" t="str">
        <f>CONCATENATE("44810521961")</f>
        <v>44810521961</v>
      </c>
      <c r="K684" s="3" t="s">
        <v>33</v>
      </c>
      <c r="L684" s="3" t="str">
        <f t="shared" si="40"/>
        <v/>
      </c>
      <c r="M684" s="3" t="str">
        <f>CONCATENATE("SRA03")</f>
        <v>SRA03</v>
      </c>
      <c r="N684" s="3" t="str">
        <f>CONCATENATE("BNLSFN75E54F839Y")</f>
        <v>BNLSFN75E54F839Y</v>
      </c>
      <c r="O684" s="3" t="s">
        <v>1125</v>
      </c>
      <c r="P684" s="3" t="s">
        <v>35</v>
      </c>
      <c r="Q684" s="3" t="s">
        <v>1017</v>
      </c>
      <c r="R684" s="4">
        <v>45915</v>
      </c>
      <c r="S684" s="3" t="s">
        <v>37</v>
      </c>
      <c r="T684" s="3" t="s">
        <v>38</v>
      </c>
      <c r="U684" s="3" t="s">
        <v>39</v>
      </c>
      <c r="V684" s="5">
        <v>24688.86</v>
      </c>
      <c r="W684" s="5">
        <v>12467.87</v>
      </c>
      <c r="X684" s="5">
        <v>8554.69</v>
      </c>
      <c r="Y684" s="5">
        <v>3666.3</v>
      </c>
    </row>
    <row r="685" spans="1:25" ht="41.5" hidden="1" x14ac:dyDescent="0.35">
      <c r="A685" s="3" t="s">
        <v>26</v>
      </c>
      <c r="B685" s="3" t="s">
        <v>27</v>
      </c>
      <c r="C685" s="3" t="s">
        <v>470</v>
      </c>
      <c r="D685" s="3" t="s">
        <v>41</v>
      </c>
      <c r="E685" s="3" t="s">
        <v>1015</v>
      </c>
      <c r="F685" s="3" t="s">
        <v>43</v>
      </c>
      <c r="G685" s="3" t="s">
        <v>1015</v>
      </c>
      <c r="H685" s="3" t="s">
        <v>664</v>
      </c>
      <c r="I685" s="3">
        <v>2024</v>
      </c>
      <c r="J685" s="3" t="str">
        <f>CONCATENATE("44810004893")</f>
        <v>44810004893</v>
      </c>
      <c r="K685" s="3" t="s">
        <v>33</v>
      </c>
      <c r="L685" s="3" t="str">
        <f t="shared" si="40"/>
        <v/>
      </c>
      <c r="M685" s="3" t="str">
        <f>CONCATENATE("SRA03")</f>
        <v>SRA03</v>
      </c>
      <c r="N685" s="3" t="str">
        <f>CONCATENATE("CLMNNA43E44A225R")</f>
        <v>CLMNNA43E44A225R</v>
      </c>
      <c r="O685" s="3" t="s">
        <v>1126</v>
      </c>
      <c r="P685" s="3" t="s">
        <v>35</v>
      </c>
      <c r="Q685" s="3" t="s">
        <v>1017</v>
      </c>
      <c r="R685" s="4">
        <v>45915</v>
      </c>
      <c r="S685" s="3" t="s">
        <v>37</v>
      </c>
      <c r="T685" s="3" t="s">
        <v>38</v>
      </c>
      <c r="U685" s="3" t="s">
        <v>39</v>
      </c>
      <c r="V685" s="5">
        <v>4458.3599999999997</v>
      </c>
      <c r="W685" s="5">
        <v>2251.4699999999998</v>
      </c>
      <c r="X685" s="5">
        <v>1544.82</v>
      </c>
      <c r="Y685" s="3">
        <v>662.07</v>
      </c>
    </row>
    <row r="686" spans="1:25" ht="41.5" hidden="1" x14ac:dyDescent="0.35">
      <c r="A686" s="3" t="s">
        <v>26</v>
      </c>
      <c r="B686" s="3" t="s">
        <v>27</v>
      </c>
      <c r="C686" s="3" t="s">
        <v>470</v>
      </c>
      <c r="D686" s="3" t="s">
        <v>61</v>
      </c>
      <c r="E686" s="3" t="s">
        <v>663</v>
      </c>
      <c r="F686" s="3" t="s">
        <v>63</v>
      </c>
      <c r="G686" s="3" t="s">
        <v>663</v>
      </c>
      <c r="H686" s="3" t="s">
        <v>664</v>
      </c>
      <c r="I686" s="3">
        <v>2024</v>
      </c>
      <c r="J686" s="3" t="str">
        <f>CONCATENATE("44811293107")</f>
        <v>44811293107</v>
      </c>
      <c r="K686" s="3" t="s">
        <v>33</v>
      </c>
      <c r="L686" s="3" t="str">
        <f t="shared" si="40"/>
        <v/>
      </c>
      <c r="M686" s="3" t="str">
        <f>CONCATENATE("SRA03")</f>
        <v>SRA03</v>
      </c>
      <c r="N686" s="3" t="str">
        <f>CONCATENATE("LVCNDR74S04I954W")</f>
        <v>LVCNDR74S04I954W</v>
      </c>
      <c r="O686" s="3" t="s">
        <v>1127</v>
      </c>
      <c r="P686" s="3" t="s">
        <v>35</v>
      </c>
      <c r="Q686" s="3" t="s">
        <v>1017</v>
      </c>
      <c r="R686" s="4">
        <v>45915</v>
      </c>
      <c r="S686" s="3" t="s">
        <v>37</v>
      </c>
      <c r="T686" s="3" t="s">
        <v>38</v>
      </c>
      <c r="U686" s="3" t="s">
        <v>39</v>
      </c>
      <c r="V686" s="3">
        <v>338.6</v>
      </c>
      <c r="W686" s="3">
        <v>170.99</v>
      </c>
      <c r="X686" s="3">
        <v>117.32</v>
      </c>
      <c r="Y686" s="3">
        <v>50.29</v>
      </c>
    </row>
    <row r="687" spans="1:25" ht="25.5" hidden="1" x14ac:dyDescent="0.35">
      <c r="A687" s="3" t="s">
        <v>26</v>
      </c>
      <c r="B687" s="3" t="s">
        <v>27</v>
      </c>
      <c r="C687" s="3" t="s">
        <v>470</v>
      </c>
      <c r="D687" s="3" t="s">
        <v>29</v>
      </c>
      <c r="E687" s="3" t="s">
        <v>1128</v>
      </c>
      <c r="F687" s="3" t="s">
        <v>31</v>
      </c>
      <c r="G687" s="3" t="s">
        <v>1128</v>
      </c>
      <c r="H687" s="3" t="s">
        <v>664</v>
      </c>
      <c r="I687" s="3">
        <v>2024</v>
      </c>
      <c r="J687" s="3" t="str">
        <f>CONCATENATE("44811337276")</f>
        <v>44811337276</v>
      </c>
      <c r="K687" s="3" t="s">
        <v>33</v>
      </c>
      <c r="L687" s="3" t="str">
        <f t="shared" si="40"/>
        <v/>
      </c>
      <c r="M687" s="3" t="str">
        <f>CONCATENATE("SRA03")</f>
        <v>SRA03</v>
      </c>
      <c r="N687" s="3" t="str">
        <f>CONCATENATE("01245770779")</f>
        <v>01245770779</v>
      </c>
      <c r="O687" s="3" t="s">
        <v>1129</v>
      </c>
      <c r="P687" s="3" t="s">
        <v>35</v>
      </c>
      <c r="Q687" s="3" t="s">
        <v>1017</v>
      </c>
      <c r="R687" s="4">
        <v>45915</v>
      </c>
      <c r="S687" s="3" t="s">
        <v>37</v>
      </c>
      <c r="T687" s="3" t="s">
        <v>38</v>
      </c>
      <c r="U687" s="3" t="s">
        <v>39</v>
      </c>
      <c r="V687" s="5">
        <v>9430.6200000000008</v>
      </c>
      <c r="W687" s="5">
        <v>4762.46</v>
      </c>
      <c r="X687" s="5">
        <v>3267.71</v>
      </c>
      <c r="Y687" s="5">
        <v>1400.45</v>
      </c>
    </row>
    <row r="688" spans="1:25" ht="41.5" hidden="1" x14ac:dyDescent="0.35">
      <c r="A688" s="3" t="s">
        <v>26</v>
      </c>
      <c r="B688" s="3" t="s">
        <v>27</v>
      </c>
      <c r="C688" s="3" t="s">
        <v>470</v>
      </c>
      <c r="D688" s="3" t="s">
        <v>51</v>
      </c>
      <c r="E688" s="3" t="s">
        <v>909</v>
      </c>
      <c r="F688" s="3" t="s">
        <v>51</v>
      </c>
      <c r="G688" s="3" t="s">
        <v>909</v>
      </c>
      <c r="H688" s="3" t="s">
        <v>664</v>
      </c>
      <c r="I688" s="3">
        <v>2024</v>
      </c>
      <c r="J688" s="3" t="str">
        <f>CONCATENATE("44810286326")</f>
        <v>44810286326</v>
      </c>
      <c r="K688" s="3" t="s">
        <v>33</v>
      </c>
      <c r="L688" s="3" t="str">
        <f t="shared" si="40"/>
        <v/>
      </c>
      <c r="M688" s="3" t="str">
        <f>CONCATENATE("SRA03")</f>
        <v>SRA03</v>
      </c>
      <c r="N688" s="3" t="str">
        <f>CONCATENATE("VSCVCN81C05L418U")</f>
        <v>VSCVCN81C05L418U</v>
      </c>
      <c r="O688" s="3" t="s">
        <v>1130</v>
      </c>
      <c r="P688" s="3" t="s">
        <v>35</v>
      </c>
      <c r="Q688" s="3" t="s">
        <v>1017</v>
      </c>
      <c r="R688" s="4">
        <v>45915</v>
      </c>
      <c r="S688" s="3" t="s">
        <v>37</v>
      </c>
      <c r="T688" s="3" t="s">
        <v>38</v>
      </c>
      <c r="U688" s="3" t="s">
        <v>39</v>
      </c>
      <c r="V688" s="5">
        <v>2112.81</v>
      </c>
      <c r="W688" s="5">
        <v>1066.97</v>
      </c>
      <c r="X688" s="3">
        <v>732.09</v>
      </c>
      <c r="Y688" s="3">
        <v>313.75</v>
      </c>
    </row>
    <row r="689" spans="1:25" ht="41.5" hidden="1" x14ac:dyDescent="0.35">
      <c r="A689" s="3" t="s">
        <v>26</v>
      </c>
      <c r="B689" s="3" t="s">
        <v>27</v>
      </c>
      <c r="C689" s="3" t="s">
        <v>478</v>
      </c>
      <c r="D689" s="3" t="s">
        <v>137</v>
      </c>
      <c r="E689" s="3" t="s">
        <v>590</v>
      </c>
      <c r="F689" s="3" t="s">
        <v>1131</v>
      </c>
      <c r="G689" s="3" t="s">
        <v>1132</v>
      </c>
      <c r="H689" s="3" t="s">
        <v>484</v>
      </c>
      <c r="I689" s="3">
        <v>2024</v>
      </c>
      <c r="J689" s="3" t="str">
        <f>CONCATENATE("44810813723")</f>
        <v>44810813723</v>
      </c>
      <c r="K689" s="3" t="s">
        <v>33</v>
      </c>
      <c r="L689" s="3" t="str">
        <f t="shared" si="40"/>
        <v/>
      </c>
      <c r="M689" s="3" t="str">
        <f>CONCATENATE("SRA29")</f>
        <v>SRA29</v>
      </c>
      <c r="N689" s="3" t="str">
        <f>CONCATENATE("CLNMLN72R53H931F")</f>
        <v>CLNMLN72R53H931F</v>
      </c>
      <c r="O689" s="3" t="s">
        <v>1133</v>
      </c>
      <c r="P689" s="3" t="s">
        <v>35</v>
      </c>
      <c r="Q689" s="3" t="s">
        <v>1024</v>
      </c>
      <c r="R689" s="4">
        <v>45917</v>
      </c>
      <c r="S689" s="3" t="s">
        <v>37</v>
      </c>
      <c r="T689" s="3" t="s">
        <v>38</v>
      </c>
      <c r="U689" s="3" t="s">
        <v>39</v>
      </c>
      <c r="V689" s="5">
        <v>2323.5300000000002</v>
      </c>
      <c r="W689" s="5">
        <v>1173.3800000000001</v>
      </c>
      <c r="X689" s="3">
        <v>805.1</v>
      </c>
      <c r="Y689" s="3">
        <v>345.05</v>
      </c>
    </row>
    <row r="690" spans="1:25" ht="49.5" hidden="1" x14ac:dyDescent="0.35">
      <c r="A690" s="3" t="s">
        <v>26</v>
      </c>
      <c r="B690" s="3" t="s">
        <v>27</v>
      </c>
      <c r="C690" s="3" t="s">
        <v>478</v>
      </c>
      <c r="D690" s="3" t="s">
        <v>180</v>
      </c>
      <c r="E690" s="3" t="s">
        <v>1134</v>
      </c>
      <c r="F690" s="3" t="s">
        <v>85</v>
      </c>
      <c r="G690" s="3" t="s">
        <v>1134</v>
      </c>
      <c r="H690" s="3" t="s">
        <v>484</v>
      </c>
      <c r="I690" s="3">
        <v>2024</v>
      </c>
      <c r="J690" s="3" t="str">
        <f>CONCATENATE("44811107448")</f>
        <v>44811107448</v>
      </c>
      <c r="K690" s="3" t="s">
        <v>33</v>
      </c>
      <c r="L690" s="3" t="str">
        <f t="shared" si="40"/>
        <v/>
      </c>
      <c r="M690" s="3" t="str">
        <f>CONCATENATE("SRA29")</f>
        <v>SRA29</v>
      </c>
      <c r="N690" s="3" t="str">
        <f>CONCATENATE("DMNGPR77H12F839E")</f>
        <v>DMNGPR77H12F839E</v>
      </c>
      <c r="O690" s="3" t="s">
        <v>1135</v>
      </c>
      <c r="P690" s="3" t="s">
        <v>35</v>
      </c>
      <c r="Q690" s="3" t="s">
        <v>1024</v>
      </c>
      <c r="R690" s="4">
        <v>45917</v>
      </c>
      <c r="S690" s="3" t="s">
        <v>37</v>
      </c>
      <c r="T690" s="3" t="s">
        <v>38</v>
      </c>
      <c r="U690" s="3" t="s">
        <v>39</v>
      </c>
      <c r="V690" s="5">
        <v>2178.02</v>
      </c>
      <c r="W690" s="5">
        <v>1099.9000000000001</v>
      </c>
      <c r="X690" s="3">
        <v>754.68</v>
      </c>
      <c r="Y690" s="3">
        <v>323.44</v>
      </c>
    </row>
    <row r="691" spans="1:25" ht="49.5" hidden="1" x14ac:dyDescent="0.35">
      <c r="A691" s="3" t="s">
        <v>26</v>
      </c>
      <c r="B691" s="3" t="s">
        <v>27</v>
      </c>
      <c r="C691" s="3" t="s">
        <v>90</v>
      </c>
      <c r="D691" s="3" t="s">
        <v>51</v>
      </c>
      <c r="E691" s="3" t="s">
        <v>105</v>
      </c>
      <c r="F691" s="3" t="s">
        <v>51</v>
      </c>
      <c r="G691" s="3" t="s">
        <v>105</v>
      </c>
      <c r="H691" s="3" t="s">
        <v>96</v>
      </c>
      <c r="I691" s="3">
        <v>2024</v>
      </c>
      <c r="J691" s="3" t="str">
        <f>CONCATENATE("44820259040")</f>
        <v>44820259040</v>
      </c>
      <c r="K691" s="3" t="s">
        <v>33</v>
      </c>
      <c r="L691" s="3" t="str">
        <f t="shared" si="40"/>
        <v/>
      </c>
      <c r="M691" s="3" t="str">
        <f>CONCATENATE("SRB01")</f>
        <v>SRB01</v>
      </c>
      <c r="N691" s="3" t="str">
        <f>CONCATENATE("DGSMSM80P04C421B")</f>
        <v>DGSMSM80P04C421B</v>
      </c>
      <c r="O691" s="3" t="s">
        <v>1136</v>
      </c>
      <c r="P691" s="3" t="s">
        <v>35</v>
      </c>
      <c r="Q691" s="3" t="s">
        <v>919</v>
      </c>
      <c r="R691" s="4">
        <v>45915</v>
      </c>
      <c r="S691" s="3" t="s">
        <v>37</v>
      </c>
      <c r="T691" s="3" t="s">
        <v>38</v>
      </c>
      <c r="U691" s="3" t="s">
        <v>39</v>
      </c>
      <c r="V691" s="5">
        <v>8901.2000000000007</v>
      </c>
      <c r="W691" s="5">
        <v>4495.1099999999997</v>
      </c>
      <c r="X691" s="5">
        <v>3084.27</v>
      </c>
      <c r="Y691" s="5">
        <v>1321.82</v>
      </c>
    </row>
    <row r="692" spans="1:25" ht="41.5" hidden="1" x14ac:dyDescent="0.35">
      <c r="A692" s="3" t="s">
        <v>26</v>
      </c>
      <c r="B692" s="3" t="s">
        <v>27</v>
      </c>
      <c r="C692" s="3" t="s">
        <v>478</v>
      </c>
      <c r="D692" s="3" t="s">
        <v>75</v>
      </c>
      <c r="E692" s="3" t="s">
        <v>582</v>
      </c>
      <c r="F692" s="3" t="s">
        <v>77</v>
      </c>
      <c r="G692" s="3" t="s">
        <v>582</v>
      </c>
      <c r="H692" s="3" t="s">
        <v>604</v>
      </c>
      <c r="I692" s="3">
        <v>2024</v>
      </c>
      <c r="J692" s="3" t="str">
        <f>CONCATENATE("44810618965")</f>
        <v>44810618965</v>
      </c>
      <c r="K692" s="3" t="s">
        <v>33</v>
      </c>
      <c r="L692" s="3" t="str">
        <f t="shared" si="40"/>
        <v/>
      </c>
      <c r="M692" s="3" t="str">
        <f>CONCATENATE("SRA01")</f>
        <v>SRA01</v>
      </c>
      <c r="N692" s="3" t="str">
        <f>CONCATENATE("CRPGTN57D28G611Y")</f>
        <v>CRPGTN57D28G611Y</v>
      </c>
      <c r="O692" s="3" t="s">
        <v>1137</v>
      </c>
      <c r="P692" s="3" t="s">
        <v>35</v>
      </c>
      <c r="Q692" s="3" t="s">
        <v>1030</v>
      </c>
      <c r="R692" s="4">
        <v>45915</v>
      </c>
      <c r="S692" s="3" t="s">
        <v>37</v>
      </c>
      <c r="T692" s="3" t="s">
        <v>38</v>
      </c>
      <c r="U692" s="3" t="s">
        <v>39</v>
      </c>
      <c r="V692" s="5">
        <v>3397.27</v>
      </c>
      <c r="W692" s="5">
        <v>1715.62</v>
      </c>
      <c r="X692" s="5">
        <v>1177.1500000000001</v>
      </c>
      <c r="Y692" s="3">
        <v>504.5</v>
      </c>
    </row>
    <row r="693" spans="1:25" ht="41.5" hidden="1" x14ac:dyDescent="0.35">
      <c r="A693" s="3" t="s">
        <v>26</v>
      </c>
      <c r="B693" s="3" t="s">
        <v>27</v>
      </c>
      <c r="C693" s="3" t="s">
        <v>478</v>
      </c>
      <c r="D693" s="3" t="s">
        <v>234</v>
      </c>
      <c r="E693" s="3" t="s">
        <v>1138</v>
      </c>
      <c r="F693" s="3" t="s">
        <v>119</v>
      </c>
      <c r="G693" s="3" t="s">
        <v>1138</v>
      </c>
      <c r="H693" s="3" t="s">
        <v>604</v>
      </c>
      <c r="I693" s="3">
        <v>2024</v>
      </c>
      <c r="J693" s="3" t="str">
        <f>CONCATENATE("44810167609")</f>
        <v>44810167609</v>
      </c>
      <c r="K693" s="3" t="s">
        <v>33</v>
      </c>
      <c r="L693" s="3" t="str">
        <f t="shared" si="40"/>
        <v/>
      </c>
      <c r="M693" s="3" t="str">
        <f>CONCATENATE("SRA01")</f>
        <v>SRA01</v>
      </c>
      <c r="N693" s="3" t="str">
        <f>CONCATENATE("DLESVT55L09F694Z")</f>
        <v>DLESVT55L09F694Z</v>
      </c>
      <c r="O693" s="3" t="s">
        <v>1139</v>
      </c>
      <c r="P693" s="3" t="s">
        <v>35</v>
      </c>
      <c r="Q693" s="3" t="s">
        <v>1030</v>
      </c>
      <c r="R693" s="4">
        <v>45915</v>
      </c>
      <c r="S693" s="3" t="s">
        <v>37</v>
      </c>
      <c r="T693" s="3" t="s">
        <v>38</v>
      </c>
      <c r="U693" s="3" t="s">
        <v>39</v>
      </c>
      <c r="V693" s="5">
        <v>1016.86</v>
      </c>
      <c r="W693" s="3">
        <v>513.51</v>
      </c>
      <c r="X693" s="3">
        <v>352.34</v>
      </c>
      <c r="Y693" s="3">
        <v>151.01</v>
      </c>
    </row>
    <row r="694" spans="1:25" ht="49.5" hidden="1" x14ac:dyDescent="0.35">
      <c r="A694" s="3" t="s">
        <v>26</v>
      </c>
      <c r="B694" s="3" t="s">
        <v>27</v>
      </c>
      <c r="C694" s="3" t="s">
        <v>478</v>
      </c>
      <c r="D694" s="3" t="s">
        <v>234</v>
      </c>
      <c r="E694" s="3" t="s">
        <v>1140</v>
      </c>
      <c r="F694" s="3" t="s">
        <v>119</v>
      </c>
      <c r="G694" s="3" t="s">
        <v>1140</v>
      </c>
      <c r="H694" s="3" t="s">
        <v>604</v>
      </c>
      <c r="I694" s="3">
        <v>2024</v>
      </c>
      <c r="J694" s="3" t="str">
        <f>CONCATENATE("44810319739")</f>
        <v>44810319739</v>
      </c>
      <c r="K694" s="3" t="s">
        <v>33</v>
      </c>
      <c r="L694" s="3" t="str">
        <f t="shared" si="40"/>
        <v/>
      </c>
      <c r="M694" s="3" t="str">
        <f>CONCATENATE("SRA01")</f>
        <v>SRA01</v>
      </c>
      <c r="N694" s="3" t="str">
        <f>CONCATENATE("MLNNTN80D14A509D")</f>
        <v>MLNNTN80D14A509D</v>
      </c>
      <c r="O694" s="3" t="s">
        <v>1141</v>
      </c>
      <c r="P694" s="3" t="s">
        <v>35</v>
      </c>
      <c r="Q694" s="3" t="s">
        <v>1030</v>
      </c>
      <c r="R694" s="4">
        <v>45915</v>
      </c>
      <c r="S694" s="3" t="s">
        <v>37</v>
      </c>
      <c r="T694" s="3" t="s">
        <v>38</v>
      </c>
      <c r="U694" s="3" t="s">
        <v>39</v>
      </c>
      <c r="V694" s="5">
        <v>1642.38</v>
      </c>
      <c r="W694" s="3">
        <v>829.4</v>
      </c>
      <c r="X694" s="3">
        <v>569.08000000000004</v>
      </c>
      <c r="Y694" s="3">
        <v>243.9</v>
      </c>
    </row>
    <row r="695" spans="1:25" ht="41.5" hidden="1" x14ac:dyDescent="0.35">
      <c r="A695" s="3" t="s">
        <v>26</v>
      </c>
      <c r="B695" s="3" t="s">
        <v>27</v>
      </c>
      <c r="C695" s="3" t="s">
        <v>28</v>
      </c>
      <c r="D695" s="3" t="s">
        <v>41</v>
      </c>
      <c r="E695" s="3" t="s">
        <v>1142</v>
      </c>
      <c r="F695" s="3" t="s">
        <v>43</v>
      </c>
      <c r="G695" s="3" t="s">
        <v>1142</v>
      </c>
      <c r="H695" s="3" t="s">
        <v>32</v>
      </c>
      <c r="I695" s="3">
        <v>2024</v>
      </c>
      <c r="J695" s="3" t="str">
        <f>CONCATENATE("44820581633")</f>
        <v>44820581633</v>
      </c>
      <c r="K695" s="3" t="s">
        <v>33</v>
      </c>
      <c r="L695" s="3" t="str">
        <f t="shared" si="40"/>
        <v/>
      </c>
      <c r="M695" s="3" t="str">
        <f>CONCATENATE("SRB01")</f>
        <v>SRB01</v>
      </c>
      <c r="N695" s="3" t="str">
        <f>CONCATENATE("CNTLGU82B17I158T")</f>
        <v>CNTLGU82B17I158T</v>
      </c>
      <c r="O695" s="3" t="s">
        <v>1143</v>
      </c>
      <c r="P695" s="3" t="s">
        <v>35</v>
      </c>
      <c r="Q695" s="3" t="s">
        <v>1038</v>
      </c>
      <c r="R695" s="4">
        <v>45916</v>
      </c>
      <c r="S695" s="3" t="s">
        <v>37</v>
      </c>
      <c r="T695" s="3" t="s">
        <v>38</v>
      </c>
      <c r="U695" s="3" t="s">
        <v>39</v>
      </c>
      <c r="V695" s="5">
        <v>2962.29</v>
      </c>
      <c r="W695" s="5">
        <v>1495.96</v>
      </c>
      <c r="X695" s="5">
        <v>1026.43</v>
      </c>
      <c r="Y695" s="3">
        <v>439.9</v>
      </c>
    </row>
    <row r="696" spans="1:25" ht="49.5" hidden="1" x14ac:dyDescent="0.35">
      <c r="A696" s="3" t="s">
        <v>26</v>
      </c>
      <c r="B696" s="3" t="s">
        <v>27</v>
      </c>
      <c r="C696" s="3" t="s">
        <v>28</v>
      </c>
      <c r="D696" s="3" t="s">
        <v>61</v>
      </c>
      <c r="E696" s="3" t="s">
        <v>1144</v>
      </c>
      <c r="F696" s="3" t="s">
        <v>63</v>
      </c>
      <c r="G696" s="3" t="s">
        <v>1144</v>
      </c>
      <c r="H696" s="3" t="s">
        <v>32</v>
      </c>
      <c r="I696" s="3">
        <v>2024</v>
      </c>
      <c r="J696" s="3" t="str">
        <f>CONCATENATE("44820631248")</f>
        <v>44820631248</v>
      </c>
      <c r="K696" s="3" t="s">
        <v>33</v>
      </c>
      <c r="L696" s="3" t="str">
        <f t="shared" si="40"/>
        <v/>
      </c>
      <c r="M696" s="3" t="str">
        <f>CONCATENATE("SRB01")</f>
        <v>SRB01</v>
      </c>
      <c r="N696" s="3" t="str">
        <f>CONCATENATE("DMRNNF83M20H926X")</f>
        <v>DMRNNF83M20H926X</v>
      </c>
      <c r="O696" s="3" t="s">
        <v>1145</v>
      </c>
      <c r="P696" s="3" t="s">
        <v>35</v>
      </c>
      <c r="Q696" s="3" t="s">
        <v>1038</v>
      </c>
      <c r="R696" s="4">
        <v>45916</v>
      </c>
      <c r="S696" s="3" t="s">
        <v>37</v>
      </c>
      <c r="T696" s="3" t="s">
        <v>38</v>
      </c>
      <c r="U696" s="3" t="s">
        <v>39</v>
      </c>
      <c r="V696" s="5">
        <v>3250.82</v>
      </c>
      <c r="W696" s="5">
        <v>1641.66</v>
      </c>
      <c r="X696" s="5">
        <v>1126.4100000000001</v>
      </c>
      <c r="Y696" s="3">
        <v>482.75</v>
      </c>
    </row>
    <row r="697" spans="1:25" ht="49.5" hidden="1" x14ac:dyDescent="0.35">
      <c r="A697" s="3" t="s">
        <v>26</v>
      </c>
      <c r="B697" s="3" t="s">
        <v>27</v>
      </c>
      <c r="C697" s="3" t="s">
        <v>478</v>
      </c>
      <c r="D697" s="3" t="s">
        <v>137</v>
      </c>
      <c r="E697" s="3" t="s">
        <v>590</v>
      </c>
      <c r="F697" s="3" t="s">
        <v>139</v>
      </c>
      <c r="G697" s="3" t="s">
        <v>590</v>
      </c>
      <c r="H697" s="3" t="s">
        <v>484</v>
      </c>
      <c r="I697" s="3">
        <v>2023</v>
      </c>
      <c r="J697" s="3" t="str">
        <f>CONCATENATE("34810387471")</f>
        <v>34810387471</v>
      </c>
      <c r="K697" s="3" t="s">
        <v>33</v>
      </c>
      <c r="L697" s="3" t="str">
        <f t="shared" si="40"/>
        <v/>
      </c>
      <c r="M697" s="3" t="str">
        <f>CONCATENATE("SRA01")</f>
        <v>SRA01</v>
      </c>
      <c r="N697" s="3" t="str">
        <f>CONCATENATE("DRSGMM85A42F799C")</f>
        <v>DRSGMM85A42F799C</v>
      </c>
      <c r="O697" s="3" t="s">
        <v>1146</v>
      </c>
      <c r="P697" s="3" t="s">
        <v>35</v>
      </c>
      <c r="Q697" s="3" t="s">
        <v>922</v>
      </c>
      <c r="R697" s="4">
        <v>45931</v>
      </c>
      <c r="S697" s="3" t="s">
        <v>37</v>
      </c>
      <c r="T697" s="3" t="s">
        <v>38</v>
      </c>
      <c r="U697" s="3" t="s">
        <v>39</v>
      </c>
      <c r="V697" s="3">
        <v>416.47</v>
      </c>
      <c r="W697" s="3">
        <v>210.32</v>
      </c>
      <c r="X697" s="3">
        <v>144.31</v>
      </c>
      <c r="Y697" s="3">
        <v>61.84</v>
      </c>
    </row>
    <row r="698" spans="1:25" ht="41.5" hidden="1" x14ac:dyDescent="0.35">
      <c r="A698" s="3" t="s">
        <v>26</v>
      </c>
      <c r="B698" s="3" t="s">
        <v>27</v>
      </c>
      <c r="C698" s="3" t="s">
        <v>478</v>
      </c>
      <c r="D698" s="3" t="s">
        <v>29</v>
      </c>
      <c r="E698" s="3" t="s">
        <v>588</v>
      </c>
      <c r="F698" s="3" t="s">
        <v>31</v>
      </c>
      <c r="G698" s="3" t="s">
        <v>588</v>
      </c>
      <c r="H698" s="3" t="s">
        <v>484</v>
      </c>
      <c r="I698" s="3">
        <v>2024</v>
      </c>
      <c r="J698" s="3" t="str">
        <f>CONCATENATE("44810246239")</f>
        <v>44810246239</v>
      </c>
      <c r="K698" s="3" t="s">
        <v>33</v>
      </c>
      <c r="L698" s="3" t="str">
        <f t="shared" si="40"/>
        <v/>
      </c>
      <c r="M698" s="3" t="str">
        <f>CONCATENATE("SRA01")</f>
        <v>SRA01</v>
      </c>
      <c r="N698" s="3" t="str">
        <f>CONCATENATE("GLLVTR45T16F839S")</f>
        <v>GLLVTR45T16F839S</v>
      </c>
      <c r="O698" s="3" t="s">
        <v>1147</v>
      </c>
      <c r="P698" s="3" t="s">
        <v>35</v>
      </c>
      <c r="Q698" s="3" t="s">
        <v>922</v>
      </c>
      <c r="R698" s="4">
        <v>45931</v>
      </c>
      <c r="S698" s="3" t="s">
        <v>37</v>
      </c>
      <c r="T698" s="3" t="s">
        <v>38</v>
      </c>
      <c r="U698" s="3" t="s">
        <v>39</v>
      </c>
      <c r="V698" s="5">
        <v>12539.4</v>
      </c>
      <c r="W698" s="5">
        <v>6332.4</v>
      </c>
      <c r="X698" s="5">
        <v>4344.8999999999996</v>
      </c>
      <c r="Y698" s="5">
        <v>1862.1</v>
      </c>
    </row>
    <row r="699" spans="1:25" ht="41.5" hidden="1" x14ac:dyDescent="0.35">
      <c r="A699" s="3" t="s">
        <v>26</v>
      </c>
      <c r="B699" s="3" t="s">
        <v>27</v>
      </c>
      <c r="C699" s="3" t="s">
        <v>478</v>
      </c>
      <c r="D699" s="3" t="s">
        <v>137</v>
      </c>
      <c r="E699" s="3" t="s">
        <v>590</v>
      </c>
      <c r="F699" s="3" t="s">
        <v>139</v>
      </c>
      <c r="G699" s="3" t="s">
        <v>590</v>
      </c>
      <c r="H699" s="3" t="s">
        <v>484</v>
      </c>
      <c r="I699" s="3">
        <v>2024</v>
      </c>
      <c r="J699" s="3" t="str">
        <f>CONCATENATE("44810965317")</f>
        <v>44810965317</v>
      </c>
      <c r="K699" s="3" t="s">
        <v>33</v>
      </c>
      <c r="L699" s="3" t="str">
        <f t="shared" si="40"/>
        <v/>
      </c>
      <c r="M699" s="3" t="str">
        <f>CONCATENATE("SRA01")</f>
        <v>SRA01</v>
      </c>
      <c r="N699" s="3" t="str">
        <f>CONCATENATE("PNNGLI57L11E054U")</f>
        <v>PNNGLI57L11E054U</v>
      </c>
      <c r="O699" s="3" t="s">
        <v>1148</v>
      </c>
      <c r="P699" s="3" t="s">
        <v>35</v>
      </c>
      <c r="Q699" s="3" t="s">
        <v>922</v>
      </c>
      <c r="R699" s="4">
        <v>45931</v>
      </c>
      <c r="S699" s="3" t="s">
        <v>37</v>
      </c>
      <c r="T699" s="3" t="s">
        <v>38</v>
      </c>
      <c r="U699" s="3" t="s">
        <v>39</v>
      </c>
      <c r="V699" s="5">
        <v>2852.44</v>
      </c>
      <c r="W699" s="5">
        <v>1440.48</v>
      </c>
      <c r="X699" s="3">
        <v>988.37</v>
      </c>
      <c r="Y699" s="3">
        <v>423.59</v>
      </c>
    </row>
    <row r="700" spans="1:25" ht="25.5" hidden="1" x14ac:dyDescent="0.35">
      <c r="A700" s="3" t="s">
        <v>26</v>
      </c>
      <c r="B700" s="3" t="s">
        <v>27</v>
      </c>
      <c r="C700" s="3" t="s">
        <v>478</v>
      </c>
      <c r="D700" s="3" t="s">
        <v>29</v>
      </c>
      <c r="E700" s="3" t="s">
        <v>588</v>
      </c>
      <c r="F700" s="3" t="s">
        <v>31</v>
      </c>
      <c r="G700" s="3" t="s">
        <v>588</v>
      </c>
      <c r="H700" s="3" t="s">
        <v>484</v>
      </c>
      <c r="I700" s="3">
        <v>2024</v>
      </c>
      <c r="J700" s="3" t="str">
        <f>CONCATENATE("44811345519")</f>
        <v>44811345519</v>
      </c>
      <c r="K700" s="3" t="s">
        <v>33</v>
      </c>
      <c r="L700" s="3" t="str">
        <f t="shared" si="40"/>
        <v/>
      </c>
      <c r="M700" s="3" t="str">
        <f>CONCATENATE("SRA01")</f>
        <v>SRA01</v>
      </c>
      <c r="N700" s="3" t="str">
        <f>CONCATENATE("03028360612")</f>
        <v>03028360612</v>
      </c>
      <c r="O700" s="3" t="s">
        <v>1149</v>
      </c>
      <c r="P700" s="3" t="s">
        <v>35</v>
      </c>
      <c r="Q700" s="3" t="s">
        <v>922</v>
      </c>
      <c r="R700" s="4">
        <v>45931</v>
      </c>
      <c r="S700" s="3" t="s">
        <v>37</v>
      </c>
      <c r="T700" s="3" t="s">
        <v>38</v>
      </c>
      <c r="U700" s="3" t="s">
        <v>39</v>
      </c>
      <c r="V700" s="3">
        <v>25.37</v>
      </c>
      <c r="W700" s="3">
        <v>12.81</v>
      </c>
      <c r="X700" s="3">
        <v>8.7899999999999991</v>
      </c>
      <c r="Y700" s="3">
        <v>3.77</v>
      </c>
    </row>
    <row r="701" spans="1:25" ht="49.5" hidden="1" x14ac:dyDescent="0.35">
      <c r="A701" s="3" t="s">
        <v>26</v>
      </c>
      <c r="B701" s="3" t="s">
        <v>27</v>
      </c>
      <c r="C701" s="3" t="s">
        <v>478</v>
      </c>
      <c r="D701" s="3" t="s">
        <v>61</v>
      </c>
      <c r="E701" s="3" t="s">
        <v>707</v>
      </c>
      <c r="F701" s="3" t="s">
        <v>63</v>
      </c>
      <c r="G701" s="3" t="s">
        <v>707</v>
      </c>
      <c r="H701" s="3" t="s">
        <v>480</v>
      </c>
      <c r="I701" s="3">
        <v>2024</v>
      </c>
      <c r="J701" s="3" t="str">
        <f>CONCATENATE("44811319423")</f>
        <v>44811319423</v>
      </c>
      <c r="K701" s="3" t="s">
        <v>33</v>
      </c>
      <c r="L701" s="3" t="str">
        <f t="shared" si="40"/>
        <v/>
      </c>
      <c r="M701" s="3" t="str">
        <f>CONCATENATE("SRA30")</f>
        <v>SRA30</v>
      </c>
      <c r="N701" s="3" t="str">
        <f>CONCATENATE("MNCDNL71M28G192R")</f>
        <v>MNCDNL71M28G192R</v>
      </c>
      <c r="O701" s="3" t="s">
        <v>1150</v>
      </c>
      <c r="P701" s="3" t="s">
        <v>35</v>
      </c>
      <c r="Q701" s="3" t="s">
        <v>1151</v>
      </c>
      <c r="R701" s="4">
        <v>45931</v>
      </c>
      <c r="S701" s="3" t="s">
        <v>37</v>
      </c>
      <c r="T701" s="3" t="s">
        <v>38</v>
      </c>
      <c r="U701" s="3" t="s">
        <v>39</v>
      </c>
      <c r="V701" s="5">
        <v>3692.9</v>
      </c>
      <c r="W701" s="5">
        <v>1864.91</v>
      </c>
      <c r="X701" s="5">
        <v>1279.5899999999999</v>
      </c>
      <c r="Y701" s="3">
        <v>548.4</v>
      </c>
    </row>
    <row r="702" spans="1:25" ht="41.5" hidden="1" x14ac:dyDescent="0.35">
      <c r="A702" s="3" t="s">
        <v>26</v>
      </c>
      <c r="B702" s="3" t="s">
        <v>27</v>
      </c>
      <c r="C702" s="3" t="s">
        <v>40</v>
      </c>
      <c r="D702" s="3" t="s">
        <v>41</v>
      </c>
      <c r="E702" s="3" t="s">
        <v>1152</v>
      </c>
      <c r="F702" s="3" t="s">
        <v>43</v>
      </c>
      <c r="G702" s="3" t="s">
        <v>1152</v>
      </c>
      <c r="H702" s="3" t="s">
        <v>64</v>
      </c>
      <c r="I702" s="3">
        <v>2024</v>
      </c>
      <c r="J702" s="3" t="str">
        <f>CONCATENATE("44811243631")</f>
        <v>44811243631</v>
      </c>
      <c r="K702" s="3" t="s">
        <v>33</v>
      </c>
      <c r="L702" s="3" t="str">
        <f t="shared" si="40"/>
        <v/>
      </c>
      <c r="M702" s="3" t="str">
        <f t="shared" ref="M702:M724" si="44">CONCATENATE("SRA29")</f>
        <v>SRA29</v>
      </c>
      <c r="N702" s="3" t="str">
        <f>CONCATENATE("BRNNGL52H19L814O")</f>
        <v>BRNNGL52H19L814O</v>
      </c>
      <c r="O702" s="3" t="s">
        <v>1153</v>
      </c>
      <c r="P702" s="3" t="s">
        <v>35</v>
      </c>
      <c r="Q702" s="3" t="s">
        <v>923</v>
      </c>
      <c r="R702" s="4">
        <v>45933</v>
      </c>
      <c r="S702" s="3" t="s">
        <v>37</v>
      </c>
      <c r="T702" s="3" t="s">
        <v>38</v>
      </c>
      <c r="U702" s="3" t="s">
        <v>39</v>
      </c>
      <c r="V702" s="5">
        <v>1103.74</v>
      </c>
      <c r="W702" s="3">
        <v>449.22</v>
      </c>
      <c r="X702" s="3">
        <v>458.16</v>
      </c>
      <c r="Y702" s="3">
        <v>196.36</v>
      </c>
    </row>
    <row r="703" spans="1:25" ht="41.5" hidden="1" x14ac:dyDescent="0.35">
      <c r="A703" s="3" t="s">
        <v>26</v>
      </c>
      <c r="B703" s="3" t="s">
        <v>27</v>
      </c>
      <c r="C703" s="3" t="s">
        <v>40</v>
      </c>
      <c r="D703" s="3" t="s">
        <v>137</v>
      </c>
      <c r="E703" s="3" t="s">
        <v>138</v>
      </c>
      <c r="F703" s="3" t="s">
        <v>139</v>
      </c>
      <c r="G703" s="3" t="s">
        <v>138</v>
      </c>
      <c r="H703" s="3" t="s">
        <v>44</v>
      </c>
      <c r="I703" s="3">
        <v>2024</v>
      </c>
      <c r="J703" s="3" t="str">
        <f>CONCATENATE("44810026557")</f>
        <v>44810026557</v>
      </c>
      <c r="K703" s="3" t="s">
        <v>33</v>
      </c>
      <c r="L703" s="3" t="str">
        <f t="shared" si="40"/>
        <v/>
      </c>
      <c r="M703" s="3" t="str">
        <f t="shared" si="44"/>
        <v>SRA29</v>
      </c>
      <c r="N703" s="3" t="str">
        <f>CONCATENATE("DPSPTR79S29A258O")</f>
        <v>DPSPTR79S29A258O</v>
      </c>
      <c r="O703" s="3" t="s">
        <v>1154</v>
      </c>
      <c r="P703" s="3" t="s">
        <v>35</v>
      </c>
      <c r="Q703" s="3" t="s">
        <v>923</v>
      </c>
      <c r="R703" s="4">
        <v>45933</v>
      </c>
      <c r="S703" s="3" t="s">
        <v>37</v>
      </c>
      <c r="T703" s="3" t="s">
        <v>38</v>
      </c>
      <c r="U703" s="3" t="s">
        <v>39</v>
      </c>
      <c r="V703" s="3">
        <v>323.79000000000002</v>
      </c>
      <c r="W703" s="3">
        <v>131.78</v>
      </c>
      <c r="X703" s="3">
        <v>134.41</v>
      </c>
      <c r="Y703" s="3">
        <v>57.6</v>
      </c>
    </row>
    <row r="704" spans="1:25" ht="41.5" hidden="1" x14ac:dyDescent="0.35">
      <c r="A704" s="3" t="s">
        <v>26</v>
      </c>
      <c r="B704" s="3" t="s">
        <v>27</v>
      </c>
      <c r="C704" s="3" t="s">
        <v>40</v>
      </c>
      <c r="D704" s="3" t="s">
        <v>29</v>
      </c>
      <c r="E704" s="3" t="s">
        <v>1052</v>
      </c>
      <c r="F704" s="3" t="s">
        <v>31</v>
      </c>
      <c r="G704" s="3" t="s">
        <v>1052</v>
      </c>
      <c r="H704" s="3" t="s">
        <v>48</v>
      </c>
      <c r="I704" s="3">
        <v>2023</v>
      </c>
      <c r="J704" s="3" t="str">
        <f>CONCATENATE("34810203561")</f>
        <v>34810203561</v>
      </c>
      <c r="K704" s="3" t="s">
        <v>33</v>
      </c>
      <c r="L704" s="3" t="str">
        <f t="shared" si="40"/>
        <v/>
      </c>
      <c r="M704" s="3" t="str">
        <f t="shared" si="44"/>
        <v>SRA29</v>
      </c>
      <c r="N704" s="3" t="str">
        <f>CONCATENATE("DPRNDR66T01G838T")</f>
        <v>DPRNDR66T01G838T</v>
      </c>
      <c r="O704" s="3" t="s">
        <v>1155</v>
      </c>
      <c r="P704" s="3" t="s">
        <v>35</v>
      </c>
      <c r="Q704" s="3" t="s">
        <v>923</v>
      </c>
      <c r="R704" s="4">
        <v>45933</v>
      </c>
      <c r="S704" s="3" t="s">
        <v>37</v>
      </c>
      <c r="T704" s="3" t="s">
        <v>38</v>
      </c>
      <c r="U704" s="3" t="s">
        <v>39</v>
      </c>
      <c r="V704" s="5">
        <v>15592.88</v>
      </c>
      <c r="W704" s="5">
        <v>6346.3</v>
      </c>
      <c r="X704" s="5">
        <v>6472.6</v>
      </c>
      <c r="Y704" s="5">
        <v>2773.98</v>
      </c>
    </row>
    <row r="705" spans="1:25" ht="41.5" hidden="1" x14ac:dyDescent="0.35">
      <c r="A705" s="3" t="s">
        <v>26</v>
      </c>
      <c r="B705" s="3" t="s">
        <v>27</v>
      </c>
      <c r="C705" s="3" t="s">
        <v>40</v>
      </c>
      <c r="D705" s="3" t="s">
        <v>51</v>
      </c>
      <c r="E705" s="3" t="s">
        <v>52</v>
      </c>
      <c r="F705" s="3" t="s">
        <v>51</v>
      </c>
      <c r="G705" s="3" t="s">
        <v>52</v>
      </c>
      <c r="H705" s="3" t="s">
        <v>44</v>
      </c>
      <c r="I705" s="3">
        <v>2024</v>
      </c>
      <c r="J705" s="3" t="str">
        <f>CONCATENATE("44810530038")</f>
        <v>44810530038</v>
      </c>
      <c r="K705" s="3" t="s">
        <v>33</v>
      </c>
      <c r="L705" s="3" t="str">
        <f t="shared" si="40"/>
        <v/>
      </c>
      <c r="M705" s="3" t="str">
        <f t="shared" si="44"/>
        <v>SRA29</v>
      </c>
      <c r="N705" s="3" t="str">
        <f>CONCATENATE("FCCGCM54S27C514M")</f>
        <v>FCCGCM54S27C514M</v>
      </c>
      <c r="O705" s="3" t="s">
        <v>1156</v>
      </c>
      <c r="P705" s="3" t="s">
        <v>35</v>
      </c>
      <c r="Q705" s="3" t="s">
        <v>923</v>
      </c>
      <c r="R705" s="4">
        <v>45933</v>
      </c>
      <c r="S705" s="3" t="s">
        <v>37</v>
      </c>
      <c r="T705" s="3" t="s">
        <v>38</v>
      </c>
      <c r="U705" s="3" t="s">
        <v>39</v>
      </c>
      <c r="V705" s="5">
        <v>3336.33</v>
      </c>
      <c r="W705" s="5">
        <v>1357.89</v>
      </c>
      <c r="X705" s="5">
        <v>1384.91</v>
      </c>
      <c r="Y705" s="3">
        <v>593.53</v>
      </c>
    </row>
    <row r="706" spans="1:25" ht="25.5" hidden="1" x14ac:dyDescent="0.35">
      <c r="A706" s="3" t="s">
        <v>26</v>
      </c>
      <c r="B706" s="3" t="s">
        <v>27</v>
      </c>
      <c r="C706" s="3" t="s">
        <v>40</v>
      </c>
      <c r="D706" s="3" t="s">
        <v>137</v>
      </c>
      <c r="E706" s="3" t="s">
        <v>138</v>
      </c>
      <c r="F706" s="3" t="s">
        <v>139</v>
      </c>
      <c r="G706" s="3" t="s">
        <v>138</v>
      </c>
      <c r="H706" s="3" t="s">
        <v>64</v>
      </c>
      <c r="I706" s="3">
        <v>2024</v>
      </c>
      <c r="J706" s="3" t="str">
        <f>CONCATENATE("44810860740")</f>
        <v>44810860740</v>
      </c>
      <c r="K706" s="3" t="s">
        <v>33</v>
      </c>
      <c r="L706" s="3" t="str">
        <f t="shared" si="40"/>
        <v/>
      </c>
      <c r="M706" s="3" t="str">
        <f t="shared" si="44"/>
        <v>SRA29</v>
      </c>
      <c r="N706" s="3" t="str">
        <f>CONCATENATE("07401171009")</f>
        <v>07401171009</v>
      </c>
      <c r="O706" s="3" t="s">
        <v>1157</v>
      </c>
      <c r="P706" s="3" t="s">
        <v>35</v>
      </c>
      <c r="Q706" s="3" t="s">
        <v>923</v>
      </c>
      <c r="R706" s="4">
        <v>45933</v>
      </c>
      <c r="S706" s="3" t="s">
        <v>37</v>
      </c>
      <c r="T706" s="3" t="s">
        <v>38</v>
      </c>
      <c r="U706" s="3" t="s">
        <v>39</v>
      </c>
      <c r="V706" s="3">
        <v>8.73</v>
      </c>
      <c r="W706" s="3">
        <v>3.55</v>
      </c>
      <c r="X706" s="3">
        <v>3.62</v>
      </c>
      <c r="Y706" s="3">
        <v>1.56</v>
      </c>
    </row>
    <row r="707" spans="1:25" ht="25.5" hidden="1" x14ac:dyDescent="0.35">
      <c r="A707" s="3" t="s">
        <v>26</v>
      </c>
      <c r="B707" s="3" t="s">
        <v>27</v>
      </c>
      <c r="C707" s="3" t="s">
        <v>40</v>
      </c>
      <c r="D707" s="3" t="s">
        <v>41</v>
      </c>
      <c r="E707" s="3" t="s">
        <v>1158</v>
      </c>
      <c r="F707" s="3" t="s">
        <v>43</v>
      </c>
      <c r="G707" s="3" t="s">
        <v>1158</v>
      </c>
      <c r="H707" s="3" t="s">
        <v>64</v>
      </c>
      <c r="I707" s="3">
        <v>2024</v>
      </c>
      <c r="J707" s="3" t="str">
        <f>CONCATENATE("44811148996")</f>
        <v>44811148996</v>
      </c>
      <c r="K707" s="3" t="s">
        <v>33</v>
      </c>
      <c r="L707" s="3" t="str">
        <f t="shared" si="40"/>
        <v/>
      </c>
      <c r="M707" s="3" t="str">
        <f t="shared" si="44"/>
        <v>SRA29</v>
      </c>
      <c r="N707" s="3" t="str">
        <f>CONCATENATE("08519121001")</f>
        <v>08519121001</v>
      </c>
      <c r="O707" s="3" t="s">
        <v>1159</v>
      </c>
      <c r="P707" s="3" t="s">
        <v>35</v>
      </c>
      <c r="Q707" s="3" t="s">
        <v>923</v>
      </c>
      <c r="R707" s="4">
        <v>45933</v>
      </c>
      <c r="S707" s="3" t="s">
        <v>37</v>
      </c>
      <c r="T707" s="3" t="s">
        <v>38</v>
      </c>
      <c r="U707" s="3" t="s">
        <v>39</v>
      </c>
      <c r="V707" s="5">
        <v>1249.6400000000001</v>
      </c>
      <c r="W707" s="3">
        <v>508.6</v>
      </c>
      <c r="X707" s="3">
        <v>518.73</v>
      </c>
      <c r="Y707" s="3">
        <v>222.31</v>
      </c>
    </row>
    <row r="708" spans="1:25" ht="49.5" hidden="1" x14ac:dyDescent="0.35">
      <c r="A708" s="3" t="s">
        <v>26</v>
      </c>
      <c r="B708" s="3" t="s">
        <v>27</v>
      </c>
      <c r="C708" s="3" t="s">
        <v>40</v>
      </c>
      <c r="D708" s="3" t="s">
        <v>41</v>
      </c>
      <c r="E708" s="3" t="s">
        <v>1160</v>
      </c>
      <c r="F708" s="3" t="s">
        <v>43</v>
      </c>
      <c r="G708" s="3" t="s">
        <v>1160</v>
      </c>
      <c r="H708" s="3" t="s">
        <v>64</v>
      </c>
      <c r="I708" s="3">
        <v>2024</v>
      </c>
      <c r="J708" s="3" t="str">
        <f>CONCATENATE("44810431930")</f>
        <v>44810431930</v>
      </c>
      <c r="K708" s="3" t="s">
        <v>33</v>
      </c>
      <c r="L708" s="3" t="str">
        <f t="shared" ref="L708:L771" si="45">CONCATENATE("")</f>
        <v/>
      </c>
      <c r="M708" s="3" t="str">
        <f t="shared" si="44"/>
        <v>SRA29</v>
      </c>
      <c r="N708" s="3" t="str">
        <f>CONCATENATE("MRDSFN68D28L192G")</f>
        <v>MRDSFN68D28L192G</v>
      </c>
      <c r="O708" s="3" t="s">
        <v>1161</v>
      </c>
      <c r="P708" s="3" t="s">
        <v>35</v>
      </c>
      <c r="Q708" s="3" t="s">
        <v>923</v>
      </c>
      <c r="R708" s="4">
        <v>45933</v>
      </c>
      <c r="S708" s="3" t="s">
        <v>37</v>
      </c>
      <c r="T708" s="3" t="s">
        <v>38</v>
      </c>
      <c r="U708" s="3" t="s">
        <v>39</v>
      </c>
      <c r="V708" s="3">
        <v>738.28</v>
      </c>
      <c r="W708" s="3">
        <v>300.48</v>
      </c>
      <c r="X708" s="3">
        <v>306.45999999999998</v>
      </c>
      <c r="Y708" s="3">
        <v>131.34</v>
      </c>
    </row>
    <row r="709" spans="1:25" ht="41.5" hidden="1" x14ac:dyDescent="0.35">
      <c r="A709" s="3" t="s">
        <v>26</v>
      </c>
      <c r="B709" s="3" t="s">
        <v>27</v>
      </c>
      <c r="C709" s="3" t="s">
        <v>40</v>
      </c>
      <c r="D709" s="3" t="s">
        <v>41</v>
      </c>
      <c r="E709" s="3" t="s">
        <v>844</v>
      </c>
      <c r="F709" s="3" t="s">
        <v>43</v>
      </c>
      <c r="G709" s="3" t="s">
        <v>844</v>
      </c>
      <c r="H709" s="3" t="s">
        <v>64</v>
      </c>
      <c r="I709" s="3">
        <v>2023</v>
      </c>
      <c r="J709" s="3" t="str">
        <f>CONCATENATE("34810189521")</f>
        <v>34810189521</v>
      </c>
      <c r="K709" s="3" t="s">
        <v>33</v>
      </c>
      <c r="L709" s="3" t="str">
        <f t="shared" si="45"/>
        <v/>
      </c>
      <c r="M709" s="3" t="str">
        <f t="shared" si="44"/>
        <v>SRA29</v>
      </c>
      <c r="N709" s="3" t="str">
        <f>CONCATENATE("PTRLRI72P45H501M")</f>
        <v>PTRLRI72P45H501M</v>
      </c>
      <c r="O709" s="3" t="s">
        <v>1162</v>
      </c>
      <c r="P709" s="3" t="s">
        <v>35</v>
      </c>
      <c r="Q709" s="3" t="s">
        <v>923</v>
      </c>
      <c r="R709" s="4">
        <v>45933</v>
      </c>
      <c r="S709" s="3" t="s">
        <v>37</v>
      </c>
      <c r="T709" s="3" t="s">
        <v>38</v>
      </c>
      <c r="U709" s="3" t="s">
        <v>39</v>
      </c>
      <c r="V709" s="5">
        <v>1796.82</v>
      </c>
      <c r="W709" s="3">
        <v>731.31</v>
      </c>
      <c r="X709" s="3">
        <v>745.86</v>
      </c>
      <c r="Y709" s="3">
        <v>319.64999999999998</v>
      </c>
    </row>
    <row r="710" spans="1:25" ht="41.5" hidden="1" x14ac:dyDescent="0.35">
      <c r="A710" s="3" t="s">
        <v>26</v>
      </c>
      <c r="B710" s="3" t="s">
        <v>27</v>
      </c>
      <c r="C710" s="3" t="s">
        <v>40</v>
      </c>
      <c r="D710" s="3" t="s">
        <v>41</v>
      </c>
      <c r="E710" s="3" t="s">
        <v>844</v>
      </c>
      <c r="F710" s="3" t="s">
        <v>43</v>
      </c>
      <c r="G710" s="3" t="s">
        <v>844</v>
      </c>
      <c r="H710" s="3" t="s">
        <v>64</v>
      </c>
      <c r="I710" s="3">
        <v>2024</v>
      </c>
      <c r="J710" s="3" t="str">
        <f>CONCATENATE("44810195592")</f>
        <v>44810195592</v>
      </c>
      <c r="K710" s="3" t="s">
        <v>33</v>
      </c>
      <c r="L710" s="3" t="str">
        <f t="shared" si="45"/>
        <v/>
      </c>
      <c r="M710" s="3" t="str">
        <f t="shared" si="44"/>
        <v>SRA29</v>
      </c>
      <c r="N710" s="3" t="str">
        <f>CONCATENATE("PTRLRI72P45H501M")</f>
        <v>PTRLRI72P45H501M</v>
      </c>
      <c r="O710" s="3" t="s">
        <v>1162</v>
      </c>
      <c r="P710" s="3" t="s">
        <v>35</v>
      </c>
      <c r="Q710" s="3" t="s">
        <v>923</v>
      </c>
      <c r="R710" s="4">
        <v>45933</v>
      </c>
      <c r="S710" s="3" t="s">
        <v>37</v>
      </c>
      <c r="T710" s="3" t="s">
        <v>38</v>
      </c>
      <c r="U710" s="3" t="s">
        <v>39</v>
      </c>
      <c r="V710" s="5">
        <v>1796.81</v>
      </c>
      <c r="W710" s="3">
        <v>731.3</v>
      </c>
      <c r="X710" s="3">
        <v>745.86</v>
      </c>
      <c r="Y710" s="3">
        <v>319.64999999999998</v>
      </c>
    </row>
    <row r="711" spans="1:25" ht="49.5" hidden="1" x14ac:dyDescent="0.35">
      <c r="A711" s="3" t="s">
        <v>26</v>
      </c>
      <c r="B711" s="3" t="s">
        <v>27</v>
      </c>
      <c r="C711" s="3" t="s">
        <v>40</v>
      </c>
      <c r="D711" s="3" t="s">
        <v>41</v>
      </c>
      <c r="E711" s="3" t="s">
        <v>844</v>
      </c>
      <c r="F711" s="3" t="s">
        <v>43</v>
      </c>
      <c r="G711" s="3" t="s">
        <v>844</v>
      </c>
      <c r="H711" s="3" t="s">
        <v>64</v>
      </c>
      <c r="I711" s="3">
        <v>2024</v>
      </c>
      <c r="J711" s="3" t="str">
        <f>CONCATENATE("44810160604")</f>
        <v>44810160604</v>
      </c>
      <c r="K711" s="3" t="s">
        <v>33</v>
      </c>
      <c r="L711" s="3" t="str">
        <f t="shared" si="45"/>
        <v/>
      </c>
      <c r="M711" s="3" t="str">
        <f t="shared" si="44"/>
        <v>SRA29</v>
      </c>
      <c r="N711" s="3" t="str">
        <f>CONCATENATE("RMNMNL76M12H501U")</f>
        <v>RMNMNL76M12H501U</v>
      </c>
      <c r="O711" s="3" t="s">
        <v>1163</v>
      </c>
      <c r="P711" s="3" t="s">
        <v>35</v>
      </c>
      <c r="Q711" s="3" t="s">
        <v>923</v>
      </c>
      <c r="R711" s="4">
        <v>45933</v>
      </c>
      <c r="S711" s="3" t="s">
        <v>37</v>
      </c>
      <c r="T711" s="3" t="s">
        <v>38</v>
      </c>
      <c r="U711" s="3" t="s">
        <v>39</v>
      </c>
      <c r="V711" s="3">
        <v>40.92</v>
      </c>
      <c r="W711" s="3">
        <v>16.649999999999999</v>
      </c>
      <c r="X711" s="3">
        <v>16.989999999999998</v>
      </c>
      <c r="Y711" s="3">
        <v>7.28</v>
      </c>
    </row>
    <row r="712" spans="1:25" ht="41.5" hidden="1" x14ac:dyDescent="0.35">
      <c r="A712" s="3" t="s">
        <v>26</v>
      </c>
      <c r="B712" s="3" t="s">
        <v>27</v>
      </c>
      <c r="C712" s="3" t="s">
        <v>40</v>
      </c>
      <c r="D712" s="3" t="s">
        <v>41</v>
      </c>
      <c r="E712" s="3" t="s">
        <v>953</v>
      </c>
      <c r="F712" s="3" t="s">
        <v>43</v>
      </c>
      <c r="G712" s="3" t="s">
        <v>953</v>
      </c>
      <c r="H712" s="3" t="s">
        <v>64</v>
      </c>
      <c r="I712" s="3">
        <v>2024</v>
      </c>
      <c r="J712" s="3" t="str">
        <f>CONCATENATE("44811108255")</f>
        <v>44811108255</v>
      </c>
      <c r="K712" s="3" t="s">
        <v>33</v>
      </c>
      <c r="L712" s="3" t="str">
        <f t="shared" si="45"/>
        <v/>
      </c>
      <c r="M712" s="3" t="str">
        <f t="shared" si="44"/>
        <v>SRA29</v>
      </c>
      <c r="N712" s="3" t="str">
        <f>CONCATENATE("RNZDLF72R01H501Z")</f>
        <v>RNZDLF72R01H501Z</v>
      </c>
      <c r="O712" s="3" t="s">
        <v>1164</v>
      </c>
      <c r="P712" s="3" t="s">
        <v>35</v>
      </c>
      <c r="Q712" s="3" t="s">
        <v>923</v>
      </c>
      <c r="R712" s="4">
        <v>45933</v>
      </c>
      <c r="S712" s="3" t="s">
        <v>37</v>
      </c>
      <c r="T712" s="3" t="s">
        <v>38</v>
      </c>
      <c r="U712" s="3" t="s">
        <v>39</v>
      </c>
      <c r="V712" s="3">
        <v>935.02</v>
      </c>
      <c r="W712" s="3">
        <v>380.55</v>
      </c>
      <c r="X712" s="3">
        <v>388.13</v>
      </c>
      <c r="Y712" s="3">
        <v>166.34</v>
      </c>
    </row>
    <row r="713" spans="1:25" ht="49.5" hidden="1" x14ac:dyDescent="0.35">
      <c r="A713" s="3" t="s">
        <v>26</v>
      </c>
      <c r="B713" s="3" t="s">
        <v>27</v>
      </c>
      <c r="C713" s="3" t="s">
        <v>40</v>
      </c>
      <c r="D713" s="3" t="s">
        <v>41</v>
      </c>
      <c r="E713" s="3" t="s">
        <v>1165</v>
      </c>
      <c r="F713" s="3" t="s">
        <v>43</v>
      </c>
      <c r="G713" s="3" t="s">
        <v>1165</v>
      </c>
      <c r="H713" s="3" t="s">
        <v>64</v>
      </c>
      <c r="I713" s="3">
        <v>2024</v>
      </c>
      <c r="J713" s="3" t="str">
        <f>CONCATENATE("44811033214")</f>
        <v>44811033214</v>
      </c>
      <c r="K713" s="3" t="s">
        <v>33</v>
      </c>
      <c r="L713" s="3" t="str">
        <f t="shared" si="45"/>
        <v/>
      </c>
      <c r="M713" s="3" t="str">
        <f t="shared" si="44"/>
        <v>SRA29</v>
      </c>
      <c r="N713" s="3" t="str">
        <f>CONCATENATE("SCTNMR34E66G088V")</f>
        <v>SCTNMR34E66G088V</v>
      </c>
      <c r="O713" s="3" t="s">
        <v>1166</v>
      </c>
      <c r="P713" s="3" t="s">
        <v>35</v>
      </c>
      <c r="Q713" s="3" t="s">
        <v>923</v>
      </c>
      <c r="R713" s="4">
        <v>45933</v>
      </c>
      <c r="S713" s="3" t="s">
        <v>37</v>
      </c>
      <c r="T713" s="3" t="s">
        <v>38</v>
      </c>
      <c r="U713" s="3" t="s">
        <v>39</v>
      </c>
      <c r="V713" s="3">
        <v>149.94999999999999</v>
      </c>
      <c r="W713" s="3">
        <v>61.03</v>
      </c>
      <c r="X713" s="3">
        <v>62.24</v>
      </c>
      <c r="Y713" s="3">
        <v>26.68</v>
      </c>
    </row>
    <row r="714" spans="1:25" ht="25.5" hidden="1" x14ac:dyDescent="0.35">
      <c r="A714" s="3" t="s">
        <v>26</v>
      </c>
      <c r="B714" s="3" t="s">
        <v>27</v>
      </c>
      <c r="C714" s="3" t="s">
        <v>40</v>
      </c>
      <c r="D714" s="3" t="s">
        <v>180</v>
      </c>
      <c r="E714" s="3" t="s">
        <v>839</v>
      </c>
      <c r="F714" s="3" t="s">
        <v>51</v>
      </c>
      <c r="G714" s="3" t="s">
        <v>941</v>
      </c>
      <c r="H714" s="3" t="s">
        <v>64</v>
      </c>
      <c r="I714" s="3">
        <v>2024</v>
      </c>
      <c r="J714" s="3" t="str">
        <f>CONCATENATE("44810191872")</f>
        <v>44810191872</v>
      </c>
      <c r="K714" s="3" t="s">
        <v>33</v>
      </c>
      <c r="L714" s="3" t="str">
        <f t="shared" si="45"/>
        <v/>
      </c>
      <c r="M714" s="3" t="str">
        <f t="shared" si="44"/>
        <v>SRA29</v>
      </c>
      <c r="N714" s="3" t="str">
        <f>CONCATENATE("14570111006")</f>
        <v>14570111006</v>
      </c>
      <c r="O714" s="3" t="s">
        <v>1167</v>
      </c>
      <c r="P714" s="3" t="s">
        <v>35</v>
      </c>
      <c r="Q714" s="3" t="s">
        <v>923</v>
      </c>
      <c r="R714" s="4">
        <v>45933</v>
      </c>
      <c r="S714" s="3" t="s">
        <v>37</v>
      </c>
      <c r="T714" s="3" t="s">
        <v>38</v>
      </c>
      <c r="U714" s="3" t="s">
        <v>39</v>
      </c>
      <c r="V714" s="3">
        <v>189.47</v>
      </c>
      <c r="W714" s="3">
        <v>77.11</v>
      </c>
      <c r="X714" s="3">
        <v>78.650000000000006</v>
      </c>
      <c r="Y714" s="3">
        <v>33.71</v>
      </c>
    </row>
    <row r="715" spans="1:25" ht="25.5" hidden="1" x14ac:dyDescent="0.35">
      <c r="A715" s="3" t="s">
        <v>26</v>
      </c>
      <c r="B715" s="3" t="s">
        <v>27</v>
      </c>
      <c r="C715" s="3" t="s">
        <v>40</v>
      </c>
      <c r="D715" s="3" t="s">
        <v>41</v>
      </c>
      <c r="E715" s="3" t="s">
        <v>143</v>
      </c>
      <c r="F715" s="3" t="s">
        <v>43</v>
      </c>
      <c r="G715" s="3" t="s">
        <v>143</v>
      </c>
      <c r="H715" s="3" t="s">
        <v>64</v>
      </c>
      <c r="I715" s="3">
        <v>2024</v>
      </c>
      <c r="J715" s="3" t="str">
        <f>CONCATENATE("44810059244")</f>
        <v>44810059244</v>
      </c>
      <c r="K715" s="3" t="s">
        <v>33</v>
      </c>
      <c r="L715" s="3" t="str">
        <f t="shared" si="45"/>
        <v/>
      </c>
      <c r="M715" s="3" t="str">
        <f t="shared" si="44"/>
        <v>SRA29</v>
      </c>
      <c r="N715" s="3" t="str">
        <f>CONCATENATE("16237841008")</f>
        <v>16237841008</v>
      </c>
      <c r="O715" s="3" t="s">
        <v>1168</v>
      </c>
      <c r="P715" s="3" t="s">
        <v>35</v>
      </c>
      <c r="Q715" s="3" t="s">
        <v>923</v>
      </c>
      <c r="R715" s="4">
        <v>45933</v>
      </c>
      <c r="S715" s="3" t="s">
        <v>37</v>
      </c>
      <c r="T715" s="3" t="s">
        <v>38</v>
      </c>
      <c r="U715" s="3" t="s">
        <v>39</v>
      </c>
      <c r="V715" s="3">
        <v>182.92</v>
      </c>
      <c r="W715" s="3">
        <v>74.45</v>
      </c>
      <c r="X715" s="3">
        <v>75.930000000000007</v>
      </c>
      <c r="Y715" s="3">
        <v>32.54</v>
      </c>
    </row>
    <row r="716" spans="1:25" ht="25.5" hidden="1" x14ac:dyDescent="0.35">
      <c r="A716" s="3" t="s">
        <v>26</v>
      </c>
      <c r="B716" s="3" t="s">
        <v>27</v>
      </c>
      <c r="C716" s="3" t="s">
        <v>40</v>
      </c>
      <c r="D716" s="3" t="s">
        <v>180</v>
      </c>
      <c r="E716" s="3" t="s">
        <v>879</v>
      </c>
      <c r="F716" s="3" t="s">
        <v>85</v>
      </c>
      <c r="G716" s="3" t="s">
        <v>879</v>
      </c>
      <c r="H716" s="3" t="s">
        <v>64</v>
      </c>
      <c r="I716" s="3">
        <v>2024</v>
      </c>
      <c r="J716" s="3" t="str">
        <f>CONCATENATE("44811180288")</f>
        <v>44811180288</v>
      </c>
      <c r="K716" s="3" t="s">
        <v>33</v>
      </c>
      <c r="L716" s="3" t="str">
        <f t="shared" si="45"/>
        <v/>
      </c>
      <c r="M716" s="3" t="str">
        <f t="shared" si="44"/>
        <v>SRA29</v>
      </c>
      <c r="N716" s="3" t="str">
        <f>CONCATENATE("05261350580")</f>
        <v>05261350580</v>
      </c>
      <c r="O716" s="3" t="s">
        <v>1169</v>
      </c>
      <c r="P716" s="3" t="s">
        <v>35</v>
      </c>
      <c r="Q716" s="3" t="s">
        <v>923</v>
      </c>
      <c r="R716" s="4">
        <v>45933</v>
      </c>
      <c r="S716" s="3" t="s">
        <v>37</v>
      </c>
      <c r="T716" s="3" t="s">
        <v>38</v>
      </c>
      <c r="U716" s="3" t="s">
        <v>39</v>
      </c>
      <c r="V716" s="5">
        <v>5370.29</v>
      </c>
      <c r="W716" s="5">
        <v>2185.71</v>
      </c>
      <c r="X716" s="5">
        <v>2229.21</v>
      </c>
      <c r="Y716" s="3">
        <v>955.37</v>
      </c>
    </row>
    <row r="717" spans="1:25" ht="25.5" hidden="1" x14ac:dyDescent="0.35">
      <c r="A717" s="3" t="s">
        <v>26</v>
      </c>
      <c r="B717" s="3" t="s">
        <v>27</v>
      </c>
      <c r="C717" s="3" t="s">
        <v>40</v>
      </c>
      <c r="D717" s="3" t="s">
        <v>29</v>
      </c>
      <c r="E717" s="3" t="s">
        <v>727</v>
      </c>
      <c r="F717" s="3" t="s">
        <v>43</v>
      </c>
      <c r="G717" s="3" t="s">
        <v>844</v>
      </c>
      <c r="H717" s="3" t="s">
        <v>64</v>
      </c>
      <c r="I717" s="3">
        <v>2024</v>
      </c>
      <c r="J717" s="3" t="str">
        <f>CONCATENATE("44810868305")</f>
        <v>44810868305</v>
      </c>
      <c r="K717" s="3" t="s">
        <v>33</v>
      </c>
      <c r="L717" s="3" t="str">
        <f t="shared" si="45"/>
        <v/>
      </c>
      <c r="M717" s="3" t="str">
        <f t="shared" si="44"/>
        <v>SRA29</v>
      </c>
      <c r="N717" s="3" t="str">
        <f>CONCATENATE("03946201005")</f>
        <v>03946201005</v>
      </c>
      <c r="O717" s="3" t="s">
        <v>1170</v>
      </c>
      <c r="P717" s="3" t="s">
        <v>35</v>
      </c>
      <c r="Q717" s="3" t="s">
        <v>923</v>
      </c>
      <c r="R717" s="4">
        <v>45933</v>
      </c>
      <c r="S717" s="3" t="s">
        <v>37</v>
      </c>
      <c r="T717" s="3" t="s">
        <v>38</v>
      </c>
      <c r="U717" s="3" t="s">
        <v>39</v>
      </c>
      <c r="V717" s="5">
        <v>1202.54</v>
      </c>
      <c r="W717" s="3">
        <v>489.43</v>
      </c>
      <c r="X717" s="3">
        <v>499.17</v>
      </c>
      <c r="Y717" s="3">
        <v>213.94</v>
      </c>
    </row>
    <row r="718" spans="1:25" ht="25.5" hidden="1" x14ac:dyDescent="0.35">
      <c r="A718" s="3" t="s">
        <v>26</v>
      </c>
      <c r="B718" s="3" t="s">
        <v>27</v>
      </c>
      <c r="C718" s="3" t="s">
        <v>40</v>
      </c>
      <c r="D718" s="3" t="s">
        <v>61</v>
      </c>
      <c r="E718" s="3" t="s">
        <v>1047</v>
      </c>
      <c r="F718" s="3" t="s">
        <v>63</v>
      </c>
      <c r="G718" s="3" t="s">
        <v>1047</v>
      </c>
      <c r="H718" s="3" t="s">
        <v>64</v>
      </c>
      <c r="I718" s="3">
        <v>2024</v>
      </c>
      <c r="J718" s="3" t="str">
        <f>CONCATENATE("44810666113")</f>
        <v>44810666113</v>
      </c>
      <c r="K718" s="3" t="s">
        <v>33</v>
      </c>
      <c r="L718" s="3" t="str">
        <f t="shared" si="45"/>
        <v/>
      </c>
      <c r="M718" s="3" t="str">
        <f t="shared" si="44"/>
        <v>SRA29</v>
      </c>
      <c r="N718" s="3" t="str">
        <f>CONCATENATE("08516771006")</f>
        <v>08516771006</v>
      </c>
      <c r="O718" s="3" t="s">
        <v>1171</v>
      </c>
      <c r="P718" s="3" t="s">
        <v>35</v>
      </c>
      <c r="Q718" s="3" t="s">
        <v>923</v>
      </c>
      <c r="R718" s="4">
        <v>45933</v>
      </c>
      <c r="S718" s="3" t="s">
        <v>37</v>
      </c>
      <c r="T718" s="3" t="s">
        <v>38</v>
      </c>
      <c r="U718" s="3" t="s">
        <v>39</v>
      </c>
      <c r="V718" s="3">
        <v>708.72</v>
      </c>
      <c r="W718" s="3">
        <v>288.45</v>
      </c>
      <c r="X718" s="3">
        <v>294.19</v>
      </c>
      <c r="Y718" s="3">
        <v>126.08</v>
      </c>
    </row>
    <row r="719" spans="1:25" ht="25.5" hidden="1" x14ac:dyDescent="0.35">
      <c r="A719" s="3" t="s">
        <v>26</v>
      </c>
      <c r="B719" s="3" t="s">
        <v>27</v>
      </c>
      <c r="C719" s="3" t="s">
        <v>40</v>
      </c>
      <c r="D719" s="3" t="s">
        <v>41</v>
      </c>
      <c r="E719" s="3" t="s">
        <v>1057</v>
      </c>
      <c r="F719" s="3" t="s">
        <v>43</v>
      </c>
      <c r="G719" s="3" t="s">
        <v>1057</v>
      </c>
      <c r="H719" s="3" t="s">
        <v>64</v>
      </c>
      <c r="I719" s="3">
        <v>2024</v>
      </c>
      <c r="J719" s="3" t="str">
        <f>CONCATENATE("44810542314")</f>
        <v>44810542314</v>
      </c>
      <c r="K719" s="3" t="s">
        <v>33</v>
      </c>
      <c r="L719" s="3" t="str">
        <f t="shared" si="45"/>
        <v/>
      </c>
      <c r="M719" s="3" t="str">
        <f t="shared" si="44"/>
        <v>SRA29</v>
      </c>
      <c r="N719" s="3" t="str">
        <f>CONCATENATE("15281981009")</f>
        <v>15281981009</v>
      </c>
      <c r="O719" s="3" t="s">
        <v>1172</v>
      </c>
      <c r="P719" s="3" t="s">
        <v>35</v>
      </c>
      <c r="Q719" s="3" t="s">
        <v>923</v>
      </c>
      <c r="R719" s="4">
        <v>45933</v>
      </c>
      <c r="S719" s="3" t="s">
        <v>37</v>
      </c>
      <c r="T719" s="3" t="s">
        <v>38</v>
      </c>
      <c r="U719" s="3" t="s">
        <v>39</v>
      </c>
      <c r="V719" s="3">
        <v>187.41</v>
      </c>
      <c r="W719" s="3">
        <v>76.28</v>
      </c>
      <c r="X719" s="3">
        <v>77.790000000000006</v>
      </c>
      <c r="Y719" s="3">
        <v>33.340000000000003</v>
      </c>
    </row>
    <row r="720" spans="1:25" ht="41.5" hidden="1" x14ac:dyDescent="0.35">
      <c r="A720" s="3" t="s">
        <v>26</v>
      </c>
      <c r="B720" s="3" t="s">
        <v>27</v>
      </c>
      <c r="C720" s="3" t="s">
        <v>40</v>
      </c>
      <c r="D720" s="3" t="s">
        <v>61</v>
      </c>
      <c r="E720" s="3" t="s">
        <v>1047</v>
      </c>
      <c r="F720" s="3" t="s">
        <v>63</v>
      </c>
      <c r="G720" s="3" t="s">
        <v>1047</v>
      </c>
      <c r="H720" s="3" t="s">
        <v>64</v>
      </c>
      <c r="I720" s="3">
        <v>2024</v>
      </c>
      <c r="J720" s="3" t="str">
        <f>CONCATENATE("44811120367")</f>
        <v>44811120367</v>
      </c>
      <c r="K720" s="3" t="s">
        <v>33</v>
      </c>
      <c r="L720" s="3" t="str">
        <f t="shared" si="45"/>
        <v/>
      </c>
      <c r="M720" s="3" t="str">
        <f t="shared" si="44"/>
        <v>SRA29</v>
      </c>
      <c r="N720" s="3" t="str">
        <f>CONCATENATE("SPRDVD62P12C773G")</f>
        <v>SPRDVD62P12C773G</v>
      </c>
      <c r="O720" s="3" t="s">
        <v>1173</v>
      </c>
      <c r="P720" s="3" t="s">
        <v>35</v>
      </c>
      <c r="Q720" s="3" t="s">
        <v>923</v>
      </c>
      <c r="R720" s="4">
        <v>45933</v>
      </c>
      <c r="S720" s="3" t="s">
        <v>37</v>
      </c>
      <c r="T720" s="3" t="s">
        <v>38</v>
      </c>
      <c r="U720" s="3" t="s">
        <v>39</v>
      </c>
      <c r="V720" s="5">
        <v>1820.23</v>
      </c>
      <c r="W720" s="3">
        <v>740.83</v>
      </c>
      <c r="X720" s="3">
        <v>755.58</v>
      </c>
      <c r="Y720" s="3">
        <v>323.82</v>
      </c>
    </row>
    <row r="721" spans="1:25" ht="41.5" hidden="1" x14ac:dyDescent="0.35">
      <c r="A721" s="3" t="s">
        <v>26</v>
      </c>
      <c r="B721" s="3" t="s">
        <v>27</v>
      </c>
      <c r="C721" s="3" t="s">
        <v>40</v>
      </c>
      <c r="D721" s="3" t="s">
        <v>41</v>
      </c>
      <c r="E721" s="3" t="s">
        <v>1160</v>
      </c>
      <c r="F721" s="3" t="s">
        <v>43</v>
      </c>
      <c r="G721" s="3" t="s">
        <v>1160</v>
      </c>
      <c r="H721" s="3" t="s">
        <v>64</v>
      </c>
      <c r="I721" s="3">
        <v>2024</v>
      </c>
      <c r="J721" s="3" t="str">
        <f>CONCATENATE("44810563765")</f>
        <v>44810563765</v>
      </c>
      <c r="K721" s="3" t="s">
        <v>33</v>
      </c>
      <c r="L721" s="3" t="str">
        <f t="shared" si="45"/>
        <v/>
      </c>
      <c r="M721" s="3" t="str">
        <f t="shared" si="44"/>
        <v>SRA29</v>
      </c>
      <c r="N721" s="3" t="str">
        <f>CONCATENATE("TTTPTR91T22H534M")</f>
        <v>TTTPTR91T22H534M</v>
      </c>
      <c r="O721" s="3" t="s">
        <v>1174</v>
      </c>
      <c r="P721" s="3" t="s">
        <v>35</v>
      </c>
      <c r="Q721" s="3" t="s">
        <v>923</v>
      </c>
      <c r="R721" s="4">
        <v>45933</v>
      </c>
      <c r="S721" s="3" t="s">
        <v>37</v>
      </c>
      <c r="T721" s="3" t="s">
        <v>38</v>
      </c>
      <c r="U721" s="3" t="s">
        <v>39</v>
      </c>
      <c r="V721" s="3">
        <v>536.5</v>
      </c>
      <c r="W721" s="3">
        <v>218.36</v>
      </c>
      <c r="X721" s="3">
        <v>222.7</v>
      </c>
      <c r="Y721" s="3">
        <v>95.44</v>
      </c>
    </row>
    <row r="722" spans="1:25" ht="41.5" hidden="1" x14ac:dyDescent="0.35">
      <c r="A722" s="3" t="s">
        <v>26</v>
      </c>
      <c r="B722" s="3" t="s">
        <v>27</v>
      </c>
      <c r="C722" s="3" t="s">
        <v>40</v>
      </c>
      <c r="D722" s="3" t="s">
        <v>29</v>
      </c>
      <c r="E722" s="3" t="s">
        <v>727</v>
      </c>
      <c r="F722" s="3" t="s">
        <v>31</v>
      </c>
      <c r="G722" s="3" t="s">
        <v>727</v>
      </c>
      <c r="H722" s="3" t="s">
        <v>64</v>
      </c>
      <c r="I722" s="3">
        <v>2024</v>
      </c>
      <c r="J722" s="3" t="str">
        <f>CONCATENATE("44810480879")</f>
        <v>44810480879</v>
      </c>
      <c r="K722" s="3" t="s">
        <v>33</v>
      </c>
      <c r="L722" s="3" t="str">
        <f t="shared" si="45"/>
        <v/>
      </c>
      <c r="M722" s="3" t="str">
        <f t="shared" si="44"/>
        <v>SRA29</v>
      </c>
      <c r="N722" s="3" t="str">
        <f>CONCATENATE("VRAGRG94T30H501H")</f>
        <v>VRAGRG94T30H501H</v>
      </c>
      <c r="O722" s="3" t="s">
        <v>1175</v>
      </c>
      <c r="P722" s="3" t="s">
        <v>35</v>
      </c>
      <c r="Q722" s="3" t="s">
        <v>923</v>
      </c>
      <c r="R722" s="4">
        <v>45933</v>
      </c>
      <c r="S722" s="3" t="s">
        <v>37</v>
      </c>
      <c r="T722" s="3" t="s">
        <v>38</v>
      </c>
      <c r="U722" s="3" t="s">
        <v>39</v>
      </c>
      <c r="V722" s="3">
        <v>820.44</v>
      </c>
      <c r="W722" s="3">
        <v>333.92</v>
      </c>
      <c r="X722" s="3">
        <v>340.56</v>
      </c>
      <c r="Y722" s="3">
        <v>145.96</v>
      </c>
    </row>
    <row r="723" spans="1:25" ht="41.5" hidden="1" x14ac:dyDescent="0.35">
      <c r="A723" s="3" t="s">
        <v>26</v>
      </c>
      <c r="B723" s="3" t="s">
        <v>27</v>
      </c>
      <c r="C723" s="3" t="s">
        <v>40</v>
      </c>
      <c r="D723" s="3" t="s">
        <v>41</v>
      </c>
      <c r="E723" s="3" t="s">
        <v>1057</v>
      </c>
      <c r="F723" s="3" t="s">
        <v>43</v>
      </c>
      <c r="G723" s="3" t="s">
        <v>1057</v>
      </c>
      <c r="H723" s="3" t="s">
        <v>64</v>
      </c>
      <c r="I723" s="3">
        <v>2024</v>
      </c>
      <c r="J723" s="3" t="str">
        <f>CONCATENATE("44810777993")</f>
        <v>44810777993</v>
      </c>
      <c r="K723" s="3" t="s">
        <v>33</v>
      </c>
      <c r="L723" s="3" t="str">
        <f t="shared" si="45"/>
        <v/>
      </c>
      <c r="M723" s="3" t="str">
        <f t="shared" si="44"/>
        <v>SRA29</v>
      </c>
      <c r="N723" s="3" t="str">
        <f>CONCATENATE("VCCDNL58A70E958A")</f>
        <v>VCCDNL58A70E958A</v>
      </c>
      <c r="O723" s="3" t="s">
        <v>1176</v>
      </c>
      <c r="P723" s="3" t="s">
        <v>35</v>
      </c>
      <c r="Q723" s="3" t="s">
        <v>923</v>
      </c>
      <c r="R723" s="4">
        <v>45933</v>
      </c>
      <c r="S723" s="3" t="s">
        <v>37</v>
      </c>
      <c r="T723" s="3" t="s">
        <v>38</v>
      </c>
      <c r="U723" s="3" t="s">
        <v>39</v>
      </c>
      <c r="V723" s="3">
        <v>34.04</v>
      </c>
      <c r="W723" s="3">
        <v>13.85</v>
      </c>
      <c r="X723" s="3">
        <v>14.13</v>
      </c>
      <c r="Y723" s="3">
        <v>6.06</v>
      </c>
    </row>
    <row r="724" spans="1:25" ht="41.5" hidden="1" x14ac:dyDescent="0.35">
      <c r="A724" s="3" t="s">
        <v>26</v>
      </c>
      <c r="B724" s="3" t="s">
        <v>27</v>
      </c>
      <c r="C724" s="3" t="s">
        <v>40</v>
      </c>
      <c r="D724" s="3" t="s">
        <v>41</v>
      </c>
      <c r="E724" s="3" t="s">
        <v>953</v>
      </c>
      <c r="F724" s="3" t="s">
        <v>43</v>
      </c>
      <c r="G724" s="3" t="s">
        <v>953</v>
      </c>
      <c r="H724" s="3" t="s">
        <v>64</v>
      </c>
      <c r="I724" s="3">
        <v>2024</v>
      </c>
      <c r="J724" s="3" t="str">
        <f>CONCATENATE("44810216737")</f>
        <v>44810216737</v>
      </c>
      <c r="K724" s="3" t="s">
        <v>33</v>
      </c>
      <c r="L724" s="3" t="str">
        <f t="shared" si="45"/>
        <v/>
      </c>
      <c r="M724" s="3" t="str">
        <f t="shared" si="44"/>
        <v>SRA29</v>
      </c>
      <c r="N724" s="3" t="str">
        <f>CONCATENATE("VRNLSN83C55H501S")</f>
        <v>VRNLSN83C55H501S</v>
      </c>
      <c r="O724" s="3" t="s">
        <v>1177</v>
      </c>
      <c r="P724" s="3" t="s">
        <v>35</v>
      </c>
      <c r="Q724" s="3" t="s">
        <v>923</v>
      </c>
      <c r="R724" s="4">
        <v>45933</v>
      </c>
      <c r="S724" s="3" t="s">
        <v>37</v>
      </c>
      <c r="T724" s="3" t="s">
        <v>38</v>
      </c>
      <c r="U724" s="3" t="s">
        <v>39</v>
      </c>
      <c r="V724" s="3">
        <v>6.31</v>
      </c>
      <c r="W724" s="3">
        <v>2.57</v>
      </c>
      <c r="X724" s="3">
        <v>2.62</v>
      </c>
      <c r="Y724" s="3">
        <v>1.1200000000000001</v>
      </c>
    </row>
    <row r="725" spans="1:25" ht="25.5" hidden="1" x14ac:dyDescent="0.35">
      <c r="A725" s="3" t="s">
        <v>26</v>
      </c>
      <c r="B725" s="3" t="s">
        <v>27</v>
      </c>
      <c r="C725" s="3" t="s">
        <v>90</v>
      </c>
      <c r="D725" s="3" t="s">
        <v>107</v>
      </c>
      <c r="E725" s="3" t="s">
        <v>242</v>
      </c>
      <c r="F725" s="3" t="s">
        <v>115</v>
      </c>
      <c r="G725" s="3" t="s">
        <v>242</v>
      </c>
      <c r="H725" s="3" t="s">
        <v>1060</v>
      </c>
      <c r="I725" s="3">
        <v>2024</v>
      </c>
      <c r="J725" s="3" t="str">
        <f>CONCATENATE("44820394680")</f>
        <v>44820394680</v>
      </c>
      <c r="K725" s="3" t="s">
        <v>33</v>
      </c>
      <c r="L725" s="3" t="str">
        <f t="shared" si="45"/>
        <v/>
      </c>
      <c r="M725" s="3" t="str">
        <f t="shared" ref="M725:M736" si="46">CONCATENATE("SRB01")</f>
        <v>SRB01</v>
      </c>
      <c r="N725" s="3" t="str">
        <f>CONCATENATE("04670790874")</f>
        <v>04670790874</v>
      </c>
      <c r="O725" s="3" t="s">
        <v>1178</v>
      </c>
      <c r="P725" s="3" t="s">
        <v>35</v>
      </c>
      <c r="Q725" s="3" t="s">
        <v>1062</v>
      </c>
      <c r="R725" s="4">
        <v>45931</v>
      </c>
      <c r="S725" s="3" t="s">
        <v>37</v>
      </c>
      <c r="T725" s="3" t="s">
        <v>38</v>
      </c>
      <c r="U725" s="3" t="s">
        <v>39</v>
      </c>
      <c r="V725" s="5">
        <v>17359.919999999998</v>
      </c>
      <c r="W725" s="5">
        <v>8766.76</v>
      </c>
      <c r="X725" s="5">
        <v>6015.21</v>
      </c>
      <c r="Y725" s="5">
        <v>2577.9499999999998</v>
      </c>
    </row>
    <row r="726" spans="1:25" ht="41.5" hidden="1" x14ac:dyDescent="0.35">
      <c r="A726" s="3" t="s">
        <v>26</v>
      </c>
      <c r="B726" s="3" t="s">
        <v>27</v>
      </c>
      <c r="C726" s="3" t="s">
        <v>90</v>
      </c>
      <c r="D726" s="3" t="s">
        <v>61</v>
      </c>
      <c r="E726" s="3" t="s">
        <v>272</v>
      </c>
      <c r="F726" s="3" t="s">
        <v>63</v>
      </c>
      <c r="G726" s="3" t="s">
        <v>272</v>
      </c>
      <c r="H726" s="3" t="s">
        <v>96</v>
      </c>
      <c r="I726" s="3">
        <v>2024</v>
      </c>
      <c r="J726" s="3" t="str">
        <f>CONCATENATE("44820505046")</f>
        <v>44820505046</v>
      </c>
      <c r="K726" s="3" t="s">
        <v>33</v>
      </c>
      <c r="L726" s="3" t="str">
        <f t="shared" si="45"/>
        <v/>
      </c>
      <c r="M726" s="3" t="str">
        <f t="shared" si="46"/>
        <v>SRB01</v>
      </c>
      <c r="N726" s="3" t="str">
        <f>CONCATENATE("CSSGTN56H20I028H")</f>
        <v>CSSGTN56H20I028H</v>
      </c>
      <c r="O726" s="3" t="s">
        <v>1179</v>
      </c>
      <c r="P726" s="3" t="s">
        <v>35</v>
      </c>
      <c r="Q726" s="3" t="s">
        <v>1076</v>
      </c>
      <c r="R726" s="4">
        <v>45931</v>
      </c>
      <c r="S726" s="3" t="s">
        <v>37</v>
      </c>
      <c r="T726" s="3" t="s">
        <v>38</v>
      </c>
      <c r="U726" s="3" t="s">
        <v>39</v>
      </c>
      <c r="V726" s="5">
        <v>4046.42</v>
      </c>
      <c r="W726" s="5">
        <v>2043.44</v>
      </c>
      <c r="X726" s="5">
        <v>1402.08</v>
      </c>
      <c r="Y726" s="3">
        <v>600.9</v>
      </c>
    </row>
    <row r="727" spans="1:25" ht="41.5" hidden="1" x14ac:dyDescent="0.35">
      <c r="A727" s="3" t="s">
        <v>26</v>
      </c>
      <c r="B727" s="3" t="s">
        <v>27</v>
      </c>
      <c r="C727" s="3" t="s">
        <v>90</v>
      </c>
      <c r="D727" s="3" t="s">
        <v>61</v>
      </c>
      <c r="E727" s="3" t="s">
        <v>1067</v>
      </c>
      <c r="F727" s="3" t="s">
        <v>63</v>
      </c>
      <c r="G727" s="3" t="s">
        <v>1067</v>
      </c>
      <c r="H727" s="3" t="s">
        <v>1060</v>
      </c>
      <c r="I727" s="3">
        <v>2024</v>
      </c>
      <c r="J727" s="3" t="str">
        <f>CONCATENATE("44820148243")</f>
        <v>44820148243</v>
      </c>
      <c r="K727" s="3" t="s">
        <v>33</v>
      </c>
      <c r="L727" s="3" t="str">
        <f t="shared" si="45"/>
        <v/>
      </c>
      <c r="M727" s="3" t="str">
        <f t="shared" si="46"/>
        <v>SRB01</v>
      </c>
      <c r="N727" s="3" t="str">
        <f>CONCATENATE("CSTNZT56P45B202M")</f>
        <v>CSTNZT56P45B202M</v>
      </c>
      <c r="O727" s="3" t="s">
        <v>1180</v>
      </c>
      <c r="P727" s="3" t="s">
        <v>35</v>
      </c>
      <c r="Q727" s="3" t="s">
        <v>1062</v>
      </c>
      <c r="R727" s="4">
        <v>45931</v>
      </c>
      <c r="S727" s="3" t="s">
        <v>37</v>
      </c>
      <c r="T727" s="3" t="s">
        <v>38</v>
      </c>
      <c r="U727" s="3" t="s">
        <v>39</v>
      </c>
      <c r="V727" s="3">
        <v>969.98</v>
      </c>
      <c r="W727" s="3">
        <v>489.84</v>
      </c>
      <c r="X727" s="3">
        <v>336.1</v>
      </c>
      <c r="Y727" s="3">
        <v>144.04</v>
      </c>
    </row>
    <row r="728" spans="1:25" ht="41.5" hidden="1" x14ac:dyDescent="0.35">
      <c r="A728" s="3" t="s">
        <v>26</v>
      </c>
      <c r="B728" s="3" t="s">
        <v>27</v>
      </c>
      <c r="C728" s="3" t="s">
        <v>90</v>
      </c>
      <c r="D728" s="3" t="s">
        <v>61</v>
      </c>
      <c r="E728" s="3" t="s">
        <v>1181</v>
      </c>
      <c r="F728" s="3" t="s">
        <v>63</v>
      </c>
      <c r="G728" s="3" t="s">
        <v>1181</v>
      </c>
      <c r="H728" s="3" t="s">
        <v>1060</v>
      </c>
      <c r="I728" s="3">
        <v>2024</v>
      </c>
      <c r="J728" s="3" t="str">
        <f>CONCATENATE("44820471389")</f>
        <v>44820471389</v>
      </c>
      <c r="K728" s="3" t="s">
        <v>33</v>
      </c>
      <c r="L728" s="3" t="str">
        <f t="shared" si="45"/>
        <v/>
      </c>
      <c r="M728" s="3" t="str">
        <f t="shared" si="46"/>
        <v>SRB01</v>
      </c>
      <c r="N728" s="3" t="str">
        <f>CONCATENATE("MNTVCN85P27B202L")</f>
        <v>MNTVCN85P27B202L</v>
      </c>
      <c r="O728" s="3" t="s">
        <v>1182</v>
      </c>
      <c r="P728" s="3" t="s">
        <v>35</v>
      </c>
      <c r="Q728" s="3" t="s">
        <v>1062</v>
      </c>
      <c r="R728" s="4">
        <v>45931</v>
      </c>
      <c r="S728" s="3" t="s">
        <v>37</v>
      </c>
      <c r="T728" s="3" t="s">
        <v>38</v>
      </c>
      <c r="U728" s="3" t="s">
        <v>39</v>
      </c>
      <c r="V728" s="5">
        <v>9330.48</v>
      </c>
      <c r="W728" s="5">
        <v>4711.8900000000003</v>
      </c>
      <c r="X728" s="5">
        <v>3233.01</v>
      </c>
      <c r="Y728" s="5">
        <v>1385.58</v>
      </c>
    </row>
    <row r="729" spans="1:25" ht="41.5" hidden="1" x14ac:dyDescent="0.35">
      <c r="A729" s="3" t="s">
        <v>26</v>
      </c>
      <c r="B729" s="3" t="s">
        <v>27</v>
      </c>
      <c r="C729" s="3" t="s">
        <v>90</v>
      </c>
      <c r="D729" s="3" t="s">
        <v>164</v>
      </c>
      <c r="E729" s="3" t="s">
        <v>1183</v>
      </c>
      <c r="F729" s="3" t="s">
        <v>166</v>
      </c>
      <c r="G729" s="3" t="s">
        <v>1183</v>
      </c>
      <c r="H729" s="3" t="s">
        <v>1060</v>
      </c>
      <c r="I729" s="3">
        <v>2024</v>
      </c>
      <c r="J729" s="3" t="str">
        <f>CONCATENATE("44820389615")</f>
        <v>44820389615</v>
      </c>
      <c r="K729" s="3" t="s">
        <v>33</v>
      </c>
      <c r="L729" s="3" t="str">
        <f t="shared" si="45"/>
        <v/>
      </c>
      <c r="M729" s="3" t="str">
        <f t="shared" si="46"/>
        <v>SRB01</v>
      </c>
      <c r="N729" s="3" t="str">
        <f>CONCATENATE("STTPRZ73M51B202R")</f>
        <v>STTPRZ73M51B202R</v>
      </c>
      <c r="O729" s="3" t="s">
        <v>1184</v>
      </c>
      <c r="P729" s="3" t="s">
        <v>35</v>
      </c>
      <c r="Q729" s="3" t="s">
        <v>1062</v>
      </c>
      <c r="R729" s="4">
        <v>45931</v>
      </c>
      <c r="S729" s="3" t="s">
        <v>37</v>
      </c>
      <c r="T729" s="3" t="s">
        <v>38</v>
      </c>
      <c r="U729" s="3" t="s">
        <v>39</v>
      </c>
      <c r="V729" s="5">
        <v>2371.1</v>
      </c>
      <c r="W729" s="5">
        <v>1197.4100000000001</v>
      </c>
      <c r="X729" s="3">
        <v>821.59</v>
      </c>
      <c r="Y729" s="3">
        <v>352.1</v>
      </c>
    </row>
    <row r="730" spans="1:25" ht="25.5" hidden="1" x14ac:dyDescent="0.35">
      <c r="A730" s="3" t="s">
        <v>26</v>
      </c>
      <c r="B730" s="3" t="s">
        <v>27</v>
      </c>
      <c r="C730" s="3" t="s">
        <v>90</v>
      </c>
      <c r="D730" s="3" t="s">
        <v>164</v>
      </c>
      <c r="E730" s="3" t="s">
        <v>429</v>
      </c>
      <c r="F730" s="3" t="s">
        <v>166</v>
      </c>
      <c r="G730" s="3" t="s">
        <v>429</v>
      </c>
      <c r="H730" s="3" t="s">
        <v>1060</v>
      </c>
      <c r="I730" s="3">
        <v>2024</v>
      </c>
      <c r="J730" s="3" t="str">
        <f>CONCATENATE("44820404893")</f>
        <v>44820404893</v>
      </c>
      <c r="K730" s="3" t="s">
        <v>33</v>
      </c>
      <c r="L730" s="3" t="str">
        <f t="shared" si="45"/>
        <v/>
      </c>
      <c r="M730" s="3" t="str">
        <f t="shared" si="46"/>
        <v>SRB01</v>
      </c>
      <c r="N730" s="3" t="str">
        <f>CONCATENATE("03311400836")</f>
        <v>03311400836</v>
      </c>
      <c r="O730" s="3" t="s">
        <v>1185</v>
      </c>
      <c r="P730" s="3" t="s">
        <v>35</v>
      </c>
      <c r="Q730" s="3" t="s">
        <v>1062</v>
      </c>
      <c r="R730" s="4">
        <v>45931</v>
      </c>
      <c r="S730" s="3" t="s">
        <v>37</v>
      </c>
      <c r="T730" s="3" t="s">
        <v>38</v>
      </c>
      <c r="U730" s="3" t="s">
        <v>39</v>
      </c>
      <c r="V730" s="5">
        <v>8277.2999999999993</v>
      </c>
      <c r="W730" s="5">
        <v>4180.04</v>
      </c>
      <c r="X730" s="5">
        <v>2868.08</v>
      </c>
      <c r="Y730" s="5">
        <v>1229.18</v>
      </c>
    </row>
    <row r="731" spans="1:25" ht="41.5" hidden="1" x14ac:dyDescent="0.35">
      <c r="A731" s="3" t="s">
        <v>26</v>
      </c>
      <c r="B731" s="3" t="s">
        <v>27</v>
      </c>
      <c r="C731" s="3" t="s">
        <v>90</v>
      </c>
      <c r="D731" s="3" t="s">
        <v>61</v>
      </c>
      <c r="E731" s="3" t="s">
        <v>272</v>
      </c>
      <c r="F731" s="3" t="s">
        <v>63</v>
      </c>
      <c r="G731" s="3" t="s">
        <v>272</v>
      </c>
      <c r="H731" s="3" t="s">
        <v>96</v>
      </c>
      <c r="I731" s="3">
        <v>2024</v>
      </c>
      <c r="J731" s="3" t="str">
        <f>CONCATENATE("44820512133")</f>
        <v>44820512133</v>
      </c>
      <c r="K731" s="3" t="s">
        <v>33</v>
      </c>
      <c r="L731" s="3" t="str">
        <f t="shared" si="45"/>
        <v/>
      </c>
      <c r="M731" s="3" t="str">
        <f t="shared" si="46"/>
        <v>SRB01</v>
      </c>
      <c r="N731" s="3" t="str">
        <f>CONCATENATE("DNIRMR65P52I028Y")</f>
        <v>DNIRMR65P52I028Y</v>
      </c>
      <c r="O731" s="3" t="s">
        <v>1186</v>
      </c>
      <c r="P731" s="3" t="s">
        <v>35</v>
      </c>
      <c r="Q731" s="3" t="s">
        <v>1076</v>
      </c>
      <c r="R731" s="4">
        <v>45931</v>
      </c>
      <c r="S731" s="3" t="s">
        <v>37</v>
      </c>
      <c r="T731" s="3" t="s">
        <v>38</v>
      </c>
      <c r="U731" s="3" t="s">
        <v>39</v>
      </c>
      <c r="V731" s="5">
        <v>6560.83</v>
      </c>
      <c r="W731" s="5">
        <v>3313.22</v>
      </c>
      <c r="X731" s="5">
        <v>2273.33</v>
      </c>
      <c r="Y731" s="3">
        <v>974.28</v>
      </c>
    </row>
    <row r="732" spans="1:25" ht="41.5" hidden="1" x14ac:dyDescent="0.35">
      <c r="A732" s="3" t="s">
        <v>26</v>
      </c>
      <c r="B732" s="3" t="s">
        <v>27</v>
      </c>
      <c r="C732" s="3" t="s">
        <v>90</v>
      </c>
      <c r="D732" s="3" t="s">
        <v>234</v>
      </c>
      <c r="E732" s="3" t="s">
        <v>1005</v>
      </c>
      <c r="F732" s="3" t="s">
        <v>119</v>
      </c>
      <c r="G732" s="3" t="s">
        <v>1005</v>
      </c>
      <c r="H732" s="3" t="s">
        <v>96</v>
      </c>
      <c r="I732" s="3">
        <v>2024</v>
      </c>
      <c r="J732" s="3" t="str">
        <f>CONCATENATE("44820583035")</f>
        <v>44820583035</v>
      </c>
      <c r="K732" s="3" t="s">
        <v>33</v>
      </c>
      <c r="L732" s="3" t="str">
        <f t="shared" si="45"/>
        <v/>
      </c>
      <c r="M732" s="3" t="str">
        <f t="shared" si="46"/>
        <v>SRB01</v>
      </c>
      <c r="N732" s="3" t="str">
        <f>CONCATENATE("GLRRSR59C25D907H")</f>
        <v>GLRRSR59C25D907H</v>
      </c>
      <c r="O732" s="3" t="s">
        <v>1187</v>
      </c>
      <c r="P732" s="3" t="s">
        <v>35</v>
      </c>
      <c r="Q732" s="3" t="s">
        <v>1076</v>
      </c>
      <c r="R732" s="4">
        <v>45931</v>
      </c>
      <c r="S732" s="3" t="s">
        <v>37</v>
      </c>
      <c r="T732" s="3" t="s">
        <v>38</v>
      </c>
      <c r="U732" s="3" t="s">
        <v>39</v>
      </c>
      <c r="V732" s="5">
        <v>11363.65</v>
      </c>
      <c r="W732" s="5">
        <v>5738.64</v>
      </c>
      <c r="X732" s="5">
        <v>3937.5</v>
      </c>
      <c r="Y732" s="5">
        <v>1687.51</v>
      </c>
    </row>
    <row r="733" spans="1:25" ht="41.5" hidden="1" x14ac:dyDescent="0.35">
      <c r="A733" s="3" t="s">
        <v>26</v>
      </c>
      <c r="B733" s="3" t="s">
        <v>27</v>
      </c>
      <c r="C733" s="3" t="s">
        <v>90</v>
      </c>
      <c r="D733" s="3" t="s">
        <v>29</v>
      </c>
      <c r="E733" s="3" t="s">
        <v>292</v>
      </c>
      <c r="F733" s="3" t="s">
        <v>31</v>
      </c>
      <c r="G733" s="3" t="s">
        <v>292</v>
      </c>
      <c r="H733" s="3" t="s">
        <v>96</v>
      </c>
      <c r="I733" s="3">
        <v>2024</v>
      </c>
      <c r="J733" s="3" t="str">
        <f>CONCATENATE("44820493045")</f>
        <v>44820493045</v>
      </c>
      <c r="K733" s="3" t="s">
        <v>33</v>
      </c>
      <c r="L733" s="3" t="str">
        <f t="shared" si="45"/>
        <v/>
      </c>
      <c r="M733" s="3" t="str">
        <f t="shared" si="46"/>
        <v>SRB01</v>
      </c>
      <c r="N733" s="3" t="str">
        <f>CONCATENATE("LMNRSR56P50L603N")</f>
        <v>LMNRSR56P50L603N</v>
      </c>
      <c r="O733" s="3" t="s">
        <v>1188</v>
      </c>
      <c r="P733" s="3" t="s">
        <v>35</v>
      </c>
      <c r="Q733" s="3" t="s">
        <v>1076</v>
      </c>
      <c r="R733" s="4">
        <v>45931</v>
      </c>
      <c r="S733" s="3" t="s">
        <v>37</v>
      </c>
      <c r="T733" s="3" t="s">
        <v>38</v>
      </c>
      <c r="U733" s="3" t="s">
        <v>39</v>
      </c>
      <c r="V733" s="5">
        <v>6379.71</v>
      </c>
      <c r="W733" s="5">
        <v>3221.75</v>
      </c>
      <c r="X733" s="5">
        <v>2210.5700000000002</v>
      </c>
      <c r="Y733" s="3">
        <v>947.39</v>
      </c>
    </row>
    <row r="734" spans="1:25" ht="41.5" hidden="1" x14ac:dyDescent="0.35">
      <c r="A734" s="3" t="s">
        <v>26</v>
      </c>
      <c r="B734" s="3" t="s">
        <v>27</v>
      </c>
      <c r="C734" s="3" t="s">
        <v>90</v>
      </c>
      <c r="D734" s="3" t="s">
        <v>41</v>
      </c>
      <c r="E734" s="3" t="s">
        <v>264</v>
      </c>
      <c r="F734" s="3" t="s">
        <v>43</v>
      </c>
      <c r="G734" s="3" t="s">
        <v>264</v>
      </c>
      <c r="H734" s="3" t="s">
        <v>96</v>
      </c>
      <c r="I734" s="3">
        <v>2024</v>
      </c>
      <c r="J734" s="3" t="str">
        <f>CONCATENATE("44820173811")</f>
        <v>44820173811</v>
      </c>
      <c r="K734" s="3" t="s">
        <v>33</v>
      </c>
      <c r="L734" s="3" t="str">
        <f t="shared" si="45"/>
        <v/>
      </c>
      <c r="M734" s="3" t="str">
        <f t="shared" si="46"/>
        <v>SRB01</v>
      </c>
      <c r="N734" s="3" t="str">
        <f>CONCATENATE("PSCNNZ54R70D977J")</f>
        <v>PSCNNZ54R70D977J</v>
      </c>
      <c r="O734" s="3" t="s">
        <v>1189</v>
      </c>
      <c r="P734" s="3" t="s">
        <v>35</v>
      </c>
      <c r="Q734" s="3" t="s">
        <v>1076</v>
      </c>
      <c r="R734" s="4">
        <v>45931</v>
      </c>
      <c r="S734" s="3" t="s">
        <v>37</v>
      </c>
      <c r="T734" s="3" t="s">
        <v>38</v>
      </c>
      <c r="U734" s="3" t="s">
        <v>39</v>
      </c>
      <c r="V734" s="5">
        <v>5821.52</v>
      </c>
      <c r="W734" s="5">
        <v>2939.87</v>
      </c>
      <c r="X734" s="5">
        <v>2017.16</v>
      </c>
      <c r="Y734" s="3">
        <v>864.49</v>
      </c>
    </row>
    <row r="735" spans="1:25" ht="41.5" hidden="1" x14ac:dyDescent="0.35">
      <c r="A735" s="3" t="s">
        <v>26</v>
      </c>
      <c r="B735" s="3" t="s">
        <v>27</v>
      </c>
      <c r="C735" s="3" t="s">
        <v>90</v>
      </c>
      <c r="D735" s="3" t="s">
        <v>61</v>
      </c>
      <c r="E735" s="3" t="s">
        <v>272</v>
      </c>
      <c r="F735" s="3" t="s">
        <v>63</v>
      </c>
      <c r="G735" s="3" t="s">
        <v>272</v>
      </c>
      <c r="H735" s="3" t="s">
        <v>96</v>
      </c>
      <c r="I735" s="3">
        <v>2024</v>
      </c>
      <c r="J735" s="3" t="str">
        <f>CONCATENATE("44820517801")</f>
        <v>44820517801</v>
      </c>
      <c r="K735" s="3" t="s">
        <v>33</v>
      </c>
      <c r="L735" s="3" t="str">
        <f t="shared" si="45"/>
        <v/>
      </c>
      <c r="M735" s="3" t="str">
        <f t="shared" si="46"/>
        <v>SRB01</v>
      </c>
      <c r="N735" s="3" t="str">
        <f>CONCATENATE("SLMCCT65B47I028I")</f>
        <v>SLMCCT65B47I028I</v>
      </c>
      <c r="O735" s="3" t="s">
        <v>1190</v>
      </c>
      <c r="P735" s="3" t="s">
        <v>35</v>
      </c>
      <c r="Q735" s="3" t="s">
        <v>1076</v>
      </c>
      <c r="R735" s="4">
        <v>45931</v>
      </c>
      <c r="S735" s="3" t="s">
        <v>37</v>
      </c>
      <c r="T735" s="3" t="s">
        <v>38</v>
      </c>
      <c r="U735" s="3" t="s">
        <v>39</v>
      </c>
      <c r="V735" s="5">
        <v>1864.51</v>
      </c>
      <c r="W735" s="3">
        <v>941.58</v>
      </c>
      <c r="X735" s="3">
        <v>646.04999999999995</v>
      </c>
      <c r="Y735" s="3">
        <v>276.88</v>
      </c>
    </row>
    <row r="736" spans="1:25" ht="41.5" hidden="1" x14ac:dyDescent="0.35">
      <c r="A736" s="3" t="s">
        <v>26</v>
      </c>
      <c r="B736" s="3" t="s">
        <v>27</v>
      </c>
      <c r="C736" s="3" t="s">
        <v>90</v>
      </c>
      <c r="D736" s="3" t="s">
        <v>364</v>
      </c>
      <c r="E736" s="3" t="s">
        <v>1191</v>
      </c>
      <c r="F736" s="3" t="s">
        <v>51</v>
      </c>
      <c r="G736" s="3" t="s">
        <v>105</v>
      </c>
      <c r="H736" s="3" t="s">
        <v>96</v>
      </c>
      <c r="I736" s="3">
        <v>2024</v>
      </c>
      <c r="J736" s="3" t="str">
        <f>CONCATENATE("44820529111")</f>
        <v>44820529111</v>
      </c>
      <c r="K736" s="3" t="s">
        <v>33</v>
      </c>
      <c r="L736" s="3" t="str">
        <f t="shared" si="45"/>
        <v/>
      </c>
      <c r="M736" s="3" t="str">
        <f t="shared" si="46"/>
        <v>SRB01</v>
      </c>
      <c r="N736" s="3" t="str">
        <f>CONCATENATE("SLVGNN88E14G273N")</f>
        <v>SLVGNN88E14G273N</v>
      </c>
      <c r="O736" s="3" t="s">
        <v>1192</v>
      </c>
      <c r="P736" s="3" t="s">
        <v>35</v>
      </c>
      <c r="Q736" s="3" t="s">
        <v>1076</v>
      </c>
      <c r="R736" s="4">
        <v>45931</v>
      </c>
      <c r="S736" s="3" t="s">
        <v>37</v>
      </c>
      <c r="T736" s="3" t="s">
        <v>38</v>
      </c>
      <c r="U736" s="3" t="s">
        <v>39</v>
      </c>
      <c r="V736" s="3">
        <v>259.52999999999997</v>
      </c>
      <c r="W736" s="3">
        <v>131.06</v>
      </c>
      <c r="X736" s="3">
        <v>89.93</v>
      </c>
      <c r="Y736" s="3">
        <v>38.54</v>
      </c>
    </row>
    <row r="737" spans="1:25" ht="41.5" hidden="1" x14ac:dyDescent="0.35">
      <c r="A737" s="3" t="s">
        <v>26</v>
      </c>
      <c r="B737" s="3" t="s">
        <v>27</v>
      </c>
      <c r="C737" s="3" t="s">
        <v>478</v>
      </c>
      <c r="D737" s="3" t="s">
        <v>75</v>
      </c>
      <c r="E737" s="3" t="s">
        <v>582</v>
      </c>
      <c r="F737" s="3" t="s">
        <v>77</v>
      </c>
      <c r="G737" s="3" t="s">
        <v>582</v>
      </c>
      <c r="H737" s="3" t="s">
        <v>614</v>
      </c>
      <c r="I737" s="3">
        <v>2024</v>
      </c>
      <c r="J737" s="3" t="str">
        <f>CONCATENATE("44810254787")</f>
        <v>44810254787</v>
      </c>
      <c r="K737" s="3" t="s">
        <v>33</v>
      </c>
      <c r="L737" s="3" t="str">
        <f t="shared" si="45"/>
        <v/>
      </c>
      <c r="M737" s="3" t="str">
        <f t="shared" ref="M737:M747" si="47">CONCATENATE("SRA29")</f>
        <v>SRA29</v>
      </c>
      <c r="N737" s="3" t="str">
        <f>CONCATENATE("TRANTN91L19A783W")</f>
        <v>TRANTN91L19A783W</v>
      </c>
      <c r="O737" s="3" t="s">
        <v>1193</v>
      </c>
      <c r="P737" s="3" t="s">
        <v>35</v>
      </c>
      <c r="Q737" s="3" t="s">
        <v>1080</v>
      </c>
      <c r="R737" s="4">
        <v>45933</v>
      </c>
      <c r="S737" s="3" t="s">
        <v>37</v>
      </c>
      <c r="T737" s="3" t="s">
        <v>38</v>
      </c>
      <c r="U737" s="3" t="s">
        <v>39</v>
      </c>
      <c r="V737" s="5">
        <v>2853.21</v>
      </c>
      <c r="W737" s="5">
        <v>1440.87</v>
      </c>
      <c r="X737" s="3">
        <v>988.64</v>
      </c>
      <c r="Y737" s="3">
        <v>423.7</v>
      </c>
    </row>
    <row r="738" spans="1:25" ht="41.5" hidden="1" x14ac:dyDescent="0.35">
      <c r="A738" s="3" t="s">
        <v>26</v>
      </c>
      <c r="B738" s="3" t="s">
        <v>27</v>
      </c>
      <c r="C738" s="3" t="s">
        <v>478</v>
      </c>
      <c r="D738" s="3" t="s">
        <v>234</v>
      </c>
      <c r="E738" s="3" t="s">
        <v>120</v>
      </c>
      <c r="F738" s="3" t="s">
        <v>119</v>
      </c>
      <c r="G738" s="3" t="s">
        <v>120</v>
      </c>
      <c r="H738" s="3" t="s">
        <v>614</v>
      </c>
      <c r="I738" s="3">
        <v>2024</v>
      </c>
      <c r="J738" s="3" t="str">
        <f>CONCATENATE("44811923034")</f>
        <v>44811923034</v>
      </c>
      <c r="K738" s="3" t="s">
        <v>33</v>
      </c>
      <c r="L738" s="3" t="str">
        <f t="shared" si="45"/>
        <v/>
      </c>
      <c r="M738" s="3" t="str">
        <f t="shared" si="47"/>
        <v>SRA29</v>
      </c>
      <c r="N738" s="3" t="str">
        <f>CONCATENATE("BLLNGL69S06L086K")</f>
        <v>BLLNGL69S06L086K</v>
      </c>
      <c r="O738" s="3" t="s">
        <v>1194</v>
      </c>
      <c r="P738" s="3" t="s">
        <v>35</v>
      </c>
      <c r="Q738" s="3" t="s">
        <v>1080</v>
      </c>
      <c r="R738" s="4">
        <v>45933</v>
      </c>
      <c r="S738" s="3" t="s">
        <v>37</v>
      </c>
      <c r="T738" s="3" t="s">
        <v>38</v>
      </c>
      <c r="U738" s="3" t="s">
        <v>39</v>
      </c>
      <c r="V738" s="5">
        <v>18234.3</v>
      </c>
      <c r="W738" s="5">
        <v>9208.32</v>
      </c>
      <c r="X738" s="5">
        <v>6318.18</v>
      </c>
      <c r="Y738" s="5">
        <v>2707.8</v>
      </c>
    </row>
    <row r="739" spans="1:25" ht="41.5" hidden="1" x14ac:dyDescent="0.35">
      <c r="A739" s="3" t="s">
        <v>26</v>
      </c>
      <c r="B739" s="3" t="s">
        <v>27</v>
      </c>
      <c r="C739" s="3" t="s">
        <v>478</v>
      </c>
      <c r="D739" s="3" t="s">
        <v>75</v>
      </c>
      <c r="E739" s="3" t="s">
        <v>582</v>
      </c>
      <c r="F739" s="3" t="s">
        <v>77</v>
      </c>
      <c r="G739" s="3" t="s">
        <v>582</v>
      </c>
      <c r="H739" s="3" t="s">
        <v>614</v>
      </c>
      <c r="I739" s="3">
        <v>2024</v>
      </c>
      <c r="J739" s="3" t="str">
        <f>CONCATENATE("44811007903")</f>
        <v>44811007903</v>
      </c>
      <c r="K739" s="3" t="s">
        <v>33</v>
      </c>
      <c r="L739" s="3" t="str">
        <f t="shared" si="45"/>
        <v/>
      </c>
      <c r="M739" s="3" t="str">
        <f t="shared" si="47"/>
        <v>SRA29</v>
      </c>
      <c r="N739" s="3" t="str">
        <f>CONCATENATE("BNDLSE59H63I262T")</f>
        <v>BNDLSE59H63I262T</v>
      </c>
      <c r="O739" s="3" t="s">
        <v>1195</v>
      </c>
      <c r="P739" s="3" t="s">
        <v>35</v>
      </c>
      <c r="Q739" s="3" t="s">
        <v>1080</v>
      </c>
      <c r="R739" s="4">
        <v>45933</v>
      </c>
      <c r="S739" s="3" t="s">
        <v>37</v>
      </c>
      <c r="T739" s="3" t="s">
        <v>38</v>
      </c>
      <c r="U739" s="3" t="s">
        <v>39</v>
      </c>
      <c r="V739" s="5">
        <v>1634.17</v>
      </c>
      <c r="W739" s="3">
        <v>825.26</v>
      </c>
      <c r="X739" s="3">
        <v>566.24</v>
      </c>
      <c r="Y739" s="3">
        <v>242.67</v>
      </c>
    </row>
    <row r="740" spans="1:25" ht="41.5" hidden="1" x14ac:dyDescent="0.35">
      <c r="A740" s="3" t="s">
        <v>26</v>
      </c>
      <c r="B740" s="3" t="s">
        <v>27</v>
      </c>
      <c r="C740" s="3" t="s">
        <v>478</v>
      </c>
      <c r="D740" s="3" t="s">
        <v>234</v>
      </c>
      <c r="E740" s="3" t="s">
        <v>120</v>
      </c>
      <c r="F740" s="3" t="s">
        <v>119</v>
      </c>
      <c r="G740" s="3" t="s">
        <v>120</v>
      </c>
      <c r="H740" s="3" t="s">
        <v>614</v>
      </c>
      <c r="I740" s="3">
        <v>2024</v>
      </c>
      <c r="J740" s="3" t="str">
        <f>CONCATENATE("44811168283")</f>
        <v>44811168283</v>
      </c>
      <c r="K740" s="3" t="s">
        <v>33</v>
      </c>
      <c r="L740" s="3" t="str">
        <f t="shared" si="45"/>
        <v/>
      </c>
      <c r="M740" s="3" t="str">
        <f t="shared" si="47"/>
        <v>SRA29</v>
      </c>
      <c r="N740" s="3" t="str">
        <f>CONCATENATE("CLNMRA90L71A783Q")</f>
        <v>CLNMRA90L71A783Q</v>
      </c>
      <c r="O740" s="3" t="s">
        <v>1196</v>
      </c>
      <c r="P740" s="3" t="s">
        <v>35</v>
      </c>
      <c r="Q740" s="3" t="s">
        <v>1080</v>
      </c>
      <c r="R740" s="4">
        <v>45933</v>
      </c>
      <c r="S740" s="3" t="s">
        <v>37</v>
      </c>
      <c r="T740" s="3" t="s">
        <v>38</v>
      </c>
      <c r="U740" s="3" t="s">
        <v>39</v>
      </c>
      <c r="V740" s="5">
        <v>7758.91</v>
      </c>
      <c r="W740" s="5">
        <v>3918.25</v>
      </c>
      <c r="X740" s="5">
        <v>2688.46</v>
      </c>
      <c r="Y740" s="5">
        <v>1152.2</v>
      </c>
    </row>
    <row r="741" spans="1:25" ht="49.5" hidden="1" x14ac:dyDescent="0.35">
      <c r="A741" s="3" t="s">
        <v>26</v>
      </c>
      <c r="B741" s="3" t="s">
        <v>27</v>
      </c>
      <c r="C741" s="3" t="s">
        <v>478</v>
      </c>
      <c r="D741" s="3" t="s">
        <v>234</v>
      </c>
      <c r="E741" s="3" t="s">
        <v>120</v>
      </c>
      <c r="F741" s="3" t="s">
        <v>119</v>
      </c>
      <c r="G741" s="3" t="s">
        <v>120</v>
      </c>
      <c r="H741" s="3" t="s">
        <v>614</v>
      </c>
      <c r="I741" s="3">
        <v>2024</v>
      </c>
      <c r="J741" s="3" t="str">
        <f>CONCATENATE("44810298917")</f>
        <v>44810298917</v>
      </c>
      <c r="K741" s="3" t="s">
        <v>33</v>
      </c>
      <c r="L741" s="3" t="str">
        <f t="shared" si="45"/>
        <v/>
      </c>
      <c r="M741" s="3" t="str">
        <f t="shared" si="47"/>
        <v>SRA29</v>
      </c>
      <c r="N741" s="3" t="str">
        <f>CONCATENATE("FRNLGU47A26B267D")</f>
        <v>FRNLGU47A26B267D</v>
      </c>
      <c r="O741" s="3" t="s">
        <v>1197</v>
      </c>
      <c r="P741" s="3" t="s">
        <v>35</v>
      </c>
      <c r="Q741" s="3" t="s">
        <v>1080</v>
      </c>
      <c r="R741" s="4">
        <v>45933</v>
      </c>
      <c r="S741" s="3" t="s">
        <v>37</v>
      </c>
      <c r="T741" s="3" t="s">
        <v>38</v>
      </c>
      <c r="U741" s="3" t="s">
        <v>39</v>
      </c>
      <c r="V741" s="5">
        <v>7935.98</v>
      </c>
      <c r="W741" s="5">
        <v>4007.67</v>
      </c>
      <c r="X741" s="5">
        <v>2749.82</v>
      </c>
      <c r="Y741" s="5">
        <v>1178.49</v>
      </c>
    </row>
    <row r="742" spans="1:25" ht="41.5" hidden="1" x14ac:dyDescent="0.35">
      <c r="A742" s="3" t="s">
        <v>26</v>
      </c>
      <c r="B742" s="3" t="s">
        <v>27</v>
      </c>
      <c r="C742" s="3" t="s">
        <v>478</v>
      </c>
      <c r="D742" s="3" t="s">
        <v>234</v>
      </c>
      <c r="E742" s="3" t="s">
        <v>120</v>
      </c>
      <c r="F742" s="3" t="s">
        <v>119</v>
      </c>
      <c r="G742" s="3" t="s">
        <v>120</v>
      </c>
      <c r="H742" s="3" t="s">
        <v>614</v>
      </c>
      <c r="I742" s="3">
        <v>2024</v>
      </c>
      <c r="J742" s="3" t="str">
        <f>CONCATENATE("44811918539")</f>
        <v>44811918539</v>
      </c>
      <c r="K742" s="3" t="s">
        <v>33</v>
      </c>
      <c r="L742" s="3" t="str">
        <f t="shared" si="45"/>
        <v/>
      </c>
      <c r="M742" s="3" t="str">
        <f t="shared" si="47"/>
        <v>SRA29</v>
      </c>
      <c r="N742" s="3" t="str">
        <f>CONCATENATE("GLOFNC68P69C719C")</f>
        <v>GLOFNC68P69C719C</v>
      </c>
      <c r="O742" s="3" t="s">
        <v>1198</v>
      </c>
      <c r="P742" s="3" t="s">
        <v>35</v>
      </c>
      <c r="Q742" s="3" t="s">
        <v>1080</v>
      </c>
      <c r="R742" s="4">
        <v>45933</v>
      </c>
      <c r="S742" s="3" t="s">
        <v>37</v>
      </c>
      <c r="T742" s="3" t="s">
        <v>38</v>
      </c>
      <c r="U742" s="3" t="s">
        <v>39</v>
      </c>
      <c r="V742" s="5">
        <v>1347.16</v>
      </c>
      <c r="W742" s="3">
        <v>680.32</v>
      </c>
      <c r="X742" s="3">
        <v>466.79</v>
      </c>
      <c r="Y742" s="3">
        <v>200.05</v>
      </c>
    </row>
    <row r="743" spans="1:25" ht="41.5" hidden="1" x14ac:dyDescent="0.35">
      <c r="A743" s="3" t="s">
        <v>26</v>
      </c>
      <c r="B743" s="3" t="s">
        <v>27</v>
      </c>
      <c r="C743" s="3" t="s">
        <v>478</v>
      </c>
      <c r="D743" s="3" t="s">
        <v>234</v>
      </c>
      <c r="E743" s="3" t="s">
        <v>120</v>
      </c>
      <c r="F743" s="3" t="s">
        <v>119</v>
      </c>
      <c r="G743" s="3" t="s">
        <v>120</v>
      </c>
      <c r="H743" s="3" t="s">
        <v>614</v>
      </c>
      <c r="I743" s="3">
        <v>2024</v>
      </c>
      <c r="J743" s="3" t="str">
        <f>CONCATENATE("44811922911")</f>
        <v>44811922911</v>
      </c>
      <c r="K743" s="3" t="s">
        <v>33</v>
      </c>
      <c r="L743" s="3" t="str">
        <f t="shared" si="45"/>
        <v/>
      </c>
      <c r="M743" s="3" t="str">
        <f t="shared" si="47"/>
        <v>SRA29</v>
      </c>
      <c r="N743" s="3" t="str">
        <f>CONCATENATE("MTRGLN92M11C525K")</f>
        <v>MTRGLN92M11C525K</v>
      </c>
      <c r="O743" s="3" t="s">
        <v>1199</v>
      </c>
      <c r="P743" s="3" t="s">
        <v>35</v>
      </c>
      <c r="Q743" s="3" t="s">
        <v>1080</v>
      </c>
      <c r="R743" s="4">
        <v>45933</v>
      </c>
      <c r="S743" s="3" t="s">
        <v>37</v>
      </c>
      <c r="T743" s="3" t="s">
        <v>38</v>
      </c>
      <c r="U743" s="3" t="s">
        <v>39</v>
      </c>
      <c r="V743" s="5">
        <v>7679.48</v>
      </c>
      <c r="W743" s="5">
        <v>3878.14</v>
      </c>
      <c r="X743" s="5">
        <v>2660.94</v>
      </c>
      <c r="Y743" s="5">
        <v>1140.4000000000001</v>
      </c>
    </row>
    <row r="744" spans="1:25" ht="41.5" hidden="1" x14ac:dyDescent="0.35">
      <c r="A744" s="3" t="s">
        <v>26</v>
      </c>
      <c r="B744" s="3" t="s">
        <v>27</v>
      </c>
      <c r="C744" s="3" t="s">
        <v>478</v>
      </c>
      <c r="D744" s="3" t="s">
        <v>75</v>
      </c>
      <c r="E744" s="3" t="s">
        <v>582</v>
      </c>
      <c r="F744" s="3" t="s">
        <v>77</v>
      </c>
      <c r="G744" s="3" t="s">
        <v>582</v>
      </c>
      <c r="H744" s="3" t="s">
        <v>614</v>
      </c>
      <c r="I744" s="3">
        <v>2024</v>
      </c>
      <c r="J744" s="3" t="str">
        <f>CONCATENATE("44811219680")</f>
        <v>44811219680</v>
      </c>
      <c r="K744" s="3" t="s">
        <v>33</v>
      </c>
      <c r="L744" s="3" t="str">
        <f t="shared" si="45"/>
        <v/>
      </c>
      <c r="M744" s="3" t="str">
        <f t="shared" si="47"/>
        <v>SRA29</v>
      </c>
      <c r="N744" s="3" t="str">
        <f>CONCATENATE("MRCMRA95P15A783F")</f>
        <v>MRCMRA95P15A783F</v>
      </c>
      <c r="O744" s="3" t="s">
        <v>1200</v>
      </c>
      <c r="P744" s="3" t="s">
        <v>35</v>
      </c>
      <c r="Q744" s="3" t="s">
        <v>1080</v>
      </c>
      <c r="R744" s="4">
        <v>45933</v>
      </c>
      <c r="S744" s="3" t="s">
        <v>37</v>
      </c>
      <c r="T744" s="3" t="s">
        <v>38</v>
      </c>
      <c r="U744" s="3" t="s">
        <v>39</v>
      </c>
      <c r="V744" s="3">
        <v>457.99</v>
      </c>
      <c r="W744" s="3">
        <v>231.28</v>
      </c>
      <c r="X744" s="3">
        <v>158.69</v>
      </c>
      <c r="Y744" s="3">
        <v>68.02</v>
      </c>
    </row>
    <row r="745" spans="1:25" ht="41.5" hidden="1" x14ac:dyDescent="0.35">
      <c r="A745" s="3" t="s">
        <v>26</v>
      </c>
      <c r="B745" s="3" t="s">
        <v>27</v>
      </c>
      <c r="C745" s="3" t="s">
        <v>478</v>
      </c>
      <c r="D745" s="3" t="s">
        <v>234</v>
      </c>
      <c r="E745" s="3" t="s">
        <v>120</v>
      </c>
      <c r="F745" s="3" t="s">
        <v>119</v>
      </c>
      <c r="G745" s="3" t="s">
        <v>120</v>
      </c>
      <c r="H745" s="3" t="s">
        <v>614</v>
      </c>
      <c r="I745" s="3">
        <v>2024</v>
      </c>
      <c r="J745" s="3" t="str">
        <f>CONCATENATE("44811922952")</f>
        <v>44811922952</v>
      </c>
      <c r="K745" s="3" t="s">
        <v>33</v>
      </c>
      <c r="L745" s="3" t="str">
        <f t="shared" si="45"/>
        <v/>
      </c>
      <c r="M745" s="3" t="str">
        <f t="shared" si="47"/>
        <v>SRA29</v>
      </c>
      <c r="N745" s="3" t="str">
        <f>CONCATENATE("PTRPLA91M12L086A")</f>
        <v>PTRPLA91M12L086A</v>
      </c>
      <c r="O745" s="3" t="s">
        <v>1201</v>
      </c>
      <c r="P745" s="3" t="s">
        <v>35</v>
      </c>
      <c r="Q745" s="3" t="s">
        <v>1080</v>
      </c>
      <c r="R745" s="4">
        <v>45933</v>
      </c>
      <c r="S745" s="3" t="s">
        <v>37</v>
      </c>
      <c r="T745" s="3" t="s">
        <v>38</v>
      </c>
      <c r="U745" s="3" t="s">
        <v>39</v>
      </c>
      <c r="V745" s="5">
        <v>8375.86</v>
      </c>
      <c r="W745" s="5">
        <v>4229.8100000000004</v>
      </c>
      <c r="X745" s="5">
        <v>2902.24</v>
      </c>
      <c r="Y745" s="5">
        <v>1243.81</v>
      </c>
    </row>
    <row r="746" spans="1:25" ht="41.5" hidden="1" x14ac:dyDescent="0.35">
      <c r="A746" s="3" t="s">
        <v>26</v>
      </c>
      <c r="B746" s="3" t="s">
        <v>27</v>
      </c>
      <c r="C746" s="3" t="s">
        <v>478</v>
      </c>
      <c r="D746" s="3" t="s">
        <v>75</v>
      </c>
      <c r="E746" s="3" t="s">
        <v>582</v>
      </c>
      <c r="F746" s="3" t="s">
        <v>77</v>
      </c>
      <c r="G746" s="3" t="s">
        <v>582</v>
      </c>
      <c r="H746" s="3" t="s">
        <v>614</v>
      </c>
      <c r="I746" s="3">
        <v>2024</v>
      </c>
      <c r="J746" s="3" t="str">
        <f>CONCATENATE("44810943462")</f>
        <v>44810943462</v>
      </c>
      <c r="K746" s="3" t="s">
        <v>33</v>
      </c>
      <c r="L746" s="3" t="str">
        <f t="shared" si="45"/>
        <v/>
      </c>
      <c r="M746" s="3" t="str">
        <f t="shared" si="47"/>
        <v>SRA29</v>
      </c>
      <c r="N746" s="3" t="str">
        <f>CONCATENATE("SCCLGO45C49A530Q")</f>
        <v>SCCLGO45C49A530Q</v>
      </c>
      <c r="O746" s="3" t="s">
        <v>1202</v>
      </c>
      <c r="P746" s="3" t="s">
        <v>35</v>
      </c>
      <c r="Q746" s="3" t="s">
        <v>1080</v>
      </c>
      <c r="R746" s="4">
        <v>45933</v>
      </c>
      <c r="S746" s="3" t="s">
        <v>37</v>
      </c>
      <c r="T746" s="3" t="s">
        <v>38</v>
      </c>
      <c r="U746" s="3" t="s">
        <v>39</v>
      </c>
      <c r="V746" s="5">
        <v>3120.56</v>
      </c>
      <c r="W746" s="5">
        <v>1575.88</v>
      </c>
      <c r="X746" s="5">
        <v>1081.27</v>
      </c>
      <c r="Y746" s="3">
        <v>463.41</v>
      </c>
    </row>
    <row r="747" spans="1:25" ht="25.5" hidden="1" x14ac:dyDescent="0.35">
      <c r="A747" s="3" t="s">
        <v>26</v>
      </c>
      <c r="B747" s="3" t="s">
        <v>27</v>
      </c>
      <c r="C747" s="3" t="s">
        <v>478</v>
      </c>
      <c r="D747" s="3" t="s">
        <v>234</v>
      </c>
      <c r="E747" s="3" t="s">
        <v>120</v>
      </c>
      <c r="F747" s="3" t="s">
        <v>119</v>
      </c>
      <c r="G747" s="3" t="s">
        <v>120</v>
      </c>
      <c r="H747" s="3" t="s">
        <v>614</v>
      </c>
      <c r="I747" s="3">
        <v>2024</v>
      </c>
      <c r="J747" s="3" t="str">
        <f>CONCATENATE("44811025178")</f>
        <v>44811025178</v>
      </c>
      <c r="K747" s="3" t="s">
        <v>33</v>
      </c>
      <c r="L747" s="3" t="str">
        <f t="shared" si="45"/>
        <v/>
      </c>
      <c r="M747" s="3" t="str">
        <f t="shared" si="47"/>
        <v>SRA29</v>
      </c>
      <c r="N747" s="3" t="str">
        <f>CONCATENATE("01707350623")</f>
        <v>01707350623</v>
      </c>
      <c r="O747" s="3" t="s">
        <v>1203</v>
      </c>
      <c r="P747" s="3" t="s">
        <v>35</v>
      </c>
      <c r="Q747" s="3" t="s">
        <v>1080</v>
      </c>
      <c r="R747" s="4">
        <v>45933</v>
      </c>
      <c r="S747" s="3" t="s">
        <v>37</v>
      </c>
      <c r="T747" s="3" t="s">
        <v>38</v>
      </c>
      <c r="U747" s="3" t="s">
        <v>39</v>
      </c>
      <c r="V747" s="3">
        <v>22.18</v>
      </c>
      <c r="W747" s="3">
        <v>11.2</v>
      </c>
      <c r="X747" s="3">
        <v>7.69</v>
      </c>
      <c r="Y747" s="3">
        <v>3.29</v>
      </c>
    </row>
    <row r="748" spans="1:25" ht="41.5" hidden="1" x14ac:dyDescent="0.35">
      <c r="A748" s="3" t="s">
        <v>26</v>
      </c>
      <c r="B748" s="3" t="s">
        <v>27</v>
      </c>
      <c r="C748" s="3" t="s">
        <v>478</v>
      </c>
      <c r="D748" s="3" t="s">
        <v>61</v>
      </c>
      <c r="E748" s="3" t="s">
        <v>1204</v>
      </c>
      <c r="F748" s="3" t="s">
        <v>63</v>
      </c>
      <c r="G748" s="3" t="s">
        <v>1204</v>
      </c>
      <c r="H748" s="3" t="s">
        <v>614</v>
      </c>
      <c r="I748" s="3">
        <v>2024</v>
      </c>
      <c r="J748" s="3" t="str">
        <f>CONCATENATE("44811087368")</f>
        <v>44811087368</v>
      </c>
      <c r="K748" s="3" t="s">
        <v>33</v>
      </c>
      <c r="L748" s="3" t="str">
        <f t="shared" si="45"/>
        <v/>
      </c>
      <c r="M748" s="3" t="str">
        <f>CONCATENATE("SRA14")</f>
        <v>SRA14</v>
      </c>
      <c r="N748" s="3" t="str">
        <f>CONCATENATE("CLNCST77E66A783Z")</f>
        <v>CLNCST77E66A783Z</v>
      </c>
      <c r="O748" s="3" t="s">
        <v>1205</v>
      </c>
      <c r="P748" s="3" t="s">
        <v>35</v>
      </c>
      <c r="Q748" s="3" t="s">
        <v>1206</v>
      </c>
      <c r="R748" s="4">
        <v>45915</v>
      </c>
      <c r="S748" s="3" t="s">
        <v>37</v>
      </c>
      <c r="T748" s="3" t="s">
        <v>38</v>
      </c>
      <c r="U748" s="3" t="s">
        <v>39</v>
      </c>
      <c r="V748" s="5">
        <v>2112</v>
      </c>
      <c r="W748" s="5">
        <v>1066.56</v>
      </c>
      <c r="X748" s="3">
        <v>731.81</v>
      </c>
      <c r="Y748" s="3">
        <v>313.63</v>
      </c>
    </row>
    <row r="749" spans="1:25" ht="41.5" hidden="1" x14ac:dyDescent="0.35">
      <c r="A749" s="3" t="s">
        <v>26</v>
      </c>
      <c r="B749" s="3" t="s">
        <v>27</v>
      </c>
      <c r="C749" s="3" t="s">
        <v>451</v>
      </c>
      <c r="D749" s="3" t="s">
        <v>29</v>
      </c>
      <c r="E749" s="3" t="s">
        <v>558</v>
      </c>
      <c r="F749" s="3" t="s">
        <v>31</v>
      </c>
      <c r="G749" s="3" t="s">
        <v>558</v>
      </c>
      <c r="H749" s="3" t="s">
        <v>453</v>
      </c>
      <c r="I749" s="3">
        <v>2023</v>
      </c>
      <c r="J749" s="3" t="str">
        <f>CONCATENATE("34820260874")</f>
        <v>34820260874</v>
      </c>
      <c r="K749" s="3" t="s">
        <v>33</v>
      </c>
      <c r="L749" s="3" t="str">
        <f t="shared" si="45"/>
        <v/>
      </c>
      <c r="M749" s="3" t="str">
        <f>CONCATENATE("SRB01")</f>
        <v>SRB01</v>
      </c>
      <c r="N749" s="3" t="str">
        <f>CONCATENATE("RLELNZ93T16B948B")</f>
        <v>RLELNZ93T16B948B</v>
      </c>
      <c r="O749" s="3" t="s">
        <v>1207</v>
      </c>
      <c r="P749" s="3" t="s">
        <v>35</v>
      </c>
      <c r="Q749" s="3" t="s">
        <v>1208</v>
      </c>
      <c r="R749" s="4">
        <v>45919</v>
      </c>
      <c r="S749" s="3" t="s">
        <v>37</v>
      </c>
      <c r="T749" s="3" t="s">
        <v>38</v>
      </c>
      <c r="U749" s="3" t="s">
        <v>39</v>
      </c>
      <c r="V749" s="5">
        <v>10662.43</v>
      </c>
      <c r="W749" s="5">
        <v>4531.53</v>
      </c>
      <c r="X749" s="5">
        <v>4291.63</v>
      </c>
      <c r="Y749" s="5">
        <v>1839.27</v>
      </c>
    </row>
    <row r="750" spans="1:25" ht="41.5" hidden="1" x14ac:dyDescent="0.35">
      <c r="A750" s="3" t="s">
        <v>26</v>
      </c>
      <c r="B750" s="3" t="s">
        <v>27</v>
      </c>
      <c r="C750" s="3" t="s">
        <v>478</v>
      </c>
      <c r="D750" s="3" t="s">
        <v>75</v>
      </c>
      <c r="E750" s="3" t="s">
        <v>582</v>
      </c>
      <c r="F750" s="3" t="s">
        <v>77</v>
      </c>
      <c r="G750" s="3" t="s">
        <v>582</v>
      </c>
      <c r="H750" s="3" t="s">
        <v>604</v>
      </c>
      <c r="I750" s="3">
        <v>2024</v>
      </c>
      <c r="J750" s="3" t="str">
        <f>CONCATENATE("44810805679")</f>
        <v>44810805679</v>
      </c>
      <c r="K750" s="3" t="s">
        <v>33</v>
      </c>
      <c r="L750" s="3" t="str">
        <f t="shared" si="45"/>
        <v/>
      </c>
      <c r="M750" s="3" t="str">
        <f>CONCATENATE("SRA03")</f>
        <v>SRA03</v>
      </c>
      <c r="N750" s="3" t="str">
        <f>CONCATENATE("FRRFNC94C27A399V")</f>
        <v>FRRFNC94C27A399V</v>
      </c>
      <c r="O750" s="3" t="s">
        <v>1209</v>
      </c>
      <c r="P750" s="3" t="s">
        <v>35</v>
      </c>
      <c r="Q750" s="3" t="s">
        <v>1210</v>
      </c>
      <c r="R750" s="4">
        <v>45915</v>
      </c>
      <c r="S750" s="3" t="s">
        <v>37</v>
      </c>
      <c r="T750" s="3" t="s">
        <v>38</v>
      </c>
      <c r="U750" s="3" t="s">
        <v>39</v>
      </c>
      <c r="V750" s="5">
        <v>5157.03</v>
      </c>
      <c r="W750" s="5">
        <v>2604.3000000000002</v>
      </c>
      <c r="X750" s="5">
        <v>1786.91</v>
      </c>
      <c r="Y750" s="3">
        <v>765.82</v>
      </c>
    </row>
    <row r="751" spans="1:25" ht="49.5" hidden="1" x14ac:dyDescent="0.35">
      <c r="A751" s="3" t="s">
        <v>26</v>
      </c>
      <c r="B751" s="3" t="s">
        <v>27</v>
      </c>
      <c r="C751" s="3" t="s">
        <v>478</v>
      </c>
      <c r="D751" s="3" t="s">
        <v>41</v>
      </c>
      <c r="E751" s="3" t="s">
        <v>1211</v>
      </c>
      <c r="F751" s="3" t="s">
        <v>43</v>
      </c>
      <c r="G751" s="3" t="s">
        <v>1211</v>
      </c>
      <c r="H751" s="3" t="s">
        <v>604</v>
      </c>
      <c r="I751" s="3">
        <v>2024</v>
      </c>
      <c r="J751" s="3" t="str">
        <f>CONCATENATE("44810347698")</f>
        <v>44810347698</v>
      </c>
      <c r="K751" s="3" t="s">
        <v>33</v>
      </c>
      <c r="L751" s="3" t="str">
        <f t="shared" si="45"/>
        <v/>
      </c>
      <c r="M751" s="3" t="str">
        <f>CONCATENATE("SRA03")</f>
        <v>SRA03</v>
      </c>
      <c r="N751" s="3" t="str">
        <f>CONCATENATE("MGLMRA57B49A347R")</f>
        <v>MGLMRA57B49A347R</v>
      </c>
      <c r="O751" s="3" t="s">
        <v>1212</v>
      </c>
      <c r="P751" s="3" t="s">
        <v>35</v>
      </c>
      <c r="Q751" s="3" t="s">
        <v>1210</v>
      </c>
      <c r="R751" s="4">
        <v>45915</v>
      </c>
      <c r="S751" s="3" t="s">
        <v>37</v>
      </c>
      <c r="T751" s="3" t="s">
        <v>38</v>
      </c>
      <c r="U751" s="3" t="s">
        <v>39</v>
      </c>
      <c r="V751" s="5">
        <v>7117.63</v>
      </c>
      <c r="W751" s="5">
        <v>3594.4</v>
      </c>
      <c r="X751" s="5">
        <v>2466.2600000000002</v>
      </c>
      <c r="Y751" s="5">
        <v>1056.97</v>
      </c>
    </row>
    <row r="752" spans="1:25" ht="49.5" hidden="1" x14ac:dyDescent="0.35">
      <c r="A752" s="3" t="s">
        <v>26</v>
      </c>
      <c r="B752" s="3" t="s">
        <v>27</v>
      </c>
      <c r="C752" s="3" t="s">
        <v>478</v>
      </c>
      <c r="D752" s="3" t="s">
        <v>41</v>
      </c>
      <c r="E752" s="3" t="s">
        <v>1213</v>
      </c>
      <c r="F752" s="3" t="s">
        <v>43</v>
      </c>
      <c r="G752" s="3" t="s">
        <v>1213</v>
      </c>
      <c r="H752" s="3" t="s">
        <v>604</v>
      </c>
      <c r="I752" s="3">
        <v>2024</v>
      </c>
      <c r="J752" s="3" t="str">
        <f>CONCATENATE("44810764132")</f>
        <v>44810764132</v>
      </c>
      <c r="K752" s="3" t="s">
        <v>33</v>
      </c>
      <c r="L752" s="3" t="str">
        <f t="shared" si="45"/>
        <v/>
      </c>
      <c r="M752" s="3" t="str">
        <f>CONCATENATE("SRA03")</f>
        <v>SRA03</v>
      </c>
      <c r="N752" s="3" t="str">
        <f>CONCATENATE("MRNGDB01H59A783Q")</f>
        <v>MRNGDB01H59A783Q</v>
      </c>
      <c r="O752" s="3" t="s">
        <v>1214</v>
      </c>
      <c r="P752" s="3" t="s">
        <v>35</v>
      </c>
      <c r="Q752" s="3" t="s">
        <v>1210</v>
      </c>
      <c r="R752" s="4">
        <v>45915</v>
      </c>
      <c r="S752" s="3" t="s">
        <v>37</v>
      </c>
      <c r="T752" s="3" t="s">
        <v>38</v>
      </c>
      <c r="U752" s="3" t="s">
        <v>39</v>
      </c>
      <c r="V752" s="5">
        <v>2377.6799999999998</v>
      </c>
      <c r="W752" s="5">
        <v>1200.73</v>
      </c>
      <c r="X752" s="3">
        <v>823.87</v>
      </c>
      <c r="Y752" s="3">
        <v>353.08</v>
      </c>
    </row>
    <row r="753" spans="1:25" ht="41.5" hidden="1" x14ac:dyDescent="0.35">
      <c r="A753" s="3" t="s">
        <v>26</v>
      </c>
      <c r="B753" s="3" t="s">
        <v>27</v>
      </c>
      <c r="C753" s="3" t="s">
        <v>478</v>
      </c>
      <c r="D753" s="3" t="s">
        <v>75</v>
      </c>
      <c r="E753" s="3" t="s">
        <v>582</v>
      </c>
      <c r="F753" s="3" t="s">
        <v>77</v>
      </c>
      <c r="G753" s="3" t="s">
        <v>582</v>
      </c>
      <c r="H753" s="3" t="s">
        <v>604</v>
      </c>
      <c r="I753" s="3">
        <v>2024</v>
      </c>
      <c r="J753" s="3" t="str">
        <f>CONCATENATE("44810588572")</f>
        <v>44810588572</v>
      </c>
      <c r="K753" s="3" t="s">
        <v>33</v>
      </c>
      <c r="L753" s="3" t="str">
        <f t="shared" si="45"/>
        <v/>
      </c>
      <c r="M753" s="3" t="str">
        <f>CONCATENATE("SRA03")</f>
        <v>SRA03</v>
      </c>
      <c r="N753" s="3" t="str">
        <f>CONCATENATE("PCLNNL75C58A783G")</f>
        <v>PCLNNL75C58A783G</v>
      </c>
      <c r="O753" s="3" t="s">
        <v>1215</v>
      </c>
      <c r="P753" s="3" t="s">
        <v>35</v>
      </c>
      <c r="Q753" s="3" t="s">
        <v>1210</v>
      </c>
      <c r="R753" s="4">
        <v>45915</v>
      </c>
      <c r="S753" s="3" t="s">
        <v>37</v>
      </c>
      <c r="T753" s="3" t="s">
        <v>38</v>
      </c>
      <c r="U753" s="3" t="s">
        <v>39</v>
      </c>
      <c r="V753" s="3">
        <v>506.77</v>
      </c>
      <c r="W753" s="3">
        <v>255.92</v>
      </c>
      <c r="X753" s="3">
        <v>175.6</v>
      </c>
      <c r="Y753" s="3">
        <v>75.25</v>
      </c>
    </row>
    <row r="754" spans="1:25" ht="41.5" hidden="1" x14ac:dyDescent="0.35">
      <c r="A754" s="3" t="s">
        <v>26</v>
      </c>
      <c r="B754" s="3" t="s">
        <v>27</v>
      </c>
      <c r="C754" s="3" t="s">
        <v>478</v>
      </c>
      <c r="D754" s="3" t="s">
        <v>29</v>
      </c>
      <c r="E754" s="3" t="s">
        <v>818</v>
      </c>
      <c r="F754" s="3" t="s">
        <v>31</v>
      </c>
      <c r="G754" s="3" t="s">
        <v>818</v>
      </c>
      <c r="H754" s="3" t="s">
        <v>604</v>
      </c>
      <c r="I754" s="3">
        <v>2024</v>
      </c>
      <c r="J754" s="3" t="str">
        <f>CONCATENATE("44810482123")</f>
        <v>44810482123</v>
      </c>
      <c r="K754" s="3" t="s">
        <v>33</v>
      </c>
      <c r="L754" s="3" t="str">
        <f t="shared" si="45"/>
        <v/>
      </c>
      <c r="M754" s="3" t="str">
        <f>CONCATENATE("SRA03")</f>
        <v>SRA03</v>
      </c>
      <c r="N754" s="3" t="str">
        <f>CONCATENATE("STPMHL65E09A399F")</f>
        <v>STPMHL65E09A399F</v>
      </c>
      <c r="O754" s="3" t="s">
        <v>1216</v>
      </c>
      <c r="P754" s="3" t="s">
        <v>35</v>
      </c>
      <c r="Q754" s="3" t="s">
        <v>1210</v>
      </c>
      <c r="R754" s="4">
        <v>45915</v>
      </c>
      <c r="S754" s="3" t="s">
        <v>37</v>
      </c>
      <c r="T754" s="3" t="s">
        <v>38</v>
      </c>
      <c r="U754" s="3" t="s">
        <v>39</v>
      </c>
      <c r="V754" s="5">
        <v>9228.86</v>
      </c>
      <c r="W754" s="5">
        <v>4660.57</v>
      </c>
      <c r="X754" s="5">
        <v>3197.8</v>
      </c>
      <c r="Y754" s="5">
        <v>1370.49</v>
      </c>
    </row>
    <row r="755" spans="1:25" ht="41.5" hidden="1" x14ac:dyDescent="0.35">
      <c r="A755" s="3" t="s">
        <v>26</v>
      </c>
      <c r="B755" s="3" t="s">
        <v>27</v>
      </c>
      <c r="C755" s="3" t="s">
        <v>90</v>
      </c>
      <c r="D755" s="3" t="s">
        <v>41</v>
      </c>
      <c r="E755" s="3" t="s">
        <v>1217</v>
      </c>
      <c r="F755" s="3" t="s">
        <v>31</v>
      </c>
      <c r="G755" s="3" t="s">
        <v>292</v>
      </c>
      <c r="H755" s="3" t="s">
        <v>212</v>
      </c>
      <c r="I755" s="3">
        <v>2024</v>
      </c>
      <c r="J755" s="3" t="str">
        <f>CONCATENATE("44810105781")</f>
        <v>44810105781</v>
      </c>
      <c r="K755" s="3" t="s">
        <v>33</v>
      </c>
      <c r="L755" s="3" t="str">
        <f t="shared" si="45"/>
        <v/>
      </c>
      <c r="M755" s="3" t="str">
        <f>CONCATENATE("SRA30")</f>
        <v>SRA30</v>
      </c>
      <c r="N755" s="3" t="str">
        <f>CONCATENATE("PRTLCU93H30G580N")</f>
        <v>PRTLCU93H30G580N</v>
      </c>
      <c r="O755" s="3" t="s">
        <v>1218</v>
      </c>
      <c r="P755" s="3" t="s">
        <v>35</v>
      </c>
      <c r="Q755" s="3" t="s">
        <v>1219</v>
      </c>
      <c r="R755" s="4">
        <v>45915</v>
      </c>
      <c r="S755" s="3" t="s">
        <v>37</v>
      </c>
      <c r="T755" s="3" t="s">
        <v>38</v>
      </c>
      <c r="U755" s="3" t="s">
        <v>39</v>
      </c>
      <c r="V755" s="5">
        <v>6324</v>
      </c>
      <c r="W755" s="5">
        <v>3193.62</v>
      </c>
      <c r="X755" s="5">
        <v>2191.27</v>
      </c>
      <c r="Y755" s="3">
        <v>939.11</v>
      </c>
    </row>
    <row r="756" spans="1:25" ht="41.5" hidden="1" x14ac:dyDescent="0.35">
      <c r="A756" s="3" t="s">
        <v>26</v>
      </c>
      <c r="B756" s="3" t="s">
        <v>27</v>
      </c>
      <c r="C756" s="3" t="s">
        <v>90</v>
      </c>
      <c r="D756" s="3" t="s">
        <v>234</v>
      </c>
      <c r="E756" s="3" t="s">
        <v>235</v>
      </c>
      <c r="F756" s="3" t="s">
        <v>119</v>
      </c>
      <c r="G756" s="3" t="s">
        <v>235</v>
      </c>
      <c r="H756" s="3" t="s">
        <v>92</v>
      </c>
      <c r="I756" s="3">
        <v>2024</v>
      </c>
      <c r="J756" s="3" t="str">
        <f>CONCATENATE("44810951861")</f>
        <v>44810951861</v>
      </c>
      <c r="K756" s="3" t="s">
        <v>33</v>
      </c>
      <c r="L756" s="3" t="str">
        <f t="shared" si="45"/>
        <v/>
      </c>
      <c r="M756" s="3" t="str">
        <f>CONCATENATE("SRA29")</f>
        <v>SRA29</v>
      </c>
      <c r="N756" s="3" t="str">
        <f>CONCATENATE("LMNSST74S04D540S")</f>
        <v>LMNSST74S04D540S</v>
      </c>
      <c r="O756" s="3" t="s">
        <v>1220</v>
      </c>
      <c r="P756" s="3" t="s">
        <v>35</v>
      </c>
      <c r="Q756" s="3" t="s">
        <v>1089</v>
      </c>
      <c r="R756" s="4">
        <v>45915</v>
      </c>
      <c r="S756" s="3" t="s">
        <v>37</v>
      </c>
      <c r="T756" s="3" t="s">
        <v>38</v>
      </c>
      <c r="U756" s="3" t="s">
        <v>39</v>
      </c>
      <c r="V756" s="5">
        <v>9466.42</v>
      </c>
      <c r="W756" s="5">
        <v>4780.54</v>
      </c>
      <c r="X756" s="5">
        <v>3280.11</v>
      </c>
      <c r="Y756" s="5">
        <v>1405.77</v>
      </c>
    </row>
    <row r="757" spans="1:25" ht="41.5" hidden="1" x14ac:dyDescent="0.35">
      <c r="A757" s="3" t="s">
        <v>26</v>
      </c>
      <c r="B757" s="3" t="s">
        <v>27</v>
      </c>
      <c r="C757" s="3" t="s">
        <v>90</v>
      </c>
      <c r="D757" s="3" t="s">
        <v>99</v>
      </c>
      <c r="E757" s="3" t="s">
        <v>344</v>
      </c>
      <c r="F757" s="3" t="s">
        <v>101</v>
      </c>
      <c r="G757" s="3" t="s">
        <v>344</v>
      </c>
      <c r="H757" s="3" t="s">
        <v>92</v>
      </c>
      <c r="I757" s="3">
        <v>2024</v>
      </c>
      <c r="J757" s="3" t="str">
        <f>CONCATENATE("44811172046")</f>
        <v>44811172046</v>
      </c>
      <c r="K757" s="3" t="s">
        <v>33</v>
      </c>
      <c r="L757" s="3" t="str">
        <f t="shared" si="45"/>
        <v/>
      </c>
      <c r="M757" s="3" t="str">
        <f>CONCATENATE("SRA29")</f>
        <v>SRA29</v>
      </c>
      <c r="N757" s="3" t="str">
        <f>CONCATENATE("RMTGPP70A30B603Z")</f>
        <v>RMTGPP70A30B603Z</v>
      </c>
      <c r="O757" s="3" t="s">
        <v>1221</v>
      </c>
      <c r="P757" s="3" t="s">
        <v>35</v>
      </c>
      <c r="Q757" s="3" t="s">
        <v>1089</v>
      </c>
      <c r="R757" s="4">
        <v>45915</v>
      </c>
      <c r="S757" s="3" t="s">
        <v>37</v>
      </c>
      <c r="T757" s="3" t="s">
        <v>38</v>
      </c>
      <c r="U757" s="3" t="s">
        <v>39</v>
      </c>
      <c r="V757" s="5">
        <v>3188.14</v>
      </c>
      <c r="W757" s="5">
        <v>1610.01</v>
      </c>
      <c r="X757" s="5">
        <v>1104.69</v>
      </c>
      <c r="Y757" s="3">
        <v>473.44</v>
      </c>
    </row>
    <row r="758" spans="1:25" ht="41.5" hidden="1" x14ac:dyDescent="0.35">
      <c r="A758" s="3" t="s">
        <v>26</v>
      </c>
      <c r="B758" s="3" t="s">
        <v>27</v>
      </c>
      <c r="C758" s="3" t="s">
        <v>90</v>
      </c>
      <c r="D758" s="3" t="s">
        <v>61</v>
      </c>
      <c r="E758" s="3" t="s">
        <v>1090</v>
      </c>
      <c r="F758" s="3" t="s">
        <v>63</v>
      </c>
      <c r="G758" s="3" t="s">
        <v>1090</v>
      </c>
      <c r="H758" s="3" t="s">
        <v>92</v>
      </c>
      <c r="I758" s="3">
        <v>2023</v>
      </c>
      <c r="J758" s="3" t="str">
        <f>CONCATENATE("34810349505")</f>
        <v>34810349505</v>
      </c>
      <c r="K758" s="3" t="s">
        <v>33</v>
      </c>
      <c r="L758" s="3" t="str">
        <f t="shared" si="45"/>
        <v/>
      </c>
      <c r="M758" s="3" t="str">
        <f>CONCATENATE("SRA29")</f>
        <v>SRA29</v>
      </c>
      <c r="N758" s="3" t="str">
        <f>CONCATENATE("TUEGNN58D10F258Q")</f>
        <v>TUEGNN58D10F258Q</v>
      </c>
      <c r="O758" s="3" t="s">
        <v>1222</v>
      </c>
      <c r="P758" s="3" t="s">
        <v>35</v>
      </c>
      <c r="Q758" s="3" t="s">
        <v>1089</v>
      </c>
      <c r="R758" s="4">
        <v>45915</v>
      </c>
      <c r="S758" s="3" t="s">
        <v>37</v>
      </c>
      <c r="T758" s="3" t="s">
        <v>38</v>
      </c>
      <c r="U758" s="3" t="s">
        <v>39</v>
      </c>
      <c r="V758" s="5">
        <v>12688.62</v>
      </c>
      <c r="W758" s="5">
        <v>6407.75</v>
      </c>
      <c r="X758" s="5">
        <v>4396.6099999999997</v>
      </c>
      <c r="Y758" s="5">
        <v>1884.26</v>
      </c>
    </row>
    <row r="759" spans="1:25" ht="25.5" hidden="1" x14ac:dyDescent="0.35">
      <c r="A759" s="3" t="s">
        <v>26</v>
      </c>
      <c r="B759" s="3" t="s">
        <v>27</v>
      </c>
      <c r="C759" s="3" t="s">
        <v>451</v>
      </c>
      <c r="D759" s="3" t="s">
        <v>61</v>
      </c>
      <c r="E759" s="3" t="s">
        <v>628</v>
      </c>
      <c r="F759" s="3" t="s">
        <v>63</v>
      </c>
      <c r="G759" s="3" t="s">
        <v>628</v>
      </c>
      <c r="H759" s="3" t="s">
        <v>453</v>
      </c>
      <c r="I759" s="3">
        <v>2024</v>
      </c>
      <c r="J759" s="3" t="str">
        <f>CONCATENATE("44810981801")</f>
        <v>44810981801</v>
      </c>
      <c r="K759" s="3" t="s">
        <v>33</v>
      </c>
      <c r="L759" s="3" t="str">
        <f t="shared" si="45"/>
        <v/>
      </c>
      <c r="M759" s="3" t="str">
        <f>CONCATENATE("SRA14")</f>
        <v>SRA14</v>
      </c>
      <c r="N759" s="3" t="str">
        <f>CONCATENATE("01481160545")</f>
        <v>01481160545</v>
      </c>
      <c r="O759" s="3" t="s">
        <v>644</v>
      </c>
      <c r="P759" s="3" t="s">
        <v>35</v>
      </c>
      <c r="Q759" s="3" t="s">
        <v>1096</v>
      </c>
      <c r="R759" s="4">
        <v>45917</v>
      </c>
      <c r="S759" s="3" t="s">
        <v>37</v>
      </c>
      <c r="T759" s="3" t="s">
        <v>38</v>
      </c>
      <c r="U759" s="3" t="s">
        <v>39</v>
      </c>
      <c r="V759" s="5">
        <v>5250</v>
      </c>
      <c r="W759" s="5">
        <v>2231.25</v>
      </c>
      <c r="X759" s="5">
        <v>2113.13</v>
      </c>
      <c r="Y759" s="3">
        <v>905.62</v>
      </c>
    </row>
    <row r="760" spans="1:25" ht="41.5" hidden="1" x14ac:dyDescent="0.35">
      <c r="A760" s="3" t="s">
        <v>26</v>
      </c>
      <c r="B760" s="3" t="s">
        <v>27</v>
      </c>
      <c r="C760" s="3" t="s">
        <v>478</v>
      </c>
      <c r="D760" s="3" t="s">
        <v>75</v>
      </c>
      <c r="E760" s="3" t="s">
        <v>1082</v>
      </c>
      <c r="F760" s="3" t="s">
        <v>77</v>
      </c>
      <c r="G760" s="3" t="s">
        <v>1082</v>
      </c>
      <c r="H760" s="3" t="s">
        <v>614</v>
      </c>
      <c r="I760" s="3">
        <v>2024</v>
      </c>
      <c r="J760" s="3" t="str">
        <f>CONCATENATE("44811347259")</f>
        <v>44811347259</v>
      </c>
      <c r="K760" s="3" t="s">
        <v>33</v>
      </c>
      <c r="L760" s="3" t="str">
        <f t="shared" si="45"/>
        <v/>
      </c>
      <c r="M760" s="3" t="str">
        <f>CONCATENATE("SRA01")</f>
        <v>SRA01</v>
      </c>
      <c r="N760" s="3" t="str">
        <f>CONCATENATE("CRRGPP66C47B541P")</f>
        <v>CRRGPP66C47B541P</v>
      </c>
      <c r="O760" s="3" t="s">
        <v>1223</v>
      </c>
      <c r="P760" s="3" t="s">
        <v>35</v>
      </c>
      <c r="Q760" s="3" t="s">
        <v>1224</v>
      </c>
      <c r="R760" s="4">
        <v>45933</v>
      </c>
      <c r="S760" s="3" t="s">
        <v>37</v>
      </c>
      <c r="T760" s="3" t="s">
        <v>38</v>
      </c>
      <c r="U760" s="3" t="s">
        <v>39</v>
      </c>
      <c r="V760" s="5">
        <v>2215.94</v>
      </c>
      <c r="W760" s="5">
        <v>1119.05</v>
      </c>
      <c r="X760" s="3">
        <v>767.82</v>
      </c>
      <c r="Y760" s="3">
        <v>329.07</v>
      </c>
    </row>
    <row r="761" spans="1:25" ht="41.5" hidden="1" x14ac:dyDescent="0.35">
      <c r="A761" s="3" t="s">
        <v>26</v>
      </c>
      <c r="B761" s="3" t="s">
        <v>27</v>
      </c>
      <c r="C761" s="3" t="s">
        <v>478</v>
      </c>
      <c r="D761" s="3" t="s">
        <v>61</v>
      </c>
      <c r="E761" s="3" t="s">
        <v>1225</v>
      </c>
      <c r="F761" s="3" t="s">
        <v>77</v>
      </c>
      <c r="G761" s="3" t="s">
        <v>582</v>
      </c>
      <c r="H761" s="3" t="s">
        <v>614</v>
      </c>
      <c r="I761" s="3">
        <v>2023</v>
      </c>
      <c r="J761" s="3" t="str">
        <f>CONCATENATE("34810422807")</f>
        <v>34810422807</v>
      </c>
      <c r="K761" s="3" t="s">
        <v>33</v>
      </c>
      <c r="L761" s="3" t="str">
        <f t="shared" si="45"/>
        <v/>
      </c>
      <c r="M761" s="3" t="str">
        <f>CONCATENATE("SRA01")</f>
        <v>SRA01</v>
      </c>
      <c r="N761" s="3" t="str">
        <f>CONCATENATE("RLLLGN79C70A783D")</f>
        <v>RLLLGN79C70A783D</v>
      </c>
      <c r="O761" s="3" t="s">
        <v>1226</v>
      </c>
      <c r="P761" s="3" t="s">
        <v>35</v>
      </c>
      <c r="Q761" s="3" t="s">
        <v>1224</v>
      </c>
      <c r="R761" s="4">
        <v>45933</v>
      </c>
      <c r="S761" s="3" t="s">
        <v>37</v>
      </c>
      <c r="T761" s="3" t="s">
        <v>38</v>
      </c>
      <c r="U761" s="3" t="s">
        <v>39</v>
      </c>
      <c r="V761" s="3">
        <v>14.12</v>
      </c>
      <c r="W761" s="3">
        <v>7.13</v>
      </c>
      <c r="X761" s="3">
        <v>4.8899999999999997</v>
      </c>
      <c r="Y761" s="3">
        <v>2.1</v>
      </c>
    </row>
    <row r="762" spans="1:25" ht="41.5" hidden="1" x14ac:dyDescent="0.35">
      <c r="A762" s="3" t="s">
        <v>26</v>
      </c>
      <c r="B762" s="3" t="s">
        <v>27</v>
      </c>
      <c r="C762" s="3" t="s">
        <v>478</v>
      </c>
      <c r="D762" s="3" t="s">
        <v>99</v>
      </c>
      <c r="E762" s="3" t="s">
        <v>1227</v>
      </c>
      <c r="F762" s="3" t="s">
        <v>101</v>
      </c>
      <c r="G762" s="3" t="s">
        <v>1227</v>
      </c>
      <c r="H762" s="3" t="s">
        <v>614</v>
      </c>
      <c r="I762" s="3">
        <v>2024</v>
      </c>
      <c r="J762" s="3" t="str">
        <f>CONCATENATE("44811098456")</f>
        <v>44811098456</v>
      </c>
      <c r="K762" s="3" t="s">
        <v>33</v>
      </c>
      <c r="L762" s="3" t="str">
        <f t="shared" si="45"/>
        <v/>
      </c>
      <c r="M762" s="3" t="str">
        <f>CONCATENATE("SRA01")</f>
        <v>SRA01</v>
      </c>
      <c r="N762" s="3" t="str">
        <f>CONCATENATE("SPTFNC63T24B542E")</f>
        <v>SPTFNC63T24B542E</v>
      </c>
      <c r="O762" s="3" t="s">
        <v>1228</v>
      </c>
      <c r="P762" s="3" t="s">
        <v>35</v>
      </c>
      <c r="Q762" s="3" t="s">
        <v>1224</v>
      </c>
      <c r="R762" s="4">
        <v>45933</v>
      </c>
      <c r="S762" s="3" t="s">
        <v>37</v>
      </c>
      <c r="T762" s="3" t="s">
        <v>38</v>
      </c>
      <c r="U762" s="3" t="s">
        <v>39</v>
      </c>
      <c r="V762" s="3">
        <v>581.54999999999995</v>
      </c>
      <c r="W762" s="3">
        <v>293.68</v>
      </c>
      <c r="X762" s="3">
        <v>201.51</v>
      </c>
      <c r="Y762" s="3">
        <v>86.36</v>
      </c>
    </row>
    <row r="763" spans="1:25" ht="25.5" hidden="1" x14ac:dyDescent="0.35">
      <c r="A763" s="3" t="s">
        <v>26</v>
      </c>
      <c r="B763" s="3" t="s">
        <v>27</v>
      </c>
      <c r="C763" s="3" t="s">
        <v>90</v>
      </c>
      <c r="D763" s="3" t="s">
        <v>164</v>
      </c>
      <c r="E763" s="3" t="s">
        <v>280</v>
      </c>
      <c r="F763" s="3" t="s">
        <v>51</v>
      </c>
      <c r="G763" s="3" t="s">
        <v>754</v>
      </c>
      <c r="H763" s="3" t="s">
        <v>212</v>
      </c>
      <c r="I763" s="3">
        <v>2024</v>
      </c>
      <c r="J763" s="3" t="str">
        <f>CONCATENATE("44811276300")</f>
        <v>44811276300</v>
      </c>
      <c r="K763" s="3" t="s">
        <v>33</v>
      </c>
      <c r="L763" s="3" t="str">
        <f t="shared" si="45"/>
        <v/>
      </c>
      <c r="M763" s="3" t="str">
        <f>CONCATENATE("SRA29")</f>
        <v>SRA29</v>
      </c>
      <c r="N763" s="3" t="str">
        <f>CONCATENATE("02053630857")</f>
        <v>02053630857</v>
      </c>
      <c r="O763" s="3" t="s">
        <v>1229</v>
      </c>
      <c r="P763" s="3" t="s">
        <v>35</v>
      </c>
      <c r="Q763" s="3" t="s">
        <v>1230</v>
      </c>
      <c r="R763" s="4">
        <v>45931</v>
      </c>
      <c r="S763" s="3" t="s">
        <v>37</v>
      </c>
      <c r="T763" s="3" t="s">
        <v>38</v>
      </c>
      <c r="U763" s="3" t="s">
        <v>39</v>
      </c>
      <c r="V763" s="5">
        <v>9941.06</v>
      </c>
      <c r="W763" s="5">
        <v>5020.24</v>
      </c>
      <c r="X763" s="5">
        <v>3444.58</v>
      </c>
      <c r="Y763" s="5">
        <v>1476.24</v>
      </c>
    </row>
    <row r="764" spans="1:25" ht="41.5" hidden="1" x14ac:dyDescent="0.35">
      <c r="A764" s="3" t="s">
        <v>26</v>
      </c>
      <c r="B764" s="3" t="s">
        <v>27</v>
      </c>
      <c r="C764" s="3" t="s">
        <v>90</v>
      </c>
      <c r="D764" s="3" t="s">
        <v>61</v>
      </c>
      <c r="E764" s="3" t="s">
        <v>1231</v>
      </c>
      <c r="F764" s="3" t="s">
        <v>63</v>
      </c>
      <c r="G764" s="3" t="s">
        <v>1231</v>
      </c>
      <c r="H764" s="3" t="s">
        <v>212</v>
      </c>
      <c r="I764" s="3">
        <v>2024</v>
      </c>
      <c r="J764" s="3" t="str">
        <f>CONCATENATE("44811300209")</f>
        <v>44811300209</v>
      </c>
      <c r="K764" s="3" t="s">
        <v>33</v>
      </c>
      <c r="L764" s="3" t="str">
        <f t="shared" si="45"/>
        <v/>
      </c>
      <c r="M764" s="3" t="str">
        <f>CONCATENATE("SRA29")</f>
        <v>SRA29</v>
      </c>
      <c r="N764" s="3" t="str">
        <f>CONCATENATE("LCTGPP72C16E618T")</f>
        <v>LCTGPP72C16E618T</v>
      </c>
      <c r="O764" s="3" t="s">
        <v>1232</v>
      </c>
      <c r="P764" s="3" t="s">
        <v>35</v>
      </c>
      <c r="Q764" s="3" t="s">
        <v>1230</v>
      </c>
      <c r="R764" s="4">
        <v>45931</v>
      </c>
      <c r="S764" s="3" t="s">
        <v>37</v>
      </c>
      <c r="T764" s="3" t="s">
        <v>38</v>
      </c>
      <c r="U764" s="3" t="s">
        <v>39</v>
      </c>
      <c r="V764" s="5">
        <v>4502.4799999999996</v>
      </c>
      <c r="W764" s="5">
        <v>2273.75</v>
      </c>
      <c r="X764" s="5">
        <v>1560.11</v>
      </c>
      <c r="Y764" s="3">
        <v>668.62</v>
      </c>
    </row>
    <row r="765" spans="1:25" ht="49.5" hidden="1" x14ac:dyDescent="0.35">
      <c r="A765" s="3" t="s">
        <v>26</v>
      </c>
      <c r="B765" s="3" t="s">
        <v>27</v>
      </c>
      <c r="C765" s="3" t="s">
        <v>90</v>
      </c>
      <c r="D765" s="3" t="s">
        <v>164</v>
      </c>
      <c r="E765" s="3" t="s">
        <v>280</v>
      </c>
      <c r="F765" s="3" t="s">
        <v>51</v>
      </c>
      <c r="G765" s="3" t="s">
        <v>754</v>
      </c>
      <c r="H765" s="3" t="s">
        <v>212</v>
      </c>
      <c r="I765" s="3">
        <v>2024</v>
      </c>
      <c r="J765" s="3" t="str">
        <f>CONCATENATE("44811282068")</f>
        <v>44811282068</v>
      </c>
      <c r="K765" s="3" t="s">
        <v>33</v>
      </c>
      <c r="L765" s="3" t="str">
        <f t="shared" si="45"/>
        <v/>
      </c>
      <c r="M765" s="3" t="str">
        <f>CONCATENATE("SRA29")</f>
        <v>SRA29</v>
      </c>
      <c r="N765" s="3" t="str">
        <f>CONCATENATE("MNCGPP58A08B660U")</f>
        <v>MNCGPP58A08B660U</v>
      </c>
      <c r="O765" s="3" t="s">
        <v>1233</v>
      </c>
      <c r="P765" s="3" t="s">
        <v>35</v>
      </c>
      <c r="Q765" s="3" t="s">
        <v>1230</v>
      </c>
      <c r="R765" s="4">
        <v>45931</v>
      </c>
      <c r="S765" s="3" t="s">
        <v>37</v>
      </c>
      <c r="T765" s="3" t="s">
        <v>38</v>
      </c>
      <c r="U765" s="3" t="s">
        <v>39</v>
      </c>
      <c r="V765" s="5">
        <v>3277.07</v>
      </c>
      <c r="W765" s="5">
        <v>1654.92</v>
      </c>
      <c r="X765" s="5">
        <v>1135.5</v>
      </c>
      <c r="Y765" s="3">
        <v>486.65</v>
      </c>
    </row>
    <row r="766" spans="1:25" ht="41.5" hidden="1" x14ac:dyDescent="0.35">
      <c r="A766" s="3" t="s">
        <v>26</v>
      </c>
      <c r="B766" s="3" t="s">
        <v>27</v>
      </c>
      <c r="C766" s="3" t="s">
        <v>478</v>
      </c>
      <c r="D766" s="3" t="s">
        <v>75</v>
      </c>
      <c r="E766" s="3" t="s">
        <v>582</v>
      </c>
      <c r="F766" s="3" t="s">
        <v>77</v>
      </c>
      <c r="G766" s="3" t="s">
        <v>582</v>
      </c>
      <c r="H766" s="3" t="s">
        <v>614</v>
      </c>
      <c r="I766" s="3">
        <v>2024</v>
      </c>
      <c r="J766" s="3" t="str">
        <f>CONCATENATE("44811017738")</f>
        <v>44811017738</v>
      </c>
      <c r="K766" s="3" t="s">
        <v>33</v>
      </c>
      <c r="L766" s="3" t="str">
        <f t="shared" si="45"/>
        <v/>
      </c>
      <c r="M766" s="3" t="str">
        <f>CONCATENATE("SRA03")</f>
        <v>SRA03</v>
      </c>
      <c r="N766" s="3" t="str">
        <f>CONCATENATE("CSRNCL53L25H898T")</f>
        <v>CSRNCL53L25H898T</v>
      </c>
      <c r="O766" s="3" t="s">
        <v>1234</v>
      </c>
      <c r="P766" s="3" t="s">
        <v>35</v>
      </c>
      <c r="Q766" s="3" t="s">
        <v>616</v>
      </c>
      <c r="R766" s="4">
        <v>45933</v>
      </c>
      <c r="S766" s="3" t="s">
        <v>37</v>
      </c>
      <c r="T766" s="3" t="s">
        <v>38</v>
      </c>
      <c r="U766" s="3" t="s">
        <v>39</v>
      </c>
      <c r="V766" s="3">
        <v>855.33</v>
      </c>
      <c r="W766" s="3">
        <v>431.94</v>
      </c>
      <c r="X766" s="3">
        <v>296.37</v>
      </c>
      <c r="Y766" s="3">
        <v>127.02</v>
      </c>
    </row>
    <row r="767" spans="1:25" ht="41.5" hidden="1" x14ac:dyDescent="0.35">
      <c r="A767" s="3" t="s">
        <v>26</v>
      </c>
      <c r="B767" s="3" t="s">
        <v>27</v>
      </c>
      <c r="C767" s="3" t="s">
        <v>478</v>
      </c>
      <c r="D767" s="3" t="s">
        <v>75</v>
      </c>
      <c r="E767" s="3" t="s">
        <v>582</v>
      </c>
      <c r="F767" s="3" t="s">
        <v>77</v>
      </c>
      <c r="G767" s="3" t="s">
        <v>582</v>
      </c>
      <c r="H767" s="3" t="s">
        <v>614</v>
      </c>
      <c r="I767" s="3">
        <v>2024</v>
      </c>
      <c r="J767" s="3" t="str">
        <f>CONCATENATE("44810493971")</f>
        <v>44810493971</v>
      </c>
      <c r="K767" s="3" t="s">
        <v>33</v>
      </c>
      <c r="L767" s="3" t="str">
        <f t="shared" si="45"/>
        <v/>
      </c>
      <c r="M767" s="3" t="str">
        <f>CONCATENATE("SRA03")</f>
        <v>SRA03</v>
      </c>
      <c r="N767" s="3" t="str">
        <f>CONCATENATE("LMBRND94H06A783P")</f>
        <v>LMBRND94H06A783P</v>
      </c>
      <c r="O767" s="3" t="s">
        <v>1235</v>
      </c>
      <c r="P767" s="3" t="s">
        <v>35</v>
      </c>
      <c r="Q767" s="3" t="s">
        <v>616</v>
      </c>
      <c r="R767" s="4">
        <v>45933</v>
      </c>
      <c r="S767" s="3" t="s">
        <v>37</v>
      </c>
      <c r="T767" s="3" t="s">
        <v>38</v>
      </c>
      <c r="U767" s="3" t="s">
        <v>39</v>
      </c>
      <c r="V767" s="5">
        <v>1982.27</v>
      </c>
      <c r="W767" s="5">
        <v>1001.05</v>
      </c>
      <c r="X767" s="3">
        <v>686.86</v>
      </c>
      <c r="Y767" s="3">
        <v>294.36</v>
      </c>
    </row>
    <row r="768" spans="1:25" ht="41.5" hidden="1" x14ac:dyDescent="0.35">
      <c r="A768" s="3" t="s">
        <v>26</v>
      </c>
      <c r="B768" s="3" t="s">
        <v>27</v>
      </c>
      <c r="C768" s="3" t="s">
        <v>90</v>
      </c>
      <c r="D768" s="3" t="s">
        <v>51</v>
      </c>
      <c r="E768" s="3" t="s">
        <v>1236</v>
      </c>
      <c r="F768" s="3" t="s">
        <v>51</v>
      </c>
      <c r="G768" s="3" t="s">
        <v>1236</v>
      </c>
      <c r="H768" s="3" t="s">
        <v>208</v>
      </c>
      <c r="I768" s="3">
        <v>2024</v>
      </c>
      <c r="J768" s="3" t="str">
        <f>CONCATENATE("44811255825")</f>
        <v>44811255825</v>
      </c>
      <c r="K768" s="3" t="s">
        <v>33</v>
      </c>
      <c r="L768" s="3" t="str">
        <f t="shared" si="45"/>
        <v/>
      </c>
      <c r="M768" s="3" t="str">
        <f t="shared" ref="M768:M778" si="48">CONCATENATE("SRA30")</f>
        <v>SRA30</v>
      </c>
      <c r="N768" s="3" t="str">
        <f>CONCATENATE("CSTGPP83S17C351X")</f>
        <v>CSTGPP83S17C351X</v>
      </c>
      <c r="O768" s="3" t="s">
        <v>898</v>
      </c>
      <c r="P768" s="3" t="s">
        <v>35</v>
      </c>
      <c r="Q768" s="3" t="s">
        <v>1237</v>
      </c>
      <c r="R768" s="4">
        <v>45919</v>
      </c>
      <c r="S768" s="3" t="s">
        <v>37</v>
      </c>
      <c r="T768" s="3" t="s">
        <v>38</v>
      </c>
      <c r="U768" s="3" t="s">
        <v>39</v>
      </c>
      <c r="V768" s="5">
        <v>8998.7800000000007</v>
      </c>
      <c r="W768" s="5">
        <v>4544.38</v>
      </c>
      <c r="X768" s="5">
        <v>3118.08</v>
      </c>
      <c r="Y768" s="5">
        <v>1336.32</v>
      </c>
    </row>
    <row r="769" spans="1:25" ht="41.5" hidden="1" x14ac:dyDescent="0.35">
      <c r="A769" s="3" t="s">
        <v>26</v>
      </c>
      <c r="B769" s="3" t="s">
        <v>27</v>
      </c>
      <c r="C769" s="3" t="s">
        <v>90</v>
      </c>
      <c r="D769" s="3" t="s">
        <v>234</v>
      </c>
      <c r="E769" s="3" t="s">
        <v>329</v>
      </c>
      <c r="F769" s="3" t="s">
        <v>119</v>
      </c>
      <c r="G769" s="3" t="s">
        <v>329</v>
      </c>
      <c r="H769" s="3" t="s">
        <v>208</v>
      </c>
      <c r="I769" s="3">
        <v>2024</v>
      </c>
      <c r="J769" s="3" t="str">
        <f>CONCATENATE("44810361988")</f>
        <v>44810361988</v>
      </c>
      <c r="K769" s="3" t="s">
        <v>33</v>
      </c>
      <c r="L769" s="3" t="str">
        <f t="shared" si="45"/>
        <v/>
      </c>
      <c r="M769" s="3" t="str">
        <f t="shared" si="48"/>
        <v>SRA30</v>
      </c>
      <c r="N769" s="3" t="str">
        <f>CONCATENATE("DNGLNI62B60C480O")</f>
        <v>DNGLNI62B60C480O</v>
      </c>
      <c r="O769" s="3" t="s">
        <v>1238</v>
      </c>
      <c r="P769" s="3" t="s">
        <v>35</v>
      </c>
      <c r="Q769" s="3" t="s">
        <v>1237</v>
      </c>
      <c r="R769" s="4">
        <v>45919</v>
      </c>
      <c r="S769" s="3" t="s">
        <v>37</v>
      </c>
      <c r="T769" s="3" t="s">
        <v>38</v>
      </c>
      <c r="U769" s="3" t="s">
        <v>39</v>
      </c>
      <c r="V769" s="5">
        <v>1953</v>
      </c>
      <c r="W769" s="3">
        <v>986.27</v>
      </c>
      <c r="X769" s="3">
        <v>676.71</v>
      </c>
      <c r="Y769" s="3">
        <v>290.02</v>
      </c>
    </row>
    <row r="770" spans="1:25" ht="41.5" hidden="1" x14ac:dyDescent="0.35">
      <c r="A770" s="3" t="s">
        <v>26</v>
      </c>
      <c r="B770" s="3" t="s">
        <v>27</v>
      </c>
      <c r="C770" s="3" t="s">
        <v>90</v>
      </c>
      <c r="D770" s="3" t="s">
        <v>51</v>
      </c>
      <c r="E770" s="3" t="s">
        <v>1236</v>
      </c>
      <c r="F770" s="3" t="s">
        <v>51</v>
      </c>
      <c r="G770" s="3" t="s">
        <v>1236</v>
      </c>
      <c r="H770" s="3" t="s">
        <v>208</v>
      </c>
      <c r="I770" s="3">
        <v>2024</v>
      </c>
      <c r="J770" s="3" t="str">
        <f>CONCATENATE("44811067592")</f>
        <v>44811067592</v>
      </c>
      <c r="K770" s="3" t="s">
        <v>33</v>
      </c>
      <c r="L770" s="3" t="str">
        <f t="shared" si="45"/>
        <v/>
      </c>
      <c r="M770" s="3" t="str">
        <f t="shared" si="48"/>
        <v>SRA30</v>
      </c>
      <c r="N770" s="3" t="str">
        <f>CONCATENATE("DDIGCM90A18F892C")</f>
        <v>DDIGCM90A18F892C</v>
      </c>
      <c r="O770" s="3" t="s">
        <v>1239</v>
      </c>
      <c r="P770" s="3" t="s">
        <v>35</v>
      </c>
      <c r="Q770" s="3" t="s">
        <v>1237</v>
      </c>
      <c r="R770" s="4">
        <v>45919</v>
      </c>
      <c r="S770" s="3" t="s">
        <v>37</v>
      </c>
      <c r="T770" s="3" t="s">
        <v>38</v>
      </c>
      <c r="U770" s="3" t="s">
        <v>39</v>
      </c>
      <c r="V770" s="5">
        <v>4250</v>
      </c>
      <c r="W770" s="5">
        <v>2146.25</v>
      </c>
      <c r="X770" s="5">
        <v>1472.63</v>
      </c>
      <c r="Y770" s="3">
        <v>631.12</v>
      </c>
    </row>
    <row r="771" spans="1:25" ht="41.5" hidden="1" x14ac:dyDescent="0.35">
      <c r="A771" s="3" t="s">
        <v>26</v>
      </c>
      <c r="B771" s="3" t="s">
        <v>27</v>
      </c>
      <c r="C771" s="3" t="s">
        <v>90</v>
      </c>
      <c r="D771" s="3" t="s">
        <v>180</v>
      </c>
      <c r="E771" s="3" t="s">
        <v>258</v>
      </c>
      <c r="F771" s="3" t="s">
        <v>85</v>
      </c>
      <c r="G771" s="3" t="s">
        <v>258</v>
      </c>
      <c r="H771" s="3" t="s">
        <v>208</v>
      </c>
      <c r="I771" s="3">
        <v>2024</v>
      </c>
      <c r="J771" s="3" t="str">
        <f>CONCATENATE("44810759348")</f>
        <v>44810759348</v>
      </c>
      <c r="K771" s="3" t="s">
        <v>33</v>
      </c>
      <c r="L771" s="3" t="str">
        <f t="shared" si="45"/>
        <v/>
      </c>
      <c r="M771" s="3" t="str">
        <f t="shared" si="48"/>
        <v>SRA30</v>
      </c>
      <c r="N771" s="3" t="str">
        <f>CONCATENATE("GGLFNC74L04C342A")</f>
        <v>GGLFNC74L04C342A</v>
      </c>
      <c r="O771" s="3" t="s">
        <v>1240</v>
      </c>
      <c r="P771" s="3" t="s">
        <v>35</v>
      </c>
      <c r="Q771" s="3" t="s">
        <v>1237</v>
      </c>
      <c r="R771" s="4">
        <v>45919</v>
      </c>
      <c r="S771" s="3" t="s">
        <v>37</v>
      </c>
      <c r="T771" s="3" t="s">
        <v>38</v>
      </c>
      <c r="U771" s="3" t="s">
        <v>39</v>
      </c>
      <c r="V771" s="5">
        <v>2499</v>
      </c>
      <c r="W771" s="5">
        <v>1262</v>
      </c>
      <c r="X771" s="3">
        <v>865.9</v>
      </c>
      <c r="Y771" s="3">
        <v>371.1</v>
      </c>
    </row>
    <row r="772" spans="1:25" ht="41.5" hidden="1" x14ac:dyDescent="0.35">
      <c r="A772" s="3" t="s">
        <v>26</v>
      </c>
      <c r="B772" s="3" t="s">
        <v>27</v>
      </c>
      <c r="C772" s="3" t="s">
        <v>90</v>
      </c>
      <c r="D772" s="3" t="s">
        <v>234</v>
      </c>
      <c r="E772" s="3" t="s">
        <v>1241</v>
      </c>
      <c r="F772" s="3" t="s">
        <v>119</v>
      </c>
      <c r="G772" s="3" t="s">
        <v>1241</v>
      </c>
      <c r="H772" s="3" t="s">
        <v>208</v>
      </c>
      <c r="I772" s="3">
        <v>2024</v>
      </c>
      <c r="J772" s="3" t="str">
        <f>CONCATENATE("44810800381")</f>
        <v>44810800381</v>
      </c>
      <c r="K772" s="3" t="s">
        <v>33</v>
      </c>
      <c r="L772" s="3" t="str">
        <f t="shared" ref="L772:L835" si="49">CONCATENATE("")</f>
        <v/>
      </c>
      <c r="M772" s="3" t="str">
        <f t="shared" si="48"/>
        <v>SRA30</v>
      </c>
      <c r="N772" s="3" t="str">
        <f>CONCATENATE("RCSNTN83M22B660C")</f>
        <v>RCSNTN83M22B660C</v>
      </c>
      <c r="O772" s="3" t="s">
        <v>1242</v>
      </c>
      <c r="P772" s="3" t="s">
        <v>35</v>
      </c>
      <c r="Q772" s="3" t="s">
        <v>1237</v>
      </c>
      <c r="R772" s="4">
        <v>45919</v>
      </c>
      <c r="S772" s="3" t="s">
        <v>37</v>
      </c>
      <c r="T772" s="3" t="s">
        <v>38</v>
      </c>
      <c r="U772" s="3" t="s">
        <v>39</v>
      </c>
      <c r="V772" s="5">
        <v>2583.2600000000002</v>
      </c>
      <c r="W772" s="5">
        <v>1304.55</v>
      </c>
      <c r="X772" s="3">
        <v>895.1</v>
      </c>
      <c r="Y772" s="3">
        <v>383.61</v>
      </c>
    </row>
    <row r="773" spans="1:25" ht="41.5" hidden="1" x14ac:dyDescent="0.35">
      <c r="A773" s="3" t="s">
        <v>26</v>
      </c>
      <c r="B773" s="3" t="s">
        <v>27</v>
      </c>
      <c r="C773" s="3" t="s">
        <v>90</v>
      </c>
      <c r="D773" s="3" t="s">
        <v>234</v>
      </c>
      <c r="E773" s="3" t="s">
        <v>1241</v>
      </c>
      <c r="F773" s="3" t="s">
        <v>119</v>
      </c>
      <c r="G773" s="3" t="s">
        <v>1241</v>
      </c>
      <c r="H773" s="3" t="s">
        <v>208</v>
      </c>
      <c r="I773" s="3">
        <v>2024</v>
      </c>
      <c r="J773" s="3" t="str">
        <f>CONCATENATE("44810823771")</f>
        <v>44810823771</v>
      </c>
      <c r="K773" s="3" t="s">
        <v>33</v>
      </c>
      <c r="L773" s="3" t="str">
        <f t="shared" si="49"/>
        <v/>
      </c>
      <c r="M773" s="3" t="str">
        <f t="shared" si="48"/>
        <v>SRA30</v>
      </c>
      <c r="N773" s="3" t="str">
        <f>CONCATENATE("PRMDNC86C10F892D")</f>
        <v>PRMDNC86C10F892D</v>
      </c>
      <c r="O773" s="3" t="s">
        <v>1243</v>
      </c>
      <c r="P773" s="3" t="s">
        <v>35</v>
      </c>
      <c r="Q773" s="3" t="s">
        <v>1237</v>
      </c>
      <c r="R773" s="4">
        <v>45919</v>
      </c>
      <c r="S773" s="3" t="s">
        <v>37</v>
      </c>
      <c r="T773" s="3" t="s">
        <v>38</v>
      </c>
      <c r="U773" s="3" t="s">
        <v>39</v>
      </c>
      <c r="V773" s="5">
        <v>4013.15</v>
      </c>
      <c r="W773" s="5">
        <v>2026.64</v>
      </c>
      <c r="X773" s="5">
        <v>1390.56</v>
      </c>
      <c r="Y773" s="3">
        <v>595.95000000000005</v>
      </c>
    </row>
    <row r="774" spans="1:25" ht="41.5" hidden="1" x14ac:dyDescent="0.35">
      <c r="A774" s="3" t="s">
        <v>26</v>
      </c>
      <c r="B774" s="3" t="s">
        <v>27</v>
      </c>
      <c r="C774" s="3" t="s">
        <v>90</v>
      </c>
      <c r="D774" s="3" t="s">
        <v>234</v>
      </c>
      <c r="E774" s="3" t="s">
        <v>1005</v>
      </c>
      <c r="F774" s="3" t="s">
        <v>119</v>
      </c>
      <c r="G774" s="3" t="s">
        <v>1005</v>
      </c>
      <c r="H774" s="3" t="s">
        <v>208</v>
      </c>
      <c r="I774" s="3">
        <v>2024</v>
      </c>
      <c r="J774" s="3" t="str">
        <f>CONCATENATE("44810991537")</f>
        <v>44810991537</v>
      </c>
      <c r="K774" s="3" t="s">
        <v>33</v>
      </c>
      <c r="L774" s="3" t="str">
        <f t="shared" si="49"/>
        <v/>
      </c>
      <c r="M774" s="3" t="str">
        <f t="shared" si="48"/>
        <v>SRA30</v>
      </c>
      <c r="N774" s="3" t="str">
        <f>CONCATENATE("PRNPQL65D27B660L")</f>
        <v>PRNPQL65D27B660L</v>
      </c>
      <c r="O774" s="3" t="s">
        <v>1244</v>
      </c>
      <c r="P774" s="3" t="s">
        <v>35</v>
      </c>
      <c r="Q774" s="3" t="s">
        <v>1237</v>
      </c>
      <c r="R774" s="4">
        <v>45919</v>
      </c>
      <c r="S774" s="3" t="s">
        <v>37</v>
      </c>
      <c r="T774" s="3" t="s">
        <v>38</v>
      </c>
      <c r="U774" s="3" t="s">
        <v>39</v>
      </c>
      <c r="V774" s="5">
        <v>3913.92</v>
      </c>
      <c r="W774" s="5">
        <v>1976.53</v>
      </c>
      <c r="X774" s="5">
        <v>1356.17</v>
      </c>
      <c r="Y774" s="3">
        <v>581.22</v>
      </c>
    </row>
    <row r="775" spans="1:25" ht="41.5" hidden="1" x14ac:dyDescent="0.35">
      <c r="A775" s="3" t="s">
        <v>26</v>
      </c>
      <c r="B775" s="3" t="s">
        <v>27</v>
      </c>
      <c r="C775" s="3" t="s">
        <v>90</v>
      </c>
      <c r="D775" s="3" t="s">
        <v>41</v>
      </c>
      <c r="E775" s="3" t="s">
        <v>417</v>
      </c>
      <c r="F775" s="3" t="s">
        <v>43</v>
      </c>
      <c r="G775" s="3" t="s">
        <v>417</v>
      </c>
      <c r="H775" s="3" t="s">
        <v>208</v>
      </c>
      <c r="I775" s="3">
        <v>2024</v>
      </c>
      <c r="J775" s="3" t="str">
        <f>CONCATENATE("44810277986")</f>
        <v>44810277986</v>
      </c>
      <c r="K775" s="3" t="s">
        <v>33</v>
      </c>
      <c r="L775" s="3" t="str">
        <f t="shared" si="49"/>
        <v/>
      </c>
      <c r="M775" s="3" t="str">
        <f t="shared" si="48"/>
        <v>SRA30</v>
      </c>
      <c r="N775" s="3" t="str">
        <f>CONCATENATE("RSPMHL50A01F892R")</f>
        <v>RSPMHL50A01F892R</v>
      </c>
      <c r="O775" s="3" t="s">
        <v>418</v>
      </c>
      <c r="P775" s="3" t="s">
        <v>35</v>
      </c>
      <c r="Q775" s="3" t="s">
        <v>1237</v>
      </c>
      <c r="R775" s="4">
        <v>45919</v>
      </c>
      <c r="S775" s="3" t="s">
        <v>37</v>
      </c>
      <c r="T775" s="3" t="s">
        <v>38</v>
      </c>
      <c r="U775" s="3" t="s">
        <v>39</v>
      </c>
      <c r="V775" s="5">
        <v>4981</v>
      </c>
      <c r="W775" s="5">
        <v>2515.41</v>
      </c>
      <c r="X775" s="5">
        <v>1725.92</v>
      </c>
      <c r="Y775" s="3">
        <v>739.67</v>
      </c>
    </row>
    <row r="776" spans="1:25" ht="25.5" hidden="1" x14ac:dyDescent="0.35">
      <c r="A776" s="3" t="s">
        <v>26</v>
      </c>
      <c r="B776" s="3" t="s">
        <v>27</v>
      </c>
      <c r="C776" s="3" t="s">
        <v>90</v>
      </c>
      <c r="D776" s="3" t="s">
        <v>51</v>
      </c>
      <c r="E776" s="3" t="s">
        <v>1236</v>
      </c>
      <c r="F776" s="3" t="s">
        <v>51</v>
      </c>
      <c r="G776" s="3" t="s">
        <v>1236</v>
      </c>
      <c r="H776" s="3" t="s">
        <v>208</v>
      </c>
      <c r="I776" s="3">
        <v>2024</v>
      </c>
      <c r="J776" s="3" t="str">
        <f>CONCATENATE("44811194008")</f>
        <v>44811194008</v>
      </c>
      <c r="K776" s="3" t="s">
        <v>33</v>
      </c>
      <c r="L776" s="3" t="str">
        <f t="shared" si="49"/>
        <v/>
      </c>
      <c r="M776" s="3" t="str">
        <f t="shared" si="48"/>
        <v>SRA30</v>
      </c>
      <c r="N776" s="3" t="str">
        <f>CONCATENATE("01287780868")</f>
        <v>01287780868</v>
      </c>
      <c r="O776" s="3" t="s">
        <v>1245</v>
      </c>
      <c r="P776" s="3" t="s">
        <v>35</v>
      </c>
      <c r="Q776" s="3" t="s">
        <v>1237</v>
      </c>
      <c r="R776" s="4">
        <v>45919</v>
      </c>
      <c r="S776" s="3" t="s">
        <v>37</v>
      </c>
      <c r="T776" s="3" t="s">
        <v>38</v>
      </c>
      <c r="U776" s="3" t="s">
        <v>39</v>
      </c>
      <c r="V776" s="5">
        <v>11094.79</v>
      </c>
      <c r="W776" s="5">
        <v>5602.87</v>
      </c>
      <c r="X776" s="5">
        <v>3844.34</v>
      </c>
      <c r="Y776" s="5">
        <v>1647.58</v>
      </c>
    </row>
    <row r="777" spans="1:25" ht="41.5" hidden="1" x14ac:dyDescent="0.35">
      <c r="A777" s="3" t="s">
        <v>26</v>
      </c>
      <c r="B777" s="3" t="s">
        <v>27</v>
      </c>
      <c r="C777" s="3" t="s">
        <v>90</v>
      </c>
      <c r="D777" s="3" t="s">
        <v>61</v>
      </c>
      <c r="E777" s="3" t="s">
        <v>207</v>
      </c>
      <c r="F777" s="3" t="s">
        <v>63</v>
      </c>
      <c r="G777" s="3" t="s">
        <v>207</v>
      </c>
      <c r="H777" s="3" t="s">
        <v>208</v>
      </c>
      <c r="I777" s="3">
        <v>2024</v>
      </c>
      <c r="J777" s="3" t="str">
        <f>CONCATENATE("44810846137")</f>
        <v>44810846137</v>
      </c>
      <c r="K777" s="3" t="s">
        <v>33</v>
      </c>
      <c r="L777" s="3" t="str">
        <f t="shared" si="49"/>
        <v/>
      </c>
      <c r="M777" s="3" t="str">
        <f t="shared" si="48"/>
        <v>SRA30</v>
      </c>
      <c r="N777" s="3" t="str">
        <f>CONCATENATE("TSTSVT94S01F892M")</f>
        <v>TSTSVT94S01F892M</v>
      </c>
      <c r="O777" s="3" t="s">
        <v>1246</v>
      </c>
      <c r="P777" s="3" t="s">
        <v>35</v>
      </c>
      <c r="Q777" s="3" t="s">
        <v>1237</v>
      </c>
      <c r="R777" s="4">
        <v>45919</v>
      </c>
      <c r="S777" s="3" t="s">
        <v>37</v>
      </c>
      <c r="T777" s="3" t="s">
        <v>38</v>
      </c>
      <c r="U777" s="3" t="s">
        <v>39</v>
      </c>
      <c r="V777" s="3">
        <v>668.91</v>
      </c>
      <c r="W777" s="3">
        <v>337.8</v>
      </c>
      <c r="X777" s="3">
        <v>231.78</v>
      </c>
      <c r="Y777" s="3">
        <v>99.33</v>
      </c>
    </row>
    <row r="778" spans="1:25" ht="41.5" hidden="1" x14ac:dyDescent="0.35">
      <c r="A778" s="3" t="s">
        <v>26</v>
      </c>
      <c r="B778" s="3" t="s">
        <v>27</v>
      </c>
      <c r="C778" s="3" t="s">
        <v>90</v>
      </c>
      <c r="D778" s="3" t="s">
        <v>29</v>
      </c>
      <c r="E778" s="3" t="s">
        <v>292</v>
      </c>
      <c r="F778" s="3" t="s">
        <v>31</v>
      </c>
      <c r="G778" s="3" t="s">
        <v>292</v>
      </c>
      <c r="H778" s="3" t="s">
        <v>208</v>
      </c>
      <c r="I778" s="3">
        <v>2024</v>
      </c>
      <c r="J778" s="3" t="str">
        <f>CONCATENATE("44810439164")</f>
        <v>44810439164</v>
      </c>
      <c r="K778" s="3" t="s">
        <v>33</v>
      </c>
      <c r="L778" s="3" t="str">
        <f t="shared" si="49"/>
        <v/>
      </c>
      <c r="M778" s="3" t="str">
        <f t="shared" si="48"/>
        <v>SRA30</v>
      </c>
      <c r="N778" s="3" t="str">
        <f>CONCATENATE("TRVSVT86R08F892W")</f>
        <v>TRVSVT86R08F892W</v>
      </c>
      <c r="O778" s="3" t="s">
        <v>1247</v>
      </c>
      <c r="P778" s="3" t="s">
        <v>35</v>
      </c>
      <c r="Q778" s="3" t="s">
        <v>1237</v>
      </c>
      <c r="R778" s="4">
        <v>45919</v>
      </c>
      <c r="S778" s="3" t="s">
        <v>37</v>
      </c>
      <c r="T778" s="3" t="s">
        <v>38</v>
      </c>
      <c r="U778" s="3" t="s">
        <v>39</v>
      </c>
      <c r="V778" s="5">
        <v>6613.42</v>
      </c>
      <c r="W778" s="5">
        <v>3339.78</v>
      </c>
      <c r="X778" s="5">
        <v>2291.5500000000002</v>
      </c>
      <c r="Y778" s="3">
        <v>982.09</v>
      </c>
    </row>
    <row r="779" spans="1:25" ht="41.5" hidden="1" x14ac:dyDescent="0.35">
      <c r="A779" s="3" t="s">
        <v>26</v>
      </c>
      <c r="B779" s="3" t="s">
        <v>27</v>
      </c>
      <c r="C779" s="3" t="s">
        <v>40</v>
      </c>
      <c r="D779" s="3" t="s">
        <v>29</v>
      </c>
      <c r="E779" s="3" t="s">
        <v>1052</v>
      </c>
      <c r="F779" s="3" t="s">
        <v>31</v>
      </c>
      <c r="G779" s="3" t="s">
        <v>1052</v>
      </c>
      <c r="H779" s="3" t="s">
        <v>116</v>
      </c>
      <c r="I779" s="3">
        <v>2024</v>
      </c>
      <c r="J779" s="3" t="str">
        <f>CONCATENATE("44810398162")</f>
        <v>44810398162</v>
      </c>
      <c r="K779" s="3" t="s">
        <v>33</v>
      </c>
      <c r="L779" s="3" t="str">
        <f t="shared" si="49"/>
        <v/>
      </c>
      <c r="M779" s="3" t="str">
        <f t="shared" ref="M779:M792" si="50">CONCATENATE("SRA29")</f>
        <v>SRA29</v>
      </c>
      <c r="N779" s="3" t="str">
        <f>CONCATENATE("NWCCRS66P53Z110I")</f>
        <v>NWCCRS66P53Z110I</v>
      </c>
      <c r="O779" s="3" t="s">
        <v>1248</v>
      </c>
      <c r="P779" s="3" t="s">
        <v>35</v>
      </c>
      <c r="Q779" s="3" t="s">
        <v>923</v>
      </c>
      <c r="R779" s="4">
        <v>45933</v>
      </c>
      <c r="S779" s="3" t="s">
        <v>37</v>
      </c>
      <c r="T779" s="3" t="s">
        <v>38</v>
      </c>
      <c r="U779" s="3" t="s">
        <v>39</v>
      </c>
      <c r="V779" s="3">
        <v>720.79</v>
      </c>
      <c r="W779" s="3">
        <v>293.36</v>
      </c>
      <c r="X779" s="3">
        <v>299.2</v>
      </c>
      <c r="Y779" s="3">
        <v>128.22999999999999</v>
      </c>
    </row>
    <row r="780" spans="1:25" ht="41.5" hidden="1" x14ac:dyDescent="0.35">
      <c r="A780" s="3" t="s">
        <v>26</v>
      </c>
      <c r="B780" s="3" t="s">
        <v>27</v>
      </c>
      <c r="C780" s="3" t="s">
        <v>40</v>
      </c>
      <c r="D780" s="3" t="s">
        <v>137</v>
      </c>
      <c r="E780" s="3" t="s">
        <v>138</v>
      </c>
      <c r="F780" s="3" t="s">
        <v>139</v>
      </c>
      <c r="G780" s="3" t="s">
        <v>138</v>
      </c>
      <c r="H780" s="3" t="s">
        <v>44</v>
      </c>
      <c r="I780" s="3">
        <v>2024</v>
      </c>
      <c r="J780" s="3" t="str">
        <f>CONCATENATE("44810595007")</f>
        <v>44810595007</v>
      </c>
      <c r="K780" s="3" t="s">
        <v>33</v>
      </c>
      <c r="L780" s="3" t="str">
        <f t="shared" si="49"/>
        <v/>
      </c>
      <c r="M780" s="3" t="str">
        <f t="shared" si="50"/>
        <v>SRA29</v>
      </c>
      <c r="N780" s="3" t="str">
        <f>CONCATENATE("PLMSFN44A22L286G")</f>
        <v>PLMSFN44A22L286G</v>
      </c>
      <c r="O780" s="3" t="s">
        <v>1249</v>
      </c>
      <c r="P780" s="3" t="s">
        <v>35</v>
      </c>
      <c r="Q780" s="3" t="s">
        <v>923</v>
      </c>
      <c r="R780" s="4">
        <v>45933</v>
      </c>
      <c r="S780" s="3" t="s">
        <v>37</v>
      </c>
      <c r="T780" s="3" t="s">
        <v>38</v>
      </c>
      <c r="U780" s="3" t="s">
        <v>39</v>
      </c>
      <c r="V780" s="5">
        <v>2140.17</v>
      </c>
      <c r="W780" s="3">
        <v>871.05</v>
      </c>
      <c r="X780" s="3">
        <v>888.38</v>
      </c>
      <c r="Y780" s="3">
        <v>380.74</v>
      </c>
    </row>
    <row r="781" spans="1:25" ht="41.5" hidden="1" x14ac:dyDescent="0.35">
      <c r="A781" s="3" t="s">
        <v>26</v>
      </c>
      <c r="B781" s="3" t="s">
        <v>27</v>
      </c>
      <c r="C781" s="3" t="s">
        <v>40</v>
      </c>
      <c r="D781" s="3" t="s">
        <v>29</v>
      </c>
      <c r="E781" s="3" t="s">
        <v>1052</v>
      </c>
      <c r="F781" s="3" t="s">
        <v>31</v>
      </c>
      <c r="G781" s="3" t="s">
        <v>1052</v>
      </c>
      <c r="H781" s="3" t="s">
        <v>116</v>
      </c>
      <c r="I781" s="3">
        <v>2024</v>
      </c>
      <c r="J781" s="3" t="str">
        <f>CONCATENATE("44810291052")</f>
        <v>44810291052</v>
      </c>
      <c r="K781" s="3" t="s">
        <v>33</v>
      </c>
      <c r="L781" s="3" t="str">
        <f t="shared" si="49"/>
        <v/>
      </c>
      <c r="M781" s="3" t="str">
        <f t="shared" si="50"/>
        <v>SRA29</v>
      </c>
      <c r="N781" s="3" t="str">
        <f>CONCATENATE("PRCDNL62A02E472D")</f>
        <v>PRCDNL62A02E472D</v>
      </c>
      <c r="O781" s="3" t="s">
        <v>1250</v>
      </c>
      <c r="P781" s="3" t="s">
        <v>35</v>
      </c>
      <c r="Q781" s="3" t="s">
        <v>923</v>
      </c>
      <c r="R781" s="4">
        <v>45933</v>
      </c>
      <c r="S781" s="3" t="s">
        <v>37</v>
      </c>
      <c r="T781" s="3" t="s">
        <v>38</v>
      </c>
      <c r="U781" s="3" t="s">
        <v>39</v>
      </c>
      <c r="V781" s="5">
        <v>1215.81</v>
      </c>
      <c r="W781" s="3">
        <v>494.83</v>
      </c>
      <c r="X781" s="3">
        <v>504.68</v>
      </c>
      <c r="Y781" s="3">
        <v>216.3</v>
      </c>
    </row>
    <row r="782" spans="1:25" ht="41.5" hidden="1" x14ac:dyDescent="0.35">
      <c r="A782" s="3" t="s">
        <v>26</v>
      </c>
      <c r="B782" s="3" t="s">
        <v>27</v>
      </c>
      <c r="C782" s="3" t="s">
        <v>40</v>
      </c>
      <c r="D782" s="3" t="s">
        <v>137</v>
      </c>
      <c r="E782" s="3" t="s">
        <v>138</v>
      </c>
      <c r="F782" s="3" t="s">
        <v>139</v>
      </c>
      <c r="G782" s="3" t="s">
        <v>138</v>
      </c>
      <c r="H782" s="3" t="s">
        <v>44</v>
      </c>
      <c r="I782" s="3">
        <v>2024</v>
      </c>
      <c r="J782" s="3" t="str">
        <f>CONCATENATE("44810848620")</f>
        <v>44810848620</v>
      </c>
      <c r="K782" s="3" t="s">
        <v>33</v>
      </c>
      <c r="L782" s="3" t="str">
        <f t="shared" si="49"/>
        <v/>
      </c>
      <c r="M782" s="3" t="str">
        <f t="shared" si="50"/>
        <v>SRA29</v>
      </c>
      <c r="N782" s="3" t="str">
        <f>CONCATENATE("PZZLSS78L48E812R")</f>
        <v>PZZLSS78L48E812R</v>
      </c>
      <c r="O782" s="3" t="s">
        <v>1251</v>
      </c>
      <c r="P782" s="3" t="s">
        <v>35</v>
      </c>
      <c r="Q782" s="3" t="s">
        <v>923</v>
      </c>
      <c r="R782" s="4">
        <v>45933</v>
      </c>
      <c r="S782" s="3" t="s">
        <v>37</v>
      </c>
      <c r="T782" s="3" t="s">
        <v>38</v>
      </c>
      <c r="U782" s="3" t="s">
        <v>39</v>
      </c>
      <c r="V782" s="3">
        <v>66.48</v>
      </c>
      <c r="W782" s="3">
        <v>27.06</v>
      </c>
      <c r="X782" s="3">
        <v>27.6</v>
      </c>
      <c r="Y782" s="3">
        <v>11.82</v>
      </c>
    </row>
    <row r="783" spans="1:25" ht="41.5" hidden="1" x14ac:dyDescent="0.35">
      <c r="A783" s="3" t="s">
        <v>26</v>
      </c>
      <c r="B783" s="3" t="s">
        <v>27</v>
      </c>
      <c r="C783" s="3" t="s">
        <v>40</v>
      </c>
      <c r="D783" s="3" t="s">
        <v>137</v>
      </c>
      <c r="E783" s="3" t="s">
        <v>138</v>
      </c>
      <c r="F783" s="3" t="s">
        <v>139</v>
      </c>
      <c r="G783" s="3" t="s">
        <v>138</v>
      </c>
      <c r="H783" s="3" t="s">
        <v>64</v>
      </c>
      <c r="I783" s="3">
        <v>2024</v>
      </c>
      <c r="J783" s="3" t="str">
        <f>CONCATENATE("44810309995")</f>
        <v>44810309995</v>
      </c>
      <c r="K783" s="3" t="s">
        <v>33</v>
      </c>
      <c r="L783" s="3" t="str">
        <f t="shared" si="49"/>
        <v/>
      </c>
      <c r="M783" s="3" t="str">
        <f t="shared" si="50"/>
        <v>SRA29</v>
      </c>
      <c r="N783" s="3" t="str">
        <f>CONCATENATE("RSTRND70P18H501K")</f>
        <v>RSTRND70P18H501K</v>
      </c>
      <c r="O783" s="3" t="s">
        <v>1252</v>
      </c>
      <c r="P783" s="3" t="s">
        <v>35</v>
      </c>
      <c r="Q783" s="3" t="s">
        <v>923</v>
      </c>
      <c r="R783" s="4">
        <v>45933</v>
      </c>
      <c r="S783" s="3" t="s">
        <v>37</v>
      </c>
      <c r="T783" s="3" t="s">
        <v>38</v>
      </c>
      <c r="U783" s="3" t="s">
        <v>39</v>
      </c>
      <c r="V783" s="3">
        <v>11.86</v>
      </c>
      <c r="W783" s="3">
        <v>4.83</v>
      </c>
      <c r="X783" s="3">
        <v>4.92</v>
      </c>
      <c r="Y783" s="3">
        <v>2.11</v>
      </c>
    </row>
    <row r="784" spans="1:25" ht="25.5" hidden="1" x14ac:dyDescent="0.35">
      <c r="A784" s="3" t="s">
        <v>26</v>
      </c>
      <c r="B784" s="3" t="s">
        <v>27</v>
      </c>
      <c r="C784" s="3" t="s">
        <v>40</v>
      </c>
      <c r="D784" s="3" t="s">
        <v>137</v>
      </c>
      <c r="E784" s="3" t="s">
        <v>138</v>
      </c>
      <c r="F784" s="3" t="s">
        <v>139</v>
      </c>
      <c r="G784" s="3" t="s">
        <v>138</v>
      </c>
      <c r="H784" s="3" t="s">
        <v>64</v>
      </c>
      <c r="I784" s="3">
        <v>2024</v>
      </c>
      <c r="J784" s="3" t="str">
        <f>CONCATENATE("44810168474")</f>
        <v>44810168474</v>
      </c>
      <c r="K784" s="3" t="s">
        <v>33</v>
      </c>
      <c r="L784" s="3" t="str">
        <f t="shared" si="49"/>
        <v/>
      </c>
      <c r="M784" s="3" t="str">
        <f t="shared" si="50"/>
        <v>SRA29</v>
      </c>
      <c r="N784" s="3" t="str">
        <f>CONCATENATE("03771070582")</f>
        <v>03771070582</v>
      </c>
      <c r="O784" s="3" t="s">
        <v>1253</v>
      </c>
      <c r="P784" s="3" t="s">
        <v>35</v>
      </c>
      <c r="Q784" s="3" t="s">
        <v>923</v>
      </c>
      <c r="R784" s="4">
        <v>45933</v>
      </c>
      <c r="S784" s="3" t="s">
        <v>37</v>
      </c>
      <c r="T784" s="3" t="s">
        <v>38</v>
      </c>
      <c r="U784" s="3" t="s">
        <v>39</v>
      </c>
      <c r="V784" s="5">
        <v>13163.65</v>
      </c>
      <c r="W784" s="5">
        <v>5357.61</v>
      </c>
      <c r="X784" s="5">
        <v>5464.23</v>
      </c>
      <c r="Y784" s="5">
        <v>2341.81</v>
      </c>
    </row>
    <row r="785" spans="1:25" ht="41.5" hidden="1" x14ac:dyDescent="0.35">
      <c r="A785" s="3" t="s">
        <v>26</v>
      </c>
      <c r="B785" s="3" t="s">
        <v>27</v>
      </c>
      <c r="C785" s="3" t="s">
        <v>40</v>
      </c>
      <c r="D785" s="3" t="s">
        <v>41</v>
      </c>
      <c r="E785" s="3" t="s">
        <v>1160</v>
      </c>
      <c r="F785" s="3" t="s">
        <v>43</v>
      </c>
      <c r="G785" s="3" t="s">
        <v>1160</v>
      </c>
      <c r="H785" s="3" t="s">
        <v>64</v>
      </c>
      <c r="I785" s="3">
        <v>2024</v>
      </c>
      <c r="J785" s="3" t="str">
        <f>CONCATENATE("44810381374")</f>
        <v>44810381374</v>
      </c>
      <c r="K785" s="3" t="s">
        <v>33</v>
      </c>
      <c r="L785" s="3" t="str">
        <f t="shared" si="49"/>
        <v/>
      </c>
      <c r="M785" s="3" t="str">
        <f t="shared" si="50"/>
        <v>SRA29</v>
      </c>
      <c r="N785" s="3" t="str">
        <f>CONCATENATE("SCRLCU74L20H501C")</f>
        <v>SCRLCU74L20H501C</v>
      </c>
      <c r="O785" s="3" t="s">
        <v>1254</v>
      </c>
      <c r="P785" s="3" t="s">
        <v>35</v>
      </c>
      <c r="Q785" s="3" t="s">
        <v>923</v>
      </c>
      <c r="R785" s="4">
        <v>45933</v>
      </c>
      <c r="S785" s="3" t="s">
        <v>37</v>
      </c>
      <c r="T785" s="3" t="s">
        <v>38</v>
      </c>
      <c r="U785" s="3" t="s">
        <v>39</v>
      </c>
      <c r="V785" s="5">
        <v>4157.67</v>
      </c>
      <c r="W785" s="5">
        <v>1692.17</v>
      </c>
      <c r="X785" s="5">
        <v>1725.85</v>
      </c>
      <c r="Y785" s="3">
        <v>739.65</v>
      </c>
    </row>
    <row r="786" spans="1:25" ht="41.5" hidden="1" x14ac:dyDescent="0.35">
      <c r="A786" s="3" t="s">
        <v>26</v>
      </c>
      <c r="B786" s="3" t="s">
        <v>27</v>
      </c>
      <c r="C786" s="3" t="s">
        <v>40</v>
      </c>
      <c r="D786" s="3" t="s">
        <v>41</v>
      </c>
      <c r="E786" s="3" t="s">
        <v>1255</v>
      </c>
      <c r="F786" s="3" t="s">
        <v>43</v>
      </c>
      <c r="G786" s="3" t="s">
        <v>1255</v>
      </c>
      <c r="H786" s="3" t="s">
        <v>64</v>
      </c>
      <c r="I786" s="3">
        <v>2024</v>
      </c>
      <c r="J786" s="3" t="str">
        <f>CONCATENATE("44810338960")</f>
        <v>44810338960</v>
      </c>
      <c r="K786" s="3" t="s">
        <v>33</v>
      </c>
      <c r="L786" s="3" t="str">
        <f t="shared" si="49"/>
        <v/>
      </c>
      <c r="M786" s="3" t="str">
        <f t="shared" si="50"/>
        <v>SRA29</v>
      </c>
      <c r="N786" s="3" t="str">
        <f>CONCATENATE("SNIMLN77L01H501R")</f>
        <v>SNIMLN77L01H501R</v>
      </c>
      <c r="O786" s="3" t="s">
        <v>1256</v>
      </c>
      <c r="P786" s="3" t="s">
        <v>35</v>
      </c>
      <c r="Q786" s="3" t="s">
        <v>923</v>
      </c>
      <c r="R786" s="4">
        <v>45933</v>
      </c>
      <c r="S786" s="3" t="s">
        <v>37</v>
      </c>
      <c r="T786" s="3" t="s">
        <v>38</v>
      </c>
      <c r="U786" s="3" t="s">
        <v>39</v>
      </c>
      <c r="V786" s="3">
        <v>20.77</v>
      </c>
      <c r="W786" s="3">
        <v>8.4499999999999993</v>
      </c>
      <c r="X786" s="3">
        <v>8.6199999999999992</v>
      </c>
      <c r="Y786" s="3">
        <v>3.7</v>
      </c>
    </row>
    <row r="787" spans="1:25" ht="25.5" hidden="1" x14ac:dyDescent="0.35">
      <c r="A787" s="3" t="s">
        <v>26</v>
      </c>
      <c r="B787" s="3" t="s">
        <v>27</v>
      </c>
      <c r="C787" s="3" t="s">
        <v>40</v>
      </c>
      <c r="D787" s="3" t="s">
        <v>29</v>
      </c>
      <c r="E787" s="3" t="s">
        <v>727</v>
      </c>
      <c r="F787" s="3" t="s">
        <v>31</v>
      </c>
      <c r="G787" s="3" t="s">
        <v>727</v>
      </c>
      <c r="H787" s="3" t="s">
        <v>64</v>
      </c>
      <c r="I787" s="3">
        <v>2024</v>
      </c>
      <c r="J787" s="3" t="str">
        <f>CONCATENATE("44810559581")</f>
        <v>44810559581</v>
      </c>
      <c r="K787" s="3" t="s">
        <v>33</v>
      </c>
      <c r="L787" s="3" t="str">
        <f t="shared" si="49"/>
        <v/>
      </c>
      <c r="M787" s="3" t="str">
        <f t="shared" si="50"/>
        <v>SRA29</v>
      </c>
      <c r="N787" s="3" t="str">
        <f>CONCATENATE("13949021003")</f>
        <v>13949021003</v>
      </c>
      <c r="O787" s="3" t="s">
        <v>1257</v>
      </c>
      <c r="P787" s="3" t="s">
        <v>35</v>
      </c>
      <c r="Q787" s="3" t="s">
        <v>923</v>
      </c>
      <c r="R787" s="4">
        <v>45933</v>
      </c>
      <c r="S787" s="3" t="s">
        <v>37</v>
      </c>
      <c r="T787" s="3" t="s">
        <v>38</v>
      </c>
      <c r="U787" s="3" t="s">
        <v>39</v>
      </c>
      <c r="V787" s="5">
        <v>4028.16</v>
      </c>
      <c r="W787" s="5">
        <v>1639.46</v>
      </c>
      <c r="X787" s="5">
        <v>1672.09</v>
      </c>
      <c r="Y787" s="3">
        <v>716.61</v>
      </c>
    </row>
    <row r="788" spans="1:25" ht="49.5" hidden="1" x14ac:dyDescent="0.35">
      <c r="A788" s="3" t="s">
        <v>26</v>
      </c>
      <c r="B788" s="3" t="s">
        <v>27</v>
      </c>
      <c r="C788" s="3" t="s">
        <v>40</v>
      </c>
      <c r="D788" s="3" t="s">
        <v>41</v>
      </c>
      <c r="E788" s="3" t="s">
        <v>1255</v>
      </c>
      <c r="F788" s="3" t="s">
        <v>43</v>
      </c>
      <c r="G788" s="3" t="s">
        <v>1255</v>
      </c>
      <c r="H788" s="3" t="s">
        <v>64</v>
      </c>
      <c r="I788" s="3">
        <v>2024</v>
      </c>
      <c r="J788" s="3" t="str">
        <f>CONCATENATE("44810368496")</f>
        <v>44810368496</v>
      </c>
      <c r="K788" s="3" t="s">
        <v>33</v>
      </c>
      <c r="L788" s="3" t="str">
        <f t="shared" si="49"/>
        <v/>
      </c>
      <c r="M788" s="3" t="str">
        <f t="shared" si="50"/>
        <v>SRA29</v>
      </c>
      <c r="N788" s="3" t="str">
        <f>CONCATENATE("TRCMSM61H15H501J")</f>
        <v>TRCMSM61H15H501J</v>
      </c>
      <c r="O788" s="3" t="s">
        <v>1258</v>
      </c>
      <c r="P788" s="3" t="s">
        <v>35</v>
      </c>
      <c r="Q788" s="3" t="s">
        <v>923</v>
      </c>
      <c r="R788" s="4">
        <v>45933</v>
      </c>
      <c r="S788" s="3" t="s">
        <v>37</v>
      </c>
      <c r="T788" s="3" t="s">
        <v>38</v>
      </c>
      <c r="U788" s="3" t="s">
        <v>39</v>
      </c>
      <c r="V788" s="3">
        <v>1.8</v>
      </c>
      <c r="W788" s="3">
        <v>0.73</v>
      </c>
      <c r="X788" s="3">
        <v>0.75</v>
      </c>
      <c r="Y788" s="3">
        <v>0.32</v>
      </c>
    </row>
    <row r="789" spans="1:25" ht="41.5" hidden="1" x14ac:dyDescent="0.35">
      <c r="A789" s="3" t="s">
        <v>26</v>
      </c>
      <c r="B789" s="3" t="s">
        <v>27</v>
      </c>
      <c r="C789" s="3" t="s">
        <v>40</v>
      </c>
      <c r="D789" s="3" t="s">
        <v>41</v>
      </c>
      <c r="E789" s="3" t="s">
        <v>143</v>
      </c>
      <c r="F789" s="3" t="s">
        <v>43</v>
      </c>
      <c r="G789" s="3" t="s">
        <v>143</v>
      </c>
      <c r="H789" s="3" t="s">
        <v>64</v>
      </c>
      <c r="I789" s="3">
        <v>2024</v>
      </c>
      <c r="J789" s="3" t="str">
        <f>CONCATENATE("44810047496")</f>
        <v>44810047496</v>
      </c>
      <c r="K789" s="3" t="s">
        <v>33</v>
      </c>
      <c r="L789" s="3" t="str">
        <f t="shared" si="49"/>
        <v/>
      </c>
      <c r="M789" s="3" t="str">
        <f t="shared" si="50"/>
        <v>SRA29</v>
      </c>
      <c r="N789" s="3" t="str">
        <f>CONCATENATE("TRMBRC98T53I992C")</f>
        <v>TRMBRC98T53I992C</v>
      </c>
      <c r="O789" s="3" t="s">
        <v>1259</v>
      </c>
      <c r="P789" s="3" t="s">
        <v>35</v>
      </c>
      <c r="Q789" s="3" t="s">
        <v>923</v>
      </c>
      <c r="R789" s="4">
        <v>45933</v>
      </c>
      <c r="S789" s="3" t="s">
        <v>37</v>
      </c>
      <c r="T789" s="3" t="s">
        <v>38</v>
      </c>
      <c r="U789" s="3" t="s">
        <v>39</v>
      </c>
      <c r="V789" s="3">
        <v>5.57</v>
      </c>
      <c r="W789" s="3">
        <v>2.27</v>
      </c>
      <c r="X789" s="3">
        <v>2.31</v>
      </c>
      <c r="Y789" s="3">
        <v>0.99</v>
      </c>
    </row>
    <row r="790" spans="1:25" ht="25.5" hidden="1" x14ac:dyDescent="0.35">
      <c r="A790" s="3" t="s">
        <v>26</v>
      </c>
      <c r="B790" s="3" t="s">
        <v>27</v>
      </c>
      <c r="C790" s="3" t="s">
        <v>40</v>
      </c>
      <c r="D790" s="3" t="s">
        <v>61</v>
      </c>
      <c r="E790" s="3" t="s">
        <v>1047</v>
      </c>
      <c r="F790" s="3" t="s">
        <v>63</v>
      </c>
      <c r="G790" s="3" t="s">
        <v>1047</v>
      </c>
      <c r="H790" s="3" t="s">
        <v>64</v>
      </c>
      <c r="I790" s="3">
        <v>2024</v>
      </c>
      <c r="J790" s="3" t="str">
        <f>CONCATENATE("44811202538")</f>
        <v>44811202538</v>
      </c>
      <c r="K790" s="3" t="s">
        <v>33</v>
      </c>
      <c r="L790" s="3" t="str">
        <f t="shared" si="49"/>
        <v/>
      </c>
      <c r="M790" s="3" t="str">
        <f t="shared" si="50"/>
        <v>SRA29</v>
      </c>
      <c r="N790" s="3" t="str">
        <f>CONCATENATE("83000330585")</f>
        <v>83000330585</v>
      </c>
      <c r="O790" s="3" t="s">
        <v>1260</v>
      </c>
      <c r="P790" s="3" t="s">
        <v>35</v>
      </c>
      <c r="Q790" s="3" t="s">
        <v>923</v>
      </c>
      <c r="R790" s="4">
        <v>45933</v>
      </c>
      <c r="S790" s="3" t="s">
        <v>37</v>
      </c>
      <c r="T790" s="3" t="s">
        <v>38</v>
      </c>
      <c r="U790" s="3" t="s">
        <v>39</v>
      </c>
      <c r="V790" s="3">
        <v>47.83</v>
      </c>
      <c r="W790" s="3">
        <v>19.47</v>
      </c>
      <c r="X790" s="3">
        <v>19.850000000000001</v>
      </c>
      <c r="Y790" s="3">
        <v>8.51</v>
      </c>
    </row>
    <row r="791" spans="1:25" ht="49.5" hidden="1" x14ac:dyDescent="0.35">
      <c r="A791" s="3" t="s">
        <v>26</v>
      </c>
      <c r="B791" s="3" t="s">
        <v>27</v>
      </c>
      <c r="C791" s="3" t="s">
        <v>40</v>
      </c>
      <c r="D791" s="3" t="s">
        <v>234</v>
      </c>
      <c r="E791" s="3" t="s">
        <v>1261</v>
      </c>
      <c r="F791" s="3" t="s">
        <v>119</v>
      </c>
      <c r="G791" s="3" t="s">
        <v>1261</v>
      </c>
      <c r="H791" s="3" t="s">
        <v>64</v>
      </c>
      <c r="I791" s="3">
        <v>2024</v>
      </c>
      <c r="J791" s="3" t="str">
        <f>CONCATENATE("44810950004")</f>
        <v>44810950004</v>
      </c>
      <c r="K791" s="3" t="s">
        <v>33</v>
      </c>
      <c r="L791" s="3" t="str">
        <f t="shared" si="49"/>
        <v/>
      </c>
      <c r="M791" s="3" t="str">
        <f t="shared" si="50"/>
        <v>SRA29</v>
      </c>
      <c r="N791" s="3" t="str">
        <f>CONCATENATE("VLPDDM49H60H501E")</f>
        <v>VLPDDM49H60H501E</v>
      </c>
      <c r="O791" s="3" t="s">
        <v>1262</v>
      </c>
      <c r="P791" s="3" t="s">
        <v>35</v>
      </c>
      <c r="Q791" s="3" t="s">
        <v>923</v>
      </c>
      <c r="R791" s="4">
        <v>45933</v>
      </c>
      <c r="S791" s="3" t="s">
        <v>37</v>
      </c>
      <c r="T791" s="3" t="s">
        <v>38</v>
      </c>
      <c r="U791" s="3" t="s">
        <v>39</v>
      </c>
      <c r="V791" s="3">
        <v>58.46</v>
      </c>
      <c r="W791" s="3">
        <v>23.79</v>
      </c>
      <c r="X791" s="3">
        <v>24.27</v>
      </c>
      <c r="Y791" s="3">
        <v>10.4</v>
      </c>
    </row>
    <row r="792" spans="1:25" ht="41.5" hidden="1" x14ac:dyDescent="0.35">
      <c r="A792" s="3" t="s">
        <v>26</v>
      </c>
      <c r="B792" s="3" t="s">
        <v>27</v>
      </c>
      <c r="C792" s="3" t="s">
        <v>90</v>
      </c>
      <c r="D792" s="3" t="s">
        <v>61</v>
      </c>
      <c r="E792" s="3" t="s">
        <v>1263</v>
      </c>
      <c r="F792" s="3" t="s">
        <v>63</v>
      </c>
      <c r="G792" s="3" t="s">
        <v>1263</v>
      </c>
      <c r="H792" s="3" t="s">
        <v>1060</v>
      </c>
      <c r="I792" s="3">
        <v>2024</v>
      </c>
      <c r="J792" s="3" t="str">
        <f>CONCATENATE("44811058179")</f>
        <v>44811058179</v>
      </c>
      <c r="K792" s="3" t="s">
        <v>33</v>
      </c>
      <c r="L792" s="3" t="str">
        <f t="shared" si="49"/>
        <v/>
      </c>
      <c r="M792" s="3" t="str">
        <f t="shared" si="50"/>
        <v>SRA29</v>
      </c>
      <c r="N792" s="3" t="str">
        <f>CONCATENATE("SPTRSL69C65B428E")</f>
        <v>SPTRSL69C65B428E</v>
      </c>
      <c r="O792" s="3" t="s">
        <v>1264</v>
      </c>
      <c r="P792" s="3" t="s">
        <v>35</v>
      </c>
      <c r="Q792" s="3" t="s">
        <v>1265</v>
      </c>
      <c r="R792" s="4">
        <v>45933</v>
      </c>
      <c r="S792" s="3" t="s">
        <v>37</v>
      </c>
      <c r="T792" s="3" t="s">
        <v>38</v>
      </c>
      <c r="U792" s="3" t="s">
        <v>39</v>
      </c>
      <c r="V792" s="5">
        <v>1058.8599999999999</v>
      </c>
      <c r="W792" s="3">
        <v>534.72</v>
      </c>
      <c r="X792" s="3">
        <v>366.89</v>
      </c>
      <c r="Y792" s="3">
        <v>157.25</v>
      </c>
    </row>
    <row r="793" spans="1:25" ht="49.5" hidden="1" x14ac:dyDescent="0.35">
      <c r="A793" s="3" t="s">
        <v>26</v>
      </c>
      <c r="B793" s="3" t="s">
        <v>27</v>
      </c>
      <c r="C793" s="3" t="s">
        <v>451</v>
      </c>
      <c r="D793" s="3" t="s">
        <v>29</v>
      </c>
      <c r="E793" s="3" t="s">
        <v>646</v>
      </c>
      <c r="F793" s="3" t="s">
        <v>31</v>
      </c>
      <c r="G793" s="3" t="s">
        <v>646</v>
      </c>
      <c r="H793" s="3" t="s">
        <v>453</v>
      </c>
      <c r="I793" s="3">
        <v>2024</v>
      </c>
      <c r="J793" s="3" t="str">
        <f>CONCATENATE("44810835809")</f>
        <v>44810835809</v>
      </c>
      <c r="K793" s="3" t="s">
        <v>33</v>
      </c>
      <c r="L793" s="3" t="str">
        <f t="shared" si="49"/>
        <v/>
      </c>
      <c r="M793" s="3" t="str">
        <f>CONCATENATE("SRA12")</f>
        <v>SRA12</v>
      </c>
      <c r="N793" s="3" t="str">
        <f>CONCATENATE("LRNMNT27M68G478G")</f>
        <v>LRNMNT27M68G478G</v>
      </c>
      <c r="O793" s="3" t="s">
        <v>1266</v>
      </c>
      <c r="P793" s="3" t="s">
        <v>35</v>
      </c>
      <c r="Q793" s="3" t="s">
        <v>1267</v>
      </c>
      <c r="R793" s="4">
        <v>45917</v>
      </c>
      <c r="S793" s="3" t="s">
        <v>37</v>
      </c>
      <c r="T793" s="3" t="s">
        <v>38</v>
      </c>
      <c r="U793" s="3" t="s">
        <v>39</v>
      </c>
      <c r="V793" s="5">
        <v>4818.24</v>
      </c>
      <c r="W793" s="5">
        <v>2047.75</v>
      </c>
      <c r="X793" s="5">
        <v>1939.34</v>
      </c>
      <c r="Y793" s="3">
        <v>831.15</v>
      </c>
    </row>
    <row r="794" spans="1:25" ht="49.5" hidden="1" x14ac:dyDescent="0.35">
      <c r="A794" s="3" t="s">
        <v>26</v>
      </c>
      <c r="B794" s="3" t="s">
        <v>27</v>
      </c>
      <c r="C794" s="3" t="s">
        <v>90</v>
      </c>
      <c r="D794" s="3" t="s">
        <v>107</v>
      </c>
      <c r="E794" s="3" t="s">
        <v>242</v>
      </c>
      <c r="F794" s="3" t="s">
        <v>115</v>
      </c>
      <c r="G794" s="3" t="s">
        <v>242</v>
      </c>
      <c r="H794" s="3" t="s">
        <v>1060</v>
      </c>
      <c r="I794" s="3">
        <v>2024</v>
      </c>
      <c r="J794" s="3" t="str">
        <f>CONCATENATE("44820377354")</f>
        <v>44820377354</v>
      </c>
      <c r="K794" s="3" t="s">
        <v>33</v>
      </c>
      <c r="L794" s="3" t="str">
        <f t="shared" si="49"/>
        <v/>
      </c>
      <c r="M794" s="3" t="str">
        <f>CONCATENATE("SRB01")</f>
        <v>SRB01</v>
      </c>
      <c r="N794" s="3" t="str">
        <f>CONCATENATE("CNTNNN59B23B202Q")</f>
        <v>CNTNNN59B23B202Q</v>
      </c>
      <c r="O794" s="3" t="s">
        <v>1268</v>
      </c>
      <c r="P794" s="3" t="s">
        <v>35</v>
      </c>
      <c r="Q794" s="3" t="s">
        <v>1062</v>
      </c>
      <c r="R794" s="4">
        <v>45931</v>
      </c>
      <c r="S794" s="3" t="s">
        <v>37</v>
      </c>
      <c r="T794" s="3" t="s">
        <v>38</v>
      </c>
      <c r="U794" s="3" t="s">
        <v>39</v>
      </c>
      <c r="V794" s="3">
        <v>279.27</v>
      </c>
      <c r="W794" s="3">
        <v>141.03</v>
      </c>
      <c r="X794" s="3">
        <v>96.77</v>
      </c>
      <c r="Y794" s="3">
        <v>41.47</v>
      </c>
    </row>
    <row r="795" spans="1:25" ht="41.5" hidden="1" x14ac:dyDescent="0.35">
      <c r="A795" s="3" t="s">
        <v>26</v>
      </c>
      <c r="B795" s="3" t="s">
        <v>27</v>
      </c>
      <c r="C795" s="3" t="s">
        <v>90</v>
      </c>
      <c r="D795" s="3" t="s">
        <v>107</v>
      </c>
      <c r="E795" s="3" t="s">
        <v>242</v>
      </c>
      <c r="F795" s="3" t="s">
        <v>115</v>
      </c>
      <c r="G795" s="3" t="s">
        <v>242</v>
      </c>
      <c r="H795" s="3" t="s">
        <v>1060</v>
      </c>
      <c r="I795" s="3">
        <v>2024</v>
      </c>
      <c r="J795" s="3" t="str">
        <f>CONCATENATE("44820255816")</f>
        <v>44820255816</v>
      </c>
      <c r="K795" s="3" t="s">
        <v>33</v>
      </c>
      <c r="L795" s="3" t="str">
        <f t="shared" si="49"/>
        <v/>
      </c>
      <c r="M795" s="3" t="str">
        <f>CONCATENATE("SRB01")</f>
        <v>SRB01</v>
      </c>
      <c r="N795" s="3" t="str">
        <f>CONCATENATE("CNTGPP98M02B202P")</f>
        <v>CNTGPP98M02B202P</v>
      </c>
      <c r="O795" s="3" t="s">
        <v>1269</v>
      </c>
      <c r="P795" s="3" t="s">
        <v>35</v>
      </c>
      <c r="Q795" s="3" t="s">
        <v>1062</v>
      </c>
      <c r="R795" s="4">
        <v>45931</v>
      </c>
      <c r="S795" s="3" t="s">
        <v>37</v>
      </c>
      <c r="T795" s="3" t="s">
        <v>38</v>
      </c>
      <c r="U795" s="3" t="s">
        <v>39</v>
      </c>
      <c r="V795" s="3">
        <v>132.51</v>
      </c>
      <c r="W795" s="3">
        <v>66.92</v>
      </c>
      <c r="X795" s="3">
        <v>45.91</v>
      </c>
      <c r="Y795" s="3">
        <v>19.68</v>
      </c>
    </row>
    <row r="796" spans="1:25" ht="25.5" hidden="1" x14ac:dyDescent="0.35">
      <c r="A796" s="3" t="s">
        <v>26</v>
      </c>
      <c r="B796" s="3" t="s">
        <v>27</v>
      </c>
      <c r="C796" s="3" t="s">
        <v>90</v>
      </c>
      <c r="D796" s="3" t="s">
        <v>51</v>
      </c>
      <c r="E796" s="3" t="s">
        <v>901</v>
      </c>
      <c r="F796" s="3" t="s">
        <v>51</v>
      </c>
      <c r="G796" s="3" t="s">
        <v>901</v>
      </c>
      <c r="H796" s="3" t="s">
        <v>1060</v>
      </c>
      <c r="I796" s="3">
        <v>2024</v>
      </c>
      <c r="J796" s="3" t="str">
        <f>CONCATENATE("44820510087")</f>
        <v>44820510087</v>
      </c>
      <c r="K796" s="3" t="s">
        <v>33</v>
      </c>
      <c r="L796" s="3" t="str">
        <f t="shared" si="49"/>
        <v/>
      </c>
      <c r="M796" s="3" t="str">
        <f>CONCATENATE("SRB01")</f>
        <v>SRB01</v>
      </c>
      <c r="N796" s="3" t="str">
        <f>CONCATENATE("05359290870")</f>
        <v>05359290870</v>
      </c>
      <c r="O796" s="3" t="s">
        <v>1270</v>
      </c>
      <c r="P796" s="3" t="s">
        <v>35</v>
      </c>
      <c r="Q796" s="3" t="s">
        <v>1062</v>
      </c>
      <c r="R796" s="4">
        <v>45931</v>
      </c>
      <c r="S796" s="3" t="s">
        <v>37</v>
      </c>
      <c r="T796" s="3" t="s">
        <v>38</v>
      </c>
      <c r="U796" s="3" t="s">
        <v>39</v>
      </c>
      <c r="V796" s="5">
        <v>14491.65</v>
      </c>
      <c r="W796" s="5">
        <v>7318.28</v>
      </c>
      <c r="X796" s="5">
        <v>5021.3599999999997</v>
      </c>
      <c r="Y796" s="5">
        <v>2152.0100000000002</v>
      </c>
    </row>
    <row r="797" spans="1:25" ht="41.5" hidden="1" x14ac:dyDescent="0.35">
      <c r="A797" s="3" t="s">
        <v>26</v>
      </c>
      <c r="B797" s="3" t="s">
        <v>27</v>
      </c>
      <c r="C797" s="3" t="s">
        <v>90</v>
      </c>
      <c r="D797" s="3" t="s">
        <v>61</v>
      </c>
      <c r="E797" s="3" t="s">
        <v>272</v>
      </c>
      <c r="F797" s="3" t="s">
        <v>63</v>
      </c>
      <c r="G797" s="3" t="s">
        <v>272</v>
      </c>
      <c r="H797" s="3" t="s">
        <v>96</v>
      </c>
      <c r="I797" s="3">
        <v>2024</v>
      </c>
      <c r="J797" s="3" t="str">
        <f>CONCATENATE("44820512075")</f>
        <v>44820512075</v>
      </c>
      <c r="K797" s="3" t="s">
        <v>33</v>
      </c>
      <c r="L797" s="3" t="str">
        <f t="shared" si="49"/>
        <v/>
      </c>
      <c r="M797" s="3" t="str">
        <f>CONCATENATE("SRB01")</f>
        <v>SRB01</v>
      </c>
      <c r="N797" s="3" t="str">
        <f>CONCATENATE("DNIGPP72L14I028W")</f>
        <v>DNIGPP72L14I028W</v>
      </c>
      <c r="O797" s="3" t="s">
        <v>1271</v>
      </c>
      <c r="P797" s="3" t="s">
        <v>35</v>
      </c>
      <c r="Q797" s="3" t="s">
        <v>1076</v>
      </c>
      <c r="R797" s="4">
        <v>45931</v>
      </c>
      <c r="S797" s="3" t="s">
        <v>37</v>
      </c>
      <c r="T797" s="3" t="s">
        <v>38</v>
      </c>
      <c r="U797" s="3" t="s">
        <v>39</v>
      </c>
      <c r="V797" s="5">
        <v>10438.83</v>
      </c>
      <c r="W797" s="5">
        <v>5271.61</v>
      </c>
      <c r="X797" s="5">
        <v>3617.05</v>
      </c>
      <c r="Y797" s="5">
        <v>1550.17</v>
      </c>
    </row>
    <row r="798" spans="1:25" ht="41.5" hidden="1" x14ac:dyDescent="0.35">
      <c r="A798" s="3" t="s">
        <v>26</v>
      </c>
      <c r="B798" s="3" t="s">
        <v>27</v>
      </c>
      <c r="C798" s="3" t="s">
        <v>90</v>
      </c>
      <c r="D798" s="3" t="s">
        <v>180</v>
      </c>
      <c r="E798" s="3" t="s">
        <v>258</v>
      </c>
      <c r="F798" s="3" t="s">
        <v>85</v>
      </c>
      <c r="G798" s="3" t="s">
        <v>258</v>
      </c>
      <c r="H798" s="3" t="s">
        <v>96</v>
      </c>
      <c r="I798" s="3">
        <v>2024</v>
      </c>
      <c r="J798" s="3" t="str">
        <f>CONCATENATE("44820536462")</f>
        <v>44820536462</v>
      </c>
      <c r="K798" s="3" t="s">
        <v>33</v>
      </c>
      <c r="L798" s="3" t="str">
        <f t="shared" si="49"/>
        <v/>
      </c>
      <c r="M798" s="3" t="str">
        <f>CONCATENATE("SRB01")</f>
        <v>SRB01</v>
      </c>
      <c r="N798" s="3" t="str">
        <f>CONCATENATE("SPNNKI86E06G273O")</f>
        <v>SPNNKI86E06G273O</v>
      </c>
      <c r="O798" s="3" t="s">
        <v>1272</v>
      </c>
      <c r="P798" s="3" t="s">
        <v>35</v>
      </c>
      <c r="Q798" s="3" t="s">
        <v>1076</v>
      </c>
      <c r="R798" s="4">
        <v>45931</v>
      </c>
      <c r="S798" s="3" t="s">
        <v>37</v>
      </c>
      <c r="T798" s="3" t="s">
        <v>38</v>
      </c>
      <c r="U798" s="3" t="s">
        <v>39</v>
      </c>
      <c r="V798" s="5">
        <v>4106.6499999999996</v>
      </c>
      <c r="W798" s="5">
        <v>2073.86</v>
      </c>
      <c r="X798" s="5">
        <v>1422.95</v>
      </c>
      <c r="Y798" s="3">
        <v>609.84</v>
      </c>
    </row>
    <row r="799" spans="1:25" ht="41.5" hidden="1" x14ac:dyDescent="0.35">
      <c r="A799" s="3" t="s">
        <v>26</v>
      </c>
      <c r="B799" s="3" t="s">
        <v>27</v>
      </c>
      <c r="C799" s="3" t="s">
        <v>478</v>
      </c>
      <c r="D799" s="3" t="s">
        <v>75</v>
      </c>
      <c r="E799" s="3" t="s">
        <v>582</v>
      </c>
      <c r="F799" s="3" t="s">
        <v>77</v>
      </c>
      <c r="G799" s="3" t="s">
        <v>582</v>
      </c>
      <c r="H799" s="3" t="s">
        <v>614</v>
      </c>
      <c r="I799" s="3">
        <v>2024</v>
      </c>
      <c r="J799" s="3" t="str">
        <f>CONCATENATE("44811011053")</f>
        <v>44811011053</v>
      </c>
      <c r="K799" s="3" t="s">
        <v>33</v>
      </c>
      <c r="L799" s="3" t="str">
        <f t="shared" si="49"/>
        <v/>
      </c>
      <c r="M799" s="3" t="str">
        <f t="shared" ref="M799:M806" si="51">CONCATENATE("SRA29")</f>
        <v>SRA29</v>
      </c>
      <c r="N799" s="3" t="str">
        <f>CONCATENATE("CRSMHL79E05A783Y")</f>
        <v>CRSMHL79E05A783Y</v>
      </c>
      <c r="O799" s="3" t="s">
        <v>1273</v>
      </c>
      <c r="P799" s="3" t="s">
        <v>35</v>
      </c>
      <c r="Q799" s="3" t="s">
        <v>1080</v>
      </c>
      <c r="R799" s="4">
        <v>45933</v>
      </c>
      <c r="S799" s="3" t="s">
        <v>37</v>
      </c>
      <c r="T799" s="3" t="s">
        <v>38</v>
      </c>
      <c r="U799" s="3" t="s">
        <v>39</v>
      </c>
      <c r="V799" s="5">
        <v>5386.43</v>
      </c>
      <c r="W799" s="5">
        <v>2720.15</v>
      </c>
      <c r="X799" s="5">
        <v>1866.4</v>
      </c>
      <c r="Y799" s="3">
        <v>799.88</v>
      </c>
    </row>
    <row r="800" spans="1:25" ht="41.5" hidden="1" x14ac:dyDescent="0.35">
      <c r="A800" s="3" t="s">
        <v>26</v>
      </c>
      <c r="B800" s="3" t="s">
        <v>27</v>
      </c>
      <c r="C800" s="3" t="s">
        <v>478</v>
      </c>
      <c r="D800" s="3" t="s">
        <v>75</v>
      </c>
      <c r="E800" s="3" t="s">
        <v>582</v>
      </c>
      <c r="F800" s="3" t="s">
        <v>77</v>
      </c>
      <c r="G800" s="3" t="s">
        <v>582</v>
      </c>
      <c r="H800" s="3" t="s">
        <v>614</v>
      </c>
      <c r="I800" s="3">
        <v>2024</v>
      </c>
      <c r="J800" s="3" t="str">
        <f>CONCATENATE("44810494581")</f>
        <v>44810494581</v>
      </c>
      <c r="K800" s="3" t="s">
        <v>33</v>
      </c>
      <c r="L800" s="3" t="str">
        <f t="shared" si="49"/>
        <v/>
      </c>
      <c r="M800" s="3" t="str">
        <f t="shared" si="51"/>
        <v>SRA29</v>
      </c>
      <c r="N800" s="3" t="str">
        <f>CONCATENATE("PNNCMN80E20A783C")</f>
        <v>PNNCMN80E20A783C</v>
      </c>
      <c r="O800" s="3" t="s">
        <v>1274</v>
      </c>
      <c r="P800" s="3" t="s">
        <v>35</v>
      </c>
      <c r="Q800" s="3" t="s">
        <v>1080</v>
      </c>
      <c r="R800" s="4">
        <v>45933</v>
      </c>
      <c r="S800" s="3" t="s">
        <v>37</v>
      </c>
      <c r="T800" s="3" t="s">
        <v>38</v>
      </c>
      <c r="U800" s="3" t="s">
        <v>39</v>
      </c>
      <c r="V800" s="5">
        <v>3182.99</v>
      </c>
      <c r="W800" s="5">
        <v>1607.41</v>
      </c>
      <c r="X800" s="5">
        <v>1102.9100000000001</v>
      </c>
      <c r="Y800" s="3">
        <v>472.67</v>
      </c>
    </row>
    <row r="801" spans="1:25" ht="49.5" hidden="1" x14ac:dyDescent="0.35">
      <c r="A801" s="3" t="s">
        <v>26</v>
      </c>
      <c r="B801" s="3" t="s">
        <v>27</v>
      </c>
      <c r="C801" s="3" t="s">
        <v>478</v>
      </c>
      <c r="D801" s="3" t="s">
        <v>234</v>
      </c>
      <c r="E801" s="3" t="s">
        <v>732</v>
      </c>
      <c r="F801" s="3" t="s">
        <v>119</v>
      </c>
      <c r="G801" s="3" t="s">
        <v>732</v>
      </c>
      <c r="H801" s="3" t="s">
        <v>614</v>
      </c>
      <c r="I801" s="3">
        <v>2024</v>
      </c>
      <c r="J801" s="3" t="str">
        <f>CONCATENATE("44810465813")</f>
        <v>44810465813</v>
      </c>
      <c r="K801" s="3" t="s">
        <v>33</v>
      </c>
      <c r="L801" s="3" t="str">
        <f t="shared" si="49"/>
        <v/>
      </c>
      <c r="M801" s="3" t="str">
        <f t="shared" si="51"/>
        <v>SRA29</v>
      </c>
      <c r="N801" s="3" t="str">
        <f>CONCATENATE("CRCNTN86H24A783W")</f>
        <v>CRCNTN86H24A783W</v>
      </c>
      <c r="O801" s="3" t="s">
        <v>1275</v>
      </c>
      <c r="P801" s="3" t="s">
        <v>35</v>
      </c>
      <c r="Q801" s="3" t="s">
        <v>1080</v>
      </c>
      <c r="R801" s="4">
        <v>45933</v>
      </c>
      <c r="S801" s="3" t="s">
        <v>37</v>
      </c>
      <c r="T801" s="3" t="s">
        <v>38</v>
      </c>
      <c r="U801" s="3" t="s">
        <v>39</v>
      </c>
      <c r="V801" s="5">
        <v>3218.7</v>
      </c>
      <c r="W801" s="5">
        <v>1625.44</v>
      </c>
      <c r="X801" s="5">
        <v>1115.28</v>
      </c>
      <c r="Y801" s="3">
        <v>477.98</v>
      </c>
    </row>
    <row r="802" spans="1:25" ht="41.5" hidden="1" x14ac:dyDescent="0.35">
      <c r="A802" s="3" t="s">
        <v>26</v>
      </c>
      <c r="B802" s="3" t="s">
        <v>27</v>
      </c>
      <c r="C802" s="3" t="s">
        <v>478</v>
      </c>
      <c r="D802" s="3" t="s">
        <v>61</v>
      </c>
      <c r="E802" s="3" t="s">
        <v>1276</v>
      </c>
      <c r="F802" s="3" t="s">
        <v>63</v>
      </c>
      <c r="G802" s="3" t="s">
        <v>1276</v>
      </c>
      <c r="H802" s="3" t="s">
        <v>614</v>
      </c>
      <c r="I802" s="3">
        <v>2024</v>
      </c>
      <c r="J802" s="3" t="str">
        <f>CONCATENATE("44811410297")</f>
        <v>44811410297</v>
      </c>
      <c r="K802" s="3" t="s">
        <v>33</v>
      </c>
      <c r="L802" s="3" t="str">
        <f t="shared" si="49"/>
        <v/>
      </c>
      <c r="M802" s="3" t="str">
        <f t="shared" si="51"/>
        <v>SRA29</v>
      </c>
      <c r="N802" s="3" t="str">
        <f>CONCATENATE("CLCGZN80P06A696J")</f>
        <v>CLCGZN80P06A696J</v>
      </c>
      <c r="O802" s="3" t="s">
        <v>1277</v>
      </c>
      <c r="P802" s="3" t="s">
        <v>35</v>
      </c>
      <c r="Q802" s="3" t="s">
        <v>1080</v>
      </c>
      <c r="R802" s="4">
        <v>45933</v>
      </c>
      <c r="S802" s="3" t="s">
        <v>37</v>
      </c>
      <c r="T802" s="3" t="s">
        <v>38</v>
      </c>
      <c r="U802" s="3" t="s">
        <v>39</v>
      </c>
      <c r="V802" s="5">
        <v>2362.29</v>
      </c>
      <c r="W802" s="5">
        <v>1192.96</v>
      </c>
      <c r="X802" s="3">
        <v>818.53</v>
      </c>
      <c r="Y802" s="3">
        <v>350.8</v>
      </c>
    </row>
    <row r="803" spans="1:25" ht="49.5" hidden="1" x14ac:dyDescent="0.35">
      <c r="A803" s="3" t="s">
        <v>26</v>
      </c>
      <c r="B803" s="3" t="s">
        <v>27</v>
      </c>
      <c r="C803" s="3" t="s">
        <v>478</v>
      </c>
      <c r="D803" s="3" t="s">
        <v>234</v>
      </c>
      <c r="E803" s="3" t="s">
        <v>120</v>
      </c>
      <c r="F803" s="3" t="s">
        <v>119</v>
      </c>
      <c r="G803" s="3" t="s">
        <v>120</v>
      </c>
      <c r="H803" s="3" t="s">
        <v>614</v>
      </c>
      <c r="I803" s="3">
        <v>2024</v>
      </c>
      <c r="J803" s="3" t="str">
        <f>CONCATENATE("44811871811")</f>
        <v>44811871811</v>
      </c>
      <c r="K803" s="3" t="s">
        <v>33</v>
      </c>
      <c r="L803" s="3" t="str">
        <f t="shared" si="49"/>
        <v/>
      </c>
      <c r="M803" s="3" t="str">
        <f t="shared" si="51"/>
        <v>SRA29</v>
      </c>
      <c r="N803" s="3" t="str">
        <f>CONCATENATE("CSNDNC70D09G626V")</f>
        <v>CSNDNC70D09G626V</v>
      </c>
      <c r="O803" s="3" t="s">
        <v>1278</v>
      </c>
      <c r="P803" s="3" t="s">
        <v>35</v>
      </c>
      <c r="Q803" s="3" t="s">
        <v>1080</v>
      </c>
      <c r="R803" s="4">
        <v>45933</v>
      </c>
      <c r="S803" s="3" t="s">
        <v>37</v>
      </c>
      <c r="T803" s="3" t="s">
        <v>38</v>
      </c>
      <c r="U803" s="3" t="s">
        <v>39</v>
      </c>
      <c r="V803" s="5">
        <v>15337.05</v>
      </c>
      <c r="W803" s="5">
        <v>7745.21</v>
      </c>
      <c r="X803" s="5">
        <v>5314.29</v>
      </c>
      <c r="Y803" s="5">
        <v>2277.5500000000002</v>
      </c>
    </row>
    <row r="804" spans="1:25" ht="41.5" hidden="1" x14ac:dyDescent="0.35">
      <c r="A804" s="3" t="s">
        <v>26</v>
      </c>
      <c r="B804" s="3" t="s">
        <v>27</v>
      </c>
      <c r="C804" s="3" t="s">
        <v>478</v>
      </c>
      <c r="D804" s="3" t="s">
        <v>234</v>
      </c>
      <c r="E804" s="3" t="s">
        <v>120</v>
      </c>
      <c r="F804" s="3" t="s">
        <v>119</v>
      </c>
      <c r="G804" s="3" t="s">
        <v>120</v>
      </c>
      <c r="H804" s="3" t="s">
        <v>614</v>
      </c>
      <c r="I804" s="3">
        <v>2024</v>
      </c>
      <c r="J804" s="3" t="str">
        <f>CONCATENATE("44811351889")</f>
        <v>44811351889</v>
      </c>
      <c r="K804" s="3" t="s">
        <v>33</v>
      </c>
      <c r="L804" s="3" t="str">
        <f t="shared" si="49"/>
        <v/>
      </c>
      <c r="M804" s="3" t="str">
        <f t="shared" si="51"/>
        <v>SRA29</v>
      </c>
      <c r="N804" s="3" t="str">
        <f>CONCATENATE("GRNVTI65L19C525P")</f>
        <v>GRNVTI65L19C525P</v>
      </c>
      <c r="O804" s="3" t="s">
        <v>1279</v>
      </c>
      <c r="P804" s="3" t="s">
        <v>35</v>
      </c>
      <c r="Q804" s="3" t="s">
        <v>1080</v>
      </c>
      <c r="R804" s="4">
        <v>45933</v>
      </c>
      <c r="S804" s="3" t="s">
        <v>37</v>
      </c>
      <c r="T804" s="3" t="s">
        <v>38</v>
      </c>
      <c r="U804" s="3" t="s">
        <v>39</v>
      </c>
      <c r="V804" s="3">
        <v>95.18</v>
      </c>
      <c r="W804" s="3">
        <v>48.07</v>
      </c>
      <c r="X804" s="3">
        <v>32.979999999999997</v>
      </c>
      <c r="Y804" s="3">
        <v>14.13</v>
      </c>
    </row>
    <row r="805" spans="1:25" ht="41.5" hidden="1" x14ac:dyDescent="0.35">
      <c r="A805" s="3" t="s">
        <v>26</v>
      </c>
      <c r="B805" s="3" t="s">
        <v>27</v>
      </c>
      <c r="C805" s="3" t="s">
        <v>478</v>
      </c>
      <c r="D805" s="3" t="s">
        <v>75</v>
      </c>
      <c r="E805" s="3" t="s">
        <v>582</v>
      </c>
      <c r="F805" s="3" t="s">
        <v>77</v>
      </c>
      <c r="G805" s="3" t="s">
        <v>582</v>
      </c>
      <c r="H805" s="3" t="s">
        <v>614</v>
      </c>
      <c r="I805" s="3">
        <v>2024</v>
      </c>
      <c r="J805" s="3" t="str">
        <f>CONCATENATE("44810990562")</f>
        <v>44810990562</v>
      </c>
      <c r="K805" s="3" t="s">
        <v>33</v>
      </c>
      <c r="L805" s="3" t="str">
        <f t="shared" si="49"/>
        <v/>
      </c>
      <c r="M805" s="3" t="str">
        <f t="shared" si="51"/>
        <v>SRA29</v>
      </c>
      <c r="N805" s="3" t="str">
        <f>CONCATENATE("MCCNTN79L12I197F")</f>
        <v>MCCNTN79L12I197F</v>
      </c>
      <c r="O805" s="3" t="s">
        <v>1280</v>
      </c>
      <c r="P805" s="3" t="s">
        <v>35</v>
      </c>
      <c r="Q805" s="3" t="s">
        <v>1080</v>
      </c>
      <c r="R805" s="4">
        <v>45933</v>
      </c>
      <c r="S805" s="3" t="s">
        <v>37</v>
      </c>
      <c r="T805" s="3" t="s">
        <v>38</v>
      </c>
      <c r="U805" s="3" t="s">
        <v>39</v>
      </c>
      <c r="V805" s="3">
        <v>930.03</v>
      </c>
      <c r="W805" s="3">
        <v>469.67</v>
      </c>
      <c r="X805" s="3">
        <v>322.26</v>
      </c>
      <c r="Y805" s="3">
        <v>138.1</v>
      </c>
    </row>
    <row r="806" spans="1:25" ht="49.5" hidden="1" x14ac:dyDescent="0.35">
      <c r="A806" s="3" t="s">
        <v>26</v>
      </c>
      <c r="B806" s="3" t="s">
        <v>27</v>
      </c>
      <c r="C806" s="3" t="s">
        <v>478</v>
      </c>
      <c r="D806" s="3" t="s">
        <v>234</v>
      </c>
      <c r="E806" s="3" t="s">
        <v>732</v>
      </c>
      <c r="F806" s="3" t="s">
        <v>119</v>
      </c>
      <c r="G806" s="3" t="s">
        <v>732</v>
      </c>
      <c r="H806" s="3" t="s">
        <v>614</v>
      </c>
      <c r="I806" s="3">
        <v>2024</v>
      </c>
      <c r="J806" s="3" t="str">
        <f>CONCATENATE("44810174373")</f>
        <v>44810174373</v>
      </c>
      <c r="K806" s="3" t="s">
        <v>33</v>
      </c>
      <c r="L806" s="3" t="str">
        <f t="shared" si="49"/>
        <v/>
      </c>
      <c r="M806" s="3" t="str">
        <f t="shared" si="51"/>
        <v>SRA29</v>
      </c>
      <c r="N806" s="3" t="str">
        <f>CONCATENATE("MRSBGN63B41H898W")</f>
        <v>MRSBGN63B41H898W</v>
      </c>
      <c r="O806" s="3" t="s">
        <v>1281</v>
      </c>
      <c r="P806" s="3" t="s">
        <v>35</v>
      </c>
      <c r="Q806" s="3" t="s">
        <v>1080</v>
      </c>
      <c r="R806" s="4">
        <v>45933</v>
      </c>
      <c r="S806" s="3" t="s">
        <v>37</v>
      </c>
      <c r="T806" s="3" t="s">
        <v>38</v>
      </c>
      <c r="U806" s="3" t="s">
        <v>39</v>
      </c>
      <c r="V806" s="3">
        <v>380.92</v>
      </c>
      <c r="W806" s="3">
        <v>192.36</v>
      </c>
      <c r="X806" s="3">
        <v>131.99</v>
      </c>
      <c r="Y806" s="3">
        <v>56.57</v>
      </c>
    </row>
    <row r="807" spans="1:25" ht="41.5" hidden="1" x14ac:dyDescent="0.35">
      <c r="A807" s="3" t="s">
        <v>26</v>
      </c>
      <c r="B807" s="3" t="s">
        <v>27</v>
      </c>
      <c r="C807" s="3" t="s">
        <v>451</v>
      </c>
      <c r="D807" s="3" t="s">
        <v>61</v>
      </c>
      <c r="E807" s="3" t="s">
        <v>626</v>
      </c>
      <c r="F807" s="3" t="s">
        <v>63</v>
      </c>
      <c r="G807" s="3" t="s">
        <v>626</v>
      </c>
      <c r="H807" s="3" t="s">
        <v>453</v>
      </c>
      <c r="I807" s="3">
        <v>2023</v>
      </c>
      <c r="J807" s="3" t="str">
        <f>CONCATENATE("34820507191")</f>
        <v>34820507191</v>
      </c>
      <c r="K807" s="3" t="s">
        <v>33</v>
      </c>
      <c r="L807" s="3" t="str">
        <f t="shared" si="49"/>
        <v/>
      </c>
      <c r="M807" s="3" t="str">
        <f>CONCATENATE("SRB01")</f>
        <v>SRB01</v>
      </c>
      <c r="N807" s="3" t="str">
        <f>CONCATENATE("LBRNMY89C44A475N")</f>
        <v>LBRNMY89C44A475N</v>
      </c>
      <c r="O807" s="3" t="s">
        <v>1282</v>
      </c>
      <c r="P807" s="3" t="s">
        <v>35</v>
      </c>
      <c r="Q807" s="3" t="s">
        <v>1208</v>
      </c>
      <c r="R807" s="4">
        <v>45919</v>
      </c>
      <c r="S807" s="3" t="s">
        <v>37</v>
      </c>
      <c r="T807" s="3" t="s">
        <v>38</v>
      </c>
      <c r="U807" s="3" t="s">
        <v>39</v>
      </c>
      <c r="V807" s="5">
        <v>3021.46</v>
      </c>
      <c r="W807" s="5">
        <v>1284.1199999999999</v>
      </c>
      <c r="X807" s="5">
        <v>1216.1400000000001</v>
      </c>
      <c r="Y807" s="3">
        <v>521.20000000000005</v>
      </c>
    </row>
    <row r="808" spans="1:25" ht="49.5" hidden="1" x14ac:dyDescent="0.35">
      <c r="A808" s="3" t="s">
        <v>26</v>
      </c>
      <c r="B808" s="3" t="s">
        <v>27</v>
      </c>
      <c r="C808" s="3" t="s">
        <v>478</v>
      </c>
      <c r="D808" s="3" t="s">
        <v>234</v>
      </c>
      <c r="E808" s="3" t="s">
        <v>1140</v>
      </c>
      <c r="F808" s="3" t="s">
        <v>119</v>
      </c>
      <c r="G808" s="3" t="s">
        <v>1140</v>
      </c>
      <c r="H808" s="3" t="s">
        <v>604</v>
      </c>
      <c r="I808" s="3">
        <v>2024</v>
      </c>
      <c r="J808" s="3" t="str">
        <f>CONCATENATE("44810337772")</f>
        <v>44810337772</v>
      </c>
      <c r="K808" s="3" t="s">
        <v>33</v>
      </c>
      <c r="L808" s="3" t="str">
        <f t="shared" si="49"/>
        <v/>
      </c>
      <c r="M808" s="3" t="str">
        <f>CONCATENATE("SRA03")</f>
        <v>SRA03</v>
      </c>
      <c r="N808" s="3" t="str">
        <f>CONCATENATE("BZZNMR48A65E397O")</f>
        <v>BZZNMR48A65E397O</v>
      </c>
      <c r="O808" s="3" t="s">
        <v>1283</v>
      </c>
      <c r="P808" s="3" t="s">
        <v>35</v>
      </c>
      <c r="Q808" s="3" t="s">
        <v>1210</v>
      </c>
      <c r="R808" s="4">
        <v>45915</v>
      </c>
      <c r="S808" s="3" t="s">
        <v>37</v>
      </c>
      <c r="T808" s="3" t="s">
        <v>38</v>
      </c>
      <c r="U808" s="3" t="s">
        <v>39</v>
      </c>
      <c r="V808" s="5">
        <v>10064.44</v>
      </c>
      <c r="W808" s="5">
        <v>5082.54</v>
      </c>
      <c r="X808" s="5">
        <v>3487.33</v>
      </c>
      <c r="Y808" s="5">
        <v>1494.57</v>
      </c>
    </row>
    <row r="809" spans="1:25" ht="41.5" hidden="1" x14ac:dyDescent="0.35">
      <c r="A809" s="3" t="s">
        <v>26</v>
      </c>
      <c r="B809" s="3" t="s">
        <v>27</v>
      </c>
      <c r="C809" s="3" t="s">
        <v>478</v>
      </c>
      <c r="D809" s="3" t="s">
        <v>234</v>
      </c>
      <c r="E809" s="3" t="s">
        <v>1140</v>
      </c>
      <c r="F809" s="3" t="s">
        <v>119</v>
      </c>
      <c r="G809" s="3" t="s">
        <v>1140</v>
      </c>
      <c r="H809" s="3" t="s">
        <v>604</v>
      </c>
      <c r="I809" s="3">
        <v>2024</v>
      </c>
      <c r="J809" s="3" t="str">
        <f>CONCATENATE("44811055928")</f>
        <v>44811055928</v>
      </c>
      <c r="K809" s="3" t="s">
        <v>33</v>
      </c>
      <c r="L809" s="3" t="str">
        <f t="shared" si="49"/>
        <v/>
      </c>
      <c r="M809" s="3" t="str">
        <f>CONCATENATE("SRA03")</f>
        <v>SRA03</v>
      </c>
      <c r="N809" s="3" t="str">
        <f>CONCATENATE("CCUNRN68B65L616L")</f>
        <v>CCUNRN68B65L616L</v>
      </c>
      <c r="O809" s="3" t="s">
        <v>1284</v>
      </c>
      <c r="P809" s="3" t="s">
        <v>35</v>
      </c>
      <c r="Q809" s="3" t="s">
        <v>1210</v>
      </c>
      <c r="R809" s="4">
        <v>45915</v>
      </c>
      <c r="S809" s="3" t="s">
        <v>37</v>
      </c>
      <c r="T809" s="3" t="s">
        <v>38</v>
      </c>
      <c r="U809" s="3" t="s">
        <v>39</v>
      </c>
      <c r="V809" s="5">
        <v>1321.92</v>
      </c>
      <c r="W809" s="3">
        <v>667.57</v>
      </c>
      <c r="X809" s="3">
        <v>458.05</v>
      </c>
      <c r="Y809" s="3">
        <v>196.3</v>
      </c>
    </row>
    <row r="810" spans="1:25" ht="41.5" hidden="1" x14ac:dyDescent="0.35">
      <c r="A810" s="3" t="s">
        <v>26</v>
      </c>
      <c r="B810" s="3" t="s">
        <v>27</v>
      </c>
      <c r="C810" s="3" t="s">
        <v>478</v>
      </c>
      <c r="D810" s="3" t="s">
        <v>29</v>
      </c>
      <c r="E810" s="3" t="s">
        <v>1285</v>
      </c>
      <c r="F810" s="3" t="s">
        <v>31</v>
      </c>
      <c r="G810" s="3" t="s">
        <v>1285</v>
      </c>
      <c r="H810" s="3" t="s">
        <v>604</v>
      </c>
      <c r="I810" s="3">
        <v>2024</v>
      </c>
      <c r="J810" s="3" t="str">
        <f>CONCATENATE("44810553188")</f>
        <v>44810553188</v>
      </c>
      <c r="K810" s="3" t="s">
        <v>33</v>
      </c>
      <c r="L810" s="3" t="str">
        <f t="shared" si="49"/>
        <v/>
      </c>
      <c r="M810" s="3" t="str">
        <f>CONCATENATE("SRA03")</f>
        <v>SRA03</v>
      </c>
      <c r="N810" s="3" t="str">
        <f>CONCATENATE("DPTNGL77B55E245N")</f>
        <v>DPTNGL77B55E245N</v>
      </c>
      <c r="O810" s="3" t="s">
        <v>1286</v>
      </c>
      <c r="P810" s="3" t="s">
        <v>35</v>
      </c>
      <c r="Q810" s="3" t="s">
        <v>1210</v>
      </c>
      <c r="R810" s="4">
        <v>45915</v>
      </c>
      <c r="S810" s="3" t="s">
        <v>37</v>
      </c>
      <c r="T810" s="3" t="s">
        <v>38</v>
      </c>
      <c r="U810" s="3" t="s">
        <v>39</v>
      </c>
      <c r="V810" s="5">
        <v>2136.2399999999998</v>
      </c>
      <c r="W810" s="5">
        <v>1078.8</v>
      </c>
      <c r="X810" s="3">
        <v>740.21</v>
      </c>
      <c r="Y810" s="3">
        <v>317.23</v>
      </c>
    </row>
    <row r="811" spans="1:25" ht="41.5" hidden="1" x14ac:dyDescent="0.35">
      <c r="A811" s="3" t="s">
        <v>26</v>
      </c>
      <c r="B811" s="3" t="s">
        <v>27</v>
      </c>
      <c r="C811" s="3" t="s">
        <v>478</v>
      </c>
      <c r="D811" s="3" t="s">
        <v>107</v>
      </c>
      <c r="E811" s="3" t="s">
        <v>1287</v>
      </c>
      <c r="F811" s="3" t="s">
        <v>31</v>
      </c>
      <c r="G811" s="3" t="s">
        <v>818</v>
      </c>
      <c r="H811" s="3" t="s">
        <v>604</v>
      </c>
      <c r="I811" s="3">
        <v>2024</v>
      </c>
      <c r="J811" s="3" t="str">
        <f>CONCATENATE("44810693034")</f>
        <v>44810693034</v>
      </c>
      <c r="K811" s="3" t="s">
        <v>33</v>
      </c>
      <c r="L811" s="3" t="str">
        <f t="shared" si="49"/>
        <v/>
      </c>
      <c r="M811" s="3" t="str">
        <f>CONCATENATE("SRA03")</f>
        <v>SRA03</v>
      </c>
      <c r="N811" s="3" t="str">
        <f>CONCATENATE("LCNLGN77C51A399G")</f>
        <v>LCNLGN77C51A399G</v>
      </c>
      <c r="O811" s="3" t="s">
        <v>1288</v>
      </c>
      <c r="P811" s="3" t="s">
        <v>35</v>
      </c>
      <c r="Q811" s="3" t="s">
        <v>1210</v>
      </c>
      <c r="R811" s="4">
        <v>45915</v>
      </c>
      <c r="S811" s="3" t="s">
        <v>37</v>
      </c>
      <c r="T811" s="3" t="s">
        <v>38</v>
      </c>
      <c r="U811" s="3" t="s">
        <v>39</v>
      </c>
      <c r="V811" s="3">
        <v>573.79</v>
      </c>
      <c r="W811" s="3">
        <v>289.76</v>
      </c>
      <c r="X811" s="3">
        <v>198.82</v>
      </c>
      <c r="Y811" s="3">
        <v>85.21</v>
      </c>
    </row>
    <row r="812" spans="1:25" ht="41.5" hidden="1" x14ac:dyDescent="0.35">
      <c r="A812" s="3" t="s">
        <v>26</v>
      </c>
      <c r="B812" s="3" t="s">
        <v>27</v>
      </c>
      <c r="C812" s="3" t="s">
        <v>90</v>
      </c>
      <c r="D812" s="3" t="s">
        <v>61</v>
      </c>
      <c r="E812" s="3" t="s">
        <v>1093</v>
      </c>
      <c r="F812" s="3" t="s">
        <v>63</v>
      </c>
      <c r="G812" s="3" t="s">
        <v>1093</v>
      </c>
      <c r="H812" s="3" t="s">
        <v>92</v>
      </c>
      <c r="I812" s="3">
        <v>2024</v>
      </c>
      <c r="J812" s="3" t="str">
        <f>CONCATENATE("44810655280")</f>
        <v>44810655280</v>
      </c>
      <c r="K812" s="3" t="s">
        <v>33</v>
      </c>
      <c r="L812" s="3" t="str">
        <f t="shared" si="49"/>
        <v/>
      </c>
      <c r="M812" s="3" t="str">
        <f t="shared" ref="M812:M819" si="52">CONCATENATE("SRA29")</f>
        <v>SRA29</v>
      </c>
      <c r="N812" s="3" t="str">
        <f>CONCATENATE("MTAPLA55E68B237F")</f>
        <v>MTAPLA55E68B237F</v>
      </c>
      <c r="O812" s="3" t="s">
        <v>1289</v>
      </c>
      <c r="P812" s="3" t="s">
        <v>35</v>
      </c>
      <c r="Q812" s="3" t="s">
        <v>1089</v>
      </c>
      <c r="R812" s="4">
        <v>45915</v>
      </c>
      <c r="S812" s="3" t="s">
        <v>37</v>
      </c>
      <c r="T812" s="3" t="s">
        <v>38</v>
      </c>
      <c r="U812" s="3" t="s">
        <v>39</v>
      </c>
      <c r="V812" s="5">
        <v>2183.91</v>
      </c>
      <c r="W812" s="5">
        <v>1102.8699999999999</v>
      </c>
      <c r="X812" s="3">
        <v>756.72</v>
      </c>
      <c r="Y812" s="3">
        <v>324.32</v>
      </c>
    </row>
    <row r="813" spans="1:25" ht="25.5" hidden="1" x14ac:dyDescent="0.35">
      <c r="A813" s="3" t="s">
        <v>26</v>
      </c>
      <c r="B813" s="3" t="s">
        <v>27</v>
      </c>
      <c r="C813" s="3" t="s">
        <v>90</v>
      </c>
      <c r="D813" s="3" t="s">
        <v>61</v>
      </c>
      <c r="E813" s="3" t="s">
        <v>1093</v>
      </c>
      <c r="F813" s="3" t="s">
        <v>63</v>
      </c>
      <c r="G813" s="3" t="s">
        <v>1093</v>
      </c>
      <c r="H813" s="3" t="s">
        <v>92</v>
      </c>
      <c r="I813" s="3">
        <v>2024</v>
      </c>
      <c r="J813" s="3" t="str">
        <f>CONCATENATE("44811182284")</f>
        <v>44811182284</v>
      </c>
      <c r="K813" s="3" t="s">
        <v>33</v>
      </c>
      <c r="L813" s="3" t="str">
        <f t="shared" si="49"/>
        <v/>
      </c>
      <c r="M813" s="3" t="str">
        <f t="shared" si="52"/>
        <v>SRA29</v>
      </c>
      <c r="N813" s="3" t="str">
        <f>CONCATENATE("01252820897")</f>
        <v>01252820897</v>
      </c>
      <c r="O813" s="3" t="s">
        <v>1290</v>
      </c>
      <c r="P813" s="3" t="s">
        <v>35</v>
      </c>
      <c r="Q813" s="3" t="s">
        <v>1089</v>
      </c>
      <c r="R813" s="4">
        <v>45915</v>
      </c>
      <c r="S813" s="3" t="s">
        <v>37</v>
      </c>
      <c r="T813" s="3" t="s">
        <v>38</v>
      </c>
      <c r="U813" s="3" t="s">
        <v>39</v>
      </c>
      <c r="V813" s="5">
        <v>15762.28</v>
      </c>
      <c r="W813" s="5">
        <v>7959.95</v>
      </c>
      <c r="X813" s="5">
        <v>5461.63</v>
      </c>
      <c r="Y813" s="5">
        <v>2340.6999999999998</v>
      </c>
    </row>
    <row r="814" spans="1:25" ht="41.5" hidden="1" x14ac:dyDescent="0.35">
      <c r="A814" s="3" t="s">
        <v>26</v>
      </c>
      <c r="B814" s="3" t="s">
        <v>27</v>
      </c>
      <c r="C814" s="3" t="s">
        <v>90</v>
      </c>
      <c r="D814" s="3" t="s">
        <v>99</v>
      </c>
      <c r="E814" s="3" t="s">
        <v>1291</v>
      </c>
      <c r="F814" s="3" t="s">
        <v>101</v>
      </c>
      <c r="G814" s="3" t="s">
        <v>1291</v>
      </c>
      <c r="H814" s="3" t="s">
        <v>92</v>
      </c>
      <c r="I814" s="3">
        <v>2023</v>
      </c>
      <c r="J814" s="3" t="str">
        <f>CONCATENATE("34810512300")</f>
        <v>34810512300</v>
      </c>
      <c r="K814" s="3" t="s">
        <v>33</v>
      </c>
      <c r="L814" s="3" t="str">
        <f t="shared" si="49"/>
        <v/>
      </c>
      <c r="M814" s="3" t="str">
        <f t="shared" si="52"/>
        <v>SRA29</v>
      </c>
      <c r="N814" s="3" t="str">
        <f>CONCATENATE("CRSNLM87P45C351T")</f>
        <v>CRSNLM87P45C351T</v>
      </c>
      <c r="O814" s="3" t="s">
        <v>1292</v>
      </c>
      <c r="P814" s="3" t="s">
        <v>35</v>
      </c>
      <c r="Q814" s="3" t="s">
        <v>1089</v>
      </c>
      <c r="R814" s="4">
        <v>45915</v>
      </c>
      <c r="S814" s="3" t="s">
        <v>37</v>
      </c>
      <c r="T814" s="3" t="s">
        <v>38</v>
      </c>
      <c r="U814" s="3" t="s">
        <v>39</v>
      </c>
      <c r="V814" s="5">
        <v>5102.72</v>
      </c>
      <c r="W814" s="5">
        <v>2576.87</v>
      </c>
      <c r="X814" s="5">
        <v>1768.09</v>
      </c>
      <c r="Y814" s="3">
        <v>757.76</v>
      </c>
    </row>
    <row r="815" spans="1:25" ht="41.5" hidden="1" x14ac:dyDescent="0.35">
      <c r="A815" s="3" t="s">
        <v>26</v>
      </c>
      <c r="B815" s="3" t="s">
        <v>27</v>
      </c>
      <c r="C815" s="3" t="s">
        <v>90</v>
      </c>
      <c r="D815" s="3" t="s">
        <v>364</v>
      </c>
      <c r="E815" s="3" t="s">
        <v>1293</v>
      </c>
      <c r="F815" s="3" t="s">
        <v>393</v>
      </c>
      <c r="G815" s="3" t="s">
        <v>1293</v>
      </c>
      <c r="H815" s="3" t="s">
        <v>92</v>
      </c>
      <c r="I815" s="3">
        <v>2024</v>
      </c>
      <c r="J815" s="3" t="str">
        <f>CONCATENATE("44810425148")</f>
        <v>44810425148</v>
      </c>
      <c r="K815" s="3" t="s">
        <v>33</v>
      </c>
      <c r="L815" s="3" t="str">
        <f t="shared" si="49"/>
        <v/>
      </c>
      <c r="M815" s="3" t="str">
        <f t="shared" si="52"/>
        <v>SRA29</v>
      </c>
      <c r="N815" s="3" t="str">
        <f>CONCATENATE("LNEGPP53M09F943M")</f>
        <v>LNEGPP53M09F943M</v>
      </c>
      <c r="O815" s="3" t="s">
        <v>1294</v>
      </c>
      <c r="P815" s="3" t="s">
        <v>35</v>
      </c>
      <c r="Q815" s="3" t="s">
        <v>1089</v>
      </c>
      <c r="R815" s="4">
        <v>45915</v>
      </c>
      <c r="S815" s="3" t="s">
        <v>37</v>
      </c>
      <c r="T815" s="3" t="s">
        <v>38</v>
      </c>
      <c r="U815" s="3" t="s">
        <v>39</v>
      </c>
      <c r="V815" s="5">
        <v>3526.52</v>
      </c>
      <c r="W815" s="5">
        <v>1780.89</v>
      </c>
      <c r="X815" s="5">
        <v>1221.94</v>
      </c>
      <c r="Y815" s="3">
        <v>523.69000000000005</v>
      </c>
    </row>
    <row r="816" spans="1:25" ht="41.5" hidden="1" x14ac:dyDescent="0.35">
      <c r="A816" s="3" t="s">
        <v>26</v>
      </c>
      <c r="B816" s="3" t="s">
        <v>27</v>
      </c>
      <c r="C816" s="3" t="s">
        <v>90</v>
      </c>
      <c r="D816" s="3" t="s">
        <v>364</v>
      </c>
      <c r="E816" s="3" t="s">
        <v>1293</v>
      </c>
      <c r="F816" s="3" t="s">
        <v>393</v>
      </c>
      <c r="G816" s="3" t="s">
        <v>1293</v>
      </c>
      <c r="H816" s="3" t="s">
        <v>92</v>
      </c>
      <c r="I816" s="3">
        <v>2023</v>
      </c>
      <c r="J816" s="3" t="str">
        <f>CONCATENATE("34810586288")</f>
        <v>34810586288</v>
      </c>
      <c r="K816" s="3" t="s">
        <v>33</v>
      </c>
      <c r="L816" s="3" t="str">
        <f t="shared" si="49"/>
        <v/>
      </c>
      <c r="M816" s="3" t="str">
        <f t="shared" si="52"/>
        <v>SRA29</v>
      </c>
      <c r="N816" s="3" t="str">
        <f>CONCATENATE("LNEGPP53M09F943M")</f>
        <v>LNEGPP53M09F943M</v>
      </c>
      <c r="O816" s="3" t="s">
        <v>1294</v>
      </c>
      <c r="P816" s="3" t="s">
        <v>35</v>
      </c>
      <c r="Q816" s="3" t="s">
        <v>1089</v>
      </c>
      <c r="R816" s="4">
        <v>45915</v>
      </c>
      <c r="S816" s="3" t="s">
        <v>37</v>
      </c>
      <c r="T816" s="3" t="s">
        <v>38</v>
      </c>
      <c r="U816" s="3" t="s">
        <v>39</v>
      </c>
      <c r="V816" s="5">
        <v>1660.88</v>
      </c>
      <c r="W816" s="3">
        <v>838.74</v>
      </c>
      <c r="X816" s="3">
        <v>575.49</v>
      </c>
      <c r="Y816" s="3">
        <v>246.65</v>
      </c>
    </row>
    <row r="817" spans="1:25" ht="41.5" hidden="1" x14ac:dyDescent="0.35">
      <c r="A817" s="3" t="s">
        <v>26</v>
      </c>
      <c r="B817" s="3" t="s">
        <v>27</v>
      </c>
      <c r="C817" s="3" t="s">
        <v>90</v>
      </c>
      <c r="D817" s="3" t="s">
        <v>41</v>
      </c>
      <c r="E817" s="3" t="s">
        <v>238</v>
      </c>
      <c r="F817" s="3" t="s">
        <v>43</v>
      </c>
      <c r="G817" s="3" t="s">
        <v>238</v>
      </c>
      <c r="H817" s="3" t="s">
        <v>92</v>
      </c>
      <c r="I817" s="3">
        <v>2024</v>
      </c>
      <c r="J817" s="3" t="str">
        <f>CONCATENATE("44810706109")</f>
        <v>44810706109</v>
      </c>
      <c r="K817" s="3" t="s">
        <v>33</v>
      </c>
      <c r="L817" s="3" t="str">
        <f t="shared" si="49"/>
        <v/>
      </c>
      <c r="M817" s="3" t="str">
        <f t="shared" si="52"/>
        <v>SRA29</v>
      </c>
      <c r="N817" s="3" t="str">
        <f>CONCATENATE("MCRFNC73M49I754B")</f>
        <v>MCRFNC73M49I754B</v>
      </c>
      <c r="O817" s="3" t="s">
        <v>1295</v>
      </c>
      <c r="P817" s="3" t="s">
        <v>35</v>
      </c>
      <c r="Q817" s="3" t="s">
        <v>1089</v>
      </c>
      <c r="R817" s="4">
        <v>45915</v>
      </c>
      <c r="S817" s="3" t="s">
        <v>37</v>
      </c>
      <c r="T817" s="3" t="s">
        <v>38</v>
      </c>
      <c r="U817" s="3" t="s">
        <v>39</v>
      </c>
      <c r="V817" s="3">
        <v>96.36</v>
      </c>
      <c r="W817" s="3">
        <v>48.66</v>
      </c>
      <c r="X817" s="3">
        <v>33.39</v>
      </c>
      <c r="Y817" s="3">
        <v>14.31</v>
      </c>
    </row>
    <row r="818" spans="1:25" ht="41.5" hidden="1" x14ac:dyDescent="0.35">
      <c r="A818" s="3" t="s">
        <v>26</v>
      </c>
      <c r="B818" s="3" t="s">
        <v>27</v>
      </c>
      <c r="C818" s="3" t="s">
        <v>90</v>
      </c>
      <c r="D818" s="3" t="s">
        <v>61</v>
      </c>
      <c r="E818" s="3" t="s">
        <v>1093</v>
      </c>
      <c r="F818" s="3" t="s">
        <v>63</v>
      </c>
      <c r="G818" s="3" t="s">
        <v>1093</v>
      </c>
      <c r="H818" s="3" t="s">
        <v>92</v>
      </c>
      <c r="I818" s="3">
        <v>2023</v>
      </c>
      <c r="J818" s="3" t="str">
        <f>CONCATENATE("34810319938")</f>
        <v>34810319938</v>
      </c>
      <c r="K818" s="3" t="s">
        <v>33</v>
      </c>
      <c r="L818" s="3" t="str">
        <f t="shared" si="49"/>
        <v/>
      </c>
      <c r="M818" s="3" t="str">
        <f t="shared" si="52"/>
        <v>SRA29</v>
      </c>
      <c r="N818" s="3" t="str">
        <f>CONCATENATE("SCHMCN68S63F258N")</f>
        <v>SCHMCN68S63F258N</v>
      </c>
      <c r="O818" s="3" t="s">
        <v>1296</v>
      </c>
      <c r="P818" s="3" t="s">
        <v>35</v>
      </c>
      <c r="Q818" s="3" t="s">
        <v>1089</v>
      </c>
      <c r="R818" s="4">
        <v>45915</v>
      </c>
      <c r="S818" s="3" t="s">
        <v>37</v>
      </c>
      <c r="T818" s="3" t="s">
        <v>38</v>
      </c>
      <c r="U818" s="3" t="s">
        <v>39</v>
      </c>
      <c r="V818" s="5">
        <v>4121.05</v>
      </c>
      <c r="W818" s="5">
        <v>2081.13</v>
      </c>
      <c r="X818" s="5">
        <v>1427.94</v>
      </c>
      <c r="Y818" s="3">
        <v>611.98</v>
      </c>
    </row>
    <row r="819" spans="1:25" ht="41.5" hidden="1" x14ac:dyDescent="0.35">
      <c r="A819" s="3" t="s">
        <v>26</v>
      </c>
      <c r="B819" s="3" t="s">
        <v>27</v>
      </c>
      <c r="C819" s="3" t="s">
        <v>90</v>
      </c>
      <c r="D819" s="3" t="s">
        <v>234</v>
      </c>
      <c r="E819" s="3" t="s">
        <v>1297</v>
      </c>
      <c r="F819" s="3" t="s">
        <v>119</v>
      </c>
      <c r="G819" s="3" t="s">
        <v>1297</v>
      </c>
      <c r="H819" s="3" t="s">
        <v>92</v>
      </c>
      <c r="I819" s="3">
        <v>2024</v>
      </c>
      <c r="J819" s="3" t="str">
        <f>CONCATENATE("44811081940")</f>
        <v>44811081940</v>
      </c>
      <c r="K819" s="3" t="s">
        <v>33</v>
      </c>
      <c r="L819" s="3" t="str">
        <f t="shared" si="49"/>
        <v/>
      </c>
      <c r="M819" s="3" t="str">
        <f t="shared" si="52"/>
        <v>SRA29</v>
      </c>
      <c r="N819" s="3" t="str">
        <f>CONCATENATE("VTLSVT58L29B787P")</f>
        <v>VTLSVT58L29B787P</v>
      </c>
      <c r="O819" s="3" t="s">
        <v>1298</v>
      </c>
      <c r="P819" s="3" t="s">
        <v>35</v>
      </c>
      <c r="Q819" s="3" t="s">
        <v>1089</v>
      </c>
      <c r="R819" s="4">
        <v>45915</v>
      </c>
      <c r="S819" s="3" t="s">
        <v>37</v>
      </c>
      <c r="T819" s="3" t="s">
        <v>38</v>
      </c>
      <c r="U819" s="3" t="s">
        <v>39</v>
      </c>
      <c r="V819" s="3">
        <v>782.58</v>
      </c>
      <c r="W819" s="3">
        <v>395.2</v>
      </c>
      <c r="X819" s="3">
        <v>271.16000000000003</v>
      </c>
      <c r="Y819" s="3">
        <v>116.22</v>
      </c>
    </row>
    <row r="820" spans="1:25" ht="41.5" hidden="1" x14ac:dyDescent="0.35">
      <c r="A820" s="3" t="s">
        <v>26</v>
      </c>
      <c r="B820" s="3" t="s">
        <v>27</v>
      </c>
      <c r="C820" s="3" t="s">
        <v>451</v>
      </c>
      <c r="D820" s="3" t="s">
        <v>29</v>
      </c>
      <c r="E820" s="3" t="s">
        <v>1299</v>
      </c>
      <c r="F820" s="3" t="s">
        <v>31</v>
      </c>
      <c r="G820" s="3" t="s">
        <v>1299</v>
      </c>
      <c r="H820" s="3" t="s">
        <v>453</v>
      </c>
      <c r="I820" s="3">
        <v>2024</v>
      </c>
      <c r="J820" s="3" t="str">
        <f>CONCATENATE("44810933562")</f>
        <v>44810933562</v>
      </c>
      <c r="K820" s="3" t="s">
        <v>33</v>
      </c>
      <c r="L820" s="3" t="str">
        <f t="shared" si="49"/>
        <v/>
      </c>
      <c r="M820" s="3" t="str">
        <f>CONCATENATE("SRA14")</f>
        <v>SRA14</v>
      </c>
      <c r="N820" s="3" t="str">
        <f>CONCATENATE("LRANDR59C26H501T")</f>
        <v>LRANDR59C26H501T</v>
      </c>
      <c r="O820" s="3" t="s">
        <v>1300</v>
      </c>
      <c r="P820" s="3" t="s">
        <v>35</v>
      </c>
      <c r="Q820" s="3" t="s">
        <v>1096</v>
      </c>
      <c r="R820" s="4">
        <v>45917</v>
      </c>
      <c r="S820" s="3" t="s">
        <v>37</v>
      </c>
      <c r="T820" s="3" t="s">
        <v>38</v>
      </c>
      <c r="U820" s="3" t="s">
        <v>39</v>
      </c>
      <c r="V820" s="5">
        <v>5600</v>
      </c>
      <c r="W820" s="5">
        <v>2380</v>
      </c>
      <c r="X820" s="5">
        <v>2254</v>
      </c>
      <c r="Y820" s="3">
        <v>966</v>
      </c>
    </row>
    <row r="821" spans="1:25" ht="41.5" hidden="1" x14ac:dyDescent="0.35">
      <c r="A821" s="3" t="s">
        <v>26</v>
      </c>
      <c r="B821" s="3" t="s">
        <v>27</v>
      </c>
      <c r="C821" s="3" t="s">
        <v>451</v>
      </c>
      <c r="D821" s="3" t="s">
        <v>425</v>
      </c>
      <c r="E821" s="3" t="s">
        <v>425</v>
      </c>
      <c r="F821" s="3" t="s">
        <v>63</v>
      </c>
      <c r="G821" s="3" t="s">
        <v>628</v>
      </c>
      <c r="H821" s="3" t="s">
        <v>453</v>
      </c>
      <c r="I821" s="3">
        <v>2023</v>
      </c>
      <c r="J821" s="3" t="str">
        <f>CONCATENATE("34810035807")</f>
        <v>34810035807</v>
      </c>
      <c r="K821" s="3" t="s">
        <v>33</v>
      </c>
      <c r="L821" s="3" t="str">
        <f t="shared" si="49"/>
        <v/>
      </c>
      <c r="M821" s="3" t="str">
        <f>CONCATENATE("SRA29")</f>
        <v>SRA29</v>
      </c>
      <c r="N821" s="3" t="str">
        <f>CONCATENATE("NTCMRT70S60E256S")</f>
        <v>NTCMRT70S60E256S</v>
      </c>
      <c r="O821" s="3" t="s">
        <v>1301</v>
      </c>
      <c r="P821" s="3" t="s">
        <v>35</v>
      </c>
      <c r="Q821" s="3" t="s">
        <v>1302</v>
      </c>
      <c r="R821" s="4">
        <v>45917</v>
      </c>
      <c r="S821" s="3" t="s">
        <v>37</v>
      </c>
      <c r="T821" s="3" t="s">
        <v>38</v>
      </c>
      <c r="U821" s="3" t="s">
        <v>39</v>
      </c>
      <c r="V821" s="3">
        <v>307.52999999999997</v>
      </c>
      <c r="W821" s="3">
        <v>130.69999999999999</v>
      </c>
      <c r="X821" s="3">
        <v>123.78</v>
      </c>
      <c r="Y821" s="3">
        <v>53.05</v>
      </c>
    </row>
    <row r="822" spans="1:25" ht="41.5" hidden="1" x14ac:dyDescent="0.35">
      <c r="A822" s="3" t="s">
        <v>26</v>
      </c>
      <c r="B822" s="3" t="s">
        <v>27</v>
      </c>
      <c r="C822" s="3" t="s">
        <v>561</v>
      </c>
      <c r="D822" s="3" t="s">
        <v>75</v>
      </c>
      <c r="E822" s="3" t="s">
        <v>1303</v>
      </c>
      <c r="F822" s="3" t="s">
        <v>77</v>
      </c>
      <c r="G822" s="3" t="s">
        <v>1303</v>
      </c>
      <c r="H822" s="3" t="s">
        <v>563</v>
      </c>
      <c r="I822" s="3">
        <v>2024</v>
      </c>
      <c r="J822" s="3" t="str">
        <f>CONCATENATE("44810266955")</f>
        <v>44810266955</v>
      </c>
      <c r="K822" s="3" t="s">
        <v>33</v>
      </c>
      <c r="L822" s="3" t="str">
        <f t="shared" si="49"/>
        <v/>
      </c>
      <c r="M822" s="3" t="str">
        <f t="shared" ref="M822:M841" si="53">CONCATENATE("SRA01")</f>
        <v>SRA01</v>
      </c>
      <c r="N822" s="3" t="str">
        <f>CONCATENATE("CRSNTN76L06B519W")</f>
        <v>CRSNTN76L06B519W</v>
      </c>
      <c r="O822" s="3" t="s">
        <v>1304</v>
      </c>
      <c r="P822" s="3" t="s">
        <v>50</v>
      </c>
      <c r="Q822" s="3"/>
      <c r="R822" s="4">
        <v>45931</v>
      </c>
      <c r="S822" s="3" t="s">
        <v>37</v>
      </c>
      <c r="T822" s="3" t="s">
        <v>38</v>
      </c>
      <c r="U822" s="3" t="s">
        <v>39</v>
      </c>
      <c r="V822" s="3">
        <v>207.54</v>
      </c>
      <c r="W822" s="3">
        <v>104.81</v>
      </c>
      <c r="X822" s="3">
        <v>71.91</v>
      </c>
      <c r="Y822" s="3">
        <v>30.82</v>
      </c>
    </row>
    <row r="823" spans="1:25" ht="25.5" hidden="1" x14ac:dyDescent="0.35">
      <c r="A823" s="3" t="s">
        <v>26</v>
      </c>
      <c r="B823" s="3" t="s">
        <v>27</v>
      </c>
      <c r="C823" s="3" t="s">
        <v>561</v>
      </c>
      <c r="D823" s="3" t="s">
        <v>51</v>
      </c>
      <c r="E823" s="3" t="s">
        <v>562</v>
      </c>
      <c r="F823" s="3" t="s">
        <v>51</v>
      </c>
      <c r="G823" s="3" t="s">
        <v>562</v>
      </c>
      <c r="H823" s="3" t="s">
        <v>563</v>
      </c>
      <c r="I823" s="3">
        <v>2024</v>
      </c>
      <c r="J823" s="3" t="str">
        <f>CONCATENATE("44811227147")</f>
        <v>44811227147</v>
      </c>
      <c r="K823" s="3" t="s">
        <v>33</v>
      </c>
      <c r="L823" s="3" t="str">
        <f t="shared" si="49"/>
        <v/>
      </c>
      <c r="M823" s="3" t="str">
        <f t="shared" si="53"/>
        <v>SRA01</v>
      </c>
      <c r="N823" s="3" t="str">
        <f>CONCATENATE("01733230708")</f>
        <v>01733230708</v>
      </c>
      <c r="O823" s="3" t="s">
        <v>1305</v>
      </c>
      <c r="P823" s="3" t="s">
        <v>50</v>
      </c>
      <c r="Q823" s="3"/>
      <c r="R823" s="4">
        <v>45931</v>
      </c>
      <c r="S823" s="3" t="s">
        <v>37</v>
      </c>
      <c r="T823" s="3" t="s">
        <v>38</v>
      </c>
      <c r="U823" s="3" t="s">
        <v>39</v>
      </c>
      <c r="V823" s="3">
        <v>407.79</v>
      </c>
      <c r="W823" s="3">
        <v>205.93</v>
      </c>
      <c r="X823" s="3">
        <v>141.30000000000001</v>
      </c>
      <c r="Y823" s="3">
        <v>60.56</v>
      </c>
    </row>
    <row r="824" spans="1:25" ht="41.5" hidden="1" x14ac:dyDescent="0.35">
      <c r="A824" s="3" t="s">
        <v>26</v>
      </c>
      <c r="B824" s="3" t="s">
        <v>27</v>
      </c>
      <c r="C824" s="3" t="s">
        <v>561</v>
      </c>
      <c r="D824" s="3" t="s">
        <v>41</v>
      </c>
      <c r="E824" s="3" t="s">
        <v>1306</v>
      </c>
      <c r="F824" s="3" t="s">
        <v>43</v>
      </c>
      <c r="G824" s="3" t="s">
        <v>1306</v>
      </c>
      <c r="H824" s="3" t="s">
        <v>563</v>
      </c>
      <c r="I824" s="3">
        <v>2024</v>
      </c>
      <c r="J824" s="3" t="str">
        <f>CONCATENATE("44810970747")</f>
        <v>44810970747</v>
      </c>
      <c r="K824" s="3" t="s">
        <v>33</v>
      </c>
      <c r="L824" s="3" t="str">
        <f t="shared" si="49"/>
        <v/>
      </c>
      <c r="M824" s="3" t="str">
        <f t="shared" si="53"/>
        <v>SRA01</v>
      </c>
      <c r="N824" s="3" t="str">
        <f>CONCATENATE("VTLGTN71B22A080X")</f>
        <v>VTLGTN71B22A080X</v>
      </c>
      <c r="O824" s="3" t="s">
        <v>1307</v>
      </c>
      <c r="P824" s="3" t="s">
        <v>50</v>
      </c>
      <c r="Q824" s="3"/>
      <c r="R824" s="4">
        <v>45931</v>
      </c>
      <c r="S824" s="3" t="s">
        <v>37</v>
      </c>
      <c r="T824" s="3" t="s">
        <v>38</v>
      </c>
      <c r="U824" s="3" t="s">
        <v>39</v>
      </c>
      <c r="V824" s="3">
        <v>791.4</v>
      </c>
      <c r="W824" s="3">
        <v>399.66</v>
      </c>
      <c r="X824" s="3">
        <v>274.22000000000003</v>
      </c>
      <c r="Y824" s="3">
        <v>117.52</v>
      </c>
    </row>
    <row r="825" spans="1:25" ht="41.5" hidden="1" x14ac:dyDescent="0.35">
      <c r="A825" s="3" t="s">
        <v>26</v>
      </c>
      <c r="B825" s="3" t="s">
        <v>27</v>
      </c>
      <c r="C825" s="3" t="s">
        <v>561</v>
      </c>
      <c r="D825" s="3" t="s">
        <v>61</v>
      </c>
      <c r="E825" s="3" t="s">
        <v>1308</v>
      </c>
      <c r="F825" s="3" t="s">
        <v>63</v>
      </c>
      <c r="G825" s="3" t="s">
        <v>1308</v>
      </c>
      <c r="H825" s="3" t="s">
        <v>563</v>
      </c>
      <c r="I825" s="3">
        <v>2024</v>
      </c>
      <c r="J825" s="3" t="str">
        <f>CONCATENATE("44810915551")</f>
        <v>44810915551</v>
      </c>
      <c r="K825" s="3" t="s">
        <v>33</v>
      </c>
      <c r="L825" s="3" t="str">
        <f t="shared" si="49"/>
        <v/>
      </c>
      <c r="M825" s="3" t="str">
        <f t="shared" si="53"/>
        <v>SRA01</v>
      </c>
      <c r="N825" s="3" t="str">
        <f>CONCATENATE("MRCGPP88T28E456D")</f>
        <v>MRCGPP88T28E456D</v>
      </c>
      <c r="O825" s="3" t="s">
        <v>1309</v>
      </c>
      <c r="P825" s="3" t="s">
        <v>50</v>
      </c>
      <c r="Q825" s="3"/>
      <c r="R825" s="4">
        <v>45931</v>
      </c>
      <c r="S825" s="3" t="s">
        <v>37</v>
      </c>
      <c r="T825" s="3" t="s">
        <v>38</v>
      </c>
      <c r="U825" s="3" t="s">
        <v>39</v>
      </c>
      <c r="V825" s="3">
        <v>345.36</v>
      </c>
      <c r="W825" s="3">
        <v>174.41</v>
      </c>
      <c r="X825" s="3">
        <v>119.67</v>
      </c>
      <c r="Y825" s="3">
        <v>51.28</v>
      </c>
    </row>
    <row r="826" spans="1:25" ht="41.5" hidden="1" x14ac:dyDescent="0.35">
      <c r="A826" s="3" t="s">
        <v>26</v>
      </c>
      <c r="B826" s="3" t="s">
        <v>27</v>
      </c>
      <c r="C826" s="3" t="s">
        <v>561</v>
      </c>
      <c r="D826" s="3" t="s">
        <v>61</v>
      </c>
      <c r="E826" s="3" t="s">
        <v>1308</v>
      </c>
      <c r="F826" s="3" t="s">
        <v>63</v>
      </c>
      <c r="G826" s="3" t="s">
        <v>1308</v>
      </c>
      <c r="H826" s="3" t="s">
        <v>563</v>
      </c>
      <c r="I826" s="3">
        <v>2024</v>
      </c>
      <c r="J826" s="3" t="str">
        <f>CONCATENATE("44811243904")</f>
        <v>44811243904</v>
      </c>
      <c r="K826" s="3" t="s">
        <v>33</v>
      </c>
      <c r="L826" s="3" t="str">
        <f t="shared" si="49"/>
        <v/>
      </c>
      <c r="M826" s="3" t="str">
        <f t="shared" si="53"/>
        <v>SRA01</v>
      </c>
      <c r="N826" s="3" t="str">
        <f>CONCATENATE("SBRFDN88E07B519F")</f>
        <v>SBRFDN88E07B519F</v>
      </c>
      <c r="O826" s="3" t="s">
        <v>1310</v>
      </c>
      <c r="P826" s="3" t="s">
        <v>50</v>
      </c>
      <c r="Q826" s="3"/>
      <c r="R826" s="4">
        <v>45931</v>
      </c>
      <c r="S826" s="3" t="s">
        <v>37</v>
      </c>
      <c r="T826" s="3" t="s">
        <v>38</v>
      </c>
      <c r="U826" s="3" t="s">
        <v>39</v>
      </c>
      <c r="V826" s="3">
        <v>40.119999999999997</v>
      </c>
      <c r="W826" s="3">
        <v>20.260000000000002</v>
      </c>
      <c r="X826" s="3">
        <v>13.9</v>
      </c>
      <c r="Y826" s="3">
        <v>5.96</v>
      </c>
    </row>
    <row r="827" spans="1:25" ht="41.5" hidden="1" x14ac:dyDescent="0.35">
      <c r="A827" s="3" t="s">
        <v>26</v>
      </c>
      <c r="B827" s="3" t="s">
        <v>27</v>
      </c>
      <c r="C827" s="3" t="s">
        <v>561</v>
      </c>
      <c r="D827" s="3" t="s">
        <v>75</v>
      </c>
      <c r="E827" s="3" t="s">
        <v>1311</v>
      </c>
      <c r="F827" s="3" t="s">
        <v>77</v>
      </c>
      <c r="G827" s="3" t="s">
        <v>1311</v>
      </c>
      <c r="H827" s="3" t="s">
        <v>563</v>
      </c>
      <c r="I827" s="3">
        <v>2024</v>
      </c>
      <c r="J827" s="3" t="str">
        <f>CONCATENATE("44810472132")</f>
        <v>44810472132</v>
      </c>
      <c r="K827" s="3" t="s">
        <v>33</v>
      </c>
      <c r="L827" s="3" t="str">
        <f t="shared" si="49"/>
        <v/>
      </c>
      <c r="M827" s="3" t="str">
        <f t="shared" si="53"/>
        <v>SRA01</v>
      </c>
      <c r="N827" s="3" t="str">
        <f>CONCATENATE("CCHFMN66R41L505A")</f>
        <v>CCHFMN66R41L505A</v>
      </c>
      <c r="O827" s="3" t="s">
        <v>1312</v>
      </c>
      <c r="P827" s="3" t="s">
        <v>50</v>
      </c>
      <c r="Q827" s="3"/>
      <c r="R827" s="4">
        <v>45931</v>
      </c>
      <c r="S827" s="3" t="s">
        <v>37</v>
      </c>
      <c r="T827" s="3" t="s">
        <v>38</v>
      </c>
      <c r="U827" s="3" t="s">
        <v>39</v>
      </c>
      <c r="V827" s="3">
        <v>526.14</v>
      </c>
      <c r="W827" s="3">
        <v>265.7</v>
      </c>
      <c r="X827" s="3">
        <v>182.31</v>
      </c>
      <c r="Y827" s="3">
        <v>78.13</v>
      </c>
    </row>
    <row r="828" spans="1:25" ht="41.5" hidden="1" x14ac:dyDescent="0.35">
      <c r="A828" s="3" t="s">
        <v>26</v>
      </c>
      <c r="B828" s="3" t="s">
        <v>27</v>
      </c>
      <c r="C828" s="3" t="s">
        <v>478</v>
      </c>
      <c r="D828" s="3" t="s">
        <v>137</v>
      </c>
      <c r="E828" s="3" t="s">
        <v>1313</v>
      </c>
      <c r="F828" s="3" t="s">
        <v>139</v>
      </c>
      <c r="G828" s="3" t="s">
        <v>1313</v>
      </c>
      <c r="H828" s="3" t="s">
        <v>614</v>
      </c>
      <c r="I828" s="3">
        <v>2023</v>
      </c>
      <c r="J828" s="3" t="str">
        <f>CONCATENATE("34810413913")</f>
        <v>34810413913</v>
      </c>
      <c r="K828" s="3" t="s">
        <v>33</v>
      </c>
      <c r="L828" s="3" t="str">
        <f t="shared" si="49"/>
        <v/>
      </c>
      <c r="M828" s="3" t="str">
        <f t="shared" si="53"/>
        <v>SRA01</v>
      </c>
      <c r="N828" s="3" t="str">
        <f>CONCATENATE("CRVLNS54B06I197R")</f>
        <v>CRVLNS54B06I197R</v>
      </c>
      <c r="O828" s="3" t="s">
        <v>1314</v>
      </c>
      <c r="P828" s="3" t="s">
        <v>35</v>
      </c>
      <c r="Q828" s="3" t="s">
        <v>1224</v>
      </c>
      <c r="R828" s="4">
        <v>45933</v>
      </c>
      <c r="S828" s="3" t="s">
        <v>37</v>
      </c>
      <c r="T828" s="3" t="s">
        <v>38</v>
      </c>
      <c r="U828" s="3" t="s">
        <v>39</v>
      </c>
      <c r="V828" s="3">
        <v>96.79</v>
      </c>
      <c r="W828" s="3">
        <v>48.88</v>
      </c>
      <c r="X828" s="3">
        <v>33.54</v>
      </c>
      <c r="Y828" s="3">
        <v>14.37</v>
      </c>
    </row>
    <row r="829" spans="1:25" ht="41.5" hidden="1" x14ac:dyDescent="0.35">
      <c r="A829" s="3" t="s">
        <v>26</v>
      </c>
      <c r="B829" s="3" t="s">
        <v>27</v>
      </c>
      <c r="C829" s="3" t="s">
        <v>478</v>
      </c>
      <c r="D829" s="3" t="s">
        <v>61</v>
      </c>
      <c r="E829" s="3" t="s">
        <v>1225</v>
      </c>
      <c r="F829" s="3" t="s">
        <v>63</v>
      </c>
      <c r="G829" s="3" t="s">
        <v>1225</v>
      </c>
      <c r="H829" s="3" t="s">
        <v>614</v>
      </c>
      <c r="I829" s="3">
        <v>2024</v>
      </c>
      <c r="J829" s="3" t="str">
        <f>CONCATENATE("44810134310")</f>
        <v>44810134310</v>
      </c>
      <c r="K829" s="3" t="s">
        <v>33</v>
      </c>
      <c r="L829" s="3" t="str">
        <f t="shared" si="49"/>
        <v/>
      </c>
      <c r="M829" s="3" t="str">
        <f t="shared" si="53"/>
        <v>SRA01</v>
      </c>
      <c r="N829" s="3" t="str">
        <f>CONCATENATE("CPPCLD97C43A783E")</f>
        <v>CPPCLD97C43A783E</v>
      </c>
      <c r="O829" s="3" t="s">
        <v>1315</v>
      </c>
      <c r="P829" s="3" t="s">
        <v>35</v>
      </c>
      <c r="Q829" s="3" t="s">
        <v>1224</v>
      </c>
      <c r="R829" s="4">
        <v>45933</v>
      </c>
      <c r="S829" s="3" t="s">
        <v>37</v>
      </c>
      <c r="T829" s="3" t="s">
        <v>38</v>
      </c>
      <c r="U829" s="3" t="s">
        <v>39</v>
      </c>
      <c r="V829" s="5">
        <v>2629.64</v>
      </c>
      <c r="W829" s="5">
        <v>1327.97</v>
      </c>
      <c r="X829" s="3">
        <v>911.17</v>
      </c>
      <c r="Y829" s="3">
        <v>390.5</v>
      </c>
    </row>
    <row r="830" spans="1:25" ht="41.5" hidden="1" x14ac:dyDescent="0.35">
      <c r="A830" s="3" t="s">
        <v>26</v>
      </c>
      <c r="B830" s="3" t="s">
        <v>27</v>
      </c>
      <c r="C830" s="3" t="s">
        <v>478</v>
      </c>
      <c r="D830" s="3" t="s">
        <v>61</v>
      </c>
      <c r="E830" s="3" t="s">
        <v>1316</v>
      </c>
      <c r="F830" s="3" t="s">
        <v>43</v>
      </c>
      <c r="G830" s="3" t="s">
        <v>1032</v>
      </c>
      <c r="H830" s="3" t="s">
        <v>614</v>
      </c>
      <c r="I830" s="3">
        <v>2023</v>
      </c>
      <c r="J830" s="3" t="str">
        <f>CONCATENATE("34810467745")</f>
        <v>34810467745</v>
      </c>
      <c r="K830" s="3" t="s">
        <v>33</v>
      </c>
      <c r="L830" s="3" t="str">
        <f t="shared" si="49"/>
        <v/>
      </c>
      <c r="M830" s="3" t="str">
        <f t="shared" si="53"/>
        <v>SRA01</v>
      </c>
      <c r="N830" s="3" t="str">
        <f>CONCATENATE("FRGGNN62H64I809Z")</f>
        <v>FRGGNN62H64I809Z</v>
      </c>
      <c r="O830" s="3" t="s">
        <v>1317</v>
      </c>
      <c r="P830" s="3" t="s">
        <v>35</v>
      </c>
      <c r="Q830" s="3" t="s">
        <v>1224</v>
      </c>
      <c r="R830" s="4">
        <v>45933</v>
      </c>
      <c r="S830" s="3" t="s">
        <v>37</v>
      </c>
      <c r="T830" s="3" t="s">
        <v>38</v>
      </c>
      <c r="U830" s="3" t="s">
        <v>39</v>
      </c>
      <c r="V830" s="5">
        <v>1190.21</v>
      </c>
      <c r="W830" s="3">
        <v>601.05999999999995</v>
      </c>
      <c r="X830" s="3">
        <v>412.41</v>
      </c>
      <c r="Y830" s="3">
        <v>176.74</v>
      </c>
    </row>
    <row r="831" spans="1:25" ht="41.5" hidden="1" x14ac:dyDescent="0.35">
      <c r="A831" s="3" t="s">
        <v>26</v>
      </c>
      <c r="B831" s="3" t="s">
        <v>27</v>
      </c>
      <c r="C831" s="3" t="s">
        <v>478</v>
      </c>
      <c r="D831" s="3" t="s">
        <v>61</v>
      </c>
      <c r="E831" s="3" t="s">
        <v>1225</v>
      </c>
      <c r="F831" s="3" t="s">
        <v>63</v>
      </c>
      <c r="G831" s="3" t="s">
        <v>1225</v>
      </c>
      <c r="H831" s="3" t="s">
        <v>614</v>
      </c>
      <c r="I831" s="3">
        <v>2023</v>
      </c>
      <c r="J831" s="3" t="str">
        <f>CONCATENATE("34810534437")</f>
        <v>34810534437</v>
      </c>
      <c r="K831" s="3" t="s">
        <v>33</v>
      </c>
      <c r="L831" s="3" t="str">
        <f t="shared" si="49"/>
        <v/>
      </c>
      <c r="M831" s="3" t="str">
        <f t="shared" si="53"/>
        <v>SRA01</v>
      </c>
      <c r="N831" s="3" t="str">
        <f>CONCATENATE("FRMMHL77P21L254R")</f>
        <v>FRMMHL77P21L254R</v>
      </c>
      <c r="O831" s="3" t="s">
        <v>1318</v>
      </c>
      <c r="P831" s="3" t="s">
        <v>35</v>
      </c>
      <c r="Q831" s="3" t="s">
        <v>1224</v>
      </c>
      <c r="R831" s="4">
        <v>45933</v>
      </c>
      <c r="S831" s="3" t="s">
        <v>37</v>
      </c>
      <c r="T831" s="3" t="s">
        <v>38</v>
      </c>
      <c r="U831" s="3" t="s">
        <v>39</v>
      </c>
      <c r="V831" s="5">
        <v>2026.22</v>
      </c>
      <c r="W831" s="5">
        <v>1023.24</v>
      </c>
      <c r="X831" s="3">
        <v>702.09</v>
      </c>
      <c r="Y831" s="3">
        <v>300.89</v>
      </c>
    </row>
    <row r="832" spans="1:25" ht="41.5" hidden="1" x14ac:dyDescent="0.35">
      <c r="A832" s="3" t="s">
        <v>26</v>
      </c>
      <c r="B832" s="3" t="s">
        <v>27</v>
      </c>
      <c r="C832" s="3" t="s">
        <v>478</v>
      </c>
      <c r="D832" s="3" t="s">
        <v>75</v>
      </c>
      <c r="E832" s="3" t="s">
        <v>582</v>
      </c>
      <c r="F832" s="3" t="s">
        <v>77</v>
      </c>
      <c r="G832" s="3" t="s">
        <v>582</v>
      </c>
      <c r="H832" s="3" t="s">
        <v>614</v>
      </c>
      <c r="I832" s="3">
        <v>2023</v>
      </c>
      <c r="J832" s="3" t="str">
        <f>CONCATENATE("34810344589")</f>
        <v>34810344589</v>
      </c>
      <c r="K832" s="3" t="s">
        <v>33</v>
      </c>
      <c r="L832" s="3" t="str">
        <f t="shared" si="49"/>
        <v/>
      </c>
      <c r="M832" s="3" t="str">
        <f t="shared" si="53"/>
        <v>SRA01</v>
      </c>
      <c r="N832" s="3" t="str">
        <f>CONCATENATE("NNLNGL71M04A783X")</f>
        <v>NNLNGL71M04A783X</v>
      </c>
      <c r="O832" s="3" t="s">
        <v>1319</v>
      </c>
      <c r="P832" s="3" t="s">
        <v>35</v>
      </c>
      <c r="Q832" s="3" t="s">
        <v>1224</v>
      </c>
      <c r="R832" s="4">
        <v>45933</v>
      </c>
      <c r="S832" s="3" t="s">
        <v>37</v>
      </c>
      <c r="T832" s="3" t="s">
        <v>38</v>
      </c>
      <c r="U832" s="3" t="s">
        <v>39</v>
      </c>
      <c r="V832" s="5">
        <v>3206.23</v>
      </c>
      <c r="W832" s="5">
        <v>1619.15</v>
      </c>
      <c r="X832" s="5">
        <v>1110.96</v>
      </c>
      <c r="Y832" s="3">
        <v>476.12</v>
      </c>
    </row>
    <row r="833" spans="1:25" ht="41.5" hidden="1" x14ac:dyDescent="0.35">
      <c r="A833" s="3" t="s">
        <v>26</v>
      </c>
      <c r="B833" s="3" t="s">
        <v>27</v>
      </c>
      <c r="C833" s="3" t="s">
        <v>478</v>
      </c>
      <c r="D833" s="3" t="s">
        <v>75</v>
      </c>
      <c r="E833" s="3" t="s">
        <v>582</v>
      </c>
      <c r="F833" s="3" t="s">
        <v>77</v>
      </c>
      <c r="G833" s="3" t="s">
        <v>582</v>
      </c>
      <c r="H833" s="3" t="s">
        <v>614</v>
      </c>
      <c r="I833" s="3">
        <v>2024</v>
      </c>
      <c r="J833" s="3" t="str">
        <f>CONCATENATE("44811022092")</f>
        <v>44811022092</v>
      </c>
      <c r="K833" s="3" t="s">
        <v>33</v>
      </c>
      <c r="L833" s="3" t="str">
        <f t="shared" si="49"/>
        <v/>
      </c>
      <c r="M833" s="3" t="str">
        <f t="shared" si="53"/>
        <v>SRA01</v>
      </c>
      <c r="N833" s="3" t="str">
        <f>CONCATENATE("NNLNGL71M04A783X")</f>
        <v>NNLNGL71M04A783X</v>
      </c>
      <c r="O833" s="3" t="s">
        <v>1319</v>
      </c>
      <c r="P833" s="3" t="s">
        <v>35</v>
      </c>
      <c r="Q833" s="3" t="s">
        <v>1224</v>
      </c>
      <c r="R833" s="4">
        <v>45933</v>
      </c>
      <c r="S833" s="3" t="s">
        <v>37</v>
      </c>
      <c r="T833" s="3" t="s">
        <v>38</v>
      </c>
      <c r="U833" s="3" t="s">
        <v>39</v>
      </c>
      <c r="V833" s="5">
        <v>3004.52</v>
      </c>
      <c r="W833" s="5">
        <v>1517.28</v>
      </c>
      <c r="X833" s="5">
        <v>1041.07</v>
      </c>
      <c r="Y833" s="3">
        <v>446.17</v>
      </c>
    </row>
    <row r="834" spans="1:25" ht="41.5" hidden="1" x14ac:dyDescent="0.35">
      <c r="A834" s="3" t="s">
        <v>26</v>
      </c>
      <c r="B834" s="3" t="s">
        <v>27</v>
      </c>
      <c r="C834" s="3" t="s">
        <v>478</v>
      </c>
      <c r="D834" s="3" t="s">
        <v>41</v>
      </c>
      <c r="E834" s="3" t="s">
        <v>1032</v>
      </c>
      <c r="F834" s="3" t="s">
        <v>43</v>
      </c>
      <c r="G834" s="3" t="s">
        <v>1032</v>
      </c>
      <c r="H834" s="3" t="s">
        <v>614</v>
      </c>
      <c r="I834" s="3">
        <v>2024</v>
      </c>
      <c r="J834" s="3" t="str">
        <f>CONCATENATE("44810282333")</f>
        <v>44810282333</v>
      </c>
      <c r="K834" s="3" t="s">
        <v>33</v>
      </c>
      <c r="L834" s="3" t="str">
        <f t="shared" si="49"/>
        <v/>
      </c>
      <c r="M834" s="3" t="str">
        <f t="shared" si="53"/>
        <v>SRA01</v>
      </c>
      <c r="N834" s="3" t="str">
        <f>CONCATENATE("SCIMCL70A48A783E")</f>
        <v>SCIMCL70A48A783E</v>
      </c>
      <c r="O834" s="3" t="s">
        <v>1320</v>
      </c>
      <c r="P834" s="3" t="s">
        <v>35</v>
      </c>
      <c r="Q834" s="3" t="s">
        <v>1224</v>
      </c>
      <c r="R834" s="4">
        <v>45933</v>
      </c>
      <c r="S834" s="3" t="s">
        <v>37</v>
      </c>
      <c r="T834" s="3" t="s">
        <v>38</v>
      </c>
      <c r="U834" s="3" t="s">
        <v>39</v>
      </c>
      <c r="V834" s="5">
        <v>1564.93</v>
      </c>
      <c r="W834" s="3">
        <v>790.29</v>
      </c>
      <c r="X834" s="3">
        <v>542.25</v>
      </c>
      <c r="Y834" s="3">
        <v>232.39</v>
      </c>
    </row>
    <row r="835" spans="1:25" ht="41.5" hidden="1" x14ac:dyDescent="0.35">
      <c r="A835" s="3" t="s">
        <v>26</v>
      </c>
      <c r="B835" s="3" t="s">
        <v>27</v>
      </c>
      <c r="C835" s="3" t="s">
        <v>478</v>
      </c>
      <c r="D835" s="3" t="s">
        <v>137</v>
      </c>
      <c r="E835" s="3" t="s">
        <v>1313</v>
      </c>
      <c r="F835" s="3" t="s">
        <v>139</v>
      </c>
      <c r="G835" s="3" t="s">
        <v>1313</v>
      </c>
      <c r="H835" s="3" t="s">
        <v>614</v>
      </c>
      <c r="I835" s="3">
        <v>2024</v>
      </c>
      <c r="J835" s="3" t="str">
        <f>CONCATENATE("44810094969")</f>
        <v>44810094969</v>
      </c>
      <c r="K835" s="3" t="s">
        <v>33</v>
      </c>
      <c r="L835" s="3" t="str">
        <f t="shared" si="49"/>
        <v/>
      </c>
      <c r="M835" s="3" t="str">
        <f t="shared" si="53"/>
        <v>SRA01</v>
      </c>
      <c r="N835" s="3" t="str">
        <f>CONCATENATE("MRTNGL87R60Z133I")</f>
        <v>MRTNGL87R60Z133I</v>
      </c>
      <c r="O835" s="3" t="s">
        <v>1321</v>
      </c>
      <c r="P835" s="3" t="s">
        <v>35</v>
      </c>
      <c r="Q835" s="3" t="s">
        <v>1224</v>
      </c>
      <c r="R835" s="4">
        <v>45933</v>
      </c>
      <c r="S835" s="3" t="s">
        <v>37</v>
      </c>
      <c r="T835" s="3" t="s">
        <v>38</v>
      </c>
      <c r="U835" s="3" t="s">
        <v>39</v>
      </c>
      <c r="V835" s="5">
        <v>6193.96</v>
      </c>
      <c r="W835" s="5">
        <v>3127.95</v>
      </c>
      <c r="X835" s="5">
        <v>2146.21</v>
      </c>
      <c r="Y835" s="3">
        <v>919.8</v>
      </c>
    </row>
    <row r="836" spans="1:25" ht="41.5" hidden="1" x14ac:dyDescent="0.35">
      <c r="A836" s="3" t="s">
        <v>26</v>
      </c>
      <c r="B836" s="3" t="s">
        <v>27</v>
      </c>
      <c r="C836" s="3" t="s">
        <v>478</v>
      </c>
      <c r="D836" s="3" t="s">
        <v>75</v>
      </c>
      <c r="E836" s="3" t="s">
        <v>582</v>
      </c>
      <c r="F836" s="3" t="s">
        <v>77</v>
      </c>
      <c r="G836" s="3" t="s">
        <v>582</v>
      </c>
      <c r="H836" s="3" t="s">
        <v>614</v>
      </c>
      <c r="I836" s="3">
        <v>2023</v>
      </c>
      <c r="J836" s="3" t="str">
        <f>CONCATENATE("34810671098")</f>
        <v>34810671098</v>
      </c>
      <c r="K836" s="3" t="s">
        <v>33</v>
      </c>
      <c r="L836" s="3" t="str">
        <f t="shared" ref="L836:L899" si="54">CONCATENATE("")</f>
        <v/>
      </c>
      <c r="M836" s="3" t="str">
        <f t="shared" si="53"/>
        <v>SRA01</v>
      </c>
      <c r="N836" s="3" t="str">
        <f>CONCATENATE("PRNNNA75R49A783E")</f>
        <v>PRNNNA75R49A783E</v>
      </c>
      <c r="O836" s="3" t="s">
        <v>1322</v>
      </c>
      <c r="P836" s="3" t="s">
        <v>35</v>
      </c>
      <c r="Q836" s="3" t="s">
        <v>1224</v>
      </c>
      <c r="R836" s="4">
        <v>45933</v>
      </c>
      <c r="S836" s="3" t="s">
        <v>37</v>
      </c>
      <c r="T836" s="3" t="s">
        <v>38</v>
      </c>
      <c r="U836" s="3" t="s">
        <v>39</v>
      </c>
      <c r="V836" s="5">
        <v>1346.67</v>
      </c>
      <c r="W836" s="3">
        <v>680.07</v>
      </c>
      <c r="X836" s="3">
        <v>466.62</v>
      </c>
      <c r="Y836" s="3">
        <v>199.98</v>
      </c>
    </row>
    <row r="837" spans="1:25" ht="41.5" hidden="1" x14ac:dyDescent="0.35">
      <c r="A837" s="3" t="s">
        <v>26</v>
      </c>
      <c r="B837" s="3" t="s">
        <v>27</v>
      </c>
      <c r="C837" s="3" t="s">
        <v>478</v>
      </c>
      <c r="D837" s="3" t="s">
        <v>75</v>
      </c>
      <c r="E837" s="3" t="s">
        <v>582</v>
      </c>
      <c r="F837" s="3" t="s">
        <v>77</v>
      </c>
      <c r="G837" s="3" t="s">
        <v>582</v>
      </c>
      <c r="H837" s="3" t="s">
        <v>614</v>
      </c>
      <c r="I837" s="3">
        <v>2024</v>
      </c>
      <c r="J837" s="3" t="str">
        <f>CONCATENATE("44810924793")</f>
        <v>44810924793</v>
      </c>
      <c r="K837" s="3" t="s">
        <v>33</v>
      </c>
      <c r="L837" s="3" t="str">
        <f t="shared" si="54"/>
        <v/>
      </c>
      <c r="M837" s="3" t="str">
        <f t="shared" si="53"/>
        <v>SRA01</v>
      </c>
      <c r="N837" s="3" t="str">
        <f>CONCATENATE("PTRPQL93D29A783S")</f>
        <v>PTRPQL93D29A783S</v>
      </c>
      <c r="O837" s="3" t="s">
        <v>1323</v>
      </c>
      <c r="P837" s="3" t="s">
        <v>35</v>
      </c>
      <c r="Q837" s="3" t="s">
        <v>1224</v>
      </c>
      <c r="R837" s="4">
        <v>45933</v>
      </c>
      <c r="S837" s="3" t="s">
        <v>37</v>
      </c>
      <c r="T837" s="3" t="s">
        <v>38</v>
      </c>
      <c r="U837" s="3" t="s">
        <v>39</v>
      </c>
      <c r="V837" s="5">
        <v>4967.97</v>
      </c>
      <c r="W837" s="5">
        <v>2508.8200000000002</v>
      </c>
      <c r="X837" s="5">
        <v>1721.4</v>
      </c>
      <c r="Y837" s="3">
        <v>737.75</v>
      </c>
    </row>
    <row r="838" spans="1:25" ht="41.5" hidden="1" x14ac:dyDescent="0.35">
      <c r="A838" s="3" t="s">
        <v>26</v>
      </c>
      <c r="B838" s="3" t="s">
        <v>27</v>
      </c>
      <c r="C838" s="3" t="s">
        <v>478</v>
      </c>
      <c r="D838" s="3" t="s">
        <v>75</v>
      </c>
      <c r="E838" s="3" t="s">
        <v>582</v>
      </c>
      <c r="F838" s="3" t="s">
        <v>77</v>
      </c>
      <c r="G838" s="3" t="s">
        <v>582</v>
      </c>
      <c r="H838" s="3" t="s">
        <v>614</v>
      </c>
      <c r="I838" s="3">
        <v>2023</v>
      </c>
      <c r="J838" s="3" t="str">
        <f>CONCATENATE("34810488998")</f>
        <v>34810488998</v>
      </c>
      <c r="K838" s="3" t="s">
        <v>33</v>
      </c>
      <c r="L838" s="3" t="str">
        <f t="shared" si="54"/>
        <v/>
      </c>
      <c r="M838" s="3" t="str">
        <f t="shared" si="53"/>
        <v>SRA01</v>
      </c>
      <c r="N838" s="3" t="str">
        <f>CONCATENATE("PTRPQL93D29A783S")</f>
        <v>PTRPQL93D29A783S</v>
      </c>
      <c r="O838" s="3" t="s">
        <v>1323</v>
      </c>
      <c r="P838" s="3" t="s">
        <v>35</v>
      </c>
      <c r="Q838" s="3" t="s">
        <v>1224</v>
      </c>
      <c r="R838" s="4">
        <v>45933</v>
      </c>
      <c r="S838" s="3" t="s">
        <v>37</v>
      </c>
      <c r="T838" s="3" t="s">
        <v>38</v>
      </c>
      <c r="U838" s="3" t="s">
        <v>39</v>
      </c>
      <c r="V838" s="5">
        <v>4831.63</v>
      </c>
      <c r="W838" s="5">
        <v>2439.9699999999998</v>
      </c>
      <c r="X838" s="5">
        <v>1674.16</v>
      </c>
      <c r="Y838" s="3">
        <v>717.5</v>
      </c>
    </row>
    <row r="839" spans="1:25" ht="49.5" hidden="1" x14ac:dyDescent="0.35">
      <c r="A839" s="3" t="s">
        <v>26</v>
      </c>
      <c r="B839" s="3" t="s">
        <v>27</v>
      </c>
      <c r="C839" s="3" t="s">
        <v>478</v>
      </c>
      <c r="D839" s="3" t="s">
        <v>75</v>
      </c>
      <c r="E839" s="3" t="s">
        <v>582</v>
      </c>
      <c r="F839" s="3" t="s">
        <v>77</v>
      </c>
      <c r="G839" s="3" t="s">
        <v>582</v>
      </c>
      <c r="H839" s="3" t="s">
        <v>614</v>
      </c>
      <c r="I839" s="3">
        <v>2023</v>
      </c>
      <c r="J839" s="3" t="str">
        <f>CONCATENATE("34810670579")</f>
        <v>34810670579</v>
      </c>
      <c r="K839" s="3" t="s">
        <v>33</v>
      </c>
      <c r="L839" s="3" t="str">
        <f t="shared" si="54"/>
        <v/>
      </c>
      <c r="M839" s="3" t="str">
        <f t="shared" si="53"/>
        <v>SRA01</v>
      </c>
      <c r="N839" s="3" t="str">
        <f>CONCATENATE("RMNLRT69D13A783T")</f>
        <v>RMNLRT69D13A783T</v>
      </c>
      <c r="O839" s="3" t="s">
        <v>1324</v>
      </c>
      <c r="P839" s="3" t="s">
        <v>35</v>
      </c>
      <c r="Q839" s="3" t="s">
        <v>1224</v>
      </c>
      <c r="R839" s="4">
        <v>45933</v>
      </c>
      <c r="S839" s="3" t="s">
        <v>37</v>
      </c>
      <c r="T839" s="3" t="s">
        <v>38</v>
      </c>
      <c r="U839" s="3" t="s">
        <v>39</v>
      </c>
      <c r="V839" s="5">
        <v>3652.87</v>
      </c>
      <c r="W839" s="5">
        <v>1844.7</v>
      </c>
      <c r="X839" s="5">
        <v>1265.72</v>
      </c>
      <c r="Y839" s="3">
        <v>542.45000000000005</v>
      </c>
    </row>
    <row r="840" spans="1:25" ht="49.5" hidden="1" x14ac:dyDescent="0.35">
      <c r="A840" s="3" t="s">
        <v>26</v>
      </c>
      <c r="B840" s="3" t="s">
        <v>27</v>
      </c>
      <c r="C840" s="3" t="s">
        <v>478</v>
      </c>
      <c r="D840" s="3" t="s">
        <v>75</v>
      </c>
      <c r="E840" s="3" t="s">
        <v>1082</v>
      </c>
      <c r="F840" s="3" t="s">
        <v>77</v>
      </c>
      <c r="G840" s="3" t="s">
        <v>1082</v>
      </c>
      <c r="H840" s="3" t="s">
        <v>614</v>
      </c>
      <c r="I840" s="3">
        <v>2024</v>
      </c>
      <c r="J840" s="3" t="str">
        <f>CONCATENATE("44810446763")</f>
        <v>44810446763</v>
      </c>
      <c r="K840" s="3" t="s">
        <v>33</v>
      </c>
      <c r="L840" s="3" t="str">
        <f t="shared" si="54"/>
        <v/>
      </c>
      <c r="M840" s="3" t="str">
        <f t="shared" si="53"/>
        <v>SRA01</v>
      </c>
      <c r="N840" s="3" t="str">
        <f>CONCATENATE("RSSMSM70T04A783Q")</f>
        <v>RSSMSM70T04A783Q</v>
      </c>
      <c r="O840" s="3" t="s">
        <v>1325</v>
      </c>
      <c r="P840" s="3" t="s">
        <v>35</v>
      </c>
      <c r="Q840" s="3" t="s">
        <v>1224</v>
      </c>
      <c r="R840" s="4">
        <v>45933</v>
      </c>
      <c r="S840" s="3" t="s">
        <v>37</v>
      </c>
      <c r="T840" s="3" t="s">
        <v>38</v>
      </c>
      <c r="U840" s="3" t="s">
        <v>39</v>
      </c>
      <c r="V840" s="5">
        <v>4067.4</v>
      </c>
      <c r="W840" s="5">
        <v>2054.04</v>
      </c>
      <c r="X840" s="5">
        <v>1409.35</v>
      </c>
      <c r="Y840" s="3">
        <v>604.01</v>
      </c>
    </row>
    <row r="841" spans="1:25" ht="25.5" hidden="1" x14ac:dyDescent="0.35">
      <c r="A841" s="3" t="s">
        <v>26</v>
      </c>
      <c r="B841" s="3" t="s">
        <v>27</v>
      </c>
      <c r="C841" s="3" t="s">
        <v>478</v>
      </c>
      <c r="D841" s="3" t="s">
        <v>41</v>
      </c>
      <c r="E841" s="3" t="s">
        <v>1032</v>
      </c>
      <c r="F841" s="3" t="s">
        <v>43</v>
      </c>
      <c r="G841" s="3" t="s">
        <v>1032</v>
      </c>
      <c r="H841" s="3" t="s">
        <v>614</v>
      </c>
      <c r="I841" s="3">
        <v>2023</v>
      </c>
      <c r="J841" s="3" t="str">
        <f>CONCATENATE("34810483452")</f>
        <v>34810483452</v>
      </c>
      <c r="K841" s="3" t="s">
        <v>33</v>
      </c>
      <c r="L841" s="3" t="str">
        <f t="shared" si="54"/>
        <v/>
      </c>
      <c r="M841" s="3" t="str">
        <f t="shared" si="53"/>
        <v>SRA01</v>
      </c>
      <c r="N841" s="3" t="str">
        <f>CONCATENATE("01742660622")</f>
        <v>01742660622</v>
      </c>
      <c r="O841" s="3" t="s">
        <v>1326</v>
      </c>
      <c r="P841" s="3" t="s">
        <v>35</v>
      </c>
      <c r="Q841" s="3" t="s">
        <v>1224</v>
      </c>
      <c r="R841" s="4">
        <v>45933</v>
      </c>
      <c r="S841" s="3" t="s">
        <v>37</v>
      </c>
      <c r="T841" s="3" t="s">
        <v>38</v>
      </c>
      <c r="U841" s="3" t="s">
        <v>39</v>
      </c>
      <c r="V841" s="3">
        <v>41.53</v>
      </c>
      <c r="W841" s="3">
        <v>20.97</v>
      </c>
      <c r="X841" s="3">
        <v>14.39</v>
      </c>
      <c r="Y841" s="3">
        <v>6.17</v>
      </c>
    </row>
    <row r="842" spans="1:25" ht="41.5" hidden="1" x14ac:dyDescent="0.35">
      <c r="A842" s="3" t="s">
        <v>26</v>
      </c>
      <c r="B842" s="3" t="s">
        <v>27</v>
      </c>
      <c r="C842" s="3" t="s">
        <v>90</v>
      </c>
      <c r="D842" s="3" t="s">
        <v>29</v>
      </c>
      <c r="E842" s="3" t="s">
        <v>292</v>
      </c>
      <c r="F842" s="3" t="s">
        <v>31</v>
      </c>
      <c r="G842" s="3" t="s">
        <v>292</v>
      </c>
      <c r="H842" s="3" t="s">
        <v>212</v>
      </c>
      <c r="I842" s="3">
        <v>2023</v>
      </c>
      <c r="J842" s="3" t="str">
        <f>CONCATENATE("34810613751")</f>
        <v>34810613751</v>
      </c>
      <c r="K842" s="3" t="s">
        <v>33</v>
      </c>
      <c r="L842" s="3" t="str">
        <f t="shared" si="54"/>
        <v/>
      </c>
      <c r="M842" s="3" t="str">
        <f>CONCATENATE("SRA29")</f>
        <v>SRA29</v>
      </c>
      <c r="N842" s="3" t="str">
        <f>CONCATENATE("FCRGPP73L14F065C")</f>
        <v>FCRGPP73L14F065C</v>
      </c>
      <c r="O842" s="3" t="s">
        <v>1327</v>
      </c>
      <c r="P842" s="3" t="s">
        <v>35</v>
      </c>
      <c r="Q842" s="3" t="s">
        <v>1230</v>
      </c>
      <c r="R842" s="4">
        <v>45931</v>
      </c>
      <c r="S842" s="3" t="s">
        <v>37</v>
      </c>
      <c r="T842" s="3" t="s">
        <v>38</v>
      </c>
      <c r="U842" s="3" t="s">
        <v>39</v>
      </c>
      <c r="V842" s="5">
        <v>19957.25</v>
      </c>
      <c r="W842" s="5">
        <v>10078.41</v>
      </c>
      <c r="X842" s="5">
        <v>6915.19</v>
      </c>
      <c r="Y842" s="5">
        <v>2963.65</v>
      </c>
    </row>
    <row r="843" spans="1:25" ht="41.5" hidden="1" x14ac:dyDescent="0.35">
      <c r="A843" s="3" t="s">
        <v>26</v>
      </c>
      <c r="B843" s="3" t="s">
        <v>27</v>
      </c>
      <c r="C843" s="3" t="s">
        <v>90</v>
      </c>
      <c r="D843" s="3" t="s">
        <v>41</v>
      </c>
      <c r="E843" s="3" t="s">
        <v>1328</v>
      </c>
      <c r="F843" s="3" t="s">
        <v>43</v>
      </c>
      <c r="G843" s="3" t="s">
        <v>1328</v>
      </c>
      <c r="H843" s="3" t="s">
        <v>212</v>
      </c>
      <c r="I843" s="3">
        <v>2024</v>
      </c>
      <c r="J843" s="3" t="str">
        <f>CONCATENATE("44810441913")</f>
        <v>44810441913</v>
      </c>
      <c r="K843" s="3" t="s">
        <v>33</v>
      </c>
      <c r="L843" s="3" t="str">
        <f t="shared" si="54"/>
        <v/>
      </c>
      <c r="M843" s="3" t="str">
        <f>CONCATENATE("SRA29")</f>
        <v>SRA29</v>
      </c>
      <c r="N843" s="3" t="str">
        <f>CONCATENATE("PLMLSN64M06B429X")</f>
        <v>PLMLSN64M06B429X</v>
      </c>
      <c r="O843" s="3" t="s">
        <v>1329</v>
      </c>
      <c r="P843" s="3" t="s">
        <v>35</v>
      </c>
      <c r="Q843" s="3" t="s">
        <v>1230</v>
      </c>
      <c r="R843" s="4">
        <v>45931</v>
      </c>
      <c r="S843" s="3" t="s">
        <v>37</v>
      </c>
      <c r="T843" s="3" t="s">
        <v>38</v>
      </c>
      <c r="U843" s="3" t="s">
        <v>39</v>
      </c>
      <c r="V843" s="3">
        <v>766.1</v>
      </c>
      <c r="W843" s="3">
        <v>386.88</v>
      </c>
      <c r="X843" s="3">
        <v>265.45</v>
      </c>
      <c r="Y843" s="3">
        <v>113.77</v>
      </c>
    </row>
    <row r="844" spans="1:25" ht="25.5" hidden="1" x14ac:dyDescent="0.35">
      <c r="A844" s="3" t="s">
        <v>26</v>
      </c>
      <c r="B844" s="3" t="s">
        <v>27</v>
      </c>
      <c r="C844" s="3" t="s">
        <v>90</v>
      </c>
      <c r="D844" s="3" t="s">
        <v>69</v>
      </c>
      <c r="E844" s="3" t="s">
        <v>1330</v>
      </c>
      <c r="F844" s="3" t="s">
        <v>71</v>
      </c>
      <c r="G844" s="3" t="s">
        <v>1330</v>
      </c>
      <c r="H844" s="3" t="s">
        <v>212</v>
      </c>
      <c r="I844" s="3">
        <v>2024</v>
      </c>
      <c r="J844" s="3" t="str">
        <f>CONCATENATE("44810599595")</f>
        <v>44810599595</v>
      </c>
      <c r="K844" s="3" t="s">
        <v>33</v>
      </c>
      <c r="L844" s="3" t="str">
        <f t="shared" si="54"/>
        <v/>
      </c>
      <c r="M844" s="3" t="str">
        <f>CONCATENATE("SRA29")</f>
        <v>SRA29</v>
      </c>
      <c r="N844" s="3" t="str">
        <f>CONCATENATE("05367750824")</f>
        <v>05367750824</v>
      </c>
      <c r="O844" s="3" t="s">
        <v>1331</v>
      </c>
      <c r="P844" s="3" t="s">
        <v>35</v>
      </c>
      <c r="Q844" s="3" t="s">
        <v>1230</v>
      </c>
      <c r="R844" s="4">
        <v>45931</v>
      </c>
      <c r="S844" s="3" t="s">
        <v>37</v>
      </c>
      <c r="T844" s="3" t="s">
        <v>38</v>
      </c>
      <c r="U844" s="3" t="s">
        <v>39</v>
      </c>
      <c r="V844" s="5">
        <v>87530.87</v>
      </c>
      <c r="W844" s="5">
        <v>44203.09</v>
      </c>
      <c r="X844" s="5">
        <v>30329.45</v>
      </c>
      <c r="Y844" s="5">
        <v>12998.33</v>
      </c>
    </row>
    <row r="845" spans="1:25" ht="41.5" hidden="1" x14ac:dyDescent="0.35">
      <c r="A845" s="3" t="s">
        <v>26</v>
      </c>
      <c r="B845" s="3" t="s">
        <v>27</v>
      </c>
      <c r="C845" s="3" t="s">
        <v>478</v>
      </c>
      <c r="D845" s="3" t="s">
        <v>75</v>
      </c>
      <c r="E845" s="3" t="s">
        <v>582</v>
      </c>
      <c r="F845" s="3" t="s">
        <v>77</v>
      </c>
      <c r="G845" s="3" t="s">
        <v>582</v>
      </c>
      <c r="H845" s="3" t="s">
        <v>614</v>
      </c>
      <c r="I845" s="3">
        <v>2024</v>
      </c>
      <c r="J845" s="3" t="str">
        <f>CONCATENATE("44811030988")</f>
        <v>44811030988</v>
      </c>
      <c r="K845" s="3" t="s">
        <v>33</v>
      </c>
      <c r="L845" s="3" t="str">
        <f t="shared" si="54"/>
        <v/>
      </c>
      <c r="M845" s="3" t="str">
        <f t="shared" ref="M845:M858" si="55">CONCATENATE("SRA03")</f>
        <v>SRA03</v>
      </c>
      <c r="N845" s="3" t="str">
        <f>CONCATENATE("BLPGPP45P12H898L")</f>
        <v>BLPGPP45P12H898L</v>
      </c>
      <c r="O845" s="3" t="s">
        <v>1332</v>
      </c>
      <c r="P845" s="3" t="s">
        <v>35</v>
      </c>
      <c r="Q845" s="3" t="s">
        <v>616</v>
      </c>
      <c r="R845" s="4">
        <v>45933</v>
      </c>
      <c r="S845" s="3" t="s">
        <v>37</v>
      </c>
      <c r="T845" s="3" t="s">
        <v>38</v>
      </c>
      <c r="U845" s="3" t="s">
        <v>39</v>
      </c>
      <c r="V845" s="3">
        <v>842.12</v>
      </c>
      <c r="W845" s="3">
        <v>425.27</v>
      </c>
      <c r="X845" s="3">
        <v>291.79000000000002</v>
      </c>
      <c r="Y845" s="3">
        <v>125.06</v>
      </c>
    </row>
    <row r="846" spans="1:25" ht="41.5" hidden="1" x14ac:dyDescent="0.35">
      <c r="A846" s="3" t="s">
        <v>26</v>
      </c>
      <c r="B846" s="3" t="s">
        <v>27</v>
      </c>
      <c r="C846" s="3" t="s">
        <v>478</v>
      </c>
      <c r="D846" s="3" t="s">
        <v>75</v>
      </c>
      <c r="E846" s="3" t="s">
        <v>582</v>
      </c>
      <c r="F846" s="3" t="s">
        <v>77</v>
      </c>
      <c r="G846" s="3" t="s">
        <v>582</v>
      </c>
      <c r="H846" s="3" t="s">
        <v>614</v>
      </c>
      <c r="I846" s="3">
        <v>2024</v>
      </c>
      <c r="J846" s="3" t="str">
        <f>CONCATENATE("44811061355")</f>
        <v>44811061355</v>
      </c>
      <c r="K846" s="3" t="s">
        <v>33</v>
      </c>
      <c r="L846" s="3" t="str">
        <f t="shared" si="54"/>
        <v/>
      </c>
      <c r="M846" s="3" t="str">
        <f t="shared" si="55"/>
        <v>SRA03</v>
      </c>
      <c r="N846" s="3" t="str">
        <f>CONCATENATE("DRBVTR47S16A783W")</f>
        <v>DRBVTR47S16A783W</v>
      </c>
      <c r="O846" s="3" t="s">
        <v>1333</v>
      </c>
      <c r="P846" s="3" t="s">
        <v>35</v>
      </c>
      <c r="Q846" s="3" t="s">
        <v>616</v>
      </c>
      <c r="R846" s="4">
        <v>45933</v>
      </c>
      <c r="S846" s="3" t="s">
        <v>37</v>
      </c>
      <c r="T846" s="3" t="s">
        <v>38</v>
      </c>
      <c r="U846" s="3" t="s">
        <v>39</v>
      </c>
      <c r="V846" s="5">
        <v>2427.21</v>
      </c>
      <c r="W846" s="5">
        <v>1225.74</v>
      </c>
      <c r="X846" s="3">
        <v>841.03</v>
      </c>
      <c r="Y846" s="3">
        <v>360.44</v>
      </c>
    </row>
    <row r="847" spans="1:25" ht="41.5" hidden="1" x14ac:dyDescent="0.35">
      <c r="A847" s="3" t="s">
        <v>26</v>
      </c>
      <c r="B847" s="3" t="s">
        <v>27</v>
      </c>
      <c r="C847" s="3" t="s">
        <v>478</v>
      </c>
      <c r="D847" s="3" t="s">
        <v>75</v>
      </c>
      <c r="E847" s="3" t="s">
        <v>582</v>
      </c>
      <c r="F847" s="3" t="s">
        <v>43</v>
      </c>
      <c r="G847" s="3" t="s">
        <v>1334</v>
      </c>
      <c r="H847" s="3" t="s">
        <v>614</v>
      </c>
      <c r="I847" s="3">
        <v>2024</v>
      </c>
      <c r="J847" s="3" t="str">
        <f>CONCATENATE("44811169950")</f>
        <v>44811169950</v>
      </c>
      <c r="K847" s="3" t="s">
        <v>33</v>
      </c>
      <c r="L847" s="3" t="str">
        <f t="shared" si="54"/>
        <v/>
      </c>
      <c r="M847" s="3" t="str">
        <f t="shared" si="55"/>
        <v>SRA03</v>
      </c>
      <c r="N847" s="3" t="str">
        <f>CONCATENATE("FRNSTR97M52A783F")</f>
        <v>FRNSTR97M52A783F</v>
      </c>
      <c r="O847" s="3" t="s">
        <v>1335</v>
      </c>
      <c r="P847" s="3" t="s">
        <v>35</v>
      </c>
      <c r="Q847" s="3" t="s">
        <v>616</v>
      </c>
      <c r="R847" s="4">
        <v>45933</v>
      </c>
      <c r="S847" s="3" t="s">
        <v>37</v>
      </c>
      <c r="T847" s="3" t="s">
        <v>38</v>
      </c>
      <c r="U847" s="3" t="s">
        <v>39</v>
      </c>
      <c r="V847" s="5">
        <v>2536.37</v>
      </c>
      <c r="W847" s="5">
        <v>1280.8699999999999</v>
      </c>
      <c r="X847" s="3">
        <v>878.85</v>
      </c>
      <c r="Y847" s="3">
        <v>376.65</v>
      </c>
    </row>
    <row r="848" spans="1:25" ht="41.5" hidden="1" x14ac:dyDescent="0.35">
      <c r="A848" s="3" t="s">
        <v>26</v>
      </c>
      <c r="B848" s="3" t="s">
        <v>27</v>
      </c>
      <c r="C848" s="3" t="s">
        <v>478</v>
      </c>
      <c r="D848" s="3" t="s">
        <v>41</v>
      </c>
      <c r="E848" s="3" t="s">
        <v>1336</v>
      </c>
      <c r="F848" s="3" t="s">
        <v>43</v>
      </c>
      <c r="G848" s="3" t="s">
        <v>1336</v>
      </c>
      <c r="H848" s="3" t="s">
        <v>614</v>
      </c>
      <c r="I848" s="3">
        <v>2024</v>
      </c>
      <c r="J848" s="3" t="str">
        <f>CONCATENATE("44810009918")</f>
        <v>44810009918</v>
      </c>
      <c r="K848" s="3" t="s">
        <v>33</v>
      </c>
      <c r="L848" s="3" t="str">
        <f t="shared" si="54"/>
        <v/>
      </c>
      <c r="M848" s="3" t="str">
        <f t="shared" si="55"/>
        <v>SRA03</v>
      </c>
      <c r="N848" s="3" t="str">
        <f>CONCATENATE("FRGRSL60B48A783Z")</f>
        <v>FRGRSL60B48A783Z</v>
      </c>
      <c r="O848" s="3" t="s">
        <v>1337</v>
      </c>
      <c r="P848" s="3" t="s">
        <v>35</v>
      </c>
      <c r="Q848" s="3" t="s">
        <v>616</v>
      </c>
      <c r="R848" s="4">
        <v>45933</v>
      </c>
      <c r="S848" s="3" t="s">
        <v>37</v>
      </c>
      <c r="T848" s="3" t="s">
        <v>38</v>
      </c>
      <c r="U848" s="3" t="s">
        <v>39</v>
      </c>
      <c r="V848" s="3">
        <v>496.06</v>
      </c>
      <c r="W848" s="3">
        <v>250.51</v>
      </c>
      <c r="X848" s="3">
        <v>171.88</v>
      </c>
      <c r="Y848" s="3">
        <v>73.67</v>
      </c>
    </row>
    <row r="849" spans="1:25" ht="49.5" hidden="1" x14ac:dyDescent="0.35">
      <c r="A849" s="3" t="s">
        <v>26</v>
      </c>
      <c r="B849" s="3" t="s">
        <v>27</v>
      </c>
      <c r="C849" s="3" t="s">
        <v>478</v>
      </c>
      <c r="D849" s="3" t="s">
        <v>75</v>
      </c>
      <c r="E849" s="3" t="s">
        <v>582</v>
      </c>
      <c r="F849" s="3" t="s">
        <v>77</v>
      </c>
      <c r="G849" s="3" t="s">
        <v>582</v>
      </c>
      <c r="H849" s="3" t="s">
        <v>614</v>
      </c>
      <c r="I849" s="3">
        <v>2024</v>
      </c>
      <c r="J849" s="3" t="str">
        <f>CONCATENATE("44811336898")</f>
        <v>44811336898</v>
      </c>
      <c r="K849" s="3" t="s">
        <v>33</v>
      </c>
      <c r="L849" s="3" t="str">
        <f t="shared" si="54"/>
        <v/>
      </c>
      <c r="M849" s="3" t="str">
        <f t="shared" si="55"/>
        <v>SRA03</v>
      </c>
      <c r="N849" s="3" t="str">
        <f>CONCATENATE("GLLGRG76B18H898R")</f>
        <v>GLLGRG76B18H898R</v>
      </c>
      <c r="O849" s="3" t="s">
        <v>1338</v>
      </c>
      <c r="P849" s="3" t="s">
        <v>35</v>
      </c>
      <c r="Q849" s="3" t="s">
        <v>616</v>
      </c>
      <c r="R849" s="4">
        <v>45933</v>
      </c>
      <c r="S849" s="3" t="s">
        <v>37</v>
      </c>
      <c r="T849" s="3" t="s">
        <v>38</v>
      </c>
      <c r="U849" s="3" t="s">
        <v>39</v>
      </c>
      <c r="V849" s="5">
        <v>3711.73</v>
      </c>
      <c r="W849" s="5">
        <v>1874.42</v>
      </c>
      <c r="X849" s="5">
        <v>1286.1099999999999</v>
      </c>
      <c r="Y849" s="3">
        <v>551.20000000000005</v>
      </c>
    </row>
    <row r="850" spans="1:25" ht="41.5" hidden="1" x14ac:dyDescent="0.35">
      <c r="A850" s="3" t="s">
        <v>26</v>
      </c>
      <c r="B850" s="3" t="s">
        <v>27</v>
      </c>
      <c r="C850" s="3" t="s">
        <v>478</v>
      </c>
      <c r="D850" s="3" t="s">
        <v>41</v>
      </c>
      <c r="E850" s="3" t="s">
        <v>1339</v>
      </c>
      <c r="F850" s="3" t="s">
        <v>43</v>
      </c>
      <c r="G850" s="3" t="s">
        <v>1339</v>
      </c>
      <c r="H850" s="3" t="s">
        <v>614</v>
      </c>
      <c r="I850" s="3">
        <v>2024</v>
      </c>
      <c r="J850" s="3" t="str">
        <f>CONCATENATE("44810441152")</f>
        <v>44810441152</v>
      </c>
      <c r="K850" s="3" t="s">
        <v>33</v>
      </c>
      <c r="L850" s="3" t="str">
        <f t="shared" si="54"/>
        <v/>
      </c>
      <c r="M850" s="3" t="str">
        <f t="shared" si="55"/>
        <v>SRA03</v>
      </c>
      <c r="N850" s="3" t="str">
        <f>CONCATENATE("GGNGZN98M08L086C")</f>
        <v>GGNGZN98M08L086C</v>
      </c>
      <c r="O850" s="3" t="s">
        <v>1340</v>
      </c>
      <c r="P850" s="3" t="s">
        <v>35</v>
      </c>
      <c r="Q850" s="3" t="s">
        <v>616</v>
      </c>
      <c r="R850" s="4">
        <v>45933</v>
      </c>
      <c r="S850" s="3" t="s">
        <v>37</v>
      </c>
      <c r="T850" s="3" t="s">
        <v>38</v>
      </c>
      <c r="U850" s="3" t="s">
        <v>39</v>
      </c>
      <c r="V850" s="3">
        <v>617.9</v>
      </c>
      <c r="W850" s="3">
        <v>312.04000000000002</v>
      </c>
      <c r="X850" s="3">
        <v>214.1</v>
      </c>
      <c r="Y850" s="3">
        <v>91.76</v>
      </c>
    </row>
    <row r="851" spans="1:25" ht="41.5" hidden="1" x14ac:dyDescent="0.35">
      <c r="A851" s="3" t="s">
        <v>26</v>
      </c>
      <c r="B851" s="3" t="s">
        <v>27</v>
      </c>
      <c r="C851" s="3" t="s">
        <v>478</v>
      </c>
      <c r="D851" s="3" t="s">
        <v>75</v>
      </c>
      <c r="E851" s="3" t="s">
        <v>582</v>
      </c>
      <c r="F851" s="3" t="s">
        <v>77</v>
      </c>
      <c r="G851" s="3" t="s">
        <v>582</v>
      </c>
      <c r="H851" s="3" t="s">
        <v>614</v>
      </c>
      <c r="I851" s="3">
        <v>2024</v>
      </c>
      <c r="J851" s="3" t="str">
        <f>CONCATENATE("44811020088")</f>
        <v>44811020088</v>
      </c>
      <c r="K851" s="3" t="s">
        <v>33</v>
      </c>
      <c r="L851" s="3" t="str">
        <f t="shared" si="54"/>
        <v/>
      </c>
      <c r="M851" s="3" t="str">
        <f t="shared" si="55"/>
        <v>SRA03</v>
      </c>
      <c r="N851" s="3" t="str">
        <f>CONCATENATE("DNZNTN59H17G631I")</f>
        <v>DNZNTN59H17G631I</v>
      </c>
      <c r="O851" s="3" t="s">
        <v>1341</v>
      </c>
      <c r="P851" s="3" t="s">
        <v>35</v>
      </c>
      <c r="Q851" s="3" t="s">
        <v>616</v>
      </c>
      <c r="R851" s="4">
        <v>45933</v>
      </c>
      <c r="S851" s="3" t="s">
        <v>37</v>
      </c>
      <c r="T851" s="3" t="s">
        <v>38</v>
      </c>
      <c r="U851" s="3" t="s">
        <v>39</v>
      </c>
      <c r="V851" s="3">
        <v>256.70999999999998</v>
      </c>
      <c r="W851" s="3">
        <v>129.63999999999999</v>
      </c>
      <c r="X851" s="3">
        <v>88.95</v>
      </c>
      <c r="Y851" s="3">
        <v>38.119999999999997</v>
      </c>
    </row>
    <row r="852" spans="1:25" ht="41.5" hidden="1" x14ac:dyDescent="0.35">
      <c r="A852" s="3" t="s">
        <v>26</v>
      </c>
      <c r="B852" s="3" t="s">
        <v>27</v>
      </c>
      <c r="C852" s="3" t="s">
        <v>478</v>
      </c>
      <c r="D852" s="3" t="s">
        <v>41</v>
      </c>
      <c r="E852" s="3" t="s">
        <v>1336</v>
      </c>
      <c r="F852" s="3" t="s">
        <v>43</v>
      </c>
      <c r="G852" s="3" t="s">
        <v>1336</v>
      </c>
      <c r="H852" s="3" t="s">
        <v>614</v>
      </c>
      <c r="I852" s="3">
        <v>2024</v>
      </c>
      <c r="J852" s="3" t="str">
        <f>CONCATENATE("44810389104")</f>
        <v>44810389104</v>
      </c>
      <c r="K852" s="3" t="s">
        <v>33</v>
      </c>
      <c r="L852" s="3" t="str">
        <f t="shared" si="54"/>
        <v/>
      </c>
      <c r="M852" s="3" t="str">
        <f t="shared" si="55"/>
        <v>SRA03</v>
      </c>
      <c r="N852" s="3" t="str">
        <f>CONCATENATE("MSLGNR72L01A783I")</f>
        <v>MSLGNR72L01A783I</v>
      </c>
      <c r="O852" s="3" t="s">
        <v>1342</v>
      </c>
      <c r="P852" s="3" t="s">
        <v>35</v>
      </c>
      <c r="Q852" s="3" t="s">
        <v>616</v>
      </c>
      <c r="R852" s="4">
        <v>45933</v>
      </c>
      <c r="S852" s="3" t="s">
        <v>37</v>
      </c>
      <c r="T852" s="3" t="s">
        <v>38</v>
      </c>
      <c r="U852" s="3" t="s">
        <v>39</v>
      </c>
      <c r="V852" s="5">
        <v>9377.02</v>
      </c>
      <c r="W852" s="5">
        <v>4735.3999999999996</v>
      </c>
      <c r="X852" s="5">
        <v>3249.14</v>
      </c>
      <c r="Y852" s="5">
        <v>1392.48</v>
      </c>
    </row>
    <row r="853" spans="1:25" ht="41.5" hidden="1" x14ac:dyDescent="0.35">
      <c r="A853" s="3" t="s">
        <v>26</v>
      </c>
      <c r="B853" s="3" t="s">
        <v>27</v>
      </c>
      <c r="C853" s="3" t="s">
        <v>478</v>
      </c>
      <c r="D853" s="3" t="s">
        <v>41</v>
      </c>
      <c r="E853" s="3" t="s">
        <v>1334</v>
      </c>
      <c r="F853" s="3" t="s">
        <v>43</v>
      </c>
      <c r="G853" s="3" t="s">
        <v>1334</v>
      </c>
      <c r="H853" s="3" t="s">
        <v>614</v>
      </c>
      <c r="I853" s="3">
        <v>2023</v>
      </c>
      <c r="J853" s="3" t="str">
        <f>CONCATENATE("34810504562")</f>
        <v>34810504562</v>
      </c>
      <c r="K853" s="3" t="s">
        <v>33</v>
      </c>
      <c r="L853" s="3" t="str">
        <f t="shared" si="54"/>
        <v/>
      </c>
      <c r="M853" s="3" t="str">
        <f t="shared" si="55"/>
        <v>SRA03</v>
      </c>
      <c r="N853" s="3" t="str">
        <f>CONCATENATE("MRCGRG59P01H898J")</f>
        <v>MRCGRG59P01H898J</v>
      </c>
      <c r="O853" s="3" t="s">
        <v>1343</v>
      </c>
      <c r="P853" s="3" t="s">
        <v>35</v>
      </c>
      <c r="Q853" s="3" t="s">
        <v>616</v>
      </c>
      <c r="R853" s="4">
        <v>45933</v>
      </c>
      <c r="S853" s="3" t="s">
        <v>37</v>
      </c>
      <c r="T853" s="3" t="s">
        <v>38</v>
      </c>
      <c r="U853" s="3" t="s">
        <v>39</v>
      </c>
      <c r="V853" s="5">
        <v>3242.77</v>
      </c>
      <c r="W853" s="5">
        <v>1637.6</v>
      </c>
      <c r="X853" s="5">
        <v>1123.6199999999999</v>
      </c>
      <c r="Y853" s="3">
        <v>481.55</v>
      </c>
    </row>
    <row r="854" spans="1:25" ht="49.5" hidden="1" x14ac:dyDescent="0.35">
      <c r="A854" s="3" t="s">
        <v>26</v>
      </c>
      <c r="B854" s="3" t="s">
        <v>27</v>
      </c>
      <c r="C854" s="3" t="s">
        <v>478</v>
      </c>
      <c r="D854" s="3" t="s">
        <v>75</v>
      </c>
      <c r="E854" s="3" t="s">
        <v>582</v>
      </c>
      <c r="F854" s="3" t="s">
        <v>77</v>
      </c>
      <c r="G854" s="3" t="s">
        <v>582</v>
      </c>
      <c r="H854" s="3" t="s">
        <v>614</v>
      </c>
      <c r="I854" s="3">
        <v>2024</v>
      </c>
      <c r="J854" s="3" t="str">
        <f>CONCATENATE("44810924504")</f>
        <v>44810924504</v>
      </c>
      <c r="K854" s="3" t="s">
        <v>33</v>
      </c>
      <c r="L854" s="3" t="str">
        <f t="shared" si="54"/>
        <v/>
      </c>
      <c r="M854" s="3" t="str">
        <f t="shared" si="55"/>
        <v>SRA03</v>
      </c>
      <c r="N854" s="3" t="str">
        <f>CONCATENATE("MRLCRN61R60H898R")</f>
        <v>MRLCRN61R60H898R</v>
      </c>
      <c r="O854" s="3" t="s">
        <v>1344</v>
      </c>
      <c r="P854" s="3" t="s">
        <v>35</v>
      </c>
      <c r="Q854" s="3" t="s">
        <v>616</v>
      </c>
      <c r="R854" s="4">
        <v>45933</v>
      </c>
      <c r="S854" s="3" t="s">
        <v>37</v>
      </c>
      <c r="T854" s="3" t="s">
        <v>38</v>
      </c>
      <c r="U854" s="3" t="s">
        <v>39</v>
      </c>
      <c r="V854" s="3">
        <v>181.71</v>
      </c>
      <c r="W854" s="3">
        <v>91.76</v>
      </c>
      <c r="X854" s="3">
        <v>62.96</v>
      </c>
      <c r="Y854" s="3">
        <v>26.99</v>
      </c>
    </row>
    <row r="855" spans="1:25" ht="41.5" hidden="1" x14ac:dyDescent="0.35">
      <c r="A855" s="3" t="s">
        <v>26</v>
      </c>
      <c r="B855" s="3" t="s">
        <v>27</v>
      </c>
      <c r="C855" s="3" t="s">
        <v>478</v>
      </c>
      <c r="D855" s="3" t="s">
        <v>75</v>
      </c>
      <c r="E855" s="3" t="s">
        <v>582</v>
      </c>
      <c r="F855" s="3" t="s">
        <v>77</v>
      </c>
      <c r="G855" s="3" t="s">
        <v>582</v>
      </c>
      <c r="H855" s="3" t="s">
        <v>614</v>
      </c>
      <c r="I855" s="3">
        <v>2024</v>
      </c>
      <c r="J855" s="3" t="str">
        <f>CONCATENATE("44811090552")</f>
        <v>44811090552</v>
      </c>
      <c r="K855" s="3" t="s">
        <v>33</v>
      </c>
      <c r="L855" s="3" t="str">
        <f t="shared" si="54"/>
        <v/>
      </c>
      <c r="M855" s="3" t="str">
        <f t="shared" si="55"/>
        <v>SRA03</v>
      </c>
      <c r="N855" s="3" t="str">
        <f>CONCATENATE("PNRPLG75L14A783N")</f>
        <v>PNRPLG75L14A783N</v>
      </c>
      <c r="O855" s="3" t="s">
        <v>1345</v>
      </c>
      <c r="P855" s="3" t="s">
        <v>35</v>
      </c>
      <c r="Q855" s="3" t="s">
        <v>616</v>
      </c>
      <c r="R855" s="4">
        <v>45933</v>
      </c>
      <c r="S855" s="3" t="s">
        <v>37</v>
      </c>
      <c r="T855" s="3" t="s">
        <v>38</v>
      </c>
      <c r="U855" s="3" t="s">
        <v>39</v>
      </c>
      <c r="V855" s="5">
        <v>1154.6300000000001</v>
      </c>
      <c r="W855" s="3">
        <v>583.09</v>
      </c>
      <c r="X855" s="3">
        <v>400.08</v>
      </c>
      <c r="Y855" s="3">
        <v>171.46</v>
      </c>
    </row>
    <row r="856" spans="1:25" ht="49.5" hidden="1" x14ac:dyDescent="0.35">
      <c r="A856" s="3" t="s">
        <v>26</v>
      </c>
      <c r="B856" s="3" t="s">
        <v>27</v>
      </c>
      <c r="C856" s="3" t="s">
        <v>478</v>
      </c>
      <c r="D856" s="3" t="s">
        <v>75</v>
      </c>
      <c r="E856" s="3" t="s">
        <v>582</v>
      </c>
      <c r="F856" s="3" t="s">
        <v>77</v>
      </c>
      <c r="G856" s="3" t="s">
        <v>582</v>
      </c>
      <c r="H856" s="3" t="s">
        <v>614</v>
      </c>
      <c r="I856" s="3">
        <v>2024</v>
      </c>
      <c r="J856" s="3" t="str">
        <f>CONCATENATE("44811425667")</f>
        <v>44811425667</v>
      </c>
      <c r="K856" s="3" t="s">
        <v>33</v>
      </c>
      <c r="L856" s="3" t="str">
        <f t="shared" si="54"/>
        <v/>
      </c>
      <c r="M856" s="3" t="str">
        <f t="shared" si="55"/>
        <v>SRA03</v>
      </c>
      <c r="N856" s="3" t="str">
        <f>CONCATENATE("PNFMRZ72B02A783A")</f>
        <v>PNFMRZ72B02A783A</v>
      </c>
      <c r="O856" s="3" t="s">
        <v>1346</v>
      </c>
      <c r="P856" s="3" t="s">
        <v>35</v>
      </c>
      <c r="Q856" s="3" t="s">
        <v>616</v>
      </c>
      <c r="R856" s="4">
        <v>45933</v>
      </c>
      <c r="S856" s="3" t="s">
        <v>37</v>
      </c>
      <c r="T856" s="3" t="s">
        <v>38</v>
      </c>
      <c r="U856" s="3" t="s">
        <v>39</v>
      </c>
      <c r="V856" s="5">
        <v>2779.08</v>
      </c>
      <c r="W856" s="5">
        <v>1403.44</v>
      </c>
      <c r="X856" s="3">
        <v>962.95</v>
      </c>
      <c r="Y856" s="3">
        <v>412.69</v>
      </c>
    </row>
    <row r="857" spans="1:25" ht="41.5" hidden="1" x14ac:dyDescent="0.35">
      <c r="A857" s="3" t="s">
        <v>26</v>
      </c>
      <c r="B857" s="3" t="s">
        <v>27</v>
      </c>
      <c r="C857" s="3" t="s">
        <v>478</v>
      </c>
      <c r="D857" s="3" t="s">
        <v>41</v>
      </c>
      <c r="E857" s="3" t="s">
        <v>1334</v>
      </c>
      <c r="F857" s="3" t="s">
        <v>43</v>
      </c>
      <c r="G857" s="3" t="s">
        <v>1334</v>
      </c>
      <c r="H857" s="3" t="s">
        <v>614</v>
      </c>
      <c r="I857" s="3">
        <v>2024</v>
      </c>
      <c r="J857" s="3" t="str">
        <f>CONCATENATE("44810565406")</f>
        <v>44810565406</v>
      </c>
      <c r="K857" s="3" t="s">
        <v>33</v>
      </c>
      <c r="L857" s="3" t="str">
        <f t="shared" si="54"/>
        <v/>
      </c>
      <c r="M857" s="3" t="str">
        <f t="shared" si="55"/>
        <v>SRA03</v>
      </c>
      <c r="N857" s="3" t="str">
        <f>CONCATENATE("PRDMRA74R02H898F")</f>
        <v>PRDMRA74R02H898F</v>
      </c>
      <c r="O857" s="3" t="s">
        <v>1347</v>
      </c>
      <c r="P857" s="3" t="s">
        <v>35</v>
      </c>
      <c r="Q857" s="3" t="s">
        <v>616</v>
      </c>
      <c r="R857" s="4">
        <v>45933</v>
      </c>
      <c r="S857" s="3" t="s">
        <v>37</v>
      </c>
      <c r="T857" s="3" t="s">
        <v>38</v>
      </c>
      <c r="U857" s="3" t="s">
        <v>39</v>
      </c>
      <c r="V857" s="3">
        <v>736.06</v>
      </c>
      <c r="W857" s="3">
        <v>371.71</v>
      </c>
      <c r="X857" s="3">
        <v>255.04</v>
      </c>
      <c r="Y857" s="3">
        <v>109.31</v>
      </c>
    </row>
    <row r="858" spans="1:25" ht="41.5" hidden="1" x14ac:dyDescent="0.35">
      <c r="A858" s="3" t="s">
        <v>26</v>
      </c>
      <c r="B858" s="3" t="s">
        <v>27</v>
      </c>
      <c r="C858" s="3" t="s">
        <v>478</v>
      </c>
      <c r="D858" s="3" t="s">
        <v>75</v>
      </c>
      <c r="E858" s="3" t="s">
        <v>582</v>
      </c>
      <c r="F858" s="3" t="s">
        <v>77</v>
      </c>
      <c r="G858" s="3" t="s">
        <v>582</v>
      </c>
      <c r="H858" s="3" t="s">
        <v>614</v>
      </c>
      <c r="I858" s="3">
        <v>2024</v>
      </c>
      <c r="J858" s="3" t="str">
        <f>CONCATENATE("44811427325")</f>
        <v>44811427325</v>
      </c>
      <c r="K858" s="3" t="s">
        <v>33</v>
      </c>
      <c r="L858" s="3" t="str">
        <f t="shared" si="54"/>
        <v/>
      </c>
      <c r="M858" s="3" t="str">
        <f t="shared" si="55"/>
        <v>SRA03</v>
      </c>
      <c r="N858" s="3" t="str">
        <f>CONCATENATE("RSSMCN60P45H898B")</f>
        <v>RSSMCN60P45H898B</v>
      </c>
      <c r="O858" s="3" t="s">
        <v>1348</v>
      </c>
      <c r="P858" s="3" t="s">
        <v>35</v>
      </c>
      <c r="Q858" s="3" t="s">
        <v>616</v>
      </c>
      <c r="R858" s="4">
        <v>45933</v>
      </c>
      <c r="S858" s="3" t="s">
        <v>37</v>
      </c>
      <c r="T858" s="3" t="s">
        <v>38</v>
      </c>
      <c r="U858" s="3" t="s">
        <v>39</v>
      </c>
      <c r="V858" s="5">
        <v>1726.93</v>
      </c>
      <c r="W858" s="3">
        <v>872.1</v>
      </c>
      <c r="X858" s="3">
        <v>598.38</v>
      </c>
      <c r="Y858" s="3">
        <v>256.45</v>
      </c>
    </row>
    <row r="859" spans="1:25" ht="41.5" hidden="1" x14ac:dyDescent="0.35">
      <c r="A859" s="3" t="s">
        <v>26</v>
      </c>
      <c r="B859" s="3" t="s">
        <v>27</v>
      </c>
      <c r="C859" s="3" t="s">
        <v>90</v>
      </c>
      <c r="D859" s="3" t="s">
        <v>234</v>
      </c>
      <c r="E859" s="3" t="s">
        <v>593</v>
      </c>
      <c r="F859" s="3" t="s">
        <v>119</v>
      </c>
      <c r="G859" s="3" t="s">
        <v>593</v>
      </c>
      <c r="H859" s="3" t="s">
        <v>488</v>
      </c>
      <c r="I859" s="3">
        <v>2023</v>
      </c>
      <c r="J859" s="3" t="str">
        <f>CONCATENATE("34810398718")</f>
        <v>34810398718</v>
      </c>
      <c r="K859" s="3" t="s">
        <v>33</v>
      </c>
      <c r="L859" s="3" t="str">
        <f t="shared" si="54"/>
        <v/>
      </c>
      <c r="M859" s="3" t="str">
        <f>CONCATENATE("SRA29")</f>
        <v>SRA29</v>
      </c>
      <c r="N859" s="3" t="str">
        <f>CONCATENATE("BRBFNC80T04D423D")</f>
        <v>BRBFNC80T04D423D</v>
      </c>
      <c r="O859" s="3" t="s">
        <v>1349</v>
      </c>
      <c r="P859" s="3" t="s">
        <v>35</v>
      </c>
      <c r="Q859" s="3" t="s">
        <v>1350</v>
      </c>
      <c r="R859" s="4">
        <v>45931</v>
      </c>
      <c r="S859" s="3" t="s">
        <v>37</v>
      </c>
      <c r="T859" s="3" t="s">
        <v>38</v>
      </c>
      <c r="U859" s="3" t="s">
        <v>39</v>
      </c>
      <c r="V859" s="5">
        <v>9604.91</v>
      </c>
      <c r="W859" s="5">
        <v>4850.4799999999996</v>
      </c>
      <c r="X859" s="5">
        <v>3328.1</v>
      </c>
      <c r="Y859" s="5">
        <v>1426.33</v>
      </c>
    </row>
    <row r="860" spans="1:25" ht="41.5" hidden="1" x14ac:dyDescent="0.35">
      <c r="A860" s="3" t="s">
        <v>26</v>
      </c>
      <c r="B860" s="3" t="s">
        <v>27</v>
      </c>
      <c r="C860" s="3" t="s">
        <v>90</v>
      </c>
      <c r="D860" s="3" t="s">
        <v>41</v>
      </c>
      <c r="E860" s="3" t="s">
        <v>1351</v>
      </c>
      <c r="F860" s="3" t="s">
        <v>43</v>
      </c>
      <c r="G860" s="3" t="s">
        <v>1351</v>
      </c>
      <c r="H860" s="3" t="s">
        <v>488</v>
      </c>
      <c r="I860" s="3">
        <v>2023</v>
      </c>
      <c r="J860" s="3" t="str">
        <f>CONCATENATE("34810010719")</f>
        <v>34810010719</v>
      </c>
      <c r="K860" s="3" t="s">
        <v>33</v>
      </c>
      <c r="L860" s="3" t="str">
        <f t="shared" si="54"/>
        <v/>
      </c>
      <c r="M860" s="3" t="str">
        <f>CONCATENATE("SRA29")</f>
        <v>SRA29</v>
      </c>
      <c r="N860" s="3" t="str">
        <f>CONCATENATE("GNNMHL49H10L331Q")</f>
        <v>GNNMHL49H10L331Q</v>
      </c>
      <c r="O860" s="3" t="s">
        <v>1352</v>
      </c>
      <c r="P860" s="3" t="s">
        <v>35</v>
      </c>
      <c r="Q860" s="3" t="s">
        <v>1350</v>
      </c>
      <c r="R860" s="4">
        <v>45931</v>
      </c>
      <c r="S860" s="3" t="s">
        <v>37</v>
      </c>
      <c r="T860" s="3" t="s">
        <v>38</v>
      </c>
      <c r="U860" s="3" t="s">
        <v>39</v>
      </c>
      <c r="V860" s="5">
        <v>1855.55</v>
      </c>
      <c r="W860" s="3">
        <v>937.05</v>
      </c>
      <c r="X860" s="3">
        <v>642.95000000000005</v>
      </c>
      <c r="Y860" s="3">
        <v>275.55</v>
      </c>
    </row>
    <row r="861" spans="1:25" ht="41.5" hidden="1" x14ac:dyDescent="0.35">
      <c r="A861" s="3" t="s">
        <v>26</v>
      </c>
      <c r="B861" s="3" t="s">
        <v>27</v>
      </c>
      <c r="C861" s="3" t="s">
        <v>90</v>
      </c>
      <c r="D861" s="3" t="s">
        <v>41</v>
      </c>
      <c r="E861" s="3" t="s">
        <v>1351</v>
      </c>
      <c r="F861" s="3" t="s">
        <v>43</v>
      </c>
      <c r="G861" s="3" t="s">
        <v>1351</v>
      </c>
      <c r="H861" s="3" t="s">
        <v>488</v>
      </c>
      <c r="I861" s="3">
        <v>2024</v>
      </c>
      <c r="J861" s="3" t="str">
        <f>CONCATENATE("44810822849")</f>
        <v>44810822849</v>
      </c>
      <c r="K861" s="3" t="s">
        <v>33</v>
      </c>
      <c r="L861" s="3" t="str">
        <f t="shared" si="54"/>
        <v/>
      </c>
      <c r="M861" s="3" t="str">
        <f>CONCATENATE("SRA29")</f>
        <v>SRA29</v>
      </c>
      <c r="N861" s="3" t="str">
        <f>CONCATENATE("GNNMHL49H10L331Q")</f>
        <v>GNNMHL49H10L331Q</v>
      </c>
      <c r="O861" s="3" t="s">
        <v>1352</v>
      </c>
      <c r="P861" s="3" t="s">
        <v>35</v>
      </c>
      <c r="Q861" s="3" t="s">
        <v>1350</v>
      </c>
      <c r="R861" s="4">
        <v>45931</v>
      </c>
      <c r="S861" s="3" t="s">
        <v>37</v>
      </c>
      <c r="T861" s="3" t="s">
        <v>38</v>
      </c>
      <c r="U861" s="3" t="s">
        <v>39</v>
      </c>
      <c r="V861" s="5">
        <v>1679.63</v>
      </c>
      <c r="W861" s="3">
        <v>848.21</v>
      </c>
      <c r="X861" s="3">
        <v>581.99</v>
      </c>
      <c r="Y861" s="3">
        <v>249.43</v>
      </c>
    </row>
    <row r="862" spans="1:25" ht="41.5" hidden="1" x14ac:dyDescent="0.35">
      <c r="A862" s="3" t="s">
        <v>26</v>
      </c>
      <c r="B862" s="3" t="s">
        <v>27</v>
      </c>
      <c r="C862" s="3" t="s">
        <v>90</v>
      </c>
      <c r="D862" s="3" t="s">
        <v>29</v>
      </c>
      <c r="E862" s="3" t="s">
        <v>292</v>
      </c>
      <c r="F862" s="3" t="s">
        <v>31</v>
      </c>
      <c r="G862" s="3" t="s">
        <v>292</v>
      </c>
      <c r="H862" s="3" t="s">
        <v>208</v>
      </c>
      <c r="I862" s="3">
        <v>2024</v>
      </c>
      <c r="J862" s="3" t="str">
        <f>CONCATENATE("44811263688")</f>
        <v>44811263688</v>
      </c>
      <c r="K862" s="3" t="s">
        <v>33</v>
      </c>
      <c r="L862" s="3" t="str">
        <f t="shared" si="54"/>
        <v/>
      </c>
      <c r="M862" s="3" t="str">
        <f t="shared" ref="M862:M886" si="56">CONCATENATE("SRA30")</f>
        <v>SRA30</v>
      </c>
      <c r="N862" s="3" t="str">
        <f>CONCATENATE("CQCLSE93C59G580G")</f>
        <v>CQCLSE93C59G580G</v>
      </c>
      <c r="O862" s="3" t="s">
        <v>1353</v>
      </c>
      <c r="P862" s="3" t="s">
        <v>35</v>
      </c>
      <c r="Q862" s="3" t="s">
        <v>1237</v>
      </c>
      <c r="R862" s="4">
        <v>45919</v>
      </c>
      <c r="S862" s="3" t="s">
        <v>37</v>
      </c>
      <c r="T862" s="3" t="s">
        <v>38</v>
      </c>
      <c r="U862" s="3" t="s">
        <v>39</v>
      </c>
      <c r="V862" s="5">
        <v>7053.55</v>
      </c>
      <c r="W862" s="5">
        <v>3562.04</v>
      </c>
      <c r="X862" s="5">
        <v>2444.06</v>
      </c>
      <c r="Y862" s="5">
        <v>1047.45</v>
      </c>
    </row>
    <row r="863" spans="1:25" ht="41.5" hidden="1" x14ac:dyDescent="0.35">
      <c r="A863" s="3" t="s">
        <v>26</v>
      </c>
      <c r="B863" s="3" t="s">
        <v>27</v>
      </c>
      <c r="C863" s="3" t="s">
        <v>90</v>
      </c>
      <c r="D863" s="3" t="s">
        <v>51</v>
      </c>
      <c r="E863" s="3" t="s">
        <v>431</v>
      </c>
      <c r="F863" s="3" t="s">
        <v>51</v>
      </c>
      <c r="G863" s="3" t="s">
        <v>431</v>
      </c>
      <c r="H863" s="3" t="s">
        <v>208</v>
      </c>
      <c r="I863" s="3">
        <v>2024</v>
      </c>
      <c r="J863" s="3" t="str">
        <f>CONCATENATE("44810126670")</f>
        <v>44810126670</v>
      </c>
      <c r="K863" s="3" t="s">
        <v>33</v>
      </c>
      <c r="L863" s="3" t="str">
        <f t="shared" si="54"/>
        <v/>
      </c>
      <c r="M863" s="3" t="str">
        <f t="shared" si="56"/>
        <v>SRA30</v>
      </c>
      <c r="N863" s="3" t="str">
        <f>CONCATENATE("MRSGGR89B42E536B")</f>
        <v>MRSGGR89B42E536B</v>
      </c>
      <c r="O863" s="3" t="s">
        <v>1354</v>
      </c>
      <c r="P863" s="3" t="s">
        <v>35</v>
      </c>
      <c r="Q863" s="3" t="s">
        <v>1237</v>
      </c>
      <c r="R863" s="4">
        <v>45919</v>
      </c>
      <c r="S863" s="3" t="s">
        <v>37</v>
      </c>
      <c r="T863" s="3" t="s">
        <v>38</v>
      </c>
      <c r="U863" s="3" t="s">
        <v>39</v>
      </c>
      <c r="V863" s="5">
        <v>3230</v>
      </c>
      <c r="W863" s="5">
        <v>1631.15</v>
      </c>
      <c r="X863" s="5">
        <v>1119.2</v>
      </c>
      <c r="Y863" s="3">
        <v>479.65</v>
      </c>
    </row>
    <row r="864" spans="1:25" ht="41.5" hidden="1" x14ac:dyDescent="0.35">
      <c r="A864" s="3" t="s">
        <v>26</v>
      </c>
      <c r="B864" s="3" t="s">
        <v>27</v>
      </c>
      <c r="C864" s="3" t="s">
        <v>90</v>
      </c>
      <c r="D864" s="3" t="s">
        <v>29</v>
      </c>
      <c r="E864" s="3" t="s">
        <v>292</v>
      </c>
      <c r="F864" s="3" t="s">
        <v>31</v>
      </c>
      <c r="G864" s="3" t="s">
        <v>292</v>
      </c>
      <c r="H864" s="3" t="s">
        <v>208</v>
      </c>
      <c r="I864" s="3">
        <v>2024</v>
      </c>
      <c r="J864" s="3" t="str">
        <f>CONCATENATE("44810957538")</f>
        <v>44810957538</v>
      </c>
      <c r="K864" s="3" t="s">
        <v>33</v>
      </c>
      <c r="L864" s="3" t="str">
        <f t="shared" si="54"/>
        <v/>
      </c>
      <c r="M864" s="3" t="str">
        <f t="shared" si="56"/>
        <v>SRA30</v>
      </c>
      <c r="N864" s="3" t="str">
        <f>CONCATENATE("BNTSST58P11L308I")</f>
        <v>BNTSST58P11L308I</v>
      </c>
      <c r="O864" s="3" t="s">
        <v>1355</v>
      </c>
      <c r="P864" s="3" t="s">
        <v>35</v>
      </c>
      <c r="Q864" s="3" t="s">
        <v>1237</v>
      </c>
      <c r="R864" s="4">
        <v>45919</v>
      </c>
      <c r="S864" s="3" t="s">
        <v>37</v>
      </c>
      <c r="T864" s="3" t="s">
        <v>38</v>
      </c>
      <c r="U864" s="3" t="s">
        <v>39</v>
      </c>
      <c r="V864" s="5">
        <v>6904.12</v>
      </c>
      <c r="W864" s="5">
        <v>3486.58</v>
      </c>
      <c r="X864" s="5">
        <v>2392.2800000000002</v>
      </c>
      <c r="Y864" s="5">
        <v>1025.26</v>
      </c>
    </row>
    <row r="865" spans="1:25" ht="41.5" hidden="1" x14ac:dyDescent="0.35">
      <c r="A865" s="3" t="s">
        <v>26</v>
      </c>
      <c r="B865" s="3" t="s">
        <v>27</v>
      </c>
      <c r="C865" s="3" t="s">
        <v>90</v>
      </c>
      <c r="D865" s="3" t="s">
        <v>61</v>
      </c>
      <c r="E865" s="3" t="s">
        <v>211</v>
      </c>
      <c r="F865" s="3" t="s">
        <v>230</v>
      </c>
      <c r="G865" s="3" t="s">
        <v>427</v>
      </c>
      <c r="H865" s="3" t="s">
        <v>208</v>
      </c>
      <c r="I865" s="3">
        <v>2024</v>
      </c>
      <c r="J865" s="3" t="str">
        <f>CONCATENATE("44810495570")</f>
        <v>44810495570</v>
      </c>
      <c r="K865" s="3" t="s">
        <v>33</v>
      </c>
      <c r="L865" s="3" t="str">
        <f t="shared" si="54"/>
        <v/>
      </c>
      <c r="M865" s="3" t="str">
        <f t="shared" si="56"/>
        <v>SRA30</v>
      </c>
      <c r="N865" s="3" t="str">
        <f>CONCATENATE("CLPNNN71H06H221Z")</f>
        <v>CLPNNN71H06H221Z</v>
      </c>
      <c r="O865" s="3" t="s">
        <v>1356</v>
      </c>
      <c r="P865" s="3" t="s">
        <v>35</v>
      </c>
      <c r="Q865" s="3" t="s">
        <v>1237</v>
      </c>
      <c r="R865" s="4">
        <v>45919</v>
      </c>
      <c r="S865" s="3" t="s">
        <v>37</v>
      </c>
      <c r="T865" s="3" t="s">
        <v>38</v>
      </c>
      <c r="U865" s="3" t="s">
        <v>39</v>
      </c>
      <c r="V865" s="5">
        <v>3193.2</v>
      </c>
      <c r="W865" s="5">
        <v>1612.57</v>
      </c>
      <c r="X865" s="5">
        <v>1106.44</v>
      </c>
      <c r="Y865" s="3">
        <v>474.19</v>
      </c>
    </row>
    <row r="866" spans="1:25" ht="41.5" hidden="1" x14ac:dyDescent="0.35">
      <c r="A866" s="3" t="s">
        <v>26</v>
      </c>
      <c r="B866" s="3" t="s">
        <v>27</v>
      </c>
      <c r="C866" s="3" t="s">
        <v>90</v>
      </c>
      <c r="D866" s="3" t="s">
        <v>180</v>
      </c>
      <c r="E866" s="3" t="s">
        <v>258</v>
      </c>
      <c r="F866" s="3" t="s">
        <v>85</v>
      </c>
      <c r="G866" s="3" t="s">
        <v>258</v>
      </c>
      <c r="H866" s="3" t="s">
        <v>208</v>
      </c>
      <c r="I866" s="3">
        <v>2024</v>
      </c>
      <c r="J866" s="3" t="str">
        <f>CONCATENATE("44810729044")</f>
        <v>44810729044</v>
      </c>
      <c r="K866" s="3" t="s">
        <v>33</v>
      </c>
      <c r="L866" s="3" t="str">
        <f t="shared" si="54"/>
        <v/>
      </c>
      <c r="M866" s="3" t="str">
        <f t="shared" si="56"/>
        <v>SRA30</v>
      </c>
      <c r="N866" s="3" t="str">
        <f>CONCATENATE("CMMPLA84T12C342L")</f>
        <v>CMMPLA84T12C342L</v>
      </c>
      <c r="O866" s="3" t="s">
        <v>1357</v>
      </c>
      <c r="P866" s="3" t="s">
        <v>35</v>
      </c>
      <c r="Q866" s="3" t="s">
        <v>1237</v>
      </c>
      <c r="R866" s="4">
        <v>45919</v>
      </c>
      <c r="S866" s="3" t="s">
        <v>37</v>
      </c>
      <c r="T866" s="3" t="s">
        <v>38</v>
      </c>
      <c r="U866" s="3" t="s">
        <v>39</v>
      </c>
      <c r="V866" s="5">
        <v>2646</v>
      </c>
      <c r="W866" s="5">
        <v>1336.23</v>
      </c>
      <c r="X866" s="3">
        <v>916.84</v>
      </c>
      <c r="Y866" s="3">
        <v>392.93</v>
      </c>
    </row>
    <row r="867" spans="1:25" ht="41.5" hidden="1" x14ac:dyDescent="0.35">
      <c r="A867" s="3" t="s">
        <v>26</v>
      </c>
      <c r="B867" s="3" t="s">
        <v>27</v>
      </c>
      <c r="C867" s="3" t="s">
        <v>90</v>
      </c>
      <c r="D867" s="3" t="s">
        <v>61</v>
      </c>
      <c r="E867" s="3" t="s">
        <v>211</v>
      </c>
      <c r="F867" s="3" t="s">
        <v>63</v>
      </c>
      <c r="G867" s="3" t="s">
        <v>211</v>
      </c>
      <c r="H867" s="3" t="s">
        <v>208</v>
      </c>
      <c r="I867" s="3">
        <v>2024</v>
      </c>
      <c r="J867" s="3" t="str">
        <f>CONCATENATE("44810316917")</f>
        <v>44810316917</v>
      </c>
      <c r="K867" s="3" t="s">
        <v>33</v>
      </c>
      <c r="L867" s="3" t="str">
        <f t="shared" si="54"/>
        <v/>
      </c>
      <c r="M867" s="3" t="str">
        <f t="shared" si="56"/>
        <v>SRA30</v>
      </c>
      <c r="N867" s="3" t="str">
        <f>CONCATENATE("CNCMGS73M10C342W")</f>
        <v>CNCMGS73M10C342W</v>
      </c>
      <c r="O867" s="3" t="s">
        <v>1358</v>
      </c>
      <c r="P867" s="3" t="s">
        <v>35</v>
      </c>
      <c r="Q867" s="3" t="s">
        <v>1237</v>
      </c>
      <c r="R867" s="4">
        <v>45919</v>
      </c>
      <c r="S867" s="3" t="s">
        <v>37</v>
      </c>
      <c r="T867" s="3" t="s">
        <v>38</v>
      </c>
      <c r="U867" s="3" t="s">
        <v>39</v>
      </c>
      <c r="V867" s="5">
        <v>3858.66</v>
      </c>
      <c r="W867" s="5">
        <v>1948.62</v>
      </c>
      <c r="X867" s="5">
        <v>1337.03</v>
      </c>
      <c r="Y867" s="3">
        <v>573.01</v>
      </c>
    </row>
    <row r="868" spans="1:25" ht="41.5" hidden="1" x14ac:dyDescent="0.35">
      <c r="A868" s="3" t="s">
        <v>26</v>
      </c>
      <c r="B868" s="3" t="s">
        <v>27</v>
      </c>
      <c r="C868" s="3" t="s">
        <v>90</v>
      </c>
      <c r="D868" s="3" t="s">
        <v>29</v>
      </c>
      <c r="E868" s="3" t="s">
        <v>292</v>
      </c>
      <c r="F868" s="3" t="s">
        <v>31</v>
      </c>
      <c r="G868" s="3" t="s">
        <v>292</v>
      </c>
      <c r="H868" s="3" t="s">
        <v>208</v>
      </c>
      <c r="I868" s="3">
        <v>2024</v>
      </c>
      <c r="J868" s="3" t="str">
        <f>CONCATENATE("44810563542")</f>
        <v>44810563542</v>
      </c>
      <c r="K868" s="3" t="s">
        <v>33</v>
      </c>
      <c r="L868" s="3" t="str">
        <f t="shared" si="54"/>
        <v/>
      </c>
      <c r="M868" s="3" t="str">
        <f t="shared" si="56"/>
        <v>SRA30</v>
      </c>
      <c r="N868" s="3" t="str">
        <f>CONCATENATE("CRDGNN82B07A056X")</f>
        <v>CRDGNN82B07A056X</v>
      </c>
      <c r="O868" s="3" t="s">
        <v>1359</v>
      </c>
      <c r="P868" s="3" t="s">
        <v>35</v>
      </c>
      <c r="Q868" s="3" t="s">
        <v>1237</v>
      </c>
      <c r="R868" s="4">
        <v>45919</v>
      </c>
      <c r="S868" s="3" t="s">
        <v>37</v>
      </c>
      <c r="T868" s="3" t="s">
        <v>38</v>
      </c>
      <c r="U868" s="3" t="s">
        <v>39</v>
      </c>
      <c r="V868" s="5">
        <v>5055.8599999999997</v>
      </c>
      <c r="W868" s="5">
        <v>2553.21</v>
      </c>
      <c r="X868" s="5">
        <v>1751.86</v>
      </c>
      <c r="Y868" s="3">
        <v>750.79</v>
      </c>
    </row>
    <row r="869" spans="1:25" ht="49.5" hidden="1" x14ac:dyDescent="0.35">
      <c r="A869" s="3" t="s">
        <v>26</v>
      </c>
      <c r="B869" s="3" t="s">
        <v>27</v>
      </c>
      <c r="C869" s="3" t="s">
        <v>90</v>
      </c>
      <c r="D869" s="3" t="s">
        <v>61</v>
      </c>
      <c r="E869" s="3" t="s">
        <v>211</v>
      </c>
      <c r="F869" s="3" t="s">
        <v>63</v>
      </c>
      <c r="G869" s="3" t="s">
        <v>211</v>
      </c>
      <c r="H869" s="3" t="s">
        <v>208</v>
      </c>
      <c r="I869" s="3">
        <v>2024</v>
      </c>
      <c r="J869" s="3" t="str">
        <f>CONCATENATE("44810620763")</f>
        <v>44810620763</v>
      </c>
      <c r="K869" s="3" t="s">
        <v>33</v>
      </c>
      <c r="L869" s="3" t="str">
        <f t="shared" si="54"/>
        <v/>
      </c>
      <c r="M869" s="3" t="str">
        <f t="shared" si="56"/>
        <v>SRA30</v>
      </c>
      <c r="N869" s="3" t="str">
        <f>CONCATENATE("DMRNNN77T13L308A")</f>
        <v>DMRNNN77T13L308A</v>
      </c>
      <c r="O869" s="3" t="s">
        <v>1360</v>
      </c>
      <c r="P869" s="3" t="s">
        <v>35</v>
      </c>
      <c r="Q869" s="3" t="s">
        <v>1237</v>
      </c>
      <c r="R869" s="4">
        <v>45919</v>
      </c>
      <c r="S869" s="3" t="s">
        <v>37</v>
      </c>
      <c r="T869" s="3" t="s">
        <v>38</v>
      </c>
      <c r="U869" s="3" t="s">
        <v>39</v>
      </c>
      <c r="V869" s="5">
        <v>3230</v>
      </c>
      <c r="W869" s="5">
        <v>1631.15</v>
      </c>
      <c r="X869" s="5">
        <v>1119.2</v>
      </c>
      <c r="Y869" s="3">
        <v>479.65</v>
      </c>
    </row>
    <row r="870" spans="1:25" ht="41.5" hidden="1" x14ac:dyDescent="0.35">
      <c r="A870" s="3" t="s">
        <v>26</v>
      </c>
      <c r="B870" s="3" t="s">
        <v>27</v>
      </c>
      <c r="C870" s="3" t="s">
        <v>90</v>
      </c>
      <c r="D870" s="3" t="s">
        <v>51</v>
      </c>
      <c r="E870" s="3" t="s">
        <v>1236</v>
      </c>
      <c r="F870" s="3" t="s">
        <v>51</v>
      </c>
      <c r="G870" s="3" t="s">
        <v>1236</v>
      </c>
      <c r="H870" s="3" t="s">
        <v>208</v>
      </c>
      <c r="I870" s="3">
        <v>2024</v>
      </c>
      <c r="J870" s="3" t="str">
        <f>CONCATENATE("44811014123")</f>
        <v>44811014123</v>
      </c>
      <c r="K870" s="3" t="s">
        <v>33</v>
      </c>
      <c r="L870" s="3" t="str">
        <f t="shared" si="54"/>
        <v/>
      </c>
      <c r="M870" s="3" t="str">
        <f t="shared" si="56"/>
        <v>SRA30</v>
      </c>
      <c r="N870" s="3" t="str">
        <f>CONCATENATE("FSCNCL00A23F892K")</f>
        <v>FSCNCL00A23F892K</v>
      </c>
      <c r="O870" s="3" t="s">
        <v>1361</v>
      </c>
      <c r="P870" s="3" t="s">
        <v>35</v>
      </c>
      <c r="Q870" s="3" t="s">
        <v>1237</v>
      </c>
      <c r="R870" s="4">
        <v>45919</v>
      </c>
      <c r="S870" s="3" t="s">
        <v>37</v>
      </c>
      <c r="T870" s="3" t="s">
        <v>38</v>
      </c>
      <c r="U870" s="3" t="s">
        <v>39</v>
      </c>
      <c r="V870" s="5">
        <v>4947</v>
      </c>
      <c r="W870" s="5">
        <v>2498.2399999999998</v>
      </c>
      <c r="X870" s="5">
        <v>1714.14</v>
      </c>
      <c r="Y870" s="3">
        <v>734.62</v>
      </c>
    </row>
    <row r="871" spans="1:25" ht="41.5" hidden="1" x14ac:dyDescent="0.35">
      <c r="A871" s="3" t="s">
        <v>26</v>
      </c>
      <c r="B871" s="3" t="s">
        <v>27</v>
      </c>
      <c r="C871" s="3" t="s">
        <v>90</v>
      </c>
      <c r="D871" s="3" t="s">
        <v>51</v>
      </c>
      <c r="E871" s="3" t="s">
        <v>431</v>
      </c>
      <c r="F871" s="3" t="s">
        <v>51</v>
      </c>
      <c r="G871" s="3" t="s">
        <v>431</v>
      </c>
      <c r="H871" s="3" t="s">
        <v>208</v>
      </c>
      <c r="I871" s="3">
        <v>2024</v>
      </c>
      <c r="J871" s="3" t="str">
        <f>CONCATENATE("44810210797")</f>
        <v>44810210797</v>
      </c>
      <c r="K871" s="3" t="s">
        <v>33</v>
      </c>
      <c r="L871" s="3" t="str">
        <f t="shared" si="54"/>
        <v/>
      </c>
      <c r="M871" s="3" t="str">
        <f t="shared" si="56"/>
        <v>SRA30</v>
      </c>
      <c r="N871" s="3" t="str">
        <f>CONCATENATE("FRNGSY86M62E536Z")</f>
        <v>FRNGSY86M62E536Z</v>
      </c>
      <c r="O871" s="3" t="s">
        <v>1362</v>
      </c>
      <c r="P871" s="3" t="s">
        <v>35</v>
      </c>
      <c r="Q871" s="3" t="s">
        <v>1237</v>
      </c>
      <c r="R871" s="4">
        <v>45919</v>
      </c>
      <c r="S871" s="3" t="s">
        <v>37</v>
      </c>
      <c r="T871" s="3" t="s">
        <v>38</v>
      </c>
      <c r="U871" s="3" t="s">
        <v>39</v>
      </c>
      <c r="V871" s="5">
        <v>5947.5</v>
      </c>
      <c r="W871" s="5">
        <v>3003.49</v>
      </c>
      <c r="X871" s="5">
        <v>2060.81</v>
      </c>
      <c r="Y871" s="3">
        <v>883.2</v>
      </c>
    </row>
    <row r="872" spans="1:25" ht="41.5" hidden="1" x14ac:dyDescent="0.35">
      <c r="A872" s="3" t="s">
        <v>26</v>
      </c>
      <c r="B872" s="3" t="s">
        <v>27</v>
      </c>
      <c r="C872" s="3" t="s">
        <v>90</v>
      </c>
      <c r="D872" s="3" t="s">
        <v>51</v>
      </c>
      <c r="E872" s="3" t="s">
        <v>431</v>
      </c>
      <c r="F872" s="3" t="s">
        <v>51</v>
      </c>
      <c r="G872" s="3" t="s">
        <v>431</v>
      </c>
      <c r="H872" s="3" t="s">
        <v>208</v>
      </c>
      <c r="I872" s="3">
        <v>2024</v>
      </c>
      <c r="J872" s="3" t="str">
        <f>CONCATENATE("44810279255")</f>
        <v>44810279255</v>
      </c>
      <c r="K872" s="3" t="s">
        <v>33</v>
      </c>
      <c r="L872" s="3" t="str">
        <f t="shared" si="54"/>
        <v/>
      </c>
      <c r="M872" s="3" t="str">
        <f t="shared" si="56"/>
        <v>SRA30</v>
      </c>
      <c r="N872" s="3" t="str">
        <f>CONCATENATE("FRNFTN84C07C351L")</f>
        <v>FRNFTN84C07C351L</v>
      </c>
      <c r="O872" s="3" t="s">
        <v>1363</v>
      </c>
      <c r="P872" s="3" t="s">
        <v>35</v>
      </c>
      <c r="Q872" s="3" t="s">
        <v>1237</v>
      </c>
      <c r="R872" s="4">
        <v>45919</v>
      </c>
      <c r="S872" s="3" t="s">
        <v>37</v>
      </c>
      <c r="T872" s="3" t="s">
        <v>38</v>
      </c>
      <c r="U872" s="3" t="s">
        <v>39</v>
      </c>
      <c r="V872" s="5">
        <v>8533.57</v>
      </c>
      <c r="W872" s="5">
        <v>4309.45</v>
      </c>
      <c r="X872" s="5">
        <v>2956.88</v>
      </c>
      <c r="Y872" s="5">
        <v>1267.24</v>
      </c>
    </row>
    <row r="873" spans="1:25" ht="41.5" hidden="1" x14ac:dyDescent="0.35">
      <c r="A873" s="3" t="s">
        <v>26</v>
      </c>
      <c r="B873" s="3" t="s">
        <v>27</v>
      </c>
      <c r="C873" s="3" t="s">
        <v>90</v>
      </c>
      <c r="D873" s="3" t="s">
        <v>61</v>
      </c>
      <c r="E873" s="3" t="s">
        <v>207</v>
      </c>
      <c r="F873" s="3" t="s">
        <v>63</v>
      </c>
      <c r="G873" s="3" t="s">
        <v>207</v>
      </c>
      <c r="H873" s="3" t="s">
        <v>208</v>
      </c>
      <c r="I873" s="3">
        <v>2024</v>
      </c>
      <c r="J873" s="3" t="str">
        <f>CONCATENATE("44810300598")</f>
        <v>44810300598</v>
      </c>
      <c r="K873" s="3" t="s">
        <v>33</v>
      </c>
      <c r="L873" s="3" t="str">
        <f t="shared" si="54"/>
        <v/>
      </c>
      <c r="M873" s="3" t="str">
        <f t="shared" si="56"/>
        <v>SRA30</v>
      </c>
      <c r="N873" s="3" t="str">
        <f>CONCATENATE("GRSNGL89D24F892L")</f>
        <v>GRSNGL89D24F892L</v>
      </c>
      <c r="O873" s="3" t="s">
        <v>1364</v>
      </c>
      <c r="P873" s="3" t="s">
        <v>35</v>
      </c>
      <c r="Q873" s="3" t="s">
        <v>1237</v>
      </c>
      <c r="R873" s="4">
        <v>45919</v>
      </c>
      <c r="S873" s="3" t="s">
        <v>37</v>
      </c>
      <c r="T873" s="3" t="s">
        <v>38</v>
      </c>
      <c r="U873" s="3" t="s">
        <v>39</v>
      </c>
      <c r="V873" s="5">
        <v>4011</v>
      </c>
      <c r="W873" s="5">
        <v>2025.56</v>
      </c>
      <c r="X873" s="5">
        <v>1389.81</v>
      </c>
      <c r="Y873" s="3">
        <v>595.63</v>
      </c>
    </row>
    <row r="874" spans="1:25" ht="41.5" hidden="1" x14ac:dyDescent="0.35">
      <c r="A874" s="3" t="s">
        <v>26</v>
      </c>
      <c r="B874" s="3" t="s">
        <v>27</v>
      </c>
      <c r="C874" s="3" t="s">
        <v>90</v>
      </c>
      <c r="D874" s="3" t="s">
        <v>234</v>
      </c>
      <c r="E874" s="3" t="s">
        <v>1241</v>
      </c>
      <c r="F874" s="3" t="s">
        <v>119</v>
      </c>
      <c r="G874" s="3" t="s">
        <v>1241</v>
      </c>
      <c r="H874" s="3" t="s">
        <v>208</v>
      </c>
      <c r="I874" s="3">
        <v>2024</v>
      </c>
      <c r="J874" s="3" t="str">
        <f>CONCATENATE("44810802478")</f>
        <v>44810802478</v>
      </c>
      <c r="K874" s="3" t="s">
        <v>33</v>
      </c>
      <c r="L874" s="3" t="str">
        <f t="shared" si="54"/>
        <v/>
      </c>
      <c r="M874" s="3" t="str">
        <f t="shared" si="56"/>
        <v>SRA30</v>
      </c>
      <c r="N874" s="3" t="str">
        <f>CONCATENATE("RCSSVT75L27B660H")</f>
        <v>RCSSVT75L27B660H</v>
      </c>
      <c r="O874" s="3" t="s">
        <v>1365</v>
      </c>
      <c r="P874" s="3" t="s">
        <v>35</v>
      </c>
      <c r="Q874" s="3" t="s">
        <v>1237</v>
      </c>
      <c r="R874" s="4">
        <v>45919</v>
      </c>
      <c r="S874" s="3" t="s">
        <v>37</v>
      </c>
      <c r="T874" s="3" t="s">
        <v>38</v>
      </c>
      <c r="U874" s="3" t="s">
        <v>39</v>
      </c>
      <c r="V874" s="5">
        <v>5806.4</v>
      </c>
      <c r="W874" s="5">
        <v>2932.23</v>
      </c>
      <c r="X874" s="5">
        <v>2011.92</v>
      </c>
      <c r="Y874" s="3">
        <v>862.25</v>
      </c>
    </row>
    <row r="875" spans="1:25" ht="41.5" hidden="1" x14ac:dyDescent="0.35">
      <c r="A875" s="3" t="s">
        <v>26</v>
      </c>
      <c r="B875" s="3" t="s">
        <v>27</v>
      </c>
      <c r="C875" s="3" t="s">
        <v>90</v>
      </c>
      <c r="D875" s="3" t="s">
        <v>180</v>
      </c>
      <c r="E875" s="3" t="s">
        <v>258</v>
      </c>
      <c r="F875" s="3" t="s">
        <v>85</v>
      </c>
      <c r="G875" s="3" t="s">
        <v>258</v>
      </c>
      <c r="H875" s="3" t="s">
        <v>208</v>
      </c>
      <c r="I875" s="3">
        <v>2024</v>
      </c>
      <c r="J875" s="3" t="str">
        <f>CONCATENATE("44810726263")</f>
        <v>44810726263</v>
      </c>
      <c r="K875" s="3" t="s">
        <v>33</v>
      </c>
      <c r="L875" s="3" t="str">
        <f t="shared" si="54"/>
        <v/>
      </c>
      <c r="M875" s="3" t="str">
        <f t="shared" si="56"/>
        <v>SRA30</v>
      </c>
      <c r="N875" s="3" t="str">
        <f>CONCATENATE("LPSLDR94D18C351C")</f>
        <v>LPSLDR94D18C351C</v>
      </c>
      <c r="O875" s="3" t="s">
        <v>1366</v>
      </c>
      <c r="P875" s="3" t="s">
        <v>35</v>
      </c>
      <c r="Q875" s="3" t="s">
        <v>1237</v>
      </c>
      <c r="R875" s="4">
        <v>45919</v>
      </c>
      <c r="S875" s="3" t="s">
        <v>37</v>
      </c>
      <c r="T875" s="3" t="s">
        <v>38</v>
      </c>
      <c r="U875" s="3" t="s">
        <v>39</v>
      </c>
      <c r="V875" s="5">
        <v>4675</v>
      </c>
      <c r="W875" s="5">
        <v>2360.88</v>
      </c>
      <c r="X875" s="5">
        <v>1619.89</v>
      </c>
      <c r="Y875" s="3">
        <v>694.23</v>
      </c>
    </row>
    <row r="876" spans="1:25" ht="25.5" hidden="1" x14ac:dyDescent="0.35">
      <c r="A876" s="3" t="s">
        <v>26</v>
      </c>
      <c r="B876" s="3" t="s">
        <v>27</v>
      </c>
      <c r="C876" s="3" t="s">
        <v>90</v>
      </c>
      <c r="D876" s="3" t="s">
        <v>234</v>
      </c>
      <c r="E876" s="3" t="s">
        <v>1241</v>
      </c>
      <c r="F876" s="3" t="s">
        <v>119</v>
      </c>
      <c r="G876" s="3" t="s">
        <v>1241</v>
      </c>
      <c r="H876" s="3" t="s">
        <v>208</v>
      </c>
      <c r="I876" s="3">
        <v>2024</v>
      </c>
      <c r="J876" s="3" t="str">
        <f>CONCATENATE("44811165701")</f>
        <v>44811165701</v>
      </c>
      <c r="K876" s="3" t="s">
        <v>33</v>
      </c>
      <c r="L876" s="3" t="str">
        <f t="shared" si="54"/>
        <v/>
      </c>
      <c r="M876" s="3" t="str">
        <f t="shared" si="56"/>
        <v>SRA30</v>
      </c>
      <c r="N876" s="3" t="str">
        <f>CONCATENATE("01246620866")</f>
        <v>01246620866</v>
      </c>
      <c r="O876" s="3" t="s">
        <v>1367</v>
      </c>
      <c r="P876" s="3" t="s">
        <v>35</v>
      </c>
      <c r="Q876" s="3" t="s">
        <v>1237</v>
      </c>
      <c r="R876" s="4">
        <v>45919</v>
      </c>
      <c r="S876" s="3" t="s">
        <v>37</v>
      </c>
      <c r="T876" s="3" t="s">
        <v>38</v>
      </c>
      <c r="U876" s="3" t="s">
        <v>39</v>
      </c>
      <c r="V876" s="5">
        <v>8797.5</v>
      </c>
      <c r="W876" s="5">
        <v>4442.74</v>
      </c>
      <c r="X876" s="5">
        <v>3048.33</v>
      </c>
      <c r="Y876" s="5">
        <v>1306.43</v>
      </c>
    </row>
    <row r="877" spans="1:25" ht="41.5" hidden="1" x14ac:dyDescent="0.35">
      <c r="A877" s="3" t="s">
        <v>26</v>
      </c>
      <c r="B877" s="3" t="s">
        <v>27</v>
      </c>
      <c r="C877" s="3" t="s">
        <v>90</v>
      </c>
      <c r="D877" s="3" t="s">
        <v>234</v>
      </c>
      <c r="E877" s="3" t="s">
        <v>593</v>
      </c>
      <c r="F877" s="3" t="s">
        <v>119</v>
      </c>
      <c r="G877" s="3" t="s">
        <v>593</v>
      </c>
      <c r="H877" s="3" t="s">
        <v>208</v>
      </c>
      <c r="I877" s="3">
        <v>2024</v>
      </c>
      <c r="J877" s="3" t="str">
        <f>CONCATENATE("44810316404")</f>
        <v>44810316404</v>
      </c>
      <c r="K877" s="3" t="s">
        <v>33</v>
      </c>
      <c r="L877" s="3" t="str">
        <f t="shared" si="54"/>
        <v/>
      </c>
      <c r="M877" s="3" t="str">
        <f t="shared" si="56"/>
        <v>SRA30</v>
      </c>
      <c r="N877" s="3" t="str">
        <f>CONCATENATE("LPCLNT74T22F892Y")</f>
        <v>LPCLNT74T22F892Y</v>
      </c>
      <c r="O877" s="3" t="s">
        <v>1368</v>
      </c>
      <c r="P877" s="3" t="s">
        <v>35</v>
      </c>
      <c r="Q877" s="3" t="s">
        <v>1237</v>
      </c>
      <c r="R877" s="4">
        <v>45919</v>
      </c>
      <c r="S877" s="3" t="s">
        <v>37</v>
      </c>
      <c r="T877" s="3" t="s">
        <v>38</v>
      </c>
      <c r="U877" s="3" t="s">
        <v>39</v>
      </c>
      <c r="V877" s="5">
        <v>3680.99</v>
      </c>
      <c r="W877" s="5">
        <v>1858.9</v>
      </c>
      <c r="X877" s="5">
        <v>1275.46</v>
      </c>
      <c r="Y877" s="3">
        <v>546.63</v>
      </c>
    </row>
    <row r="878" spans="1:25" ht="49.5" hidden="1" x14ac:dyDescent="0.35">
      <c r="A878" s="3" t="s">
        <v>26</v>
      </c>
      <c r="B878" s="3" t="s">
        <v>27</v>
      </c>
      <c r="C878" s="3" t="s">
        <v>90</v>
      </c>
      <c r="D878" s="3" t="s">
        <v>51</v>
      </c>
      <c r="E878" s="3" t="s">
        <v>431</v>
      </c>
      <c r="F878" s="3" t="s">
        <v>51</v>
      </c>
      <c r="G878" s="3" t="s">
        <v>431</v>
      </c>
      <c r="H878" s="3" t="s">
        <v>208</v>
      </c>
      <c r="I878" s="3">
        <v>2024</v>
      </c>
      <c r="J878" s="3" t="str">
        <f>CONCATENATE("44810837573")</f>
        <v>44810837573</v>
      </c>
      <c r="K878" s="3" t="s">
        <v>33</v>
      </c>
      <c r="L878" s="3" t="str">
        <f t="shared" si="54"/>
        <v/>
      </c>
      <c r="M878" s="3" t="str">
        <f t="shared" si="56"/>
        <v>SRA30</v>
      </c>
      <c r="N878" s="3" t="str">
        <f>CONCATENATE("MNGFPP83C11G580V")</f>
        <v>MNGFPP83C11G580V</v>
      </c>
      <c r="O878" s="3" t="s">
        <v>1369</v>
      </c>
      <c r="P878" s="3" t="s">
        <v>35</v>
      </c>
      <c r="Q878" s="3" t="s">
        <v>1237</v>
      </c>
      <c r="R878" s="4">
        <v>45919</v>
      </c>
      <c r="S878" s="3" t="s">
        <v>37</v>
      </c>
      <c r="T878" s="3" t="s">
        <v>38</v>
      </c>
      <c r="U878" s="3" t="s">
        <v>39</v>
      </c>
      <c r="V878" s="5">
        <v>4751.25</v>
      </c>
      <c r="W878" s="5">
        <v>2399.38</v>
      </c>
      <c r="X878" s="5">
        <v>1646.31</v>
      </c>
      <c r="Y878" s="3">
        <v>705.56</v>
      </c>
    </row>
    <row r="879" spans="1:25" ht="49.5" hidden="1" x14ac:dyDescent="0.35">
      <c r="A879" s="3" t="s">
        <v>26</v>
      </c>
      <c r="B879" s="3" t="s">
        <v>27</v>
      </c>
      <c r="C879" s="3" t="s">
        <v>90</v>
      </c>
      <c r="D879" s="3" t="s">
        <v>180</v>
      </c>
      <c r="E879" s="3" t="s">
        <v>258</v>
      </c>
      <c r="F879" s="3" t="s">
        <v>85</v>
      </c>
      <c r="G879" s="3" t="s">
        <v>258</v>
      </c>
      <c r="H879" s="3" t="s">
        <v>208</v>
      </c>
      <c r="I879" s="3">
        <v>2024</v>
      </c>
      <c r="J879" s="3" t="str">
        <f>CONCATENATE("44810778132")</f>
        <v>44810778132</v>
      </c>
      <c r="K879" s="3" t="s">
        <v>33</v>
      </c>
      <c r="L879" s="3" t="str">
        <f t="shared" si="54"/>
        <v/>
      </c>
      <c r="M879" s="3" t="str">
        <f t="shared" si="56"/>
        <v>SRA30</v>
      </c>
      <c r="N879" s="3" t="str">
        <f>CONCATENATE("PTRSVT48A12B381N")</f>
        <v>PTRSVT48A12B381N</v>
      </c>
      <c r="O879" s="3" t="s">
        <v>1370</v>
      </c>
      <c r="P879" s="3" t="s">
        <v>35</v>
      </c>
      <c r="Q879" s="3" t="s">
        <v>1237</v>
      </c>
      <c r="R879" s="4">
        <v>45919</v>
      </c>
      <c r="S879" s="3" t="s">
        <v>37</v>
      </c>
      <c r="T879" s="3" t="s">
        <v>38</v>
      </c>
      <c r="U879" s="3" t="s">
        <v>39</v>
      </c>
      <c r="V879" s="5">
        <v>3570</v>
      </c>
      <c r="W879" s="5">
        <v>1802.85</v>
      </c>
      <c r="X879" s="5">
        <v>1237.01</v>
      </c>
      <c r="Y879" s="3">
        <v>530.14</v>
      </c>
    </row>
    <row r="880" spans="1:25" ht="41.5" hidden="1" x14ac:dyDescent="0.35">
      <c r="A880" s="3" t="s">
        <v>26</v>
      </c>
      <c r="B880" s="3" t="s">
        <v>27</v>
      </c>
      <c r="C880" s="3" t="s">
        <v>90</v>
      </c>
      <c r="D880" s="3" t="s">
        <v>180</v>
      </c>
      <c r="E880" s="3" t="s">
        <v>258</v>
      </c>
      <c r="F880" s="3" t="s">
        <v>85</v>
      </c>
      <c r="G880" s="3" t="s">
        <v>258</v>
      </c>
      <c r="H880" s="3" t="s">
        <v>208</v>
      </c>
      <c r="I880" s="3">
        <v>2024</v>
      </c>
      <c r="J880" s="3" t="str">
        <f>CONCATENATE("44810758845")</f>
        <v>44810758845</v>
      </c>
      <c r="K880" s="3" t="s">
        <v>33</v>
      </c>
      <c r="L880" s="3" t="str">
        <f t="shared" si="54"/>
        <v/>
      </c>
      <c r="M880" s="3" t="str">
        <f t="shared" si="56"/>
        <v>SRA30</v>
      </c>
      <c r="N880" s="3" t="str">
        <f>CONCATENATE("RSTMNT72M19B381K")</f>
        <v>RSTMNT72M19B381K</v>
      </c>
      <c r="O880" s="3" t="s">
        <v>1371</v>
      </c>
      <c r="P880" s="3" t="s">
        <v>35</v>
      </c>
      <c r="Q880" s="3" t="s">
        <v>1237</v>
      </c>
      <c r="R880" s="4">
        <v>45919</v>
      </c>
      <c r="S880" s="3" t="s">
        <v>37</v>
      </c>
      <c r="T880" s="3" t="s">
        <v>38</v>
      </c>
      <c r="U880" s="3" t="s">
        <v>39</v>
      </c>
      <c r="V880" s="5">
        <v>3843.82</v>
      </c>
      <c r="W880" s="5">
        <v>1941.13</v>
      </c>
      <c r="X880" s="5">
        <v>1331.88</v>
      </c>
      <c r="Y880" s="3">
        <v>570.80999999999995</v>
      </c>
    </row>
    <row r="881" spans="1:25" ht="41.5" hidden="1" x14ac:dyDescent="0.35">
      <c r="A881" s="3" t="s">
        <v>26</v>
      </c>
      <c r="B881" s="3" t="s">
        <v>27</v>
      </c>
      <c r="C881" s="3" t="s">
        <v>90</v>
      </c>
      <c r="D881" s="3" t="s">
        <v>51</v>
      </c>
      <c r="E881" s="3" t="s">
        <v>431</v>
      </c>
      <c r="F881" s="3" t="s">
        <v>51</v>
      </c>
      <c r="G881" s="3" t="s">
        <v>431</v>
      </c>
      <c r="H881" s="3" t="s">
        <v>208</v>
      </c>
      <c r="I881" s="3">
        <v>2024</v>
      </c>
      <c r="J881" s="3" t="str">
        <f>CONCATENATE("44810835148")</f>
        <v>44810835148</v>
      </c>
      <c r="K881" s="3" t="s">
        <v>33</v>
      </c>
      <c r="L881" s="3" t="str">
        <f t="shared" si="54"/>
        <v/>
      </c>
      <c r="M881" s="3" t="str">
        <f t="shared" si="56"/>
        <v>SRA30</v>
      </c>
      <c r="N881" s="3" t="str">
        <f>CONCATENATE("RCCNGL84P29C342R")</f>
        <v>RCCNGL84P29C342R</v>
      </c>
      <c r="O881" s="3" t="s">
        <v>1372</v>
      </c>
      <c r="P881" s="3" t="s">
        <v>35</v>
      </c>
      <c r="Q881" s="3" t="s">
        <v>1237</v>
      </c>
      <c r="R881" s="4">
        <v>45919</v>
      </c>
      <c r="S881" s="3" t="s">
        <v>37</v>
      </c>
      <c r="T881" s="3" t="s">
        <v>38</v>
      </c>
      <c r="U881" s="3" t="s">
        <v>39</v>
      </c>
      <c r="V881" s="5">
        <v>5355</v>
      </c>
      <c r="W881" s="5">
        <v>2704.28</v>
      </c>
      <c r="X881" s="5">
        <v>1855.51</v>
      </c>
      <c r="Y881" s="3">
        <v>795.21</v>
      </c>
    </row>
    <row r="882" spans="1:25" ht="25.5" hidden="1" x14ac:dyDescent="0.35">
      <c r="A882" s="3" t="s">
        <v>26</v>
      </c>
      <c r="B882" s="3" t="s">
        <v>27</v>
      </c>
      <c r="C882" s="3" t="s">
        <v>90</v>
      </c>
      <c r="D882" s="3" t="s">
        <v>164</v>
      </c>
      <c r="E882" s="3" t="s">
        <v>429</v>
      </c>
      <c r="F882" s="3" t="s">
        <v>43</v>
      </c>
      <c r="G882" s="3" t="s">
        <v>417</v>
      </c>
      <c r="H882" s="3" t="s">
        <v>208</v>
      </c>
      <c r="I882" s="3">
        <v>2024</v>
      </c>
      <c r="J882" s="3" t="str">
        <f>CONCATENATE("44810674984")</f>
        <v>44810674984</v>
      </c>
      <c r="K882" s="3" t="s">
        <v>33</v>
      </c>
      <c r="L882" s="3" t="str">
        <f t="shared" si="54"/>
        <v/>
      </c>
      <c r="M882" s="3" t="str">
        <f t="shared" si="56"/>
        <v>SRA30</v>
      </c>
      <c r="N882" s="3" t="str">
        <f>CONCATENATE("03583720838")</f>
        <v>03583720838</v>
      </c>
      <c r="O882" s="3" t="s">
        <v>1373</v>
      </c>
      <c r="P882" s="3" t="s">
        <v>35</v>
      </c>
      <c r="Q882" s="3" t="s">
        <v>1237</v>
      </c>
      <c r="R882" s="4">
        <v>45919</v>
      </c>
      <c r="S882" s="3" t="s">
        <v>37</v>
      </c>
      <c r="T882" s="3" t="s">
        <v>38</v>
      </c>
      <c r="U882" s="3" t="s">
        <v>39</v>
      </c>
      <c r="V882" s="5">
        <v>1870</v>
      </c>
      <c r="W882" s="3">
        <v>944.35</v>
      </c>
      <c r="X882" s="3">
        <v>647.96</v>
      </c>
      <c r="Y882" s="3">
        <v>277.69</v>
      </c>
    </row>
    <row r="883" spans="1:25" ht="25.5" hidden="1" x14ac:dyDescent="0.35">
      <c r="A883" s="3" t="s">
        <v>26</v>
      </c>
      <c r="B883" s="3" t="s">
        <v>27</v>
      </c>
      <c r="C883" s="3" t="s">
        <v>90</v>
      </c>
      <c r="D883" s="3" t="s">
        <v>164</v>
      </c>
      <c r="E883" s="3" t="s">
        <v>429</v>
      </c>
      <c r="F883" s="3" t="s">
        <v>166</v>
      </c>
      <c r="G883" s="3" t="s">
        <v>429</v>
      </c>
      <c r="H883" s="3" t="s">
        <v>208</v>
      </c>
      <c r="I883" s="3">
        <v>2024</v>
      </c>
      <c r="J883" s="3" t="str">
        <f>CONCATENATE("44810483733")</f>
        <v>44810483733</v>
      </c>
      <c r="K883" s="3" t="s">
        <v>33</v>
      </c>
      <c r="L883" s="3" t="str">
        <f t="shared" si="54"/>
        <v/>
      </c>
      <c r="M883" s="3" t="str">
        <f t="shared" si="56"/>
        <v>SRA30</v>
      </c>
      <c r="N883" s="3" t="str">
        <f>CONCATENATE("02911530836")</f>
        <v>02911530836</v>
      </c>
      <c r="O883" s="3" t="s">
        <v>1374</v>
      </c>
      <c r="P883" s="3" t="s">
        <v>35</v>
      </c>
      <c r="Q883" s="3" t="s">
        <v>1237</v>
      </c>
      <c r="R883" s="4">
        <v>45919</v>
      </c>
      <c r="S883" s="3" t="s">
        <v>37</v>
      </c>
      <c r="T883" s="3" t="s">
        <v>38</v>
      </c>
      <c r="U883" s="3" t="s">
        <v>39</v>
      </c>
      <c r="V883" s="5">
        <v>4974.2</v>
      </c>
      <c r="W883" s="5">
        <v>2511.9699999999998</v>
      </c>
      <c r="X883" s="5">
        <v>1723.56</v>
      </c>
      <c r="Y883" s="3">
        <v>738.67</v>
      </c>
    </row>
    <row r="884" spans="1:25" ht="41.5" hidden="1" x14ac:dyDescent="0.35">
      <c r="A884" s="3" t="s">
        <v>26</v>
      </c>
      <c r="B884" s="3" t="s">
        <v>27</v>
      </c>
      <c r="C884" s="3" t="s">
        <v>90</v>
      </c>
      <c r="D884" s="3" t="s">
        <v>164</v>
      </c>
      <c r="E884" s="3" t="s">
        <v>429</v>
      </c>
      <c r="F884" s="3" t="s">
        <v>166</v>
      </c>
      <c r="G884" s="3" t="s">
        <v>429</v>
      </c>
      <c r="H884" s="3" t="s">
        <v>208</v>
      </c>
      <c r="I884" s="3">
        <v>2024</v>
      </c>
      <c r="J884" s="3" t="str">
        <f>CONCATENATE("44810486363")</f>
        <v>44810486363</v>
      </c>
      <c r="K884" s="3" t="s">
        <v>33</v>
      </c>
      <c r="L884" s="3" t="str">
        <f t="shared" si="54"/>
        <v/>
      </c>
      <c r="M884" s="3" t="str">
        <f t="shared" si="56"/>
        <v>SRA30</v>
      </c>
      <c r="N884" s="3" t="str">
        <f>CONCATENATE("STCMLN90H54F251C")</f>
        <v>STCMLN90H54F251C</v>
      </c>
      <c r="O884" s="3" t="s">
        <v>1375</v>
      </c>
      <c r="P884" s="3" t="s">
        <v>35</v>
      </c>
      <c r="Q884" s="3" t="s">
        <v>1237</v>
      </c>
      <c r="R884" s="4">
        <v>45919</v>
      </c>
      <c r="S884" s="3" t="s">
        <v>37</v>
      </c>
      <c r="T884" s="3" t="s">
        <v>38</v>
      </c>
      <c r="U884" s="3" t="s">
        <v>39</v>
      </c>
      <c r="V884" s="3">
        <v>340</v>
      </c>
      <c r="W884" s="3">
        <v>171.7</v>
      </c>
      <c r="X884" s="3">
        <v>117.81</v>
      </c>
      <c r="Y884" s="3">
        <v>50.49</v>
      </c>
    </row>
    <row r="885" spans="1:25" ht="41.5" hidden="1" x14ac:dyDescent="0.35">
      <c r="A885" s="3" t="s">
        <v>26</v>
      </c>
      <c r="B885" s="3" t="s">
        <v>27</v>
      </c>
      <c r="C885" s="3" t="s">
        <v>90</v>
      </c>
      <c r="D885" s="3" t="s">
        <v>61</v>
      </c>
      <c r="E885" s="3" t="s">
        <v>207</v>
      </c>
      <c r="F885" s="3" t="s">
        <v>63</v>
      </c>
      <c r="G885" s="3" t="s">
        <v>207</v>
      </c>
      <c r="H885" s="3" t="s">
        <v>208</v>
      </c>
      <c r="I885" s="3">
        <v>2024</v>
      </c>
      <c r="J885" s="3" t="str">
        <f>CONCATENATE("44810736890")</f>
        <v>44810736890</v>
      </c>
      <c r="K885" s="3" t="s">
        <v>33</v>
      </c>
      <c r="L885" s="3" t="str">
        <f t="shared" si="54"/>
        <v/>
      </c>
      <c r="M885" s="3" t="str">
        <f t="shared" si="56"/>
        <v>SRA30</v>
      </c>
      <c r="N885" s="3" t="str">
        <f>CONCATENATE("STRGPP84P10F892Z")</f>
        <v>STRGPP84P10F892Z</v>
      </c>
      <c r="O885" s="3" t="s">
        <v>1376</v>
      </c>
      <c r="P885" s="3" t="s">
        <v>35</v>
      </c>
      <c r="Q885" s="3" t="s">
        <v>1237</v>
      </c>
      <c r="R885" s="4">
        <v>45919</v>
      </c>
      <c r="S885" s="3" t="s">
        <v>37</v>
      </c>
      <c r="T885" s="3" t="s">
        <v>38</v>
      </c>
      <c r="U885" s="3" t="s">
        <v>39</v>
      </c>
      <c r="V885" s="5">
        <v>4760</v>
      </c>
      <c r="W885" s="5">
        <v>2403.8000000000002</v>
      </c>
      <c r="X885" s="5">
        <v>1649.34</v>
      </c>
      <c r="Y885" s="3">
        <v>706.86</v>
      </c>
    </row>
    <row r="886" spans="1:25" ht="41.5" hidden="1" x14ac:dyDescent="0.35">
      <c r="A886" s="3" t="s">
        <v>26</v>
      </c>
      <c r="B886" s="3" t="s">
        <v>27</v>
      </c>
      <c r="C886" s="3" t="s">
        <v>90</v>
      </c>
      <c r="D886" s="3" t="s">
        <v>61</v>
      </c>
      <c r="E886" s="3" t="s">
        <v>211</v>
      </c>
      <c r="F886" s="3" t="s">
        <v>63</v>
      </c>
      <c r="G886" s="3" t="s">
        <v>211</v>
      </c>
      <c r="H886" s="3" t="s">
        <v>212</v>
      </c>
      <c r="I886" s="3">
        <v>2024</v>
      </c>
      <c r="J886" s="3" t="str">
        <f>CONCATENATE("44810734077")</f>
        <v>44810734077</v>
      </c>
      <c r="K886" s="3" t="s">
        <v>33</v>
      </c>
      <c r="L886" s="3" t="str">
        <f t="shared" si="54"/>
        <v/>
      </c>
      <c r="M886" s="3" t="str">
        <f t="shared" si="56"/>
        <v>SRA30</v>
      </c>
      <c r="N886" s="3" t="str">
        <f>CONCATENATE("NNFBBR83A64B429F")</f>
        <v>NNFBBR83A64B429F</v>
      </c>
      <c r="O886" s="3" t="s">
        <v>213</v>
      </c>
      <c r="P886" s="3" t="s">
        <v>35</v>
      </c>
      <c r="Q886" s="3" t="s">
        <v>1377</v>
      </c>
      <c r="R886" s="4">
        <v>45933</v>
      </c>
      <c r="S886" s="3" t="s">
        <v>37</v>
      </c>
      <c r="T886" s="3" t="s">
        <v>38</v>
      </c>
      <c r="U886" s="3" t="s">
        <v>39</v>
      </c>
      <c r="V886" s="5">
        <v>5460</v>
      </c>
      <c r="W886" s="5">
        <v>2757.3</v>
      </c>
      <c r="X886" s="5">
        <v>1891.89</v>
      </c>
      <c r="Y886" s="3">
        <v>810.81</v>
      </c>
    </row>
    <row r="887" spans="1:25" ht="41.5" hidden="1" x14ac:dyDescent="0.35">
      <c r="A887" s="3" t="s">
        <v>26</v>
      </c>
      <c r="B887" s="3" t="s">
        <v>27</v>
      </c>
      <c r="C887" s="3" t="s">
        <v>658</v>
      </c>
      <c r="D887" s="3" t="s">
        <v>61</v>
      </c>
      <c r="E887" s="3" t="s">
        <v>1378</v>
      </c>
      <c r="F887" s="3" t="s">
        <v>256</v>
      </c>
      <c r="G887" s="3" t="s">
        <v>962</v>
      </c>
      <c r="H887" s="3" t="s">
        <v>660</v>
      </c>
      <c r="I887" s="3">
        <v>2024</v>
      </c>
      <c r="J887" s="3" t="str">
        <f>CONCATENATE("44820418687")</f>
        <v>44820418687</v>
      </c>
      <c r="K887" s="3" t="s">
        <v>33</v>
      </c>
      <c r="L887" s="3" t="str">
        <f t="shared" si="54"/>
        <v/>
      </c>
      <c r="M887" s="3" t="str">
        <f>CONCATENATE("SRC01")</f>
        <v>SRC01</v>
      </c>
      <c r="N887" s="3" t="str">
        <f>CONCATENATE("CLSYNK99C10A326N")</f>
        <v>CLSYNK99C10A326N</v>
      </c>
      <c r="O887" s="3" t="s">
        <v>1379</v>
      </c>
      <c r="P887" s="3" t="s">
        <v>35</v>
      </c>
      <c r="Q887" s="3" t="s">
        <v>1380</v>
      </c>
      <c r="R887" s="4">
        <v>45926</v>
      </c>
      <c r="S887" s="3" t="s">
        <v>37</v>
      </c>
      <c r="T887" s="3" t="s">
        <v>38</v>
      </c>
      <c r="U887" s="3" t="s">
        <v>39</v>
      </c>
      <c r="V887" s="5">
        <v>6980</v>
      </c>
      <c r="W887" s="5">
        <v>2840.86</v>
      </c>
      <c r="X887" s="5">
        <v>2897.4</v>
      </c>
      <c r="Y887" s="5">
        <v>1241.74</v>
      </c>
    </row>
    <row r="888" spans="1:25" ht="49.5" hidden="1" x14ac:dyDescent="0.35">
      <c r="A888" s="3" t="s">
        <v>26</v>
      </c>
      <c r="B888" s="3" t="s">
        <v>27</v>
      </c>
      <c r="C888" s="3" t="s">
        <v>658</v>
      </c>
      <c r="D888" s="3" t="s">
        <v>254</v>
      </c>
      <c r="E888" s="3" t="s">
        <v>962</v>
      </c>
      <c r="F888" s="3" t="s">
        <v>256</v>
      </c>
      <c r="G888" s="3" t="s">
        <v>962</v>
      </c>
      <c r="H888" s="3" t="s">
        <v>660</v>
      </c>
      <c r="I888" s="3">
        <v>2024</v>
      </c>
      <c r="J888" s="3" t="str">
        <f>CONCATENATE("44820545208")</f>
        <v>44820545208</v>
      </c>
      <c r="K888" s="3" t="s">
        <v>33</v>
      </c>
      <c r="L888" s="3" t="str">
        <f t="shared" si="54"/>
        <v/>
      </c>
      <c r="M888" s="3" t="str">
        <f>CONCATENATE("SRC01")</f>
        <v>SRC01</v>
      </c>
      <c r="N888" s="3" t="str">
        <f>CONCATENATE("DLBMNL85R08A326G")</f>
        <v>DLBMNL85R08A326G</v>
      </c>
      <c r="O888" s="3" t="s">
        <v>963</v>
      </c>
      <c r="P888" s="3" t="s">
        <v>35</v>
      </c>
      <c r="Q888" s="3" t="s">
        <v>1380</v>
      </c>
      <c r="R888" s="4">
        <v>45926</v>
      </c>
      <c r="S888" s="3" t="s">
        <v>37</v>
      </c>
      <c r="T888" s="3" t="s">
        <v>38</v>
      </c>
      <c r="U888" s="3" t="s">
        <v>39</v>
      </c>
      <c r="V888" s="5">
        <v>7188.39</v>
      </c>
      <c r="W888" s="5">
        <v>2925.67</v>
      </c>
      <c r="X888" s="5">
        <v>2983.9</v>
      </c>
      <c r="Y888" s="5">
        <v>1278.82</v>
      </c>
    </row>
    <row r="889" spans="1:25" ht="41.5" hidden="1" x14ac:dyDescent="0.35">
      <c r="A889" s="3" t="s">
        <v>26</v>
      </c>
      <c r="B889" s="3" t="s">
        <v>27</v>
      </c>
      <c r="C889" s="3" t="s">
        <v>470</v>
      </c>
      <c r="D889" s="3" t="s">
        <v>41</v>
      </c>
      <c r="E889" s="3" t="s">
        <v>683</v>
      </c>
      <c r="F889" s="3" t="s">
        <v>43</v>
      </c>
      <c r="G889" s="3" t="s">
        <v>683</v>
      </c>
      <c r="H889" s="3" t="s">
        <v>472</v>
      </c>
      <c r="I889" s="3">
        <v>2024</v>
      </c>
      <c r="J889" s="3" t="str">
        <f>CONCATENATE("44820203816")</f>
        <v>44820203816</v>
      </c>
      <c r="K889" s="3" t="s">
        <v>33</v>
      </c>
      <c r="L889" s="3" t="str">
        <f t="shared" si="54"/>
        <v/>
      </c>
      <c r="M889" s="3" t="str">
        <f>CONCATENATE("SRB01")</f>
        <v>SRB01</v>
      </c>
      <c r="N889" s="3" t="str">
        <f>CONCATENATE("GRDSVR92L04E977N")</f>
        <v>GRDSVR92L04E977N</v>
      </c>
      <c r="O889" s="3" t="s">
        <v>684</v>
      </c>
      <c r="P889" s="3" t="s">
        <v>35</v>
      </c>
      <c r="Q889" s="3" t="s">
        <v>1381</v>
      </c>
      <c r="R889" s="4">
        <v>45916</v>
      </c>
      <c r="S889" s="3" t="s">
        <v>37</v>
      </c>
      <c r="T889" s="3" t="s">
        <v>38</v>
      </c>
      <c r="U889" s="3" t="s">
        <v>39</v>
      </c>
      <c r="V889" s="5">
        <v>3252.69</v>
      </c>
      <c r="W889" s="5">
        <v>1642.61</v>
      </c>
      <c r="X889" s="5">
        <v>1127.06</v>
      </c>
      <c r="Y889" s="3">
        <v>483.02</v>
      </c>
    </row>
    <row r="890" spans="1:25" ht="41.5" hidden="1" x14ac:dyDescent="0.35">
      <c r="A890" s="3" t="s">
        <v>26</v>
      </c>
      <c r="B890" s="3" t="s">
        <v>27</v>
      </c>
      <c r="C890" s="3" t="s">
        <v>470</v>
      </c>
      <c r="D890" s="3" t="s">
        <v>51</v>
      </c>
      <c r="E890" s="3" t="s">
        <v>995</v>
      </c>
      <c r="F890" s="3" t="s">
        <v>101</v>
      </c>
      <c r="G890" s="3" t="s">
        <v>882</v>
      </c>
      <c r="H890" s="3" t="s">
        <v>664</v>
      </c>
      <c r="I890" s="3">
        <v>2024</v>
      </c>
      <c r="J890" s="3" t="str">
        <f>CONCATENATE("44810558351")</f>
        <v>44810558351</v>
      </c>
      <c r="K890" s="3" t="s">
        <v>33</v>
      </c>
      <c r="L890" s="3" t="str">
        <f t="shared" si="54"/>
        <v/>
      </c>
      <c r="M890" s="3" t="str">
        <f>CONCATENATE("SRA01")</f>
        <v>SRA01</v>
      </c>
      <c r="N890" s="3" t="str">
        <f>CONCATENATE("CVZSVT73H21C975W")</f>
        <v>CVZSVT73H21C975W</v>
      </c>
      <c r="O890" s="3" t="s">
        <v>1382</v>
      </c>
      <c r="P890" s="3" t="s">
        <v>35</v>
      </c>
      <c r="Q890" s="3" t="s">
        <v>1383</v>
      </c>
      <c r="R890" s="4">
        <v>45915</v>
      </c>
      <c r="S890" s="3" t="s">
        <v>37</v>
      </c>
      <c r="T890" s="3" t="s">
        <v>38</v>
      </c>
      <c r="U890" s="3" t="s">
        <v>39</v>
      </c>
      <c r="V890" s="5">
        <v>2338.52</v>
      </c>
      <c r="W890" s="5">
        <v>1180.95</v>
      </c>
      <c r="X890" s="3">
        <v>810.3</v>
      </c>
      <c r="Y890" s="3">
        <v>347.27</v>
      </c>
    </row>
    <row r="891" spans="1:25" ht="25.5" hidden="1" x14ac:dyDescent="0.35">
      <c r="A891" s="3" t="s">
        <v>26</v>
      </c>
      <c r="B891" s="3" t="s">
        <v>27</v>
      </c>
      <c r="C891" s="3" t="s">
        <v>90</v>
      </c>
      <c r="D891" s="3" t="s">
        <v>41</v>
      </c>
      <c r="E891" s="3" t="s">
        <v>264</v>
      </c>
      <c r="F891" s="3" t="s">
        <v>43</v>
      </c>
      <c r="G891" s="3" t="s">
        <v>264</v>
      </c>
      <c r="H891" s="3" t="s">
        <v>96</v>
      </c>
      <c r="I891" s="3">
        <v>2024</v>
      </c>
      <c r="J891" s="3" t="str">
        <f>CONCATENATE("44811411568")</f>
        <v>44811411568</v>
      </c>
      <c r="K891" s="3" t="s">
        <v>33</v>
      </c>
      <c r="L891" s="3" t="str">
        <f t="shared" si="54"/>
        <v/>
      </c>
      <c r="M891" s="3" t="str">
        <f t="shared" ref="M891:M924" si="57">CONCATENATE("SRA29")</f>
        <v>SRA29</v>
      </c>
      <c r="N891" s="3" t="str">
        <f>CONCATENATE("06025930824")</f>
        <v>06025930824</v>
      </c>
      <c r="O891" s="3" t="s">
        <v>359</v>
      </c>
      <c r="P891" s="3" t="s">
        <v>35</v>
      </c>
      <c r="Q891" s="3" t="s">
        <v>1384</v>
      </c>
      <c r="R891" s="4">
        <v>45931</v>
      </c>
      <c r="S891" s="3" t="s">
        <v>37</v>
      </c>
      <c r="T891" s="3" t="s">
        <v>38</v>
      </c>
      <c r="U891" s="3" t="s">
        <v>39</v>
      </c>
      <c r="V891" s="5">
        <v>29625.67</v>
      </c>
      <c r="W891" s="5">
        <v>14960.96</v>
      </c>
      <c r="X891" s="5">
        <v>10265.290000000001</v>
      </c>
      <c r="Y891" s="5">
        <v>4399.42</v>
      </c>
    </row>
    <row r="892" spans="1:25" ht="25.5" hidden="1" x14ac:dyDescent="0.35">
      <c r="A892" s="3" t="s">
        <v>26</v>
      </c>
      <c r="B892" s="3" t="s">
        <v>27</v>
      </c>
      <c r="C892" s="3" t="s">
        <v>90</v>
      </c>
      <c r="D892" s="3" t="s">
        <v>75</v>
      </c>
      <c r="E892" s="3" t="s">
        <v>294</v>
      </c>
      <c r="F892" s="3" t="s">
        <v>77</v>
      </c>
      <c r="G892" s="3" t="s">
        <v>294</v>
      </c>
      <c r="H892" s="3" t="s">
        <v>96</v>
      </c>
      <c r="I892" s="3">
        <v>2024</v>
      </c>
      <c r="J892" s="3" t="str">
        <f>CONCATENATE("44810148120")</f>
        <v>44810148120</v>
      </c>
      <c r="K892" s="3" t="s">
        <v>33</v>
      </c>
      <c r="L892" s="3" t="str">
        <f t="shared" si="54"/>
        <v/>
      </c>
      <c r="M892" s="3" t="str">
        <f t="shared" si="57"/>
        <v>SRA29</v>
      </c>
      <c r="N892" s="3" t="str">
        <f>CONCATENATE("08541480961")</f>
        <v>08541480961</v>
      </c>
      <c r="O892" s="3" t="s">
        <v>1385</v>
      </c>
      <c r="P892" s="3" t="s">
        <v>35</v>
      </c>
      <c r="Q892" s="3" t="s">
        <v>1384</v>
      </c>
      <c r="R892" s="4">
        <v>45931</v>
      </c>
      <c r="S892" s="3" t="s">
        <v>37</v>
      </c>
      <c r="T892" s="3" t="s">
        <v>38</v>
      </c>
      <c r="U892" s="3" t="s">
        <v>39</v>
      </c>
      <c r="V892" s="5">
        <v>22709.4</v>
      </c>
      <c r="W892" s="5">
        <v>11468.25</v>
      </c>
      <c r="X892" s="5">
        <v>7868.81</v>
      </c>
      <c r="Y892" s="5">
        <v>3372.34</v>
      </c>
    </row>
    <row r="893" spans="1:25" ht="25.5" hidden="1" x14ac:dyDescent="0.35">
      <c r="A893" s="3" t="s">
        <v>26</v>
      </c>
      <c r="B893" s="3" t="s">
        <v>27</v>
      </c>
      <c r="C893" s="3" t="s">
        <v>28</v>
      </c>
      <c r="D893" s="3" t="s">
        <v>99</v>
      </c>
      <c r="E893" s="3" t="s">
        <v>1386</v>
      </c>
      <c r="F893" s="3" t="s">
        <v>51</v>
      </c>
      <c r="G893" s="3" t="s">
        <v>1387</v>
      </c>
      <c r="H893" s="3" t="s">
        <v>32</v>
      </c>
      <c r="I893" s="3">
        <v>2024</v>
      </c>
      <c r="J893" s="3" t="str">
        <f>CONCATENATE("44810508182")</f>
        <v>44810508182</v>
      </c>
      <c r="K893" s="3" t="s">
        <v>33</v>
      </c>
      <c r="L893" s="3" t="str">
        <f t="shared" si="54"/>
        <v/>
      </c>
      <c r="M893" s="3" t="str">
        <f t="shared" si="57"/>
        <v>SRA29</v>
      </c>
      <c r="N893" s="3" t="str">
        <f>CONCATENATE("04402040713")</f>
        <v>04402040713</v>
      </c>
      <c r="O893" s="3" t="s">
        <v>1388</v>
      </c>
      <c r="P893" s="3" t="s">
        <v>35</v>
      </c>
      <c r="Q893" s="3" t="s">
        <v>1389</v>
      </c>
      <c r="R893" s="4">
        <v>45916</v>
      </c>
      <c r="S893" s="3" t="s">
        <v>37</v>
      </c>
      <c r="T893" s="3" t="s">
        <v>38</v>
      </c>
      <c r="U893" s="3" t="s">
        <v>39</v>
      </c>
      <c r="V893" s="5">
        <v>5010.62</v>
      </c>
      <c r="W893" s="5">
        <v>2530.36</v>
      </c>
      <c r="X893" s="5">
        <v>1736.18</v>
      </c>
      <c r="Y893" s="3">
        <v>744.08</v>
      </c>
    </row>
    <row r="894" spans="1:25" ht="41.5" hidden="1" x14ac:dyDescent="0.35">
      <c r="A894" s="3" t="s">
        <v>26</v>
      </c>
      <c r="B894" s="3" t="s">
        <v>27</v>
      </c>
      <c r="C894" s="3" t="s">
        <v>28</v>
      </c>
      <c r="D894" s="3" t="s">
        <v>51</v>
      </c>
      <c r="E894" s="3" t="s">
        <v>1390</v>
      </c>
      <c r="F894" s="3" t="s">
        <v>51</v>
      </c>
      <c r="G894" s="3" t="s">
        <v>1390</v>
      </c>
      <c r="H894" s="3" t="s">
        <v>156</v>
      </c>
      <c r="I894" s="3">
        <v>2024</v>
      </c>
      <c r="J894" s="3" t="str">
        <f>CONCATENATE("44810373678")</f>
        <v>44810373678</v>
      </c>
      <c r="K894" s="3" t="s">
        <v>33</v>
      </c>
      <c r="L894" s="3" t="str">
        <f t="shared" si="54"/>
        <v/>
      </c>
      <c r="M894" s="3" t="str">
        <f t="shared" si="57"/>
        <v>SRA29</v>
      </c>
      <c r="N894" s="3" t="str">
        <f>CONCATENATE("NDRTMS89L03F152K")</f>
        <v>NDRTMS89L03F152K</v>
      </c>
      <c r="O894" s="3" t="s">
        <v>1391</v>
      </c>
      <c r="P894" s="3" t="s">
        <v>35</v>
      </c>
      <c r="Q894" s="3" t="s">
        <v>1389</v>
      </c>
      <c r="R894" s="4">
        <v>45916</v>
      </c>
      <c r="S894" s="3" t="s">
        <v>37</v>
      </c>
      <c r="T894" s="3" t="s">
        <v>38</v>
      </c>
      <c r="U894" s="3" t="s">
        <v>39</v>
      </c>
      <c r="V894" s="5">
        <v>10906.37</v>
      </c>
      <c r="W894" s="5">
        <v>5507.72</v>
      </c>
      <c r="X894" s="5">
        <v>3779.06</v>
      </c>
      <c r="Y894" s="5">
        <v>1619.59</v>
      </c>
    </row>
    <row r="895" spans="1:25" ht="41.5" hidden="1" x14ac:dyDescent="0.35">
      <c r="A895" s="3" t="s">
        <v>26</v>
      </c>
      <c r="B895" s="3" t="s">
        <v>27</v>
      </c>
      <c r="C895" s="3" t="s">
        <v>28</v>
      </c>
      <c r="D895" s="3" t="s">
        <v>99</v>
      </c>
      <c r="E895" s="3" t="s">
        <v>1392</v>
      </c>
      <c r="F895" s="3" t="s">
        <v>101</v>
      </c>
      <c r="G895" s="3" t="s">
        <v>1392</v>
      </c>
      <c r="H895" s="3" t="s">
        <v>72</v>
      </c>
      <c r="I895" s="3">
        <v>2024</v>
      </c>
      <c r="J895" s="3" t="str">
        <f>CONCATENATE("44811014701")</f>
        <v>44811014701</v>
      </c>
      <c r="K895" s="3" t="s">
        <v>33</v>
      </c>
      <c r="L895" s="3" t="str">
        <f t="shared" si="54"/>
        <v/>
      </c>
      <c r="M895" s="3" t="str">
        <f t="shared" si="57"/>
        <v>SRA29</v>
      </c>
      <c r="N895" s="3" t="str">
        <f>CONCATENATE("NGLMRA43R65L571Q")</f>
        <v>NGLMRA43R65L571Q</v>
      </c>
      <c r="O895" s="3" t="s">
        <v>1393</v>
      </c>
      <c r="P895" s="3" t="s">
        <v>35</v>
      </c>
      <c r="Q895" s="3" t="s">
        <v>1389</v>
      </c>
      <c r="R895" s="4">
        <v>45916</v>
      </c>
      <c r="S895" s="3" t="s">
        <v>37</v>
      </c>
      <c r="T895" s="3" t="s">
        <v>38</v>
      </c>
      <c r="U895" s="3" t="s">
        <v>39</v>
      </c>
      <c r="V895" s="5">
        <v>1370.92</v>
      </c>
      <c r="W895" s="3">
        <v>692.31</v>
      </c>
      <c r="X895" s="3">
        <v>475.02</v>
      </c>
      <c r="Y895" s="3">
        <v>203.59</v>
      </c>
    </row>
    <row r="896" spans="1:25" ht="25.5" hidden="1" x14ac:dyDescent="0.35">
      <c r="A896" s="3" t="s">
        <v>26</v>
      </c>
      <c r="B896" s="3" t="s">
        <v>27</v>
      </c>
      <c r="C896" s="3" t="s">
        <v>28</v>
      </c>
      <c r="D896" s="3" t="s">
        <v>41</v>
      </c>
      <c r="E896" s="3" t="s">
        <v>1394</v>
      </c>
      <c r="F896" s="3" t="s">
        <v>43</v>
      </c>
      <c r="G896" s="3" t="s">
        <v>1394</v>
      </c>
      <c r="H896" s="3" t="s">
        <v>72</v>
      </c>
      <c r="I896" s="3">
        <v>2024</v>
      </c>
      <c r="J896" s="3" t="str">
        <f>CONCATENATE("44810323400")</f>
        <v>44810323400</v>
      </c>
      <c r="K896" s="3" t="s">
        <v>33</v>
      </c>
      <c r="L896" s="3" t="str">
        <f t="shared" si="54"/>
        <v/>
      </c>
      <c r="M896" s="3" t="str">
        <f t="shared" si="57"/>
        <v>SRA29</v>
      </c>
      <c r="N896" s="3" t="str">
        <f>CONCATENATE("05889870720")</f>
        <v>05889870720</v>
      </c>
      <c r="O896" s="3" t="s">
        <v>1395</v>
      </c>
      <c r="P896" s="3" t="s">
        <v>35</v>
      </c>
      <c r="Q896" s="3" t="s">
        <v>1389</v>
      </c>
      <c r="R896" s="4">
        <v>45916</v>
      </c>
      <c r="S896" s="3" t="s">
        <v>37</v>
      </c>
      <c r="T896" s="3" t="s">
        <v>38</v>
      </c>
      <c r="U896" s="3" t="s">
        <v>39</v>
      </c>
      <c r="V896" s="5">
        <v>18542.43</v>
      </c>
      <c r="W896" s="5">
        <v>9363.93</v>
      </c>
      <c r="X896" s="5">
        <v>6424.95</v>
      </c>
      <c r="Y896" s="5">
        <v>2753.55</v>
      </c>
    </row>
    <row r="897" spans="1:25" ht="41.5" hidden="1" x14ac:dyDescent="0.35">
      <c r="A897" s="3" t="s">
        <v>26</v>
      </c>
      <c r="B897" s="3" t="s">
        <v>27</v>
      </c>
      <c r="C897" s="3" t="s">
        <v>28</v>
      </c>
      <c r="D897" s="3" t="s">
        <v>61</v>
      </c>
      <c r="E897" s="3" t="s">
        <v>1396</v>
      </c>
      <c r="F897" s="3" t="s">
        <v>63</v>
      </c>
      <c r="G897" s="3" t="s">
        <v>1396</v>
      </c>
      <c r="H897" s="3" t="s">
        <v>72</v>
      </c>
      <c r="I897" s="3">
        <v>2024</v>
      </c>
      <c r="J897" s="3" t="str">
        <f>CONCATENATE("44810850212")</f>
        <v>44810850212</v>
      </c>
      <c r="K897" s="3" t="s">
        <v>33</v>
      </c>
      <c r="L897" s="3" t="str">
        <f t="shared" si="54"/>
        <v/>
      </c>
      <c r="M897" s="3" t="str">
        <f t="shared" si="57"/>
        <v>SRA29</v>
      </c>
      <c r="N897" s="3" t="str">
        <f>CONCATENATE("BRNMNL64H15A893J")</f>
        <v>BRNMNL64H15A893J</v>
      </c>
      <c r="O897" s="3" t="s">
        <v>1397</v>
      </c>
      <c r="P897" s="3" t="s">
        <v>35</v>
      </c>
      <c r="Q897" s="3" t="s">
        <v>1389</v>
      </c>
      <c r="R897" s="4">
        <v>45916</v>
      </c>
      <c r="S897" s="3" t="s">
        <v>37</v>
      </c>
      <c r="T897" s="3" t="s">
        <v>38</v>
      </c>
      <c r="U897" s="3" t="s">
        <v>39</v>
      </c>
      <c r="V897" s="5">
        <v>5738.21</v>
      </c>
      <c r="W897" s="5">
        <v>2897.8</v>
      </c>
      <c r="X897" s="5">
        <v>1988.29</v>
      </c>
      <c r="Y897" s="3">
        <v>852.12</v>
      </c>
    </row>
    <row r="898" spans="1:25" ht="41.5" hidden="1" x14ac:dyDescent="0.35">
      <c r="A898" s="3" t="s">
        <v>26</v>
      </c>
      <c r="B898" s="3" t="s">
        <v>27</v>
      </c>
      <c r="C898" s="3" t="s">
        <v>28</v>
      </c>
      <c r="D898" s="3" t="s">
        <v>41</v>
      </c>
      <c r="E898" s="3" t="s">
        <v>1398</v>
      </c>
      <c r="F898" s="3" t="s">
        <v>43</v>
      </c>
      <c r="G898" s="3" t="s">
        <v>1398</v>
      </c>
      <c r="H898" s="3" t="s">
        <v>72</v>
      </c>
      <c r="I898" s="3">
        <v>2024</v>
      </c>
      <c r="J898" s="3" t="str">
        <f>CONCATENATE("44811023819")</f>
        <v>44811023819</v>
      </c>
      <c r="K898" s="3" t="s">
        <v>33</v>
      </c>
      <c r="L898" s="3" t="str">
        <f t="shared" si="54"/>
        <v/>
      </c>
      <c r="M898" s="3" t="str">
        <f t="shared" si="57"/>
        <v>SRA29</v>
      </c>
      <c r="N898" s="3" t="str">
        <f>CONCATENATE("BRNSST89B24A048T")</f>
        <v>BRNSST89B24A048T</v>
      </c>
      <c r="O898" s="3" t="s">
        <v>1399</v>
      </c>
      <c r="P898" s="3" t="s">
        <v>35</v>
      </c>
      <c r="Q898" s="3" t="s">
        <v>1389</v>
      </c>
      <c r="R898" s="4">
        <v>45916</v>
      </c>
      <c r="S898" s="3" t="s">
        <v>37</v>
      </c>
      <c r="T898" s="3" t="s">
        <v>38</v>
      </c>
      <c r="U898" s="3" t="s">
        <v>39</v>
      </c>
      <c r="V898" s="5">
        <v>3166.31</v>
      </c>
      <c r="W898" s="5">
        <v>1598.99</v>
      </c>
      <c r="X898" s="5">
        <v>1097.1300000000001</v>
      </c>
      <c r="Y898" s="3">
        <v>470.19</v>
      </c>
    </row>
    <row r="899" spans="1:25" ht="41.5" hidden="1" x14ac:dyDescent="0.35">
      <c r="A899" s="3" t="s">
        <v>26</v>
      </c>
      <c r="B899" s="3" t="s">
        <v>27</v>
      </c>
      <c r="C899" s="3" t="s">
        <v>28</v>
      </c>
      <c r="D899" s="3" t="s">
        <v>41</v>
      </c>
      <c r="E899" s="3" t="s">
        <v>1400</v>
      </c>
      <c r="F899" s="3" t="s">
        <v>43</v>
      </c>
      <c r="G899" s="3" t="s">
        <v>1400</v>
      </c>
      <c r="H899" s="3" t="s">
        <v>32</v>
      </c>
      <c r="I899" s="3">
        <v>2024</v>
      </c>
      <c r="J899" s="3" t="str">
        <f>CONCATENATE("44810815769")</f>
        <v>44810815769</v>
      </c>
      <c r="K899" s="3" t="s">
        <v>33</v>
      </c>
      <c r="L899" s="3" t="str">
        <f t="shared" si="54"/>
        <v/>
      </c>
      <c r="M899" s="3" t="str">
        <f t="shared" si="57"/>
        <v>SRA29</v>
      </c>
      <c r="N899" s="3" t="str">
        <f>CONCATENATE("BNUGNN00T04I158U")</f>
        <v>BNUGNN00T04I158U</v>
      </c>
      <c r="O899" s="3" t="s">
        <v>1401</v>
      </c>
      <c r="P899" s="3" t="s">
        <v>35</v>
      </c>
      <c r="Q899" s="3" t="s">
        <v>1389</v>
      </c>
      <c r="R899" s="4">
        <v>45916</v>
      </c>
      <c r="S899" s="3" t="s">
        <v>37</v>
      </c>
      <c r="T899" s="3" t="s">
        <v>38</v>
      </c>
      <c r="U899" s="3" t="s">
        <v>39</v>
      </c>
      <c r="V899" s="5">
        <v>1479.18</v>
      </c>
      <c r="W899" s="3">
        <v>746.99</v>
      </c>
      <c r="X899" s="3">
        <v>512.54</v>
      </c>
      <c r="Y899" s="3">
        <v>219.65</v>
      </c>
    </row>
    <row r="900" spans="1:25" ht="25.5" hidden="1" x14ac:dyDescent="0.35">
      <c r="A900" s="3" t="s">
        <v>26</v>
      </c>
      <c r="B900" s="3" t="s">
        <v>27</v>
      </c>
      <c r="C900" s="3" t="s">
        <v>28</v>
      </c>
      <c r="D900" s="3" t="s">
        <v>41</v>
      </c>
      <c r="E900" s="3" t="s">
        <v>1402</v>
      </c>
      <c r="F900" s="3" t="s">
        <v>43</v>
      </c>
      <c r="G900" s="3" t="s">
        <v>1402</v>
      </c>
      <c r="H900" s="3" t="s">
        <v>1403</v>
      </c>
      <c r="I900" s="3">
        <v>2024</v>
      </c>
      <c r="J900" s="3" t="str">
        <f>CONCATENATE("44811275112")</f>
        <v>44811275112</v>
      </c>
      <c r="K900" s="3" t="s">
        <v>33</v>
      </c>
      <c r="L900" s="3" t="str">
        <f t="shared" ref="L900:L963" si="58">CONCATENATE("")</f>
        <v/>
      </c>
      <c r="M900" s="3" t="str">
        <f t="shared" si="57"/>
        <v>SRA29</v>
      </c>
      <c r="N900" s="3" t="str">
        <f>CONCATENATE("04678370232")</f>
        <v>04678370232</v>
      </c>
      <c r="O900" s="3" t="s">
        <v>1404</v>
      </c>
      <c r="P900" s="3" t="s">
        <v>35</v>
      </c>
      <c r="Q900" s="3" t="s">
        <v>1389</v>
      </c>
      <c r="R900" s="4">
        <v>45916</v>
      </c>
      <c r="S900" s="3" t="s">
        <v>37</v>
      </c>
      <c r="T900" s="3" t="s">
        <v>38</v>
      </c>
      <c r="U900" s="3" t="s">
        <v>39</v>
      </c>
      <c r="V900" s="5">
        <v>2168.8200000000002</v>
      </c>
      <c r="W900" s="5">
        <v>1095.25</v>
      </c>
      <c r="X900" s="3">
        <v>751.5</v>
      </c>
      <c r="Y900" s="3">
        <v>322.07</v>
      </c>
    </row>
    <row r="901" spans="1:25" ht="41.5" hidden="1" x14ac:dyDescent="0.35">
      <c r="A901" s="3" t="s">
        <v>26</v>
      </c>
      <c r="B901" s="3" t="s">
        <v>27</v>
      </c>
      <c r="C901" s="3" t="s">
        <v>28</v>
      </c>
      <c r="D901" s="3" t="s">
        <v>99</v>
      </c>
      <c r="E901" s="3" t="s">
        <v>999</v>
      </c>
      <c r="F901" s="3" t="s">
        <v>101</v>
      </c>
      <c r="G901" s="3" t="s">
        <v>999</v>
      </c>
      <c r="H901" s="3" t="s">
        <v>72</v>
      </c>
      <c r="I901" s="3">
        <v>2024</v>
      </c>
      <c r="J901" s="3" t="str">
        <f>CONCATENATE("44810322527")</f>
        <v>44810322527</v>
      </c>
      <c r="K901" s="3" t="s">
        <v>33</v>
      </c>
      <c r="L901" s="3" t="str">
        <f t="shared" si="58"/>
        <v/>
      </c>
      <c r="M901" s="3" t="str">
        <f t="shared" si="57"/>
        <v>SRA29</v>
      </c>
      <c r="N901" s="3" t="str">
        <f>CONCATENATE("CNNNLN49A02A225I")</f>
        <v>CNNNLN49A02A225I</v>
      </c>
      <c r="O901" s="3" t="s">
        <v>1405</v>
      </c>
      <c r="P901" s="3" t="s">
        <v>35</v>
      </c>
      <c r="Q901" s="3" t="s">
        <v>1389</v>
      </c>
      <c r="R901" s="4">
        <v>45916</v>
      </c>
      <c r="S901" s="3" t="s">
        <v>37</v>
      </c>
      <c r="T901" s="3" t="s">
        <v>38</v>
      </c>
      <c r="U901" s="3" t="s">
        <v>39</v>
      </c>
      <c r="V901" s="3">
        <v>392.76</v>
      </c>
      <c r="W901" s="3">
        <v>198.34</v>
      </c>
      <c r="X901" s="3">
        <v>136.09</v>
      </c>
      <c r="Y901" s="3">
        <v>58.33</v>
      </c>
    </row>
    <row r="902" spans="1:25" ht="41.5" hidden="1" x14ac:dyDescent="0.35">
      <c r="A902" s="3" t="s">
        <v>26</v>
      </c>
      <c r="B902" s="3" t="s">
        <v>27</v>
      </c>
      <c r="C902" s="3" t="s">
        <v>28</v>
      </c>
      <c r="D902" s="3" t="s">
        <v>61</v>
      </c>
      <c r="E902" s="3" t="s">
        <v>201</v>
      </c>
      <c r="F902" s="3" t="s">
        <v>63</v>
      </c>
      <c r="G902" s="3" t="s">
        <v>201</v>
      </c>
      <c r="H902" s="3" t="s">
        <v>72</v>
      </c>
      <c r="I902" s="3">
        <v>2024</v>
      </c>
      <c r="J902" s="3" t="str">
        <f>CONCATENATE("44811216546")</f>
        <v>44811216546</v>
      </c>
      <c r="K902" s="3" t="s">
        <v>33</v>
      </c>
      <c r="L902" s="3" t="str">
        <f t="shared" si="58"/>
        <v/>
      </c>
      <c r="M902" s="3" t="str">
        <f t="shared" si="57"/>
        <v>SRA29</v>
      </c>
      <c r="N902" s="3" t="str">
        <f>CONCATENATE("CPNFNC56L27I330Y")</f>
        <v>CPNFNC56L27I330Y</v>
      </c>
      <c r="O902" s="3" t="s">
        <v>1406</v>
      </c>
      <c r="P902" s="3" t="s">
        <v>35</v>
      </c>
      <c r="Q902" s="3" t="s">
        <v>1389</v>
      </c>
      <c r="R902" s="4">
        <v>45916</v>
      </c>
      <c r="S902" s="3" t="s">
        <v>37</v>
      </c>
      <c r="T902" s="3" t="s">
        <v>38</v>
      </c>
      <c r="U902" s="3" t="s">
        <v>39</v>
      </c>
      <c r="V902" s="5">
        <v>1261.21</v>
      </c>
      <c r="W902" s="3">
        <v>636.91</v>
      </c>
      <c r="X902" s="3">
        <v>437.01</v>
      </c>
      <c r="Y902" s="3">
        <v>187.29</v>
      </c>
    </row>
    <row r="903" spans="1:25" ht="41.5" hidden="1" x14ac:dyDescent="0.35">
      <c r="A903" s="3" t="s">
        <v>26</v>
      </c>
      <c r="B903" s="3" t="s">
        <v>27</v>
      </c>
      <c r="C903" s="3" t="s">
        <v>28</v>
      </c>
      <c r="D903" s="3" t="s">
        <v>29</v>
      </c>
      <c r="E903" s="3" t="s">
        <v>190</v>
      </c>
      <c r="F903" s="3" t="s">
        <v>31</v>
      </c>
      <c r="G903" s="3" t="s">
        <v>190</v>
      </c>
      <c r="H903" s="3" t="s">
        <v>32</v>
      </c>
      <c r="I903" s="3">
        <v>2024</v>
      </c>
      <c r="J903" s="3" t="str">
        <f>CONCATENATE("44811195187")</f>
        <v>44811195187</v>
      </c>
      <c r="K903" s="3" t="s">
        <v>33</v>
      </c>
      <c r="L903" s="3" t="str">
        <f t="shared" si="58"/>
        <v/>
      </c>
      <c r="M903" s="3" t="str">
        <f t="shared" si="57"/>
        <v>SRA29</v>
      </c>
      <c r="N903" s="3" t="str">
        <f>CONCATENATE("CGLVTI41E18B584Y")</f>
        <v>CGLVTI41E18B584Y</v>
      </c>
      <c r="O903" s="3" t="s">
        <v>1407</v>
      </c>
      <c r="P903" s="3" t="s">
        <v>35</v>
      </c>
      <c r="Q903" s="3" t="s">
        <v>1389</v>
      </c>
      <c r="R903" s="4">
        <v>45916</v>
      </c>
      <c r="S903" s="3" t="s">
        <v>37</v>
      </c>
      <c r="T903" s="3" t="s">
        <v>38</v>
      </c>
      <c r="U903" s="3" t="s">
        <v>39</v>
      </c>
      <c r="V903" s="5">
        <v>2473.3200000000002</v>
      </c>
      <c r="W903" s="5">
        <v>1249.03</v>
      </c>
      <c r="X903" s="3">
        <v>857.01</v>
      </c>
      <c r="Y903" s="3">
        <v>367.28</v>
      </c>
    </row>
    <row r="904" spans="1:25" ht="41.5" hidden="1" x14ac:dyDescent="0.35">
      <c r="A904" s="3" t="s">
        <v>26</v>
      </c>
      <c r="B904" s="3" t="s">
        <v>27</v>
      </c>
      <c r="C904" s="3" t="s">
        <v>28</v>
      </c>
      <c r="D904" s="3" t="s">
        <v>228</v>
      </c>
      <c r="E904" s="3" t="s">
        <v>1408</v>
      </c>
      <c r="F904" s="3" t="s">
        <v>230</v>
      </c>
      <c r="G904" s="3" t="s">
        <v>1408</v>
      </c>
      <c r="H904" s="3" t="s">
        <v>1403</v>
      </c>
      <c r="I904" s="3">
        <v>2024</v>
      </c>
      <c r="J904" s="3" t="str">
        <f>CONCATENATE("44811300688")</f>
        <v>44811300688</v>
      </c>
      <c r="K904" s="3" t="s">
        <v>33</v>
      </c>
      <c r="L904" s="3" t="str">
        <f t="shared" si="58"/>
        <v/>
      </c>
      <c r="M904" s="3" t="str">
        <f t="shared" si="57"/>
        <v>SRA29</v>
      </c>
      <c r="N904" s="3" t="str">
        <f>CONCATENATE("CHRMRA56E13E979Z")</f>
        <v>CHRMRA56E13E979Z</v>
      </c>
      <c r="O904" s="3" t="s">
        <v>1409</v>
      </c>
      <c r="P904" s="3" t="s">
        <v>35</v>
      </c>
      <c r="Q904" s="3" t="s">
        <v>1389</v>
      </c>
      <c r="R904" s="4">
        <v>45916</v>
      </c>
      <c r="S904" s="3" t="s">
        <v>37</v>
      </c>
      <c r="T904" s="3" t="s">
        <v>38</v>
      </c>
      <c r="U904" s="3" t="s">
        <v>39</v>
      </c>
      <c r="V904" s="5">
        <v>1790.58</v>
      </c>
      <c r="W904" s="3">
        <v>904.24</v>
      </c>
      <c r="X904" s="3">
        <v>620.44000000000005</v>
      </c>
      <c r="Y904" s="3">
        <v>265.89999999999998</v>
      </c>
    </row>
    <row r="905" spans="1:25" ht="41.5" hidden="1" x14ac:dyDescent="0.35">
      <c r="A905" s="3" t="s">
        <v>26</v>
      </c>
      <c r="B905" s="3" t="s">
        <v>27</v>
      </c>
      <c r="C905" s="3" t="s">
        <v>28</v>
      </c>
      <c r="D905" s="3" t="s">
        <v>29</v>
      </c>
      <c r="E905" s="3" t="s">
        <v>1410</v>
      </c>
      <c r="F905" s="3" t="s">
        <v>31</v>
      </c>
      <c r="G905" s="3" t="s">
        <v>1410</v>
      </c>
      <c r="H905" s="3" t="s">
        <v>72</v>
      </c>
      <c r="I905" s="3">
        <v>2024</v>
      </c>
      <c r="J905" s="3" t="str">
        <f>CONCATENATE("44811063765")</f>
        <v>44811063765</v>
      </c>
      <c r="K905" s="3" t="s">
        <v>33</v>
      </c>
      <c r="L905" s="3" t="str">
        <f t="shared" si="58"/>
        <v/>
      </c>
      <c r="M905" s="3" t="str">
        <f t="shared" si="57"/>
        <v>SRA29</v>
      </c>
      <c r="N905" s="3" t="str">
        <f>CONCATENATE("CRLVTI63M23B998I")</f>
        <v>CRLVTI63M23B998I</v>
      </c>
      <c r="O905" s="3" t="s">
        <v>1411</v>
      </c>
      <c r="P905" s="3" t="s">
        <v>35</v>
      </c>
      <c r="Q905" s="3" t="s">
        <v>1389</v>
      </c>
      <c r="R905" s="4">
        <v>45916</v>
      </c>
      <c r="S905" s="3" t="s">
        <v>37</v>
      </c>
      <c r="T905" s="3" t="s">
        <v>38</v>
      </c>
      <c r="U905" s="3" t="s">
        <v>39</v>
      </c>
      <c r="V905" s="5">
        <v>6009.58</v>
      </c>
      <c r="W905" s="5">
        <v>3034.84</v>
      </c>
      <c r="X905" s="5">
        <v>2082.3200000000002</v>
      </c>
      <c r="Y905" s="3">
        <v>892.42</v>
      </c>
    </row>
    <row r="906" spans="1:25" ht="41.5" hidden="1" x14ac:dyDescent="0.35">
      <c r="A906" s="3" t="s">
        <v>26</v>
      </c>
      <c r="B906" s="3" t="s">
        <v>27</v>
      </c>
      <c r="C906" s="3" t="s">
        <v>28</v>
      </c>
      <c r="D906" s="3" t="s">
        <v>41</v>
      </c>
      <c r="E906" s="3" t="s">
        <v>1412</v>
      </c>
      <c r="F906" s="3" t="s">
        <v>43</v>
      </c>
      <c r="G906" s="3" t="s">
        <v>1412</v>
      </c>
      <c r="H906" s="3" t="s">
        <v>72</v>
      </c>
      <c r="I906" s="3">
        <v>2024</v>
      </c>
      <c r="J906" s="3" t="str">
        <f>CONCATENATE("44811440625")</f>
        <v>44811440625</v>
      </c>
      <c r="K906" s="3" t="s">
        <v>33</v>
      </c>
      <c r="L906" s="3" t="str">
        <f t="shared" si="58"/>
        <v/>
      </c>
      <c r="M906" s="3" t="str">
        <f t="shared" si="57"/>
        <v>SRA29</v>
      </c>
      <c r="N906" s="3" t="str">
        <f>CONCATENATE("CNSMHL85R62A662J")</f>
        <v>CNSMHL85R62A662J</v>
      </c>
      <c r="O906" s="3" t="s">
        <v>1413</v>
      </c>
      <c r="P906" s="3" t="s">
        <v>35</v>
      </c>
      <c r="Q906" s="3" t="s">
        <v>1389</v>
      </c>
      <c r="R906" s="4">
        <v>45916</v>
      </c>
      <c r="S906" s="3" t="s">
        <v>37</v>
      </c>
      <c r="T906" s="3" t="s">
        <v>38</v>
      </c>
      <c r="U906" s="3" t="s">
        <v>39</v>
      </c>
      <c r="V906" s="5">
        <v>5358.2</v>
      </c>
      <c r="W906" s="5">
        <v>2705.89</v>
      </c>
      <c r="X906" s="5">
        <v>1856.62</v>
      </c>
      <c r="Y906" s="3">
        <v>795.69</v>
      </c>
    </row>
    <row r="907" spans="1:25" ht="41.5" hidden="1" x14ac:dyDescent="0.35">
      <c r="A907" s="3" t="s">
        <v>26</v>
      </c>
      <c r="B907" s="3" t="s">
        <v>27</v>
      </c>
      <c r="C907" s="3" t="s">
        <v>28</v>
      </c>
      <c r="D907" s="3" t="s">
        <v>228</v>
      </c>
      <c r="E907" s="3" t="s">
        <v>1414</v>
      </c>
      <c r="F907" s="3" t="s">
        <v>230</v>
      </c>
      <c r="G907" s="3" t="s">
        <v>1414</v>
      </c>
      <c r="H907" s="3" t="s">
        <v>72</v>
      </c>
      <c r="I907" s="3">
        <v>2024</v>
      </c>
      <c r="J907" s="3" t="str">
        <f>CONCATENATE("44811065984")</f>
        <v>44811065984</v>
      </c>
      <c r="K907" s="3" t="s">
        <v>33</v>
      </c>
      <c r="L907" s="3" t="str">
        <f t="shared" si="58"/>
        <v/>
      </c>
      <c r="M907" s="3" t="str">
        <f t="shared" si="57"/>
        <v>SRA29</v>
      </c>
      <c r="N907" s="3" t="str">
        <f>CONCATENATE("CSCDNT86L22E223U")</f>
        <v>CSCDNT86L22E223U</v>
      </c>
      <c r="O907" s="3" t="s">
        <v>1415</v>
      </c>
      <c r="P907" s="3" t="s">
        <v>35</v>
      </c>
      <c r="Q907" s="3" t="s">
        <v>1389</v>
      </c>
      <c r="R907" s="4">
        <v>45916</v>
      </c>
      <c r="S907" s="3" t="s">
        <v>37</v>
      </c>
      <c r="T907" s="3" t="s">
        <v>38</v>
      </c>
      <c r="U907" s="3" t="s">
        <v>39</v>
      </c>
      <c r="V907" s="3">
        <v>550.36</v>
      </c>
      <c r="W907" s="3">
        <v>277.93</v>
      </c>
      <c r="X907" s="3">
        <v>190.7</v>
      </c>
      <c r="Y907" s="3">
        <v>81.73</v>
      </c>
    </row>
    <row r="908" spans="1:25" ht="49.5" hidden="1" x14ac:dyDescent="0.35">
      <c r="A908" s="3" t="s">
        <v>26</v>
      </c>
      <c r="B908" s="3" t="s">
        <v>27</v>
      </c>
      <c r="C908" s="3" t="s">
        <v>28</v>
      </c>
      <c r="D908" s="3" t="s">
        <v>29</v>
      </c>
      <c r="E908" s="3" t="s">
        <v>1416</v>
      </c>
      <c r="F908" s="3" t="s">
        <v>31</v>
      </c>
      <c r="G908" s="3" t="s">
        <v>1416</v>
      </c>
      <c r="H908" s="3" t="s">
        <v>72</v>
      </c>
      <c r="I908" s="3">
        <v>2024</v>
      </c>
      <c r="J908" s="3" t="str">
        <f>CONCATENATE("44810790723")</f>
        <v>44810790723</v>
      </c>
      <c r="K908" s="3" t="s">
        <v>33</v>
      </c>
      <c r="L908" s="3" t="str">
        <f t="shared" si="58"/>
        <v/>
      </c>
      <c r="M908" s="3" t="str">
        <f t="shared" si="57"/>
        <v>SRA29</v>
      </c>
      <c r="N908" s="3" t="str">
        <f>CONCATENATE("CSMPTR66D27A883M")</f>
        <v>CSMPTR66D27A883M</v>
      </c>
      <c r="O908" s="3" t="s">
        <v>1417</v>
      </c>
      <c r="P908" s="3" t="s">
        <v>35</v>
      </c>
      <c r="Q908" s="3" t="s">
        <v>1389</v>
      </c>
      <c r="R908" s="4">
        <v>45916</v>
      </c>
      <c r="S908" s="3" t="s">
        <v>37</v>
      </c>
      <c r="T908" s="3" t="s">
        <v>38</v>
      </c>
      <c r="U908" s="3" t="s">
        <v>39</v>
      </c>
      <c r="V908" s="3">
        <v>129.80000000000001</v>
      </c>
      <c r="W908" s="3">
        <v>65.55</v>
      </c>
      <c r="X908" s="3">
        <v>44.98</v>
      </c>
      <c r="Y908" s="3">
        <v>19.27</v>
      </c>
    </row>
    <row r="909" spans="1:25" ht="41.5" hidden="1" x14ac:dyDescent="0.35">
      <c r="A909" s="3" t="s">
        <v>26</v>
      </c>
      <c r="B909" s="3" t="s">
        <v>27</v>
      </c>
      <c r="C909" s="3" t="s">
        <v>28</v>
      </c>
      <c r="D909" s="3" t="s">
        <v>29</v>
      </c>
      <c r="E909" s="3" t="s">
        <v>1418</v>
      </c>
      <c r="F909" s="3" t="s">
        <v>31</v>
      </c>
      <c r="G909" s="3" t="s">
        <v>1418</v>
      </c>
      <c r="H909" s="3" t="s">
        <v>72</v>
      </c>
      <c r="I909" s="3">
        <v>2024</v>
      </c>
      <c r="J909" s="3" t="str">
        <f>CONCATENATE("44810475895")</f>
        <v>44810475895</v>
      </c>
      <c r="K909" s="3" t="s">
        <v>33</v>
      </c>
      <c r="L909" s="3" t="str">
        <f t="shared" si="58"/>
        <v/>
      </c>
      <c r="M909" s="3" t="str">
        <f t="shared" si="57"/>
        <v>SRA29</v>
      </c>
      <c r="N909" s="3" t="str">
        <f>CONCATENATE("CNZLTZ80C63A893H")</f>
        <v>CNZLTZ80C63A893H</v>
      </c>
      <c r="O909" s="3" t="s">
        <v>1419</v>
      </c>
      <c r="P909" s="3" t="s">
        <v>35</v>
      </c>
      <c r="Q909" s="3" t="s">
        <v>1389</v>
      </c>
      <c r="R909" s="4">
        <v>45916</v>
      </c>
      <c r="S909" s="3" t="s">
        <v>37</v>
      </c>
      <c r="T909" s="3" t="s">
        <v>38</v>
      </c>
      <c r="U909" s="3" t="s">
        <v>39</v>
      </c>
      <c r="V909" s="5">
        <v>11083.94</v>
      </c>
      <c r="W909" s="5">
        <v>5597.39</v>
      </c>
      <c r="X909" s="5">
        <v>3840.59</v>
      </c>
      <c r="Y909" s="5">
        <v>1645.96</v>
      </c>
    </row>
    <row r="910" spans="1:25" ht="41.5" hidden="1" x14ac:dyDescent="0.35">
      <c r="A910" s="3" t="s">
        <v>26</v>
      </c>
      <c r="B910" s="3" t="s">
        <v>27</v>
      </c>
      <c r="C910" s="3" t="s">
        <v>28</v>
      </c>
      <c r="D910" s="3" t="s">
        <v>41</v>
      </c>
      <c r="E910" s="3" t="s">
        <v>1420</v>
      </c>
      <c r="F910" s="3" t="s">
        <v>51</v>
      </c>
      <c r="G910" s="3" t="s">
        <v>161</v>
      </c>
      <c r="H910" s="3" t="s">
        <v>72</v>
      </c>
      <c r="I910" s="3">
        <v>2024</v>
      </c>
      <c r="J910" s="3" t="str">
        <f>CONCATENATE("44811002227")</f>
        <v>44811002227</v>
      </c>
      <c r="K910" s="3" t="s">
        <v>33</v>
      </c>
      <c r="L910" s="3" t="str">
        <f t="shared" si="58"/>
        <v/>
      </c>
      <c r="M910" s="3" t="str">
        <f t="shared" si="57"/>
        <v>SRA29</v>
      </c>
      <c r="N910" s="3" t="str">
        <f>CONCATENATE("DBRLGU88A24L109D")</f>
        <v>DBRLGU88A24L109D</v>
      </c>
      <c r="O910" s="3" t="s">
        <v>1421</v>
      </c>
      <c r="P910" s="3" t="s">
        <v>35</v>
      </c>
      <c r="Q910" s="3" t="s">
        <v>1389</v>
      </c>
      <c r="R910" s="4">
        <v>45916</v>
      </c>
      <c r="S910" s="3" t="s">
        <v>37</v>
      </c>
      <c r="T910" s="3" t="s">
        <v>38</v>
      </c>
      <c r="U910" s="3" t="s">
        <v>39</v>
      </c>
      <c r="V910" s="5">
        <v>2925.96</v>
      </c>
      <c r="W910" s="5">
        <v>1477.61</v>
      </c>
      <c r="X910" s="5">
        <v>1013.85</v>
      </c>
      <c r="Y910" s="3">
        <v>434.5</v>
      </c>
    </row>
    <row r="911" spans="1:25" ht="41.5" hidden="1" x14ac:dyDescent="0.35">
      <c r="A911" s="3" t="s">
        <v>26</v>
      </c>
      <c r="B911" s="3" t="s">
        <v>27</v>
      </c>
      <c r="C911" s="3" t="s">
        <v>28</v>
      </c>
      <c r="D911" s="3" t="s">
        <v>29</v>
      </c>
      <c r="E911" s="3" t="s">
        <v>1422</v>
      </c>
      <c r="F911" s="3" t="s">
        <v>31</v>
      </c>
      <c r="G911" s="3" t="s">
        <v>1422</v>
      </c>
      <c r="H911" s="3" t="s">
        <v>1403</v>
      </c>
      <c r="I911" s="3">
        <v>2024</v>
      </c>
      <c r="J911" s="3" t="str">
        <f>CONCATENATE("44811275468")</f>
        <v>44811275468</v>
      </c>
      <c r="K911" s="3" t="s">
        <v>33</v>
      </c>
      <c r="L911" s="3" t="str">
        <f t="shared" si="58"/>
        <v/>
      </c>
      <c r="M911" s="3" t="str">
        <f t="shared" si="57"/>
        <v>SRA29</v>
      </c>
      <c r="N911" s="3" t="str">
        <f>CONCATENATE("DRLCSM84S05G751A")</f>
        <v>DRLCSM84S05G751A</v>
      </c>
      <c r="O911" s="3" t="s">
        <v>1423</v>
      </c>
      <c r="P911" s="3" t="s">
        <v>35</v>
      </c>
      <c r="Q911" s="3" t="s">
        <v>1389</v>
      </c>
      <c r="R911" s="4">
        <v>45916</v>
      </c>
      <c r="S911" s="3" t="s">
        <v>37</v>
      </c>
      <c r="T911" s="3" t="s">
        <v>38</v>
      </c>
      <c r="U911" s="3" t="s">
        <v>39</v>
      </c>
      <c r="V911" s="5">
        <v>5962.64</v>
      </c>
      <c r="W911" s="5">
        <v>3011.13</v>
      </c>
      <c r="X911" s="5">
        <v>2066.0500000000002</v>
      </c>
      <c r="Y911" s="3">
        <v>885.46</v>
      </c>
    </row>
    <row r="912" spans="1:25" ht="49.5" hidden="1" x14ac:dyDescent="0.35">
      <c r="A912" s="3" t="s">
        <v>26</v>
      </c>
      <c r="B912" s="3" t="s">
        <v>27</v>
      </c>
      <c r="C912" s="3" t="s">
        <v>28</v>
      </c>
      <c r="D912" s="3" t="s">
        <v>69</v>
      </c>
      <c r="E912" s="3" t="s">
        <v>70</v>
      </c>
      <c r="F912" s="3" t="s">
        <v>71</v>
      </c>
      <c r="G912" s="3" t="s">
        <v>70</v>
      </c>
      <c r="H912" s="3" t="s">
        <v>72</v>
      </c>
      <c r="I912" s="3">
        <v>2024</v>
      </c>
      <c r="J912" s="3" t="str">
        <f>CONCATENATE("44811007192")</f>
        <v>44811007192</v>
      </c>
      <c r="K912" s="3" t="s">
        <v>33</v>
      </c>
      <c r="L912" s="3" t="str">
        <f t="shared" si="58"/>
        <v/>
      </c>
      <c r="M912" s="3" t="str">
        <f t="shared" si="57"/>
        <v>SRA29</v>
      </c>
      <c r="N912" s="3" t="str">
        <f>CONCATENATE("DMRFNC87B26A662T")</f>
        <v>DMRFNC87B26A662T</v>
      </c>
      <c r="O912" s="3" t="s">
        <v>1424</v>
      </c>
      <c r="P912" s="3" t="s">
        <v>35</v>
      </c>
      <c r="Q912" s="3" t="s">
        <v>1389</v>
      </c>
      <c r="R912" s="4">
        <v>45916</v>
      </c>
      <c r="S912" s="3" t="s">
        <v>37</v>
      </c>
      <c r="T912" s="3" t="s">
        <v>38</v>
      </c>
      <c r="U912" s="3" t="s">
        <v>39</v>
      </c>
      <c r="V912" s="3">
        <v>634.77</v>
      </c>
      <c r="W912" s="3">
        <v>320.56</v>
      </c>
      <c r="X912" s="3">
        <v>219.95</v>
      </c>
      <c r="Y912" s="3">
        <v>94.26</v>
      </c>
    </row>
    <row r="913" spans="1:25" ht="41.5" hidden="1" x14ac:dyDescent="0.35">
      <c r="A913" s="3" t="s">
        <v>26</v>
      </c>
      <c r="B913" s="3" t="s">
        <v>27</v>
      </c>
      <c r="C913" s="3" t="s">
        <v>28</v>
      </c>
      <c r="D913" s="3" t="s">
        <v>51</v>
      </c>
      <c r="E913" s="3" t="s">
        <v>1425</v>
      </c>
      <c r="F913" s="3" t="s">
        <v>51</v>
      </c>
      <c r="G913" s="3" t="s">
        <v>1425</v>
      </c>
      <c r="H913" s="3" t="s">
        <v>1403</v>
      </c>
      <c r="I913" s="3">
        <v>2024</v>
      </c>
      <c r="J913" s="3" t="str">
        <f>CONCATENATE("44810429454")</f>
        <v>44810429454</v>
      </c>
      <c r="K913" s="3" t="s">
        <v>33</v>
      </c>
      <c r="L913" s="3" t="str">
        <f t="shared" si="58"/>
        <v/>
      </c>
      <c r="M913" s="3" t="str">
        <f t="shared" si="57"/>
        <v>SRA29</v>
      </c>
      <c r="N913" s="3" t="str">
        <f>CONCATENATE("DLLNLC80P41D862W")</f>
        <v>DLLNLC80P41D862W</v>
      </c>
      <c r="O913" s="3" t="s">
        <v>1426</v>
      </c>
      <c r="P913" s="3" t="s">
        <v>35</v>
      </c>
      <c r="Q913" s="3" t="s">
        <v>1389</v>
      </c>
      <c r="R913" s="4">
        <v>45916</v>
      </c>
      <c r="S913" s="3" t="s">
        <v>37</v>
      </c>
      <c r="T913" s="3" t="s">
        <v>38</v>
      </c>
      <c r="U913" s="3" t="s">
        <v>39</v>
      </c>
      <c r="V913" s="5">
        <v>5326.6</v>
      </c>
      <c r="W913" s="5">
        <v>2689.93</v>
      </c>
      <c r="X913" s="5">
        <v>1845.67</v>
      </c>
      <c r="Y913" s="3">
        <v>791</v>
      </c>
    </row>
    <row r="914" spans="1:25" ht="33.5" hidden="1" x14ac:dyDescent="0.35">
      <c r="A914" s="3" t="s">
        <v>26</v>
      </c>
      <c r="B914" s="3" t="s">
        <v>27</v>
      </c>
      <c r="C914" s="3" t="s">
        <v>28</v>
      </c>
      <c r="D914" s="3" t="s">
        <v>69</v>
      </c>
      <c r="E914" s="3" t="s">
        <v>1427</v>
      </c>
      <c r="F914" s="3" t="s">
        <v>71</v>
      </c>
      <c r="G914" s="3" t="s">
        <v>1427</v>
      </c>
      <c r="H914" s="3" t="s">
        <v>1403</v>
      </c>
      <c r="I914" s="3">
        <v>2024</v>
      </c>
      <c r="J914" s="3" t="str">
        <f>CONCATENATE("44810269603")</f>
        <v>44810269603</v>
      </c>
      <c r="K914" s="3" t="s">
        <v>33</v>
      </c>
      <c r="L914" s="3" t="str">
        <f t="shared" si="58"/>
        <v/>
      </c>
      <c r="M914" s="3" t="str">
        <f t="shared" si="57"/>
        <v>SRA29</v>
      </c>
      <c r="N914" s="3" t="str">
        <f>CONCATENATE("DLLPPL95C17E506C")</f>
        <v>DLLPPL95C17E506C</v>
      </c>
      <c r="O914" s="3" t="s">
        <v>1428</v>
      </c>
      <c r="P914" s="3" t="s">
        <v>35</v>
      </c>
      <c r="Q914" s="3" t="s">
        <v>1389</v>
      </c>
      <c r="R914" s="4">
        <v>45916</v>
      </c>
      <c r="S914" s="3" t="s">
        <v>37</v>
      </c>
      <c r="T914" s="3" t="s">
        <v>38</v>
      </c>
      <c r="U914" s="3" t="s">
        <v>39</v>
      </c>
      <c r="V914" s="3">
        <v>840.41</v>
      </c>
      <c r="W914" s="3">
        <v>424.41</v>
      </c>
      <c r="X914" s="3">
        <v>291.2</v>
      </c>
      <c r="Y914" s="3">
        <v>124.8</v>
      </c>
    </row>
    <row r="915" spans="1:25" ht="49.5" hidden="1" x14ac:dyDescent="0.35">
      <c r="A915" s="3" t="s">
        <v>26</v>
      </c>
      <c r="B915" s="3" t="s">
        <v>27</v>
      </c>
      <c r="C915" s="3" t="s">
        <v>28</v>
      </c>
      <c r="D915" s="3" t="s">
        <v>69</v>
      </c>
      <c r="E915" s="3" t="s">
        <v>177</v>
      </c>
      <c r="F915" s="3" t="s">
        <v>71</v>
      </c>
      <c r="G915" s="3" t="s">
        <v>177</v>
      </c>
      <c r="H915" s="3" t="s">
        <v>72</v>
      </c>
      <c r="I915" s="3">
        <v>2024</v>
      </c>
      <c r="J915" s="3" t="str">
        <f>CONCATENATE("44810309607")</f>
        <v>44810309607</v>
      </c>
      <c r="K915" s="3" t="s">
        <v>33</v>
      </c>
      <c r="L915" s="3" t="str">
        <f t="shared" si="58"/>
        <v/>
      </c>
      <c r="M915" s="3" t="str">
        <f t="shared" si="57"/>
        <v>SRA29</v>
      </c>
      <c r="N915" s="3" t="str">
        <f>CONCATENATE("DRVFNC78D23A893H")</f>
        <v>DRVFNC78D23A893H</v>
      </c>
      <c r="O915" s="3" t="s">
        <v>1429</v>
      </c>
      <c r="P915" s="3" t="s">
        <v>35</v>
      </c>
      <c r="Q915" s="3" t="s">
        <v>1389</v>
      </c>
      <c r="R915" s="4">
        <v>45916</v>
      </c>
      <c r="S915" s="3" t="s">
        <v>37</v>
      </c>
      <c r="T915" s="3" t="s">
        <v>38</v>
      </c>
      <c r="U915" s="3" t="s">
        <v>39</v>
      </c>
      <c r="V915" s="5">
        <v>5969.81</v>
      </c>
      <c r="W915" s="5">
        <v>3014.75</v>
      </c>
      <c r="X915" s="5">
        <v>2068.54</v>
      </c>
      <c r="Y915" s="3">
        <v>886.52</v>
      </c>
    </row>
    <row r="916" spans="1:25" ht="41.5" hidden="1" x14ac:dyDescent="0.35">
      <c r="A916" s="3" t="s">
        <v>26</v>
      </c>
      <c r="B916" s="3" t="s">
        <v>27</v>
      </c>
      <c r="C916" s="3" t="s">
        <v>28</v>
      </c>
      <c r="D916" s="3" t="s">
        <v>228</v>
      </c>
      <c r="E916" s="3" t="s">
        <v>1430</v>
      </c>
      <c r="F916" s="3" t="s">
        <v>230</v>
      </c>
      <c r="G916" s="3" t="s">
        <v>1430</v>
      </c>
      <c r="H916" s="3" t="s">
        <v>72</v>
      </c>
      <c r="I916" s="3">
        <v>2024</v>
      </c>
      <c r="J916" s="3" t="str">
        <f>CONCATENATE("44810532836")</f>
        <v>44810532836</v>
      </c>
      <c r="K916" s="3" t="s">
        <v>33</v>
      </c>
      <c r="L916" s="3" t="str">
        <f t="shared" si="58"/>
        <v/>
      </c>
      <c r="M916" s="3" t="str">
        <f t="shared" si="57"/>
        <v>SRA29</v>
      </c>
      <c r="N916" s="3" t="str">
        <f>CONCATENATE("DLRDNL77A15C134J")</f>
        <v>DLRDNL77A15C134J</v>
      </c>
      <c r="O916" s="3" t="s">
        <v>1431</v>
      </c>
      <c r="P916" s="3" t="s">
        <v>35</v>
      </c>
      <c r="Q916" s="3" t="s">
        <v>1389</v>
      </c>
      <c r="R916" s="4">
        <v>45916</v>
      </c>
      <c r="S916" s="3" t="s">
        <v>37</v>
      </c>
      <c r="T916" s="3" t="s">
        <v>38</v>
      </c>
      <c r="U916" s="3" t="s">
        <v>39</v>
      </c>
      <c r="V916" s="3">
        <v>942.5</v>
      </c>
      <c r="W916" s="3">
        <v>475.96</v>
      </c>
      <c r="X916" s="3">
        <v>326.58</v>
      </c>
      <c r="Y916" s="3">
        <v>139.96</v>
      </c>
    </row>
    <row r="917" spans="1:25" ht="41.5" hidden="1" x14ac:dyDescent="0.35">
      <c r="A917" s="3" t="s">
        <v>26</v>
      </c>
      <c r="B917" s="3" t="s">
        <v>27</v>
      </c>
      <c r="C917" s="3" t="s">
        <v>90</v>
      </c>
      <c r="D917" s="3" t="s">
        <v>180</v>
      </c>
      <c r="E917" s="3" t="s">
        <v>258</v>
      </c>
      <c r="F917" s="3" t="s">
        <v>85</v>
      </c>
      <c r="G917" s="3" t="s">
        <v>258</v>
      </c>
      <c r="H917" s="3" t="s">
        <v>96</v>
      </c>
      <c r="I917" s="3">
        <v>2024</v>
      </c>
      <c r="J917" s="3" t="str">
        <f>CONCATENATE("44810980696")</f>
        <v>44810980696</v>
      </c>
      <c r="K917" s="3" t="s">
        <v>33</v>
      </c>
      <c r="L917" s="3" t="str">
        <f t="shared" si="58"/>
        <v/>
      </c>
      <c r="M917" s="3" t="str">
        <f t="shared" si="57"/>
        <v>SRA29</v>
      </c>
      <c r="N917" s="3" t="str">
        <f>CONCATENATE("CSTVCN71A12C871Z")</f>
        <v>CSTVCN71A12C871Z</v>
      </c>
      <c r="O917" s="3" t="s">
        <v>1432</v>
      </c>
      <c r="P917" s="3" t="s">
        <v>35</v>
      </c>
      <c r="Q917" s="3" t="s">
        <v>1384</v>
      </c>
      <c r="R917" s="4">
        <v>45931</v>
      </c>
      <c r="S917" s="3" t="s">
        <v>37</v>
      </c>
      <c r="T917" s="3" t="s">
        <v>38</v>
      </c>
      <c r="U917" s="3" t="s">
        <v>39</v>
      </c>
      <c r="V917" s="5">
        <v>4629.33</v>
      </c>
      <c r="W917" s="5">
        <v>2337.81</v>
      </c>
      <c r="X917" s="5">
        <v>1604.06</v>
      </c>
      <c r="Y917" s="3">
        <v>687.46</v>
      </c>
    </row>
    <row r="918" spans="1:25" ht="49.5" hidden="1" x14ac:dyDescent="0.35">
      <c r="A918" s="3" t="s">
        <v>26</v>
      </c>
      <c r="B918" s="3" t="s">
        <v>27</v>
      </c>
      <c r="C918" s="3" t="s">
        <v>90</v>
      </c>
      <c r="D918" s="3" t="s">
        <v>29</v>
      </c>
      <c r="E918" s="3" t="s">
        <v>286</v>
      </c>
      <c r="F918" s="3" t="s">
        <v>31</v>
      </c>
      <c r="G918" s="3" t="s">
        <v>286</v>
      </c>
      <c r="H918" s="3" t="s">
        <v>96</v>
      </c>
      <c r="I918" s="3">
        <v>2024</v>
      </c>
      <c r="J918" s="3" t="str">
        <f>CONCATENATE("44810903839")</f>
        <v>44810903839</v>
      </c>
      <c r="K918" s="3" t="s">
        <v>33</v>
      </c>
      <c r="L918" s="3" t="str">
        <f t="shared" si="58"/>
        <v/>
      </c>
      <c r="M918" s="3" t="str">
        <f t="shared" si="57"/>
        <v>SRA29</v>
      </c>
      <c r="N918" s="3" t="str">
        <f>CONCATENATE("DVTSVT74B23G273O")</f>
        <v>DVTSVT74B23G273O</v>
      </c>
      <c r="O918" s="3" t="s">
        <v>1433</v>
      </c>
      <c r="P918" s="3" t="s">
        <v>35</v>
      </c>
      <c r="Q918" s="3" t="s">
        <v>1384</v>
      </c>
      <c r="R918" s="4">
        <v>45931</v>
      </c>
      <c r="S918" s="3" t="s">
        <v>37</v>
      </c>
      <c r="T918" s="3" t="s">
        <v>38</v>
      </c>
      <c r="U918" s="3" t="s">
        <v>39</v>
      </c>
      <c r="V918" s="5">
        <v>4428.1099999999997</v>
      </c>
      <c r="W918" s="5">
        <v>2236.1999999999998</v>
      </c>
      <c r="X918" s="5">
        <v>1534.34</v>
      </c>
      <c r="Y918" s="3">
        <v>657.57</v>
      </c>
    </row>
    <row r="919" spans="1:25" ht="49.5" hidden="1" x14ac:dyDescent="0.35">
      <c r="A919" s="3" t="s">
        <v>26</v>
      </c>
      <c r="B919" s="3" t="s">
        <v>27</v>
      </c>
      <c r="C919" s="3" t="s">
        <v>90</v>
      </c>
      <c r="D919" s="3" t="s">
        <v>29</v>
      </c>
      <c r="E919" s="3" t="s">
        <v>286</v>
      </c>
      <c r="F919" s="3" t="s">
        <v>31</v>
      </c>
      <c r="G919" s="3" t="s">
        <v>286</v>
      </c>
      <c r="H919" s="3" t="s">
        <v>96</v>
      </c>
      <c r="I919" s="3">
        <v>2024</v>
      </c>
      <c r="J919" s="3" t="str">
        <f>CONCATENATE("44810815116")</f>
        <v>44810815116</v>
      </c>
      <c r="K919" s="3" t="s">
        <v>33</v>
      </c>
      <c r="L919" s="3" t="str">
        <f t="shared" si="58"/>
        <v/>
      </c>
      <c r="M919" s="3" t="str">
        <f t="shared" si="57"/>
        <v>SRA29</v>
      </c>
      <c r="N919" s="3" t="str">
        <f>CONCATENATE("MRGSVT89T25G263W")</f>
        <v>MRGSVT89T25G263W</v>
      </c>
      <c r="O919" s="3" t="s">
        <v>1434</v>
      </c>
      <c r="P919" s="3" t="s">
        <v>35</v>
      </c>
      <c r="Q919" s="3" t="s">
        <v>1384</v>
      </c>
      <c r="R919" s="4">
        <v>45931</v>
      </c>
      <c r="S919" s="3" t="s">
        <v>37</v>
      </c>
      <c r="T919" s="3" t="s">
        <v>38</v>
      </c>
      <c r="U919" s="3" t="s">
        <v>39</v>
      </c>
      <c r="V919" s="5">
        <v>5010.18</v>
      </c>
      <c r="W919" s="5">
        <v>2530.14</v>
      </c>
      <c r="X919" s="5">
        <v>1736.03</v>
      </c>
      <c r="Y919" s="3">
        <v>744.01</v>
      </c>
    </row>
    <row r="920" spans="1:25" ht="41.5" hidden="1" x14ac:dyDescent="0.35">
      <c r="A920" s="3" t="s">
        <v>26</v>
      </c>
      <c r="B920" s="3" t="s">
        <v>27</v>
      </c>
      <c r="C920" s="3" t="s">
        <v>90</v>
      </c>
      <c r="D920" s="3" t="s">
        <v>51</v>
      </c>
      <c r="E920" s="3" t="s">
        <v>105</v>
      </c>
      <c r="F920" s="3" t="s">
        <v>51</v>
      </c>
      <c r="G920" s="3" t="s">
        <v>105</v>
      </c>
      <c r="H920" s="3" t="s">
        <v>96</v>
      </c>
      <c r="I920" s="3">
        <v>2023</v>
      </c>
      <c r="J920" s="3" t="str">
        <f>CONCATENATE("34810609965")</f>
        <v>34810609965</v>
      </c>
      <c r="K920" s="3" t="s">
        <v>33</v>
      </c>
      <c r="L920" s="3" t="str">
        <f t="shared" si="58"/>
        <v/>
      </c>
      <c r="M920" s="3" t="str">
        <f t="shared" si="57"/>
        <v>SRA29</v>
      </c>
      <c r="N920" s="3" t="str">
        <f>CONCATENATE("NCOGRL95A17C421M")</f>
        <v>NCOGRL95A17C421M</v>
      </c>
      <c r="O920" s="3" t="s">
        <v>1435</v>
      </c>
      <c r="P920" s="3" t="s">
        <v>35</v>
      </c>
      <c r="Q920" s="3" t="s">
        <v>1384</v>
      </c>
      <c r="R920" s="4">
        <v>45931</v>
      </c>
      <c r="S920" s="3" t="s">
        <v>37</v>
      </c>
      <c r="T920" s="3" t="s">
        <v>38</v>
      </c>
      <c r="U920" s="3" t="s">
        <v>39</v>
      </c>
      <c r="V920" s="5">
        <v>12196.62</v>
      </c>
      <c r="W920" s="5">
        <v>6159.29</v>
      </c>
      <c r="X920" s="5">
        <v>4226.13</v>
      </c>
      <c r="Y920" s="5">
        <v>1811.2</v>
      </c>
    </row>
    <row r="921" spans="1:25" ht="41.5" hidden="1" x14ac:dyDescent="0.35">
      <c r="A921" s="3" t="s">
        <v>26</v>
      </c>
      <c r="B921" s="3" t="s">
        <v>27</v>
      </c>
      <c r="C921" s="3" t="s">
        <v>28</v>
      </c>
      <c r="D921" s="3" t="s">
        <v>69</v>
      </c>
      <c r="E921" s="3" t="s">
        <v>70</v>
      </c>
      <c r="F921" s="3" t="s">
        <v>71</v>
      </c>
      <c r="G921" s="3" t="s">
        <v>70</v>
      </c>
      <c r="H921" s="3" t="s">
        <v>72</v>
      </c>
      <c r="I921" s="3">
        <v>2024</v>
      </c>
      <c r="J921" s="3" t="str">
        <f>CONCATENATE("44810988798")</f>
        <v>44810988798</v>
      </c>
      <c r="K921" s="3" t="s">
        <v>33</v>
      </c>
      <c r="L921" s="3" t="str">
        <f t="shared" si="58"/>
        <v/>
      </c>
      <c r="M921" s="3" t="str">
        <f t="shared" si="57"/>
        <v>SRA29</v>
      </c>
      <c r="N921" s="3" t="str">
        <f>CONCATENATE("FRTVNC83T15A662H")</f>
        <v>FRTVNC83T15A662H</v>
      </c>
      <c r="O921" s="3" t="s">
        <v>1436</v>
      </c>
      <c r="P921" s="3" t="s">
        <v>35</v>
      </c>
      <c r="Q921" s="3" t="s">
        <v>1389</v>
      </c>
      <c r="R921" s="4">
        <v>45916</v>
      </c>
      <c r="S921" s="3" t="s">
        <v>37</v>
      </c>
      <c r="T921" s="3" t="s">
        <v>38</v>
      </c>
      <c r="U921" s="3" t="s">
        <v>39</v>
      </c>
      <c r="V921" s="5">
        <v>3905.11</v>
      </c>
      <c r="W921" s="5">
        <v>1972.08</v>
      </c>
      <c r="X921" s="5">
        <v>1353.12</v>
      </c>
      <c r="Y921" s="3">
        <v>579.91</v>
      </c>
    </row>
    <row r="922" spans="1:25" ht="41.5" hidden="1" x14ac:dyDescent="0.35">
      <c r="A922" s="3" t="s">
        <v>26</v>
      </c>
      <c r="B922" s="3" t="s">
        <v>27</v>
      </c>
      <c r="C922" s="3" t="s">
        <v>28</v>
      </c>
      <c r="D922" s="3" t="s">
        <v>107</v>
      </c>
      <c r="E922" s="3" t="s">
        <v>1437</v>
      </c>
      <c r="F922" s="3" t="s">
        <v>115</v>
      </c>
      <c r="G922" s="3" t="s">
        <v>1437</v>
      </c>
      <c r="H922" s="3" t="s">
        <v>1403</v>
      </c>
      <c r="I922" s="3">
        <v>2024</v>
      </c>
      <c r="J922" s="3" t="str">
        <f>CONCATENATE("44811155652")</f>
        <v>44811155652</v>
      </c>
      <c r="K922" s="3" t="s">
        <v>33</v>
      </c>
      <c r="L922" s="3" t="str">
        <f t="shared" si="58"/>
        <v/>
      </c>
      <c r="M922" s="3" t="str">
        <f t="shared" si="57"/>
        <v>SRA29</v>
      </c>
      <c r="N922" s="3" t="str">
        <f>CONCATENATE("FRNGPP62P05F221P")</f>
        <v>FRNGPP62P05F221P</v>
      </c>
      <c r="O922" s="3" t="s">
        <v>1438</v>
      </c>
      <c r="P922" s="3" t="s">
        <v>35</v>
      </c>
      <c r="Q922" s="3" t="s">
        <v>1389</v>
      </c>
      <c r="R922" s="4">
        <v>45916</v>
      </c>
      <c r="S922" s="3" t="s">
        <v>37</v>
      </c>
      <c r="T922" s="3" t="s">
        <v>38</v>
      </c>
      <c r="U922" s="3" t="s">
        <v>39</v>
      </c>
      <c r="V922" s="3">
        <v>413.97</v>
      </c>
      <c r="W922" s="3">
        <v>209.05</v>
      </c>
      <c r="X922" s="3">
        <v>143.44</v>
      </c>
      <c r="Y922" s="3">
        <v>61.48</v>
      </c>
    </row>
    <row r="923" spans="1:25" ht="49.5" hidden="1" x14ac:dyDescent="0.35">
      <c r="A923" s="3" t="s">
        <v>26</v>
      </c>
      <c r="B923" s="3" t="s">
        <v>27</v>
      </c>
      <c r="C923" s="3" t="s">
        <v>28</v>
      </c>
      <c r="D923" s="3" t="s">
        <v>180</v>
      </c>
      <c r="E923" s="3" t="s">
        <v>1439</v>
      </c>
      <c r="F923" s="3" t="s">
        <v>85</v>
      </c>
      <c r="G923" s="3" t="s">
        <v>1439</v>
      </c>
      <c r="H923" s="3" t="s">
        <v>32</v>
      </c>
      <c r="I923" s="3">
        <v>2024</v>
      </c>
      <c r="J923" s="3" t="str">
        <f>CONCATENATE("44811325248")</f>
        <v>44811325248</v>
      </c>
      <c r="K923" s="3" t="s">
        <v>33</v>
      </c>
      <c r="L923" s="3" t="str">
        <f t="shared" si="58"/>
        <v/>
      </c>
      <c r="M923" s="3" t="str">
        <f t="shared" si="57"/>
        <v>SRA29</v>
      </c>
      <c r="N923" s="3" t="str">
        <f>CONCATENATE("GTATMS86R30D643A")</f>
        <v>GTATMS86R30D643A</v>
      </c>
      <c r="O923" s="3" t="s">
        <v>1440</v>
      </c>
      <c r="P923" s="3" t="s">
        <v>35</v>
      </c>
      <c r="Q923" s="3" t="s">
        <v>1389</v>
      </c>
      <c r="R923" s="4">
        <v>45916</v>
      </c>
      <c r="S923" s="3" t="s">
        <v>37</v>
      </c>
      <c r="T923" s="3" t="s">
        <v>38</v>
      </c>
      <c r="U923" s="3" t="s">
        <v>39</v>
      </c>
      <c r="V923" s="5">
        <v>5145.29</v>
      </c>
      <c r="W923" s="5">
        <v>2598.37</v>
      </c>
      <c r="X923" s="5">
        <v>1782.84</v>
      </c>
      <c r="Y923" s="3">
        <v>764.08</v>
      </c>
    </row>
    <row r="924" spans="1:25" ht="41.5" hidden="1" x14ac:dyDescent="0.35">
      <c r="A924" s="3" t="s">
        <v>26</v>
      </c>
      <c r="B924" s="3" t="s">
        <v>27</v>
      </c>
      <c r="C924" s="3" t="s">
        <v>28</v>
      </c>
      <c r="D924" s="3" t="s">
        <v>55</v>
      </c>
      <c r="E924" s="3" t="s">
        <v>1441</v>
      </c>
      <c r="F924" s="3" t="s">
        <v>57</v>
      </c>
      <c r="G924" s="3" t="s">
        <v>1441</v>
      </c>
      <c r="H924" s="3" t="s">
        <v>72</v>
      </c>
      <c r="I924" s="3">
        <v>2024</v>
      </c>
      <c r="J924" s="3" t="str">
        <f>CONCATENATE("44810557734")</f>
        <v>44810557734</v>
      </c>
      <c r="K924" s="3" t="s">
        <v>33</v>
      </c>
      <c r="L924" s="3" t="str">
        <f t="shared" si="58"/>
        <v/>
      </c>
      <c r="M924" s="3" t="str">
        <f t="shared" si="57"/>
        <v>SRA29</v>
      </c>
      <c r="N924" s="3" t="str">
        <f>CONCATENATE("GNNPQL39S08E223P")</f>
        <v>GNNPQL39S08E223P</v>
      </c>
      <c r="O924" s="3" t="s">
        <v>1442</v>
      </c>
      <c r="P924" s="3" t="s">
        <v>35</v>
      </c>
      <c r="Q924" s="3" t="s">
        <v>1389</v>
      </c>
      <c r="R924" s="4">
        <v>45916</v>
      </c>
      <c r="S924" s="3" t="s">
        <v>37</v>
      </c>
      <c r="T924" s="3" t="s">
        <v>38</v>
      </c>
      <c r="U924" s="3" t="s">
        <v>39</v>
      </c>
      <c r="V924" s="3">
        <v>904.33</v>
      </c>
      <c r="W924" s="3">
        <v>456.69</v>
      </c>
      <c r="X924" s="3">
        <v>313.35000000000002</v>
      </c>
      <c r="Y924" s="3">
        <v>134.29</v>
      </c>
    </row>
    <row r="925" spans="1:25" ht="41.5" hidden="1" x14ac:dyDescent="0.35">
      <c r="A925" s="3" t="s">
        <v>26</v>
      </c>
      <c r="B925" s="3" t="s">
        <v>27</v>
      </c>
      <c r="C925" s="3" t="s">
        <v>561</v>
      </c>
      <c r="D925" s="3" t="s">
        <v>75</v>
      </c>
      <c r="E925" s="3" t="s">
        <v>1311</v>
      </c>
      <c r="F925" s="3" t="s">
        <v>77</v>
      </c>
      <c r="G925" s="3" t="s">
        <v>1311</v>
      </c>
      <c r="H925" s="3" t="s">
        <v>563</v>
      </c>
      <c r="I925" s="3">
        <v>2024</v>
      </c>
      <c r="J925" s="3" t="str">
        <f>CONCATENATE("44810768125")</f>
        <v>44810768125</v>
      </c>
      <c r="K925" s="3" t="s">
        <v>33</v>
      </c>
      <c r="L925" s="3" t="str">
        <f t="shared" si="58"/>
        <v/>
      </c>
      <c r="M925" s="3" t="str">
        <f>CONCATENATE("SRA01")</f>
        <v>SRA01</v>
      </c>
      <c r="N925" s="3" t="str">
        <f>CONCATENATE("DSTGPR79E11E456E")</f>
        <v>DSTGPR79E11E456E</v>
      </c>
      <c r="O925" s="3" t="s">
        <v>1443</v>
      </c>
      <c r="P925" s="3" t="s">
        <v>50</v>
      </c>
      <c r="Q925" s="3"/>
      <c r="R925" s="4">
        <v>45931</v>
      </c>
      <c r="S925" s="3" t="s">
        <v>37</v>
      </c>
      <c r="T925" s="3" t="s">
        <v>38</v>
      </c>
      <c r="U925" s="3" t="s">
        <v>39</v>
      </c>
      <c r="V925" s="3">
        <v>35</v>
      </c>
      <c r="W925" s="3">
        <v>17.68</v>
      </c>
      <c r="X925" s="3">
        <v>12.13</v>
      </c>
      <c r="Y925" s="3">
        <v>5.19</v>
      </c>
    </row>
    <row r="926" spans="1:25" ht="41.5" hidden="1" x14ac:dyDescent="0.35">
      <c r="A926" s="3" t="s">
        <v>26</v>
      </c>
      <c r="B926" s="3" t="s">
        <v>27</v>
      </c>
      <c r="C926" s="3" t="s">
        <v>658</v>
      </c>
      <c r="D926" s="3" t="s">
        <v>254</v>
      </c>
      <c r="E926" s="3" t="s">
        <v>962</v>
      </c>
      <c r="F926" s="3" t="s">
        <v>256</v>
      </c>
      <c r="G926" s="3" t="s">
        <v>962</v>
      </c>
      <c r="H926" s="3" t="s">
        <v>660</v>
      </c>
      <c r="I926" s="3">
        <v>2024</v>
      </c>
      <c r="J926" s="3" t="str">
        <f>CONCATENATE("44820480380")</f>
        <v>44820480380</v>
      </c>
      <c r="K926" s="3" t="s">
        <v>33</v>
      </c>
      <c r="L926" s="3" t="str">
        <f t="shared" si="58"/>
        <v/>
      </c>
      <c r="M926" s="3" t="str">
        <f>CONCATENATE("SRC01")</f>
        <v>SRC01</v>
      </c>
      <c r="N926" s="3" t="str">
        <f>CONCATENATE("GNTDYE62B28A326F")</f>
        <v>GNTDYE62B28A326F</v>
      </c>
      <c r="O926" s="3" t="s">
        <v>1444</v>
      </c>
      <c r="P926" s="3" t="s">
        <v>35</v>
      </c>
      <c r="Q926" s="3" t="s">
        <v>1380</v>
      </c>
      <c r="R926" s="4">
        <v>45926</v>
      </c>
      <c r="S926" s="3" t="s">
        <v>37</v>
      </c>
      <c r="T926" s="3" t="s">
        <v>38</v>
      </c>
      <c r="U926" s="3" t="s">
        <v>39</v>
      </c>
      <c r="V926" s="5">
        <v>7432.5</v>
      </c>
      <c r="W926" s="5">
        <v>3025.03</v>
      </c>
      <c r="X926" s="5">
        <v>3085.23</v>
      </c>
      <c r="Y926" s="5">
        <v>1322.24</v>
      </c>
    </row>
    <row r="927" spans="1:25" ht="41.5" hidden="1" x14ac:dyDescent="0.35">
      <c r="A927" s="3" t="s">
        <v>26</v>
      </c>
      <c r="B927" s="3" t="s">
        <v>27</v>
      </c>
      <c r="C927" s="3" t="s">
        <v>561</v>
      </c>
      <c r="D927" s="3" t="s">
        <v>1107</v>
      </c>
      <c r="E927" s="3" t="s">
        <v>1445</v>
      </c>
      <c r="F927" s="3" t="s">
        <v>1131</v>
      </c>
      <c r="G927" s="3" t="s">
        <v>1445</v>
      </c>
      <c r="H927" s="3" t="s">
        <v>563</v>
      </c>
      <c r="I927" s="3">
        <v>2024</v>
      </c>
      <c r="J927" s="3" t="str">
        <f>CONCATENATE("44810859700")</f>
        <v>44810859700</v>
      </c>
      <c r="K927" s="3" t="s">
        <v>33</v>
      </c>
      <c r="L927" s="3" t="str">
        <f t="shared" si="58"/>
        <v/>
      </c>
      <c r="M927" s="3" t="str">
        <f t="shared" ref="M927:M933" si="59">CONCATENATE("SRA01")</f>
        <v>SRA01</v>
      </c>
      <c r="N927" s="3" t="str">
        <f>CONCATENATE("SRARND79D25E456V")</f>
        <v>SRARND79D25E456V</v>
      </c>
      <c r="O927" s="3" t="s">
        <v>1446</v>
      </c>
      <c r="P927" s="3" t="s">
        <v>50</v>
      </c>
      <c r="Q927" s="3"/>
      <c r="R927" s="4">
        <v>45931</v>
      </c>
      <c r="S927" s="3" t="s">
        <v>37</v>
      </c>
      <c r="T927" s="3" t="s">
        <v>38</v>
      </c>
      <c r="U927" s="3" t="s">
        <v>39</v>
      </c>
      <c r="V927" s="3">
        <v>145.05000000000001</v>
      </c>
      <c r="W927" s="3">
        <v>73.25</v>
      </c>
      <c r="X927" s="3">
        <v>50.26</v>
      </c>
      <c r="Y927" s="3">
        <v>21.54</v>
      </c>
    </row>
    <row r="928" spans="1:25" ht="41.5" hidden="1" x14ac:dyDescent="0.35">
      <c r="A928" s="3" t="s">
        <v>26</v>
      </c>
      <c r="B928" s="3" t="s">
        <v>27</v>
      </c>
      <c r="C928" s="3" t="s">
        <v>561</v>
      </c>
      <c r="D928" s="3" t="s">
        <v>41</v>
      </c>
      <c r="E928" s="3" t="s">
        <v>1447</v>
      </c>
      <c r="F928" s="3" t="s">
        <v>43</v>
      </c>
      <c r="G928" s="3" t="s">
        <v>1447</v>
      </c>
      <c r="H928" s="3" t="s">
        <v>563</v>
      </c>
      <c r="I928" s="3">
        <v>2024</v>
      </c>
      <c r="J928" s="3" t="str">
        <f>CONCATENATE("44810447779")</f>
        <v>44810447779</v>
      </c>
      <c r="K928" s="3" t="s">
        <v>33</v>
      </c>
      <c r="L928" s="3" t="str">
        <f t="shared" si="58"/>
        <v/>
      </c>
      <c r="M928" s="3" t="str">
        <f t="shared" si="59"/>
        <v>SRA01</v>
      </c>
      <c r="N928" s="3" t="str">
        <f>CONCATENATE("GCMMHL59D19E456D")</f>
        <v>GCMMHL59D19E456D</v>
      </c>
      <c r="O928" s="3" t="s">
        <v>1448</v>
      </c>
      <c r="P928" s="3" t="s">
        <v>50</v>
      </c>
      <c r="Q928" s="3"/>
      <c r="R928" s="4">
        <v>45931</v>
      </c>
      <c r="S928" s="3" t="s">
        <v>37</v>
      </c>
      <c r="T928" s="3" t="s">
        <v>38</v>
      </c>
      <c r="U928" s="3" t="s">
        <v>39</v>
      </c>
      <c r="V928" s="3">
        <v>20.81</v>
      </c>
      <c r="W928" s="3">
        <v>10.51</v>
      </c>
      <c r="X928" s="3">
        <v>7.21</v>
      </c>
      <c r="Y928" s="3">
        <v>3.09</v>
      </c>
    </row>
    <row r="929" spans="1:25" ht="41.5" hidden="1" x14ac:dyDescent="0.35">
      <c r="A929" s="3" t="s">
        <v>26</v>
      </c>
      <c r="B929" s="3" t="s">
        <v>27</v>
      </c>
      <c r="C929" s="3" t="s">
        <v>561</v>
      </c>
      <c r="D929" s="3" t="s">
        <v>1107</v>
      </c>
      <c r="E929" s="3" t="s">
        <v>1445</v>
      </c>
      <c r="F929" s="3" t="s">
        <v>1131</v>
      </c>
      <c r="G929" s="3" t="s">
        <v>1445</v>
      </c>
      <c r="H929" s="3" t="s">
        <v>563</v>
      </c>
      <c r="I929" s="3">
        <v>2024</v>
      </c>
      <c r="J929" s="3" t="str">
        <f>CONCATENATE("44810859601")</f>
        <v>44810859601</v>
      </c>
      <c r="K929" s="3" t="s">
        <v>33</v>
      </c>
      <c r="L929" s="3" t="str">
        <f t="shared" si="58"/>
        <v/>
      </c>
      <c r="M929" s="3" t="str">
        <f t="shared" si="59"/>
        <v>SRA01</v>
      </c>
      <c r="N929" s="3" t="str">
        <f>CONCATENATE("SRCNTN66C07H990Z")</f>
        <v>SRCNTN66C07H990Z</v>
      </c>
      <c r="O929" s="3" t="s">
        <v>1449</v>
      </c>
      <c r="P929" s="3" t="s">
        <v>50</v>
      </c>
      <c r="Q929" s="3"/>
      <c r="R929" s="4">
        <v>45931</v>
      </c>
      <c r="S929" s="3" t="s">
        <v>37</v>
      </c>
      <c r="T929" s="3" t="s">
        <v>38</v>
      </c>
      <c r="U929" s="3" t="s">
        <v>39</v>
      </c>
      <c r="V929" s="3">
        <v>22.94</v>
      </c>
      <c r="W929" s="3">
        <v>11.58</v>
      </c>
      <c r="X929" s="3">
        <v>7.95</v>
      </c>
      <c r="Y929" s="3">
        <v>3.41</v>
      </c>
    </row>
    <row r="930" spans="1:25" ht="41.5" hidden="1" x14ac:dyDescent="0.35">
      <c r="A930" s="3" t="s">
        <v>26</v>
      </c>
      <c r="B930" s="3" t="s">
        <v>27</v>
      </c>
      <c r="C930" s="3" t="s">
        <v>561</v>
      </c>
      <c r="D930" s="3" t="s">
        <v>41</v>
      </c>
      <c r="E930" s="3" t="s">
        <v>1450</v>
      </c>
      <c r="F930" s="3" t="s">
        <v>43</v>
      </c>
      <c r="G930" s="3" t="s">
        <v>1450</v>
      </c>
      <c r="H930" s="3" t="s">
        <v>563</v>
      </c>
      <c r="I930" s="3">
        <v>2024</v>
      </c>
      <c r="J930" s="3" t="str">
        <f>CONCATENATE("44810470193")</f>
        <v>44810470193</v>
      </c>
      <c r="K930" s="3" t="s">
        <v>33</v>
      </c>
      <c r="L930" s="3" t="str">
        <f t="shared" si="58"/>
        <v/>
      </c>
      <c r="M930" s="3" t="str">
        <f t="shared" si="59"/>
        <v>SRA01</v>
      </c>
      <c r="N930" s="3" t="str">
        <f>CONCATENATE("TLLLVE61B08B519V")</f>
        <v>TLLLVE61B08B519V</v>
      </c>
      <c r="O930" s="3" t="s">
        <v>1451</v>
      </c>
      <c r="P930" s="3" t="s">
        <v>50</v>
      </c>
      <c r="Q930" s="3"/>
      <c r="R930" s="4">
        <v>45931</v>
      </c>
      <c r="S930" s="3" t="s">
        <v>37</v>
      </c>
      <c r="T930" s="3" t="s">
        <v>38</v>
      </c>
      <c r="U930" s="3" t="s">
        <v>39</v>
      </c>
      <c r="V930" s="3">
        <v>121.43</v>
      </c>
      <c r="W930" s="3">
        <v>61.32</v>
      </c>
      <c r="X930" s="3">
        <v>42.08</v>
      </c>
      <c r="Y930" s="3">
        <v>18.03</v>
      </c>
    </row>
    <row r="931" spans="1:25" ht="49.5" hidden="1" x14ac:dyDescent="0.35">
      <c r="A931" s="3" t="s">
        <v>26</v>
      </c>
      <c r="B931" s="3" t="s">
        <v>27</v>
      </c>
      <c r="C931" s="3" t="s">
        <v>478</v>
      </c>
      <c r="D931" s="3" t="s">
        <v>164</v>
      </c>
      <c r="E931" s="3" t="s">
        <v>1452</v>
      </c>
      <c r="F931" s="3" t="s">
        <v>166</v>
      </c>
      <c r="G931" s="3" t="s">
        <v>1452</v>
      </c>
      <c r="H931" s="3" t="s">
        <v>614</v>
      </c>
      <c r="I931" s="3">
        <v>2024</v>
      </c>
      <c r="J931" s="3" t="str">
        <f>CONCATENATE("44810891372")</f>
        <v>44810891372</v>
      </c>
      <c r="K931" s="3" t="s">
        <v>33</v>
      </c>
      <c r="L931" s="3" t="str">
        <f t="shared" si="58"/>
        <v/>
      </c>
      <c r="M931" s="3" t="str">
        <f t="shared" si="59"/>
        <v>SRA01</v>
      </c>
      <c r="N931" s="3" t="str">
        <f>CONCATENATE("BRNGPP83M26A783U")</f>
        <v>BRNGPP83M26A783U</v>
      </c>
      <c r="O931" s="3" t="s">
        <v>1453</v>
      </c>
      <c r="P931" s="3" t="s">
        <v>35</v>
      </c>
      <c r="Q931" s="3" t="s">
        <v>1224</v>
      </c>
      <c r="R931" s="4">
        <v>45933</v>
      </c>
      <c r="S931" s="3" t="s">
        <v>37</v>
      </c>
      <c r="T931" s="3" t="s">
        <v>38</v>
      </c>
      <c r="U931" s="3" t="s">
        <v>39</v>
      </c>
      <c r="V931" s="5">
        <v>1690.27</v>
      </c>
      <c r="W931" s="3">
        <v>853.59</v>
      </c>
      <c r="X931" s="3">
        <v>585.67999999999995</v>
      </c>
      <c r="Y931" s="3">
        <v>251</v>
      </c>
    </row>
    <row r="932" spans="1:25" ht="41.5" hidden="1" x14ac:dyDescent="0.35">
      <c r="A932" s="3" t="s">
        <v>26</v>
      </c>
      <c r="B932" s="3" t="s">
        <v>27</v>
      </c>
      <c r="C932" s="3" t="s">
        <v>478</v>
      </c>
      <c r="D932" s="3" t="s">
        <v>41</v>
      </c>
      <c r="E932" s="3" t="s">
        <v>1032</v>
      </c>
      <c r="F932" s="3" t="s">
        <v>43</v>
      </c>
      <c r="G932" s="3" t="s">
        <v>1032</v>
      </c>
      <c r="H932" s="3" t="s">
        <v>614</v>
      </c>
      <c r="I932" s="3">
        <v>2023</v>
      </c>
      <c r="J932" s="3" t="str">
        <f>CONCATENATE("34810418060")</f>
        <v>34810418060</v>
      </c>
      <c r="K932" s="3" t="s">
        <v>33</v>
      </c>
      <c r="L932" s="3" t="str">
        <f t="shared" si="58"/>
        <v/>
      </c>
      <c r="M932" s="3" t="str">
        <f t="shared" si="59"/>
        <v>SRA01</v>
      </c>
      <c r="N932" s="3" t="str">
        <f>CONCATENATE("NNLCSM55B03L254O")</f>
        <v>NNLCSM55B03L254O</v>
      </c>
      <c r="O932" s="3" t="s">
        <v>1454</v>
      </c>
      <c r="P932" s="3" t="s">
        <v>35</v>
      </c>
      <c r="Q932" s="3" t="s">
        <v>1224</v>
      </c>
      <c r="R932" s="4">
        <v>45933</v>
      </c>
      <c r="S932" s="3" t="s">
        <v>37</v>
      </c>
      <c r="T932" s="3" t="s">
        <v>38</v>
      </c>
      <c r="U932" s="3" t="s">
        <v>39</v>
      </c>
      <c r="V932" s="5">
        <v>1044.48</v>
      </c>
      <c r="W932" s="3">
        <v>527.46</v>
      </c>
      <c r="X932" s="3">
        <v>361.91</v>
      </c>
      <c r="Y932" s="3">
        <v>155.11000000000001</v>
      </c>
    </row>
    <row r="933" spans="1:25" ht="41.5" hidden="1" x14ac:dyDescent="0.35">
      <c r="A933" s="3" t="s">
        <v>26</v>
      </c>
      <c r="B933" s="3" t="s">
        <v>27</v>
      </c>
      <c r="C933" s="3" t="s">
        <v>478</v>
      </c>
      <c r="D933" s="3" t="s">
        <v>41</v>
      </c>
      <c r="E933" s="3" t="s">
        <v>1334</v>
      </c>
      <c r="F933" s="3" t="s">
        <v>77</v>
      </c>
      <c r="G933" s="3" t="s">
        <v>582</v>
      </c>
      <c r="H933" s="3" t="s">
        <v>614</v>
      </c>
      <c r="I933" s="3">
        <v>2024</v>
      </c>
      <c r="J933" s="3" t="str">
        <f>CONCATENATE("44810246577")</f>
        <v>44810246577</v>
      </c>
      <c r="K933" s="3" t="s">
        <v>33</v>
      </c>
      <c r="L933" s="3" t="str">
        <f t="shared" si="58"/>
        <v/>
      </c>
      <c r="M933" s="3" t="str">
        <f t="shared" si="59"/>
        <v>SRA01</v>
      </c>
      <c r="N933" s="3" t="str">
        <f>CONCATENATE("LPPGRG65E03A783G")</f>
        <v>LPPGRG65E03A783G</v>
      </c>
      <c r="O933" s="3" t="s">
        <v>1455</v>
      </c>
      <c r="P933" s="3" t="s">
        <v>35</v>
      </c>
      <c r="Q933" s="3" t="s">
        <v>1224</v>
      </c>
      <c r="R933" s="4">
        <v>45933</v>
      </c>
      <c r="S933" s="3" t="s">
        <v>37</v>
      </c>
      <c r="T933" s="3" t="s">
        <v>38</v>
      </c>
      <c r="U933" s="3" t="s">
        <v>39</v>
      </c>
      <c r="V933" s="3">
        <v>376.23</v>
      </c>
      <c r="W933" s="3">
        <v>190</v>
      </c>
      <c r="X933" s="3">
        <v>130.36000000000001</v>
      </c>
      <c r="Y933" s="3">
        <v>55.87</v>
      </c>
    </row>
    <row r="934" spans="1:25" ht="41.5" hidden="1" x14ac:dyDescent="0.35">
      <c r="A934" s="3" t="s">
        <v>26</v>
      </c>
      <c r="B934" s="3" t="s">
        <v>27</v>
      </c>
      <c r="C934" s="3" t="s">
        <v>478</v>
      </c>
      <c r="D934" s="3" t="s">
        <v>41</v>
      </c>
      <c r="E934" s="3" t="s">
        <v>1334</v>
      </c>
      <c r="F934" s="3" t="s">
        <v>77</v>
      </c>
      <c r="G934" s="3" t="s">
        <v>582</v>
      </c>
      <c r="H934" s="3" t="s">
        <v>614</v>
      </c>
      <c r="I934" s="3">
        <v>2024</v>
      </c>
      <c r="J934" s="3" t="str">
        <f>CONCATENATE("44810246585")</f>
        <v>44810246585</v>
      </c>
      <c r="K934" s="3" t="s">
        <v>33</v>
      </c>
      <c r="L934" s="3" t="str">
        <f t="shared" si="58"/>
        <v/>
      </c>
      <c r="M934" s="3" t="str">
        <f>CONCATENATE("SRA03")</f>
        <v>SRA03</v>
      </c>
      <c r="N934" s="3" t="str">
        <f>CONCATENATE("LPPGRG65E03A783G")</f>
        <v>LPPGRG65E03A783G</v>
      </c>
      <c r="O934" s="3" t="s">
        <v>1455</v>
      </c>
      <c r="P934" s="3" t="s">
        <v>35</v>
      </c>
      <c r="Q934" s="3" t="s">
        <v>616</v>
      </c>
      <c r="R934" s="4">
        <v>45933</v>
      </c>
      <c r="S934" s="3" t="s">
        <v>37</v>
      </c>
      <c r="T934" s="3" t="s">
        <v>38</v>
      </c>
      <c r="U934" s="3" t="s">
        <v>39</v>
      </c>
      <c r="V934" s="3">
        <v>27.3</v>
      </c>
      <c r="W934" s="3">
        <v>13.79</v>
      </c>
      <c r="X934" s="3">
        <v>9.4600000000000009</v>
      </c>
      <c r="Y934" s="3">
        <v>4.05</v>
      </c>
    </row>
    <row r="935" spans="1:25" ht="49.5" hidden="1" x14ac:dyDescent="0.35">
      <c r="A935" s="3" t="s">
        <v>26</v>
      </c>
      <c r="B935" s="3" t="s">
        <v>27</v>
      </c>
      <c r="C935" s="3" t="s">
        <v>478</v>
      </c>
      <c r="D935" s="3" t="s">
        <v>29</v>
      </c>
      <c r="E935" s="3" t="s">
        <v>1078</v>
      </c>
      <c r="F935" s="3" t="s">
        <v>31</v>
      </c>
      <c r="G935" s="3" t="s">
        <v>1078</v>
      </c>
      <c r="H935" s="3" t="s">
        <v>614</v>
      </c>
      <c r="I935" s="3">
        <v>2024</v>
      </c>
      <c r="J935" s="3" t="str">
        <f>CONCATENATE("44810352482")</f>
        <v>44810352482</v>
      </c>
      <c r="K935" s="3" t="s">
        <v>33</v>
      </c>
      <c r="L935" s="3" t="str">
        <f t="shared" si="58"/>
        <v/>
      </c>
      <c r="M935" s="3" t="str">
        <f>CONCATENATE("SRA01")</f>
        <v>SRA01</v>
      </c>
      <c r="N935" s="3" t="str">
        <f>CONCATENATE("MZZNDA78B56A783H")</f>
        <v>MZZNDA78B56A783H</v>
      </c>
      <c r="O935" s="3" t="s">
        <v>1456</v>
      </c>
      <c r="P935" s="3" t="s">
        <v>35</v>
      </c>
      <c r="Q935" s="3" t="s">
        <v>1224</v>
      </c>
      <c r="R935" s="4">
        <v>45933</v>
      </c>
      <c r="S935" s="3" t="s">
        <v>37</v>
      </c>
      <c r="T935" s="3" t="s">
        <v>38</v>
      </c>
      <c r="U935" s="3" t="s">
        <v>39</v>
      </c>
      <c r="V935" s="3">
        <v>678.44</v>
      </c>
      <c r="W935" s="3">
        <v>342.61</v>
      </c>
      <c r="X935" s="3">
        <v>235.08</v>
      </c>
      <c r="Y935" s="3">
        <v>100.75</v>
      </c>
    </row>
    <row r="936" spans="1:25" ht="41.5" hidden="1" x14ac:dyDescent="0.35">
      <c r="A936" s="3" t="s">
        <v>26</v>
      </c>
      <c r="B936" s="3" t="s">
        <v>27</v>
      </c>
      <c r="C936" s="3" t="s">
        <v>478</v>
      </c>
      <c r="D936" s="3" t="s">
        <v>41</v>
      </c>
      <c r="E936" s="3" t="s">
        <v>1457</v>
      </c>
      <c r="F936" s="3" t="s">
        <v>43</v>
      </c>
      <c r="G936" s="3" t="s">
        <v>1457</v>
      </c>
      <c r="H936" s="3" t="s">
        <v>614</v>
      </c>
      <c r="I936" s="3">
        <v>2024</v>
      </c>
      <c r="J936" s="3" t="str">
        <f>CONCATENATE("44810522357")</f>
        <v>44810522357</v>
      </c>
      <c r="K936" s="3" t="s">
        <v>33</v>
      </c>
      <c r="L936" s="3" t="str">
        <f t="shared" si="58"/>
        <v/>
      </c>
      <c r="M936" s="3" t="str">
        <f>CONCATENATE("SRA01")</f>
        <v>SRA01</v>
      </c>
      <c r="N936" s="3" t="str">
        <f>CONCATENATE("PLLPRZ61B68L086M")</f>
        <v>PLLPRZ61B68L086M</v>
      </c>
      <c r="O936" s="3" t="s">
        <v>1458</v>
      </c>
      <c r="P936" s="3" t="s">
        <v>35</v>
      </c>
      <c r="Q936" s="3" t="s">
        <v>1224</v>
      </c>
      <c r="R936" s="4">
        <v>45933</v>
      </c>
      <c r="S936" s="3" t="s">
        <v>37</v>
      </c>
      <c r="T936" s="3" t="s">
        <v>38</v>
      </c>
      <c r="U936" s="3" t="s">
        <v>39</v>
      </c>
      <c r="V936" s="3">
        <v>7.17</v>
      </c>
      <c r="W936" s="3">
        <v>3.62</v>
      </c>
      <c r="X936" s="3">
        <v>2.48</v>
      </c>
      <c r="Y936" s="3">
        <v>1.07</v>
      </c>
    </row>
    <row r="937" spans="1:25" ht="41.5" hidden="1" x14ac:dyDescent="0.35">
      <c r="A937" s="3" t="s">
        <v>26</v>
      </c>
      <c r="B937" s="3" t="s">
        <v>27</v>
      </c>
      <c r="C937" s="3" t="s">
        <v>478</v>
      </c>
      <c r="D937" s="3" t="s">
        <v>41</v>
      </c>
      <c r="E937" s="3" t="s">
        <v>1457</v>
      </c>
      <c r="F937" s="3" t="s">
        <v>43</v>
      </c>
      <c r="G937" s="3" t="s">
        <v>1457</v>
      </c>
      <c r="H937" s="3" t="s">
        <v>614</v>
      </c>
      <c r="I937" s="3">
        <v>2023</v>
      </c>
      <c r="J937" s="3" t="str">
        <f>CONCATENATE("34810683622")</f>
        <v>34810683622</v>
      </c>
      <c r="K937" s="3" t="s">
        <v>33</v>
      </c>
      <c r="L937" s="3" t="str">
        <f t="shared" si="58"/>
        <v/>
      </c>
      <c r="M937" s="3" t="str">
        <f>CONCATENATE("SRA01")</f>
        <v>SRA01</v>
      </c>
      <c r="N937" s="3" t="str">
        <f>CONCATENATE("STNGPP57T25I809Q")</f>
        <v>STNGPP57T25I809Q</v>
      </c>
      <c r="O937" s="3" t="s">
        <v>1459</v>
      </c>
      <c r="P937" s="3" t="s">
        <v>35</v>
      </c>
      <c r="Q937" s="3" t="s">
        <v>1224</v>
      </c>
      <c r="R937" s="4">
        <v>45933</v>
      </c>
      <c r="S937" s="3" t="s">
        <v>37</v>
      </c>
      <c r="T937" s="3" t="s">
        <v>38</v>
      </c>
      <c r="U937" s="3" t="s">
        <v>39</v>
      </c>
      <c r="V937" s="3">
        <v>339.16</v>
      </c>
      <c r="W937" s="3">
        <v>171.28</v>
      </c>
      <c r="X937" s="3">
        <v>117.52</v>
      </c>
      <c r="Y937" s="3">
        <v>50.36</v>
      </c>
    </row>
    <row r="938" spans="1:25" ht="41.5" hidden="1" x14ac:dyDescent="0.35">
      <c r="A938" s="3" t="s">
        <v>26</v>
      </c>
      <c r="B938" s="3" t="s">
        <v>27</v>
      </c>
      <c r="C938" s="3" t="s">
        <v>478</v>
      </c>
      <c r="D938" s="3" t="s">
        <v>75</v>
      </c>
      <c r="E938" s="3" t="s">
        <v>1082</v>
      </c>
      <c r="F938" s="3" t="s">
        <v>77</v>
      </c>
      <c r="G938" s="3" t="s">
        <v>1082</v>
      </c>
      <c r="H938" s="3" t="s">
        <v>614</v>
      </c>
      <c r="I938" s="3">
        <v>2024</v>
      </c>
      <c r="J938" s="3" t="str">
        <f>CONCATENATE("44810565174")</f>
        <v>44810565174</v>
      </c>
      <c r="K938" s="3" t="s">
        <v>33</v>
      </c>
      <c r="L938" s="3" t="str">
        <f t="shared" si="58"/>
        <v/>
      </c>
      <c r="M938" s="3" t="str">
        <f>CONCATENATE("SRA01")</f>
        <v>SRA01</v>
      </c>
      <c r="N938" s="3" t="str">
        <f>CONCATENATE("PTTDNT92L07A783Y")</f>
        <v>PTTDNT92L07A783Y</v>
      </c>
      <c r="O938" s="3" t="s">
        <v>1460</v>
      </c>
      <c r="P938" s="3" t="s">
        <v>35</v>
      </c>
      <c r="Q938" s="3" t="s">
        <v>1224</v>
      </c>
      <c r="R938" s="4">
        <v>45933</v>
      </c>
      <c r="S938" s="3" t="s">
        <v>37</v>
      </c>
      <c r="T938" s="3" t="s">
        <v>38</v>
      </c>
      <c r="U938" s="3" t="s">
        <v>39</v>
      </c>
      <c r="V938" s="5">
        <v>5153.59</v>
      </c>
      <c r="W938" s="5">
        <v>2602.56</v>
      </c>
      <c r="X938" s="5">
        <v>1785.72</v>
      </c>
      <c r="Y938" s="3">
        <v>765.31</v>
      </c>
    </row>
    <row r="939" spans="1:25" ht="41.5" hidden="1" x14ac:dyDescent="0.35">
      <c r="A939" s="3" t="s">
        <v>26</v>
      </c>
      <c r="B939" s="3" t="s">
        <v>27</v>
      </c>
      <c r="C939" s="3" t="s">
        <v>478</v>
      </c>
      <c r="D939" s="3" t="s">
        <v>41</v>
      </c>
      <c r="E939" s="3" t="s">
        <v>1461</v>
      </c>
      <c r="F939" s="3" t="s">
        <v>43</v>
      </c>
      <c r="G939" s="3" t="s">
        <v>1461</v>
      </c>
      <c r="H939" s="3" t="s">
        <v>614</v>
      </c>
      <c r="I939" s="3">
        <v>2024</v>
      </c>
      <c r="J939" s="3" t="str">
        <f>CONCATENATE("44810576833")</f>
        <v>44810576833</v>
      </c>
      <c r="K939" s="3" t="s">
        <v>33</v>
      </c>
      <c r="L939" s="3" t="str">
        <f t="shared" si="58"/>
        <v/>
      </c>
      <c r="M939" s="3" t="str">
        <f>CONCATENATE("SRA03")</f>
        <v>SRA03</v>
      </c>
      <c r="N939" s="3" t="str">
        <f>CONCATENATE("FNTMRA76S54A064V")</f>
        <v>FNTMRA76S54A064V</v>
      </c>
      <c r="O939" s="3" t="s">
        <v>1462</v>
      </c>
      <c r="P939" s="3" t="s">
        <v>35</v>
      </c>
      <c r="Q939" s="3" t="s">
        <v>616</v>
      </c>
      <c r="R939" s="4">
        <v>45933</v>
      </c>
      <c r="S939" s="3" t="s">
        <v>37</v>
      </c>
      <c r="T939" s="3" t="s">
        <v>38</v>
      </c>
      <c r="U939" s="3" t="s">
        <v>39</v>
      </c>
      <c r="V939" s="5">
        <v>3014.05</v>
      </c>
      <c r="W939" s="5">
        <v>1522.1</v>
      </c>
      <c r="X939" s="5">
        <v>1044.3699999999999</v>
      </c>
      <c r="Y939" s="3">
        <v>447.58</v>
      </c>
    </row>
    <row r="940" spans="1:25" ht="49.5" hidden="1" x14ac:dyDescent="0.35">
      <c r="A940" s="3" t="s">
        <v>26</v>
      </c>
      <c r="B940" s="3" t="s">
        <v>27</v>
      </c>
      <c r="C940" s="3" t="s">
        <v>90</v>
      </c>
      <c r="D940" s="3" t="s">
        <v>99</v>
      </c>
      <c r="E940" s="3" t="s">
        <v>1463</v>
      </c>
      <c r="F940" s="3" t="s">
        <v>101</v>
      </c>
      <c r="G940" s="3" t="s">
        <v>1463</v>
      </c>
      <c r="H940" s="3" t="s">
        <v>96</v>
      </c>
      <c r="I940" s="3">
        <v>2024</v>
      </c>
      <c r="J940" s="3" t="str">
        <f>CONCATENATE("44810300069")</f>
        <v>44810300069</v>
      </c>
      <c r="K940" s="3" t="s">
        <v>33</v>
      </c>
      <c r="L940" s="3" t="str">
        <f t="shared" si="58"/>
        <v/>
      </c>
      <c r="M940" s="3" t="str">
        <f>CONCATENATE("SRA29")</f>
        <v>SRA29</v>
      </c>
      <c r="N940" s="3" t="str">
        <f>CONCATENATE("MRGLSN83E43G273X")</f>
        <v>MRGLSN83E43G273X</v>
      </c>
      <c r="O940" s="3" t="s">
        <v>1464</v>
      </c>
      <c r="P940" s="3" t="s">
        <v>35</v>
      </c>
      <c r="Q940" s="3" t="s">
        <v>1384</v>
      </c>
      <c r="R940" s="4">
        <v>45931</v>
      </c>
      <c r="S940" s="3" t="s">
        <v>37</v>
      </c>
      <c r="T940" s="3" t="s">
        <v>38</v>
      </c>
      <c r="U940" s="3" t="s">
        <v>39</v>
      </c>
      <c r="V940" s="5">
        <v>6185.06</v>
      </c>
      <c r="W940" s="5">
        <v>3123.46</v>
      </c>
      <c r="X940" s="5">
        <v>2143.12</v>
      </c>
      <c r="Y940" s="3">
        <v>918.48</v>
      </c>
    </row>
    <row r="941" spans="1:25" ht="41.5" hidden="1" x14ac:dyDescent="0.35">
      <c r="A941" s="3" t="s">
        <v>26</v>
      </c>
      <c r="B941" s="3" t="s">
        <v>27</v>
      </c>
      <c r="C941" s="3" t="s">
        <v>478</v>
      </c>
      <c r="D941" s="3" t="s">
        <v>75</v>
      </c>
      <c r="E941" s="3" t="s">
        <v>582</v>
      </c>
      <c r="F941" s="3" t="s">
        <v>77</v>
      </c>
      <c r="G941" s="3" t="s">
        <v>582</v>
      </c>
      <c r="H941" s="3" t="s">
        <v>614</v>
      </c>
      <c r="I941" s="3">
        <v>2024</v>
      </c>
      <c r="J941" s="3" t="str">
        <f>CONCATENATE("44810964617")</f>
        <v>44810964617</v>
      </c>
      <c r="K941" s="3" t="s">
        <v>33</v>
      </c>
      <c r="L941" s="3" t="str">
        <f t="shared" si="58"/>
        <v/>
      </c>
      <c r="M941" s="3" t="str">
        <f t="shared" ref="M941:M946" si="60">CONCATENATE("SRA01")</f>
        <v>SRA01</v>
      </c>
      <c r="N941" s="3" t="str">
        <f>CONCATENATE("RMPGLC32E23A783Q")</f>
        <v>RMPGLC32E23A783Q</v>
      </c>
      <c r="O941" s="3" t="s">
        <v>1465</v>
      </c>
      <c r="P941" s="3" t="s">
        <v>35</v>
      </c>
      <c r="Q941" s="3" t="s">
        <v>1224</v>
      </c>
      <c r="R941" s="4">
        <v>45933</v>
      </c>
      <c r="S941" s="3" t="s">
        <v>37</v>
      </c>
      <c r="T941" s="3" t="s">
        <v>38</v>
      </c>
      <c r="U941" s="3" t="s">
        <v>39</v>
      </c>
      <c r="V941" s="5">
        <v>3074.87</v>
      </c>
      <c r="W941" s="5">
        <v>1552.81</v>
      </c>
      <c r="X941" s="5">
        <v>1065.44</v>
      </c>
      <c r="Y941" s="3">
        <v>456.62</v>
      </c>
    </row>
    <row r="942" spans="1:25" ht="41.5" hidden="1" x14ac:dyDescent="0.35">
      <c r="A942" s="3" t="s">
        <v>26</v>
      </c>
      <c r="B942" s="3" t="s">
        <v>27</v>
      </c>
      <c r="C942" s="3" t="s">
        <v>478</v>
      </c>
      <c r="D942" s="3" t="s">
        <v>75</v>
      </c>
      <c r="E942" s="3" t="s">
        <v>582</v>
      </c>
      <c r="F942" s="3" t="s">
        <v>77</v>
      </c>
      <c r="G942" s="3" t="s">
        <v>582</v>
      </c>
      <c r="H942" s="3" t="s">
        <v>614</v>
      </c>
      <c r="I942" s="3">
        <v>2023</v>
      </c>
      <c r="J942" s="3" t="str">
        <f>CONCATENATE("34810461359")</f>
        <v>34810461359</v>
      </c>
      <c r="K942" s="3" t="s">
        <v>33</v>
      </c>
      <c r="L942" s="3" t="str">
        <f t="shared" si="58"/>
        <v/>
      </c>
      <c r="M942" s="3" t="str">
        <f t="shared" si="60"/>
        <v>SRA01</v>
      </c>
      <c r="N942" s="3" t="str">
        <f>CONCATENATE("RMPGLC32E23A783Q")</f>
        <v>RMPGLC32E23A783Q</v>
      </c>
      <c r="O942" s="3" t="s">
        <v>1465</v>
      </c>
      <c r="P942" s="3" t="s">
        <v>35</v>
      </c>
      <c r="Q942" s="3" t="s">
        <v>1224</v>
      </c>
      <c r="R942" s="4">
        <v>45933</v>
      </c>
      <c r="S942" s="3" t="s">
        <v>37</v>
      </c>
      <c r="T942" s="3" t="s">
        <v>38</v>
      </c>
      <c r="U942" s="3" t="s">
        <v>39</v>
      </c>
      <c r="V942" s="5">
        <v>3967.48</v>
      </c>
      <c r="W942" s="5">
        <v>2003.58</v>
      </c>
      <c r="X942" s="5">
        <v>1374.73</v>
      </c>
      <c r="Y942" s="3">
        <v>589.16999999999996</v>
      </c>
    </row>
    <row r="943" spans="1:25" ht="41.5" hidden="1" x14ac:dyDescent="0.35">
      <c r="A943" s="3" t="s">
        <v>26</v>
      </c>
      <c r="B943" s="3" t="s">
        <v>27</v>
      </c>
      <c r="C943" s="3" t="s">
        <v>478</v>
      </c>
      <c r="D943" s="3" t="s">
        <v>41</v>
      </c>
      <c r="E943" s="3" t="s">
        <v>1032</v>
      </c>
      <c r="F943" s="3" t="s">
        <v>43</v>
      </c>
      <c r="G943" s="3" t="s">
        <v>1032</v>
      </c>
      <c r="H943" s="3" t="s">
        <v>614</v>
      </c>
      <c r="I943" s="3">
        <v>2023</v>
      </c>
      <c r="J943" s="3" t="str">
        <f>CONCATENATE("34810392091")</f>
        <v>34810392091</v>
      </c>
      <c r="K943" s="3" t="s">
        <v>33</v>
      </c>
      <c r="L943" s="3" t="str">
        <f t="shared" si="58"/>
        <v/>
      </c>
      <c r="M943" s="3" t="str">
        <f t="shared" si="60"/>
        <v>SRA01</v>
      </c>
      <c r="N943" s="3" t="str">
        <f>CONCATENATE("RLLMCN75L59L254F")</f>
        <v>RLLMCN75L59L254F</v>
      </c>
      <c r="O943" s="3" t="s">
        <v>1466</v>
      </c>
      <c r="P943" s="3" t="s">
        <v>35</v>
      </c>
      <c r="Q943" s="3" t="s">
        <v>1224</v>
      </c>
      <c r="R943" s="4">
        <v>45933</v>
      </c>
      <c r="S943" s="3" t="s">
        <v>37</v>
      </c>
      <c r="T943" s="3" t="s">
        <v>38</v>
      </c>
      <c r="U943" s="3" t="s">
        <v>39</v>
      </c>
      <c r="V943" s="5">
        <v>2121.3200000000002</v>
      </c>
      <c r="W943" s="5">
        <v>1071.27</v>
      </c>
      <c r="X943" s="3">
        <v>735.04</v>
      </c>
      <c r="Y943" s="3">
        <v>315.01</v>
      </c>
    </row>
    <row r="944" spans="1:25" ht="49.5" hidden="1" x14ac:dyDescent="0.35">
      <c r="A944" s="3" t="s">
        <v>26</v>
      </c>
      <c r="B944" s="3" t="s">
        <v>27</v>
      </c>
      <c r="C944" s="3" t="s">
        <v>478</v>
      </c>
      <c r="D944" s="3" t="s">
        <v>234</v>
      </c>
      <c r="E944" s="3" t="s">
        <v>120</v>
      </c>
      <c r="F944" s="3" t="s">
        <v>43</v>
      </c>
      <c r="G944" s="3" t="s">
        <v>1457</v>
      </c>
      <c r="H944" s="3" t="s">
        <v>614</v>
      </c>
      <c r="I944" s="3">
        <v>2023</v>
      </c>
      <c r="J944" s="3" t="str">
        <f>CONCATENATE("34810527944")</f>
        <v>34810527944</v>
      </c>
      <c r="K944" s="3" t="s">
        <v>33</v>
      </c>
      <c r="L944" s="3" t="str">
        <f t="shared" si="58"/>
        <v/>
      </c>
      <c r="M944" s="3" t="str">
        <f t="shared" si="60"/>
        <v>SRA01</v>
      </c>
      <c r="N944" s="3" t="str">
        <f>CONCATENATE("RGGFNC75R04B963A")</f>
        <v>RGGFNC75R04B963A</v>
      </c>
      <c r="O944" s="3" t="s">
        <v>1467</v>
      </c>
      <c r="P944" s="3" t="s">
        <v>35</v>
      </c>
      <c r="Q944" s="3" t="s">
        <v>1224</v>
      </c>
      <c r="R944" s="4">
        <v>45933</v>
      </c>
      <c r="S944" s="3" t="s">
        <v>37</v>
      </c>
      <c r="T944" s="3" t="s">
        <v>38</v>
      </c>
      <c r="U944" s="3" t="s">
        <v>39</v>
      </c>
      <c r="V944" s="3">
        <v>438.83</v>
      </c>
      <c r="W944" s="3">
        <v>221.61</v>
      </c>
      <c r="X944" s="3">
        <v>152.05000000000001</v>
      </c>
      <c r="Y944" s="3">
        <v>65.17</v>
      </c>
    </row>
    <row r="945" spans="1:25" ht="41.5" hidden="1" x14ac:dyDescent="0.35">
      <c r="A945" s="3" t="s">
        <v>26</v>
      </c>
      <c r="B945" s="3" t="s">
        <v>27</v>
      </c>
      <c r="C945" s="3" t="s">
        <v>478</v>
      </c>
      <c r="D945" s="3" t="s">
        <v>41</v>
      </c>
      <c r="E945" s="3" t="s">
        <v>1457</v>
      </c>
      <c r="F945" s="3" t="s">
        <v>43</v>
      </c>
      <c r="G945" s="3" t="s">
        <v>1457</v>
      </c>
      <c r="H945" s="3" t="s">
        <v>614</v>
      </c>
      <c r="I945" s="3">
        <v>2023</v>
      </c>
      <c r="J945" s="3" t="str">
        <f>CONCATENATE("34810666254")</f>
        <v>34810666254</v>
      </c>
      <c r="K945" s="3" t="s">
        <v>33</v>
      </c>
      <c r="L945" s="3" t="str">
        <f t="shared" si="58"/>
        <v/>
      </c>
      <c r="M945" s="3" t="str">
        <f t="shared" si="60"/>
        <v>SRA01</v>
      </c>
      <c r="N945" s="3" t="str">
        <f>CONCATENATE("SCTMNT70P14C280V")</f>
        <v>SCTMNT70P14C280V</v>
      </c>
      <c r="O945" s="3" t="s">
        <v>1468</v>
      </c>
      <c r="P945" s="3" t="s">
        <v>35</v>
      </c>
      <c r="Q945" s="3" t="s">
        <v>1224</v>
      </c>
      <c r="R945" s="4">
        <v>45933</v>
      </c>
      <c r="S945" s="3" t="s">
        <v>37</v>
      </c>
      <c r="T945" s="3" t="s">
        <v>38</v>
      </c>
      <c r="U945" s="3" t="s">
        <v>39</v>
      </c>
      <c r="V945" s="5">
        <v>9834.26</v>
      </c>
      <c r="W945" s="5">
        <v>4966.3</v>
      </c>
      <c r="X945" s="5">
        <v>3407.57</v>
      </c>
      <c r="Y945" s="5">
        <v>1460.39</v>
      </c>
    </row>
    <row r="946" spans="1:25" ht="41.5" hidden="1" x14ac:dyDescent="0.35">
      <c r="A946" s="3" t="s">
        <v>26</v>
      </c>
      <c r="B946" s="3" t="s">
        <v>27</v>
      </c>
      <c r="C946" s="3" t="s">
        <v>478</v>
      </c>
      <c r="D946" s="3" t="s">
        <v>41</v>
      </c>
      <c r="E946" s="3" t="s">
        <v>1032</v>
      </c>
      <c r="F946" s="3" t="s">
        <v>43</v>
      </c>
      <c r="G946" s="3" t="s">
        <v>1032</v>
      </c>
      <c r="H946" s="3" t="s">
        <v>614</v>
      </c>
      <c r="I946" s="3">
        <v>2023</v>
      </c>
      <c r="J946" s="3" t="str">
        <f>CONCATENATE("34810485465")</f>
        <v>34810485465</v>
      </c>
      <c r="K946" s="3" t="s">
        <v>33</v>
      </c>
      <c r="L946" s="3" t="str">
        <f t="shared" si="58"/>
        <v/>
      </c>
      <c r="M946" s="3" t="str">
        <f t="shared" si="60"/>
        <v>SRA01</v>
      </c>
      <c r="N946" s="3" t="str">
        <f>CONCATENATE("ZTTCSM46M14L254Z")</f>
        <v>ZTTCSM46M14L254Z</v>
      </c>
      <c r="O946" s="3" t="s">
        <v>1469</v>
      </c>
      <c r="P946" s="3" t="s">
        <v>35</v>
      </c>
      <c r="Q946" s="3" t="s">
        <v>1224</v>
      </c>
      <c r="R946" s="4">
        <v>45933</v>
      </c>
      <c r="S946" s="3" t="s">
        <v>37</v>
      </c>
      <c r="T946" s="3" t="s">
        <v>38</v>
      </c>
      <c r="U946" s="3" t="s">
        <v>39</v>
      </c>
      <c r="V946" s="5">
        <v>5343.04</v>
      </c>
      <c r="W946" s="5">
        <v>2698.24</v>
      </c>
      <c r="X946" s="5">
        <v>1851.36</v>
      </c>
      <c r="Y946" s="3">
        <v>793.44</v>
      </c>
    </row>
    <row r="947" spans="1:25" ht="41.5" hidden="1" x14ac:dyDescent="0.35">
      <c r="A947" s="3" t="s">
        <v>26</v>
      </c>
      <c r="B947" s="3" t="s">
        <v>27</v>
      </c>
      <c r="C947" s="3" t="s">
        <v>478</v>
      </c>
      <c r="D947" s="3" t="s">
        <v>75</v>
      </c>
      <c r="E947" s="3" t="s">
        <v>582</v>
      </c>
      <c r="F947" s="3" t="s">
        <v>77</v>
      </c>
      <c r="G947" s="3" t="s">
        <v>582</v>
      </c>
      <c r="H947" s="3" t="s">
        <v>614</v>
      </c>
      <c r="I947" s="3">
        <v>2024</v>
      </c>
      <c r="J947" s="3" t="str">
        <f>CONCATENATE("44811110822")</f>
        <v>44811110822</v>
      </c>
      <c r="K947" s="3" t="s">
        <v>33</v>
      </c>
      <c r="L947" s="3" t="str">
        <f t="shared" si="58"/>
        <v/>
      </c>
      <c r="M947" s="3" t="str">
        <f t="shared" ref="M947:M955" si="61">CONCATENATE("SRA03")</f>
        <v>SRA03</v>
      </c>
      <c r="N947" s="3" t="str">
        <f>CONCATENATE("CMRNTN39H30I062S")</f>
        <v>CMRNTN39H30I062S</v>
      </c>
      <c r="O947" s="3" t="s">
        <v>1470</v>
      </c>
      <c r="P947" s="3" t="s">
        <v>35</v>
      </c>
      <c r="Q947" s="3" t="s">
        <v>616</v>
      </c>
      <c r="R947" s="4">
        <v>45933</v>
      </c>
      <c r="S947" s="3" t="s">
        <v>37</v>
      </c>
      <c r="T947" s="3" t="s">
        <v>38</v>
      </c>
      <c r="U947" s="3" t="s">
        <v>39</v>
      </c>
      <c r="V947" s="3">
        <v>396.76</v>
      </c>
      <c r="W947" s="3">
        <v>200.36</v>
      </c>
      <c r="X947" s="3">
        <v>137.47999999999999</v>
      </c>
      <c r="Y947" s="3">
        <v>58.92</v>
      </c>
    </row>
    <row r="948" spans="1:25" ht="49.5" hidden="1" x14ac:dyDescent="0.35">
      <c r="A948" s="3" t="s">
        <v>26</v>
      </c>
      <c r="B948" s="3" t="s">
        <v>27</v>
      </c>
      <c r="C948" s="3" t="s">
        <v>478</v>
      </c>
      <c r="D948" s="3" t="s">
        <v>75</v>
      </c>
      <c r="E948" s="3" t="s">
        <v>582</v>
      </c>
      <c r="F948" s="3" t="s">
        <v>77</v>
      </c>
      <c r="G948" s="3" t="s">
        <v>582</v>
      </c>
      <c r="H948" s="3" t="s">
        <v>614</v>
      </c>
      <c r="I948" s="3">
        <v>2024</v>
      </c>
      <c r="J948" s="3" t="str">
        <f>CONCATENATE("44811336773")</f>
        <v>44811336773</v>
      </c>
      <c r="K948" s="3" t="s">
        <v>33</v>
      </c>
      <c r="L948" s="3" t="str">
        <f t="shared" si="58"/>
        <v/>
      </c>
      <c r="M948" s="3" t="str">
        <f t="shared" si="61"/>
        <v>SRA03</v>
      </c>
      <c r="N948" s="3" t="str">
        <f>CONCATENATE("DPLDNT95R07A783V")</f>
        <v>DPLDNT95R07A783V</v>
      </c>
      <c r="O948" s="3" t="s">
        <v>1471</v>
      </c>
      <c r="P948" s="3" t="s">
        <v>35</v>
      </c>
      <c r="Q948" s="3" t="s">
        <v>616</v>
      </c>
      <c r="R948" s="4">
        <v>45933</v>
      </c>
      <c r="S948" s="3" t="s">
        <v>37</v>
      </c>
      <c r="T948" s="3" t="s">
        <v>38</v>
      </c>
      <c r="U948" s="3" t="s">
        <v>39</v>
      </c>
      <c r="V948" s="5">
        <v>4551.75</v>
      </c>
      <c r="W948" s="5">
        <v>2298.63</v>
      </c>
      <c r="X948" s="5">
        <v>1577.18</v>
      </c>
      <c r="Y948" s="3">
        <v>675.94</v>
      </c>
    </row>
    <row r="949" spans="1:25" ht="41.5" hidden="1" x14ac:dyDescent="0.35">
      <c r="A949" s="3" t="s">
        <v>26</v>
      </c>
      <c r="B949" s="3" t="s">
        <v>27</v>
      </c>
      <c r="C949" s="3" t="s">
        <v>478</v>
      </c>
      <c r="D949" s="3" t="s">
        <v>234</v>
      </c>
      <c r="E949" s="3" t="s">
        <v>120</v>
      </c>
      <c r="F949" s="3" t="s">
        <v>119</v>
      </c>
      <c r="G949" s="3" t="s">
        <v>120</v>
      </c>
      <c r="H949" s="3" t="s">
        <v>614</v>
      </c>
      <c r="I949" s="3">
        <v>2024</v>
      </c>
      <c r="J949" s="3" t="str">
        <f>CONCATENATE("44811920022")</f>
        <v>44811920022</v>
      </c>
      <c r="K949" s="3" t="s">
        <v>33</v>
      </c>
      <c r="L949" s="3" t="str">
        <f t="shared" si="58"/>
        <v/>
      </c>
      <c r="M949" s="3" t="str">
        <f t="shared" si="61"/>
        <v>SRA03</v>
      </c>
      <c r="N949" s="3" t="str">
        <f>CONCATENATE("PLCLNI75R64A783F")</f>
        <v>PLCLNI75R64A783F</v>
      </c>
      <c r="O949" s="3" t="s">
        <v>1472</v>
      </c>
      <c r="P949" s="3" t="s">
        <v>35</v>
      </c>
      <c r="Q949" s="3" t="s">
        <v>616</v>
      </c>
      <c r="R949" s="4">
        <v>45933</v>
      </c>
      <c r="S949" s="3" t="s">
        <v>37</v>
      </c>
      <c r="T949" s="3" t="s">
        <v>38</v>
      </c>
      <c r="U949" s="3" t="s">
        <v>39</v>
      </c>
      <c r="V949" s="5">
        <v>8329.2199999999993</v>
      </c>
      <c r="W949" s="5">
        <v>4206.26</v>
      </c>
      <c r="X949" s="5">
        <v>2886.07</v>
      </c>
      <c r="Y949" s="5">
        <v>1236.8900000000001</v>
      </c>
    </row>
    <row r="950" spans="1:25" ht="41.5" hidden="1" x14ac:dyDescent="0.35">
      <c r="A950" s="3" t="s">
        <v>26</v>
      </c>
      <c r="B950" s="3" t="s">
        <v>27</v>
      </c>
      <c r="C950" s="3" t="s">
        <v>478</v>
      </c>
      <c r="D950" s="3" t="s">
        <v>234</v>
      </c>
      <c r="E950" s="3" t="s">
        <v>120</v>
      </c>
      <c r="F950" s="3" t="s">
        <v>119</v>
      </c>
      <c r="G950" s="3" t="s">
        <v>120</v>
      </c>
      <c r="H950" s="3" t="s">
        <v>614</v>
      </c>
      <c r="I950" s="3">
        <v>2024</v>
      </c>
      <c r="J950" s="3" t="str">
        <f>CONCATENATE("44811919610")</f>
        <v>44811919610</v>
      </c>
      <c r="K950" s="3" t="s">
        <v>33</v>
      </c>
      <c r="L950" s="3" t="str">
        <f t="shared" si="58"/>
        <v/>
      </c>
      <c r="M950" s="3" t="str">
        <f t="shared" si="61"/>
        <v>SRA03</v>
      </c>
      <c r="N950" s="3" t="str">
        <f>CONCATENATE("PTRLCU81H04Z112N")</f>
        <v>PTRLCU81H04Z112N</v>
      </c>
      <c r="O950" s="3" t="s">
        <v>1473</v>
      </c>
      <c r="P950" s="3" t="s">
        <v>35</v>
      </c>
      <c r="Q950" s="3" t="s">
        <v>616</v>
      </c>
      <c r="R950" s="4">
        <v>45933</v>
      </c>
      <c r="S950" s="3" t="s">
        <v>37</v>
      </c>
      <c r="T950" s="3" t="s">
        <v>38</v>
      </c>
      <c r="U950" s="3" t="s">
        <v>39</v>
      </c>
      <c r="V950" s="3">
        <v>925.23</v>
      </c>
      <c r="W950" s="3">
        <v>467.24</v>
      </c>
      <c r="X950" s="3">
        <v>320.58999999999997</v>
      </c>
      <c r="Y950" s="3">
        <v>137.4</v>
      </c>
    </row>
    <row r="951" spans="1:25" ht="41.5" hidden="1" x14ac:dyDescent="0.35">
      <c r="A951" s="3" t="s">
        <v>26</v>
      </c>
      <c r="B951" s="3" t="s">
        <v>27</v>
      </c>
      <c r="C951" s="3" t="s">
        <v>478</v>
      </c>
      <c r="D951" s="3" t="s">
        <v>75</v>
      </c>
      <c r="E951" s="3" t="s">
        <v>582</v>
      </c>
      <c r="F951" s="3" t="s">
        <v>77</v>
      </c>
      <c r="G951" s="3" t="s">
        <v>582</v>
      </c>
      <c r="H951" s="3" t="s">
        <v>614</v>
      </c>
      <c r="I951" s="3">
        <v>2023</v>
      </c>
      <c r="J951" s="3" t="str">
        <f>CONCATENATE("34810340108")</f>
        <v>34810340108</v>
      </c>
      <c r="K951" s="3" t="s">
        <v>33</v>
      </c>
      <c r="L951" s="3" t="str">
        <f t="shared" si="58"/>
        <v/>
      </c>
      <c r="M951" s="3" t="str">
        <f t="shared" si="61"/>
        <v>SRA03</v>
      </c>
      <c r="N951" s="3" t="str">
        <f>CONCATENATE("PLLNTN42L24C106X")</f>
        <v>PLLNTN42L24C106X</v>
      </c>
      <c r="O951" s="3" t="s">
        <v>1474</v>
      </c>
      <c r="P951" s="3" t="s">
        <v>35</v>
      </c>
      <c r="Q951" s="3" t="s">
        <v>616</v>
      </c>
      <c r="R951" s="4">
        <v>45933</v>
      </c>
      <c r="S951" s="3" t="s">
        <v>37</v>
      </c>
      <c r="T951" s="3" t="s">
        <v>38</v>
      </c>
      <c r="U951" s="3" t="s">
        <v>39</v>
      </c>
      <c r="V951" s="5">
        <v>1479.17</v>
      </c>
      <c r="W951" s="3">
        <v>746.98</v>
      </c>
      <c r="X951" s="3">
        <v>512.53</v>
      </c>
      <c r="Y951" s="3">
        <v>219.66</v>
      </c>
    </row>
    <row r="952" spans="1:25" ht="41.5" hidden="1" x14ac:dyDescent="0.35">
      <c r="A952" s="3" t="s">
        <v>26</v>
      </c>
      <c r="B952" s="3" t="s">
        <v>27</v>
      </c>
      <c r="C952" s="3" t="s">
        <v>478</v>
      </c>
      <c r="D952" s="3" t="s">
        <v>75</v>
      </c>
      <c r="E952" s="3" t="s">
        <v>582</v>
      </c>
      <c r="F952" s="3" t="s">
        <v>77</v>
      </c>
      <c r="G952" s="3" t="s">
        <v>582</v>
      </c>
      <c r="H952" s="3" t="s">
        <v>614</v>
      </c>
      <c r="I952" s="3">
        <v>2024</v>
      </c>
      <c r="J952" s="3" t="str">
        <f>CONCATENATE("44810866903")</f>
        <v>44810866903</v>
      </c>
      <c r="K952" s="3" t="s">
        <v>33</v>
      </c>
      <c r="L952" s="3" t="str">
        <f t="shared" si="58"/>
        <v/>
      </c>
      <c r="M952" s="3" t="str">
        <f t="shared" si="61"/>
        <v>SRA03</v>
      </c>
      <c r="N952" s="3" t="str">
        <f>CONCATENATE("PLLNTN42L24C106X")</f>
        <v>PLLNTN42L24C106X</v>
      </c>
      <c r="O952" s="3" t="s">
        <v>1474</v>
      </c>
      <c r="P952" s="3" t="s">
        <v>35</v>
      </c>
      <c r="Q952" s="3" t="s">
        <v>616</v>
      </c>
      <c r="R952" s="4">
        <v>45933</v>
      </c>
      <c r="S952" s="3" t="s">
        <v>37</v>
      </c>
      <c r="T952" s="3" t="s">
        <v>38</v>
      </c>
      <c r="U952" s="3" t="s">
        <v>39</v>
      </c>
      <c r="V952" s="5">
        <v>1479.17</v>
      </c>
      <c r="W952" s="3">
        <v>746.98</v>
      </c>
      <c r="X952" s="3">
        <v>512.53</v>
      </c>
      <c r="Y952" s="3">
        <v>219.66</v>
      </c>
    </row>
    <row r="953" spans="1:25" ht="41.5" hidden="1" x14ac:dyDescent="0.35">
      <c r="A953" s="3" t="s">
        <v>26</v>
      </c>
      <c r="B953" s="3" t="s">
        <v>27</v>
      </c>
      <c r="C953" s="3" t="s">
        <v>478</v>
      </c>
      <c r="D953" s="3" t="s">
        <v>75</v>
      </c>
      <c r="E953" s="3" t="s">
        <v>1082</v>
      </c>
      <c r="F953" s="3" t="s">
        <v>77</v>
      </c>
      <c r="G953" s="3" t="s">
        <v>1082</v>
      </c>
      <c r="H953" s="3" t="s">
        <v>614</v>
      </c>
      <c r="I953" s="3">
        <v>2024</v>
      </c>
      <c r="J953" s="3" t="str">
        <f>CONCATENATE("44810697944")</f>
        <v>44810697944</v>
      </c>
      <c r="K953" s="3" t="s">
        <v>33</v>
      </c>
      <c r="L953" s="3" t="str">
        <f t="shared" si="58"/>
        <v/>
      </c>
      <c r="M953" s="3" t="str">
        <f t="shared" si="61"/>
        <v>SRA03</v>
      </c>
      <c r="N953" s="3" t="str">
        <f>CONCATENATE("PCCGNN69R15H764E")</f>
        <v>PCCGNN69R15H764E</v>
      </c>
      <c r="O953" s="3" t="s">
        <v>1475</v>
      </c>
      <c r="P953" s="3" t="s">
        <v>35</v>
      </c>
      <c r="Q953" s="3" t="s">
        <v>616</v>
      </c>
      <c r="R953" s="4">
        <v>45933</v>
      </c>
      <c r="S953" s="3" t="s">
        <v>37</v>
      </c>
      <c r="T953" s="3" t="s">
        <v>38</v>
      </c>
      <c r="U953" s="3" t="s">
        <v>39</v>
      </c>
      <c r="V953" s="5">
        <v>3039.83</v>
      </c>
      <c r="W953" s="5">
        <v>1535.11</v>
      </c>
      <c r="X953" s="5">
        <v>1053.3</v>
      </c>
      <c r="Y953" s="3">
        <v>451.42</v>
      </c>
    </row>
    <row r="954" spans="1:25" ht="49.5" hidden="1" x14ac:dyDescent="0.35">
      <c r="A954" s="3" t="s">
        <v>26</v>
      </c>
      <c r="B954" s="3" t="s">
        <v>27</v>
      </c>
      <c r="C954" s="3" t="s">
        <v>478</v>
      </c>
      <c r="D954" s="3" t="s">
        <v>75</v>
      </c>
      <c r="E954" s="3" t="s">
        <v>582</v>
      </c>
      <c r="F954" s="3" t="s">
        <v>77</v>
      </c>
      <c r="G954" s="3" t="s">
        <v>582</v>
      </c>
      <c r="H954" s="3" t="s">
        <v>614</v>
      </c>
      <c r="I954" s="3">
        <v>2024</v>
      </c>
      <c r="J954" s="3" t="str">
        <f>CONCATENATE("44810193308")</f>
        <v>44810193308</v>
      </c>
      <c r="K954" s="3" t="s">
        <v>33</v>
      </c>
      <c r="L954" s="3" t="str">
        <f t="shared" si="58"/>
        <v/>
      </c>
      <c r="M954" s="3" t="str">
        <f t="shared" si="61"/>
        <v>SRA03</v>
      </c>
      <c r="N954" s="3" t="str">
        <f>CONCATENATE("RCCMSM79C02A783P")</f>
        <v>RCCMSM79C02A783P</v>
      </c>
      <c r="O954" s="3" t="s">
        <v>1476</v>
      </c>
      <c r="P954" s="3" t="s">
        <v>35</v>
      </c>
      <c r="Q954" s="3" t="s">
        <v>616</v>
      </c>
      <c r="R954" s="4">
        <v>45933</v>
      </c>
      <c r="S954" s="3" t="s">
        <v>37</v>
      </c>
      <c r="T954" s="3" t="s">
        <v>38</v>
      </c>
      <c r="U954" s="3" t="s">
        <v>39</v>
      </c>
      <c r="V954" s="5">
        <v>1501.75</v>
      </c>
      <c r="W954" s="3">
        <v>758.38</v>
      </c>
      <c r="X954" s="3">
        <v>520.36</v>
      </c>
      <c r="Y954" s="3">
        <v>223.01</v>
      </c>
    </row>
    <row r="955" spans="1:25" ht="25.5" hidden="1" x14ac:dyDescent="0.35">
      <c r="A955" s="3" t="s">
        <v>26</v>
      </c>
      <c r="B955" s="3" t="s">
        <v>27</v>
      </c>
      <c r="C955" s="3" t="s">
        <v>478</v>
      </c>
      <c r="D955" s="3" t="s">
        <v>75</v>
      </c>
      <c r="E955" s="3" t="s">
        <v>582</v>
      </c>
      <c r="F955" s="3" t="s">
        <v>77</v>
      </c>
      <c r="G955" s="3" t="s">
        <v>582</v>
      </c>
      <c r="H955" s="3" t="s">
        <v>614</v>
      </c>
      <c r="I955" s="3">
        <v>2024</v>
      </c>
      <c r="J955" s="3" t="str">
        <f>CONCATENATE("44811454865")</f>
        <v>44811454865</v>
      </c>
      <c r="K955" s="3" t="s">
        <v>33</v>
      </c>
      <c r="L955" s="3" t="str">
        <f t="shared" si="58"/>
        <v/>
      </c>
      <c r="M955" s="3" t="str">
        <f t="shared" si="61"/>
        <v>SRA03</v>
      </c>
      <c r="N955" s="3" t="str">
        <f>CONCATENATE("01824140626")</f>
        <v>01824140626</v>
      </c>
      <c r="O955" s="3" t="s">
        <v>1477</v>
      </c>
      <c r="P955" s="3" t="s">
        <v>35</v>
      </c>
      <c r="Q955" s="3" t="s">
        <v>616</v>
      </c>
      <c r="R955" s="4">
        <v>45933</v>
      </c>
      <c r="S955" s="3" t="s">
        <v>37</v>
      </c>
      <c r="T955" s="3" t="s">
        <v>38</v>
      </c>
      <c r="U955" s="3" t="s">
        <v>39</v>
      </c>
      <c r="V955" s="5">
        <v>11423.18</v>
      </c>
      <c r="W955" s="5">
        <v>5768.71</v>
      </c>
      <c r="X955" s="5">
        <v>3958.13</v>
      </c>
      <c r="Y955" s="5">
        <v>1696.34</v>
      </c>
    </row>
    <row r="956" spans="1:25" ht="41.5" hidden="1" x14ac:dyDescent="0.35">
      <c r="A956" s="3" t="s">
        <v>26</v>
      </c>
      <c r="B956" s="3" t="s">
        <v>27</v>
      </c>
      <c r="C956" s="3" t="s">
        <v>90</v>
      </c>
      <c r="D956" s="3" t="s">
        <v>61</v>
      </c>
      <c r="E956" s="3" t="s">
        <v>1478</v>
      </c>
      <c r="F956" s="3" t="s">
        <v>61</v>
      </c>
      <c r="G956" s="3" t="s">
        <v>1478</v>
      </c>
      <c r="H956" s="3" t="s">
        <v>488</v>
      </c>
      <c r="I956" s="3">
        <v>2023</v>
      </c>
      <c r="J956" s="3" t="str">
        <f>CONCATENATE("34810474543")</f>
        <v>34810474543</v>
      </c>
      <c r="K956" s="3" t="s">
        <v>33</v>
      </c>
      <c r="L956" s="3" t="str">
        <f t="shared" si="58"/>
        <v/>
      </c>
      <c r="M956" s="3" t="str">
        <f>CONCATENATE("SRA29")</f>
        <v>SRA29</v>
      </c>
      <c r="N956" s="3" t="str">
        <f>CONCATENATE("FRNSVT51E16G208K")</f>
        <v>FRNSVT51E16G208K</v>
      </c>
      <c r="O956" s="3" t="s">
        <v>1479</v>
      </c>
      <c r="P956" s="3" t="s">
        <v>35</v>
      </c>
      <c r="Q956" s="3" t="s">
        <v>1350</v>
      </c>
      <c r="R956" s="4">
        <v>45931</v>
      </c>
      <c r="S956" s="3" t="s">
        <v>37</v>
      </c>
      <c r="T956" s="3" t="s">
        <v>38</v>
      </c>
      <c r="U956" s="3" t="s">
        <v>39</v>
      </c>
      <c r="V956" s="5">
        <v>1644.17</v>
      </c>
      <c r="W956" s="3">
        <v>830.31</v>
      </c>
      <c r="X956" s="3">
        <v>569.70000000000005</v>
      </c>
      <c r="Y956" s="3">
        <v>244.16</v>
      </c>
    </row>
    <row r="957" spans="1:25" ht="41.5" hidden="1" x14ac:dyDescent="0.35">
      <c r="A957" s="3" t="s">
        <v>26</v>
      </c>
      <c r="B957" s="3" t="s">
        <v>27</v>
      </c>
      <c r="C957" s="3" t="s">
        <v>90</v>
      </c>
      <c r="D957" s="3" t="s">
        <v>29</v>
      </c>
      <c r="E957" s="3" t="s">
        <v>1480</v>
      </c>
      <c r="F957" s="3" t="s">
        <v>31</v>
      </c>
      <c r="G957" s="3" t="s">
        <v>1480</v>
      </c>
      <c r="H957" s="3" t="s">
        <v>488</v>
      </c>
      <c r="I957" s="3">
        <v>2024</v>
      </c>
      <c r="J957" s="3" t="str">
        <f>CONCATENATE("44811192275")</f>
        <v>44811192275</v>
      </c>
      <c r="K957" s="3" t="s">
        <v>33</v>
      </c>
      <c r="L957" s="3" t="str">
        <f t="shared" si="58"/>
        <v/>
      </c>
      <c r="M957" s="3" t="str">
        <f>CONCATENATE("SRA29")</f>
        <v>SRA29</v>
      </c>
      <c r="N957" s="3" t="str">
        <f>CONCATENATE("PSSFNC54P06A176N")</f>
        <v>PSSFNC54P06A176N</v>
      </c>
      <c r="O957" s="3" t="s">
        <v>1481</v>
      </c>
      <c r="P957" s="3" t="s">
        <v>35</v>
      </c>
      <c r="Q957" s="3" t="s">
        <v>1350</v>
      </c>
      <c r="R957" s="4">
        <v>45931</v>
      </c>
      <c r="S957" s="3" t="s">
        <v>37</v>
      </c>
      <c r="T957" s="3" t="s">
        <v>38</v>
      </c>
      <c r="U957" s="3" t="s">
        <v>39</v>
      </c>
      <c r="V957" s="5">
        <v>4616.01</v>
      </c>
      <c r="W957" s="5">
        <v>2331.09</v>
      </c>
      <c r="X957" s="5">
        <v>1599.45</v>
      </c>
      <c r="Y957" s="3">
        <v>685.47</v>
      </c>
    </row>
    <row r="958" spans="1:25" ht="41.5" hidden="1" x14ac:dyDescent="0.35">
      <c r="A958" s="3" t="s">
        <v>26</v>
      </c>
      <c r="B958" s="3" t="s">
        <v>27</v>
      </c>
      <c r="C958" s="3" t="s">
        <v>90</v>
      </c>
      <c r="D958" s="3" t="s">
        <v>51</v>
      </c>
      <c r="E958" s="3" t="s">
        <v>1482</v>
      </c>
      <c r="F958" s="3" t="s">
        <v>51</v>
      </c>
      <c r="G958" s="3" t="s">
        <v>1482</v>
      </c>
      <c r="H958" s="3" t="s">
        <v>208</v>
      </c>
      <c r="I958" s="3">
        <v>2024</v>
      </c>
      <c r="J958" s="3" t="str">
        <f>CONCATENATE("44810234318")</f>
        <v>44810234318</v>
      </c>
      <c r="K958" s="3" t="s">
        <v>33</v>
      </c>
      <c r="L958" s="3" t="str">
        <f t="shared" si="58"/>
        <v/>
      </c>
      <c r="M958" s="3" t="str">
        <f>CONCATENATE("SRA30")</f>
        <v>SRA30</v>
      </c>
      <c r="N958" s="3" t="str">
        <f>CONCATENATE("ZTLNNL72L51G371I")</f>
        <v>ZTLNNL72L51G371I</v>
      </c>
      <c r="O958" s="3" t="s">
        <v>1483</v>
      </c>
      <c r="P958" s="3" t="s">
        <v>35</v>
      </c>
      <c r="Q958" s="3" t="s">
        <v>1237</v>
      </c>
      <c r="R958" s="4">
        <v>45919</v>
      </c>
      <c r="S958" s="3" t="s">
        <v>37</v>
      </c>
      <c r="T958" s="3" t="s">
        <v>38</v>
      </c>
      <c r="U958" s="3" t="s">
        <v>39</v>
      </c>
      <c r="V958" s="5">
        <v>5305.27</v>
      </c>
      <c r="W958" s="5">
        <v>2679.16</v>
      </c>
      <c r="X958" s="5">
        <v>1838.28</v>
      </c>
      <c r="Y958" s="3">
        <v>787.83</v>
      </c>
    </row>
    <row r="959" spans="1:25" ht="41.5" hidden="1" x14ac:dyDescent="0.35">
      <c r="A959" s="3" t="s">
        <v>26</v>
      </c>
      <c r="B959" s="3" t="s">
        <v>27</v>
      </c>
      <c r="C959" s="3" t="s">
        <v>561</v>
      </c>
      <c r="D959" s="3" t="s">
        <v>51</v>
      </c>
      <c r="E959" s="3" t="s">
        <v>562</v>
      </c>
      <c r="F959" s="3" t="s">
        <v>51</v>
      </c>
      <c r="G959" s="3" t="s">
        <v>562</v>
      </c>
      <c r="H959" s="3" t="s">
        <v>563</v>
      </c>
      <c r="I959" s="3">
        <v>2024</v>
      </c>
      <c r="J959" s="3" t="str">
        <f>CONCATENATE("44820602140")</f>
        <v>44820602140</v>
      </c>
      <c r="K959" s="3" t="s">
        <v>33</v>
      </c>
      <c r="L959" s="3" t="str">
        <f t="shared" si="58"/>
        <v/>
      </c>
      <c r="M959" s="3" t="str">
        <f>CONCATENATE("SRB01")</f>
        <v>SRB01</v>
      </c>
      <c r="N959" s="3" t="str">
        <f>CONCATENATE("CRNMRZ69M09B519E")</f>
        <v>CRNMRZ69M09B519E</v>
      </c>
      <c r="O959" s="3" t="s">
        <v>1484</v>
      </c>
      <c r="P959" s="3" t="s">
        <v>50</v>
      </c>
      <c r="Q959" s="3"/>
      <c r="R959" s="4">
        <v>45931</v>
      </c>
      <c r="S959" s="3" t="s">
        <v>37</v>
      </c>
      <c r="T959" s="3" t="s">
        <v>38</v>
      </c>
      <c r="U959" s="3" t="s">
        <v>39</v>
      </c>
      <c r="V959" s="3">
        <v>125.78</v>
      </c>
      <c r="W959" s="3">
        <v>63.52</v>
      </c>
      <c r="X959" s="3">
        <v>43.58</v>
      </c>
      <c r="Y959" s="3">
        <v>18.68</v>
      </c>
    </row>
    <row r="960" spans="1:25" ht="49.5" hidden="1" x14ac:dyDescent="0.35">
      <c r="A960" s="3" t="s">
        <v>26</v>
      </c>
      <c r="B960" s="3" t="s">
        <v>27</v>
      </c>
      <c r="C960" s="3" t="s">
        <v>561</v>
      </c>
      <c r="D960" s="3" t="s">
        <v>51</v>
      </c>
      <c r="E960" s="3" t="s">
        <v>562</v>
      </c>
      <c r="F960" s="3" t="s">
        <v>77</v>
      </c>
      <c r="G960" s="3" t="s">
        <v>1082</v>
      </c>
      <c r="H960" s="3" t="s">
        <v>563</v>
      </c>
      <c r="I960" s="3">
        <v>2024</v>
      </c>
      <c r="J960" s="3" t="str">
        <f>CONCATENATE("44820593893")</f>
        <v>44820593893</v>
      </c>
      <c r="K960" s="3" t="s">
        <v>33</v>
      </c>
      <c r="L960" s="3" t="str">
        <f t="shared" si="58"/>
        <v/>
      </c>
      <c r="M960" s="3" t="str">
        <f>CONCATENATE("SRB01")</f>
        <v>SRB01</v>
      </c>
      <c r="N960" s="3" t="str">
        <f>CONCATENATE("BRRPQL71D08B519H")</f>
        <v>BRRPQL71D08B519H</v>
      </c>
      <c r="O960" s="3" t="s">
        <v>1485</v>
      </c>
      <c r="P960" s="3" t="s">
        <v>50</v>
      </c>
      <c r="Q960" s="3"/>
      <c r="R960" s="4">
        <v>45931</v>
      </c>
      <c r="S960" s="3" t="s">
        <v>37</v>
      </c>
      <c r="T960" s="3" t="s">
        <v>38</v>
      </c>
      <c r="U960" s="3" t="s">
        <v>39</v>
      </c>
      <c r="V960" s="3">
        <v>40.9</v>
      </c>
      <c r="W960" s="3">
        <v>20.65</v>
      </c>
      <c r="X960" s="3">
        <v>14.17</v>
      </c>
      <c r="Y960" s="3">
        <v>6.08</v>
      </c>
    </row>
    <row r="961" spans="1:25" ht="41.5" hidden="1" x14ac:dyDescent="0.35">
      <c r="A961" s="3" t="s">
        <v>26</v>
      </c>
      <c r="B961" s="3" t="s">
        <v>27</v>
      </c>
      <c r="C961" s="3" t="s">
        <v>561</v>
      </c>
      <c r="D961" s="3" t="s">
        <v>234</v>
      </c>
      <c r="E961" s="3" t="s">
        <v>120</v>
      </c>
      <c r="F961" s="3" t="s">
        <v>119</v>
      </c>
      <c r="G961" s="3" t="s">
        <v>120</v>
      </c>
      <c r="H961" s="3" t="s">
        <v>1486</v>
      </c>
      <c r="I961" s="3">
        <v>2024</v>
      </c>
      <c r="J961" s="3" t="str">
        <f>CONCATENATE("44820601779")</f>
        <v>44820601779</v>
      </c>
      <c r="K961" s="3" t="s">
        <v>33</v>
      </c>
      <c r="L961" s="3" t="str">
        <f t="shared" si="58"/>
        <v/>
      </c>
      <c r="M961" s="3" t="str">
        <f>CONCATENATE("SRB01")</f>
        <v>SRB01</v>
      </c>
      <c r="N961" s="3" t="str">
        <f>CONCATENATE("SNTZND72C45C361N")</f>
        <v>SNTZND72C45C361N</v>
      </c>
      <c r="O961" s="3" t="s">
        <v>1487</v>
      </c>
      <c r="P961" s="3" t="s">
        <v>50</v>
      </c>
      <c r="Q961" s="3"/>
      <c r="R961" s="4">
        <v>45931</v>
      </c>
      <c r="S961" s="3" t="s">
        <v>37</v>
      </c>
      <c r="T961" s="3" t="s">
        <v>38</v>
      </c>
      <c r="U961" s="3" t="s">
        <v>39</v>
      </c>
      <c r="V961" s="3">
        <v>180.49</v>
      </c>
      <c r="W961" s="3">
        <v>91.15</v>
      </c>
      <c r="X961" s="3">
        <v>62.54</v>
      </c>
      <c r="Y961" s="3">
        <v>26.8</v>
      </c>
    </row>
    <row r="962" spans="1:25" ht="25.5" hidden="1" x14ac:dyDescent="0.35">
      <c r="A962" s="3" t="s">
        <v>26</v>
      </c>
      <c r="B962" s="3" t="s">
        <v>27</v>
      </c>
      <c r="C962" s="3" t="s">
        <v>90</v>
      </c>
      <c r="D962" s="3" t="s">
        <v>180</v>
      </c>
      <c r="E962" s="3" t="s">
        <v>258</v>
      </c>
      <c r="F962" s="3" t="s">
        <v>85</v>
      </c>
      <c r="G962" s="3" t="s">
        <v>258</v>
      </c>
      <c r="H962" s="3" t="s">
        <v>212</v>
      </c>
      <c r="I962" s="3">
        <v>2024</v>
      </c>
      <c r="J962" s="3" t="str">
        <f>CONCATENATE("44810754471")</f>
        <v>44810754471</v>
      </c>
      <c r="K962" s="3" t="s">
        <v>33</v>
      </c>
      <c r="L962" s="3" t="str">
        <f t="shared" si="58"/>
        <v/>
      </c>
      <c r="M962" s="3" t="str">
        <f>CONCATENATE("SRA30")</f>
        <v>SRA30</v>
      </c>
      <c r="N962" s="3" t="str">
        <f>CONCATENATE("01995060850")</f>
        <v>01995060850</v>
      </c>
      <c r="O962" s="3" t="s">
        <v>1488</v>
      </c>
      <c r="P962" s="3" t="s">
        <v>35</v>
      </c>
      <c r="Q962" s="3" t="s">
        <v>1377</v>
      </c>
      <c r="R962" s="4">
        <v>45933</v>
      </c>
      <c r="S962" s="3" t="s">
        <v>37</v>
      </c>
      <c r="T962" s="3" t="s">
        <v>38</v>
      </c>
      <c r="U962" s="3" t="s">
        <v>39</v>
      </c>
      <c r="V962" s="5">
        <v>8768.44</v>
      </c>
      <c r="W962" s="5">
        <v>4428.0600000000004</v>
      </c>
      <c r="X962" s="5">
        <v>3038.26</v>
      </c>
      <c r="Y962" s="5">
        <v>1302.1199999999999</v>
      </c>
    </row>
    <row r="963" spans="1:25" ht="41.5" hidden="1" x14ac:dyDescent="0.35">
      <c r="A963" s="3" t="s">
        <v>26</v>
      </c>
      <c r="B963" s="3" t="s">
        <v>27</v>
      </c>
      <c r="C963" s="3" t="s">
        <v>90</v>
      </c>
      <c r="D963" s="3" t="s">
        <v>29</v>
      </c>
      <c r="E963" s="3" t="s">
        <v>292</v>
      </c>
      <c r="F963" s="3" t="s">
        <v>31</v>
      </c>
      <c r="G963" s="3" t="s">
        <v>292</v>
      </c>
      <c r="H963" s="3" t="s">
        <v>212</v>
      </c>
      <c r="I963" s="3">
        <v>2024</v>
      </c>
      <c r="J963" s="3" t="str">
        <f>CONCATENATE("44810932986")</f>
        <v>44810932986</v>
      </c>
      <c r="K963" s="3" t="s">
        <v>33</v>
      </c>
      <c r="L963" s="3" t="str">
        <f t="shared" si="58"/>
        <v/>
      </c>
      <c r="M963" s="3" t="str">
        <f>CONCATENATE("SRA30")</f>
        <v>SRA30</v>
      </c>
      <c r="N963" s="3" t="str">
        <f>CONCATENATE("VLLVCN78A11H792Z")</f>
        <v>VLLVCN78A11H792Z</v>
      </c>
      <c r="O963" s="3" t="s">
        <v>1489</v>
      </c>
      <c r="P963" s="3" t="s">
        <v>35</v>
      </c>
      <c r="Q963" s="3" t="s">
        <v>1377</v>
      </c>
      <c r="R963" s="4">
        <v>45933</v>
      </c>
      <c r="S963" s="3" t="s">
        <v>37</v>
      </c>
      <c r="T963" s="3" t="s">
        <v>38</v>
      </c>
      <c r="U963" s="3" t="s">
        <v>39</v>
      </c>
      <c r="V963" s="5">
        <v>2165.12</v>
      </c>
      <c r="W963" s="5">
        <v>1093.3900000000001</v>
      </c>
      <c r="X963" s="3">
        <v>750.21</v>
      </c>
      <c r="Y963" s="3">
        <v>321.52</v>
      </c>
    </row>
    <row r="964" spans="1:25" ht="41.5" hidden="1" x14ac:dyDescent="0.35">
      <c r="A964" s="3" t="s">
        <v>26</v>
      </c>
      <c r="B964" s="3" t="s">
        <v>27</v>
      </c>
      <c r="C964" s="3" t="s">
        <v>90</v>
      </c>
      <c r="D964" s="3" t="s">
        <v>234</v>
      </c>
      <c r="E964" s="3" t="s">
        <v>1490</v>
      </c>
      <c r="F964" s="3" t="s">
        <v>119</v>
      </c>
      <c r="G964" s="3" t="s">
        <v>1490</v>
      </c>
      <c r="H964" s="3" t="s">
        <v>102</v>
      </c>
      <c r="I964" s="3">
        <v>2024</v>
      </c>
      <c r="J964" s="3" t="str">
        <f>CONCATENATE("44811299369")</f>
        <v>44811299369</v>
      </c>
      <c r="K964" s="3" t="s">
        <v>33</v>
      </c>
      <c r="L964" s="3" t="str">
        <f t="shared" ref="L964:L1027" si="62">CONCATENATE("")</f>
        <v/>
      </c>
      <c r="M964" s="3" t="str">
        <f>CONCATENATE("SRA29")</f>
        <v>SRA29</v>
      </c>
      <c r="N964" s="3" t="str">
        <f>CONCATENATE("DSTCLD88S19H163Z")</f>
        <v>DSTCLD88S19H163Z</v>
      </c>
      <c r="O964" s="3" t="s">
        <v>1491</v>
      </c>
      <c r="P964" s="3" t="s">
        <v>35</v>
      </c>
      <c r="Q964" s="3" t="s">
        <v>1492</v>
      </c>
      <c r="R964" s="4">
        <v>45915</v>
      </c>
      <c r="S964" s="3" t="s">
        <v>37</v>
      </c>
      <c r="T964" s="3" t="s">
        <v>38</v>
      </c>
      <c r="U964" s="3" t="s">
        <v>39</v>
      </c>
      <c r="V964" s="5">
        <v>6349.93</v>
      </c>
      <c r="W964" s="5">
        <v>3206.71</v>
      </c>
      <c r="X964" s="5">
        <v>2200.25</v>
      </c>
      <c r="Y964" s="3">
        <v>942.97</v>
      </c>
    </row>
    <row r="965" spans="1:25" ht="49.5" hidden="1" x14ac:dyDescent="0.35">
      <c r="A965" s="3" t="s">
        <v>26</v>
      </c>
      <c r="B965" s="3" t="s">
        <v>27</v>
      </c>
      <c r="C965" s="3" t="s">
        <v>90</v>
      </c>
      <c r="D965" s="3" t="s">
        <v>41</v>
      </c>
      <c r="E965" s="3" t="s">
        <v>863</v>
      </c>
      <c r="F965" s="3" t="s">
        <v>43</v>
      </c>
      <c r="G965" s="3" t="s">
        <v>863</v>
      </c>
      <c r="H965" s="3" t="s">
        <v>102</v>
      </c>
      <c r="I965" s="3">
        <v>2024</v>
      </c>
      <c r="J965" s="3" t="str">
        <f>CONCATENATE("44811445095")</f>
        <v>44811445095</v>
      </c>
      <c r="K965" s="3" t="s">
        <v>33</v>
      </c>
      <c r="L965" s="3" t="str">
        <f t="shared" si="62"/>
        <v/>
      </c>
      <c r="M965" s="3" t="str">
        <f>CONCATENATE("SRA29")</f>
        <v>SRA29</v>
      </c>
      <c r="N965" s="3" t="str">
        <f>CONCATENATE("GRDSTR62D46H163V")</f>
        <v>GRDSTR62D46H163V</v>
      </c>
      <c r="O965" s="3" t="s">
        <v>1493</v>
      </c>
      <c r="P965" s="3" t="s">
        <v>35</v>
      </c>
      <c r="Q965" s="3" t="s">
        <v>1492</v>
      </c>
      <c r="R965" s="4">
        <v>45915</v>
      </c>
      <c r="S965" s="3" t="s">
        <v>37</v>
      </c>
      <c r="T965" s="3" t="s">
        <v>38</v>
      </c>
      <c r="U965" s="3" t="s">
        <v>39</v>
      </c>
      <c r="V965" s="5">
        <v>3054.78</v>
      </c>
      <c r="W965" s="5">
        <v>1542.66</v>
      </c>
      <c r="X965" s="5">
        <v>1058.48</v>
      </c>
      <c r="Y965" s="3">
        <v>453.64</v>
      </c>
    </row>
    <row r="966" spans="1:25" ht="41.5" hidden="1" x14ac:dyDescent="0.35">
      <c r="A966" s="3" t="s">
        <v>26</v>
      </c>
      <c r="B966" s="3" t="s">
        <v>27</v>
      </c>
      <c r="C966" s="3" t="s">
        <v>90</v>
      </c>
      <c r="D966" s="3" t="s">
        <v>29</v>
      </c>
      <c r="E966" s="3" t="s">
        <v>341</v>
      </c>
      <c r="F966" s="3" t="s">
        <v>31</v>
      </c>
      <c r="G966" s="3" t="s">
        <v>341</v>
      </c>
      <c r="H966" s="3" t="s">
        <v>102</v>
      </c>
      <c r="I966" s="3">
        <v>2024</v>
      </c>
      <c r="J966" s="3" t="str">
        <f>CONCATENATE("44811224391")</f>
        <v>44811224391</v>
      </c>
      <c r="K966" s="3" t="s">
        <v>33</v>
      </c>
      <c r="L966" s="3" t="str">
        <f t="shared" si="62"/>
        <v/>
      </c>
      <c r="M966" s="3" t="str">
        <f>CONCATENATE("SRA29")</f>
        <v>SRA29</v>
      </c>
      <c r="N966" s="3" t="str">
        <f>CONCATENATE("MLNNNN50S21E366Y")</f>
        <v>MLNNNN50S21E366Y</v>
      </c>
      <c r="O966" s="3" t="s">
        <v>1494</v>
      </c>
      <c r="P966" s="3" t="s">
        <v>35</v>
      </c>
      <c r="Q966" s="3" t="s">
        <v>1492</v>
      </c>
      <c r="R966" s="4">
        <v>45915</v>
      </c>
      <c r="S966" s="3" t="s">
        <v>37</v>
      </c>
      <c r="T966" s="3" t="s">
        <v>38</v>
      </c>
      <c r="U966" s="3" t="s">
        <v>39</v>
      </c>
      <c r="V966" s="5">
        <v>4944.49</v>
      </c>
      <c r="W966" s="5">
        <v>2496.9699999999998</v>
      </c>
      <c r="X966" s="5">
        <v>1713.27</v>
      </c>
      <c r="Y966" s="3">
        <v>734.25</v>
      </c>
    </row>
    <row r="967" spans="1:25" ht="49.5" hidden="1" x14ac:dyDescent="0.35">
      <c r="A967" s="3" t="s">
        <v>26</v>
      </c>
      <c r="B967" s="3" t="s">
        <v>27</v>
      </c>
      <c r="C967" s="3" t="s">
        <v>90</v>
      </c>
      <c r="D967" s="3" t="s">
        <v>364</v>
      </c>
      <c r="E967" s="3" t="s">
        <v>1495</v>
      </c>
      <c r="F967" s="3" t="s">
        <v>393</v>
      </c>
      <c r="G967" s="3" t="s">
        <v>1495</v>
      </c>
      <c r="H967" s="3" t="s">
        <v>102</v>
      </c>
      <c r="I967" s="3">
        <v>2024</v>
      </c>
      <c r="J967" s="3" t="str">
        <f>CONCATENATE("44811162211")</f>
        <v>44811162211</v>
      </c>
      <c r="K967" s="3" t="s">
        <v>33</v>
      </c>
      <c r="L967" s="3" t="str">
        <f t="shared" si="62"/>
        <v/>
      </c>
      <c r="M967" s="3" t="str">
        <f>CONCATENATE("SRA29")</f>
        <v>SRA29</v>
      </c>
      <c r="N967" s="3" t="str">
        <f>CONCATENATE("STLNGL64R53H163D")</f>
        <v>STLNGL64R53H163D</v>
      </c>
      <c r="O967" s="3" t="s">
        <v>1496</v>
      </c>
      <c r="P967" s="3" t="s">
        <v>35</v>
      </c>
      <c r="Q967" s="3" t="s">
        <v>1492</v>
      </c>
      <c r="R967" s="4">
        <v>45915</v>
      </c>
      <c r="S967" s="3" t="s">
        <v>37</v>
      </c>
      <c r="T967" s="3" t="s">
        <v>38</v>
      </c>
      <c r="U967" s="3" t="s">
        <v>39</v>
      </c>
      <c r="V967" s="5">
        <v>3919.77</v>
      </c>
      <c r="W967" s="5">
        <v>1979.48</v>
      </c>
      <c r="X967" s="5">
        <v>1358.2</v>
      </c>
      <c r="Y967" s="3">
        <v>582.09</v>
      </c>
    </row>
    <row r="968" spans="1:25" ht="41.5" hidden="1" x14ac:dyDescent="0.35">
      <c r="A968" s="3" t="s">
        <v>26</v>
      </c>
      <c r="B968" s="3" t="s">
        <v>27</v>
      </c>
      <c r="C968" s="3" t="s">
        <v>658</v>
      </c>
      <c r="D968" s="3" t="s">
        <v>41</v>
      </c>
      <c r="E968" s="3" t="s">
        <v>1497</v>
      </c>
      <c r="F968" s="3" t="s">
        <v>43</v>
      </c>
      <c r="G968" s="3" t="s">
        <v>1497</v>
      </c>
      <c r="H968" s="3" t="s">
        <v>660</v>
      </c>
      <c r="I968" s="3">
        <v>2024</v>
      </c>
      <c r="J968" s="3" t="str">
        <f>CONCATENATE("44820241717")</f>
        <v>44820241717</v>
      </c>
      <c r="K968" s="3" t="s">
        <v>33</v>
      </c>
      <c r="L968" s="3" t="str">
        <f t="shared" si="62"/>
        <v/>
      </c>
      <c r="M968" s="3" t="str">
        <f>CONCATENATE("SRC01")</f>
        <v>SRC01</v>
      </c>
      <c r="N968" s="3" t="str">
        <f>CONCATENATE("DLBPLA61R28A326C")</f>
        <v>DLBPLA61R28A326C</v>
      </c>
      <c r="O968" s="3" t="s">
        <v>1498</v>
      </c>
      <c r="P968" s="3" t="s">
        <v>35</v>
      </c>
      <c r="Q968" s="3" t="s">
        <v>1380</v>
      </c>
      <c r="R968" s="4">
        <v>45926</v>
      </c>
      <c r="S968" s="3" t="s">
        <v>37</v>
      </c>
      <c r="T968" s="3" t="s">
        <v>38</v>
      </c>
      <c r="U968" s="3" t="s">
        <v>39</v>
      </c>
      <c r="V968" s="5">
        <v>7336.5</v>
      </c>
      <c r="W968" s="5">
        <v>2985.96</v>
      </c>
      <c r="X968" s="5">
        <v>3045.38</v>
      </c>
      <c r="Y968" s="5">
        <v>1305.1600000000001</v>
      </c>
    </row>
    <row r="969" spans="1:25" ht="41.5" hidden="1" x14ac:dyDescent="0.35">
      <c r="A969" s="3" t="s">
        <v>26</v>
      </c>
      <c r="B969" s="3" t="s">
        <v>27</v>
      </c>
      <c r="C969" s="3" t="s">
        <v>470</v>
      </c>
      <c r="D969" s="3" t="s">
        <v>61</v>
      </c>
      <c r="E969" s="3" t="s">
        <v>1499</v>
      </c>
      <c r="F969" s="3" t="s">
        <v>63</v>
      </c>
      <c r="G969" s="3" t="s">
        <v>1499</v>
      </c>
      <c r="H969" s="3" t="s">
        <v>472</v>
      </c>
      <c r="I969" s="3">
        <v>2024</v>
      </c>
      <c r="J969" s="3" t="str">
        <f>CONCATENATE("44820490090")</f>
        <v>44820490090</v>
      </c>
      <c r="K969" s="3" t="s">
        <v>33</v>
      </c>
      <c r="L969" s="3" t="str">
        <f t="shared" si="62"/>
        <v/>
      </c>
      <c r="M969" s="3" t="str">
        <f>CONCATENATE("SRB01")</f>
        <v>SRB01</v>
      </c>
      <c r="N969" s="3" t="str">
        <f>CONCATENATE("RBRGPP47B15I917O")</f>
        <v>RBRGPP47B15I917O</v>
      </c>
      <c r="O969" s="3" t="s">
        <v>1500</v>
      </c>
      <c r="P969" s="3" t="s">
        <v>35</v>
      </c>
      <c r="Q969" s="3" t="s">
        <v>1381</v>
      </c>
      <c r="R969" s="4">
        <v>45916</v>
      </c>
      <c r="S969" s="3" t="s">
        <v>37</v>
      </c>
      <c r="T969" s="3" t="s">
        <v>38</v>
      </c>
      <c r="U969" s="3" t="s">
        <v>39</v>
      </c>
      <c r="V969" s="3">
        <v>533.58000000000004</v>
      </c>
      <c r="W969" s="3">
        <v>269.45999999999998</v>
      </c>
      <c r="X969" s="3">
        <v>184.89</v>
      </c>
      <c r="Y969" s="3">
        <v>79.23</v>
      </c>
    </row>
    <row r="970" spans="1:25" ht="41.5" hidden="1" x14ac:dyDescent="0.35">
      <c r="A970" s="3" t="s">
        <v>26</v>
      </c>
      <c r="B970" s="3" t="s">
        <v>27</v>
      </c>
      <c r="C970" s="3" t="s">
        <v>470</v>
      </c>
      <c r="D970" s="3" t="s">
        <v>41</v>
      </c>
      <c r="E970" s="3" t="s">
        <v>1501</v>
      </c>
      <c r="F970" s="3" t="s">
        <v>43</v>
      </c>
      <c r="G970" s="3" t="s">
        <v>1501</v>
      </c>
      <c r="H970" s="3" t="s">
        <v>472</v>
      </c>
      <c r="I970" s="3">
        <v>2024</v>
      </c>
      <c r="J970" s="3" t="str">
        <f>CONCATENATE("44820403358")</f>
        <v>44820403358</v>
      </c>
      <c r="K970" s="3" t="s">
        <v>33</v>
      </c>
      <c r="L970" s="3" t="str">
        <f t="shared" si="62"/>
        <v/>
      </c>
      <c r="M970" s="3" t="str">
        <f>CONCATENATE("SRB01")</f>
        <v>SRB01</v>
      </c>
      <c r="N970" s="3" t="str">
        <f>CONCATENATE("TRVGDE98R11G942C")</f>
        <v>TRVGDE98R11G942C</v>
      </c>
      <c r="O970" s="3" t="s">
        <v>1502</v>
      </c>
      <c r="P970" s="3" t="s">
        <v>35</v>
      </c>
      <c r="Q970" s="3" t="s">
        <v>1381</v>
      </c>
      <c r="R970" s="4">
        <v>45916</v>
      </c>
      <c r="S970" s="3" t="s">
        <v>37</v>
      </c>
      <c r="T970" s="3" t="s">
        <v>38</v>
      </c>
      <c r="U970" s="3" t="s">
        <v>39</v>
      </c>
      <c r="V970" s="5">
        <v>3349.82</v>
      </c>
      <c r="W970" s="5">
        <v>1691.66</v>
      </c>
      <c r="X970" s="5">
        <v>1160.71</v>
      </c>
      <c r="Y970" s="3">
        <v>497.45</v>
      </c>
    </row>
    <row r="971" spans="1:25" ht="41.5" hidden="1" x14ac:dyDescent="0.35">
      <c r="A971" s="3" t="s">
        <v>26</v>
      </c>
      <c r="B971" s="3" t="s">
        <v>27</v>
      </c>
      <c r="C971" s="3" t="s">
        <v>470</v>
      </c>
      <c r="D971" s="3" t="s">
        <v>41</v>
      </c>
      <c r="E971" s="3" t="s">
        <v>770</v>
      </c>
      <c r="F971" s="3" t="s">
        <v>43</v>
      </c>
      <c r="G971" s="3" t="s">
        <v>770</v>
      </c>
      <c r="H971" s="3" t="s">
        <v>664</v>
      </c>
      <c r="I971" s="3">
        <v>2024</v>
      </c>
      <c r="J971" s="3" t="str">
        <f>CONCATENATE("44810921229")</f>
        <v>44810921229</v>
      </c>
      <c r="K971" s="3" t="s">
        <v>33</v>
      </c>
      <c r="L971" s="3" t="str">
        <f t="shared" si="62"/>
        <v/>
      </c>
      <c r="M971" s="3" t="str">
        <f>CONCATENATE("SRA01")</f>
        <v>SRA01</v>
      </c>
      <c r="N971" s="3" t="str">
        <f>CONCATENATE("CRCNGL91D12F052N")</f>
        <v>CRCNGL91D12F052N</v>
      </c>
      <c r="O971" s="3" t="s">
        <v>1503</v>
      </c>
      <c r="P971" s="3" t="s">
        <v>35</v>
      </c>
      <c r="Q971" s="3" t="s">
        <v>1383</v>
      </c>
      <c r="R971" s="4">
        <v>45915</v>
      </c>
      <c r="S971" s="3" t="s">
        <v>37</v>
      </c>
      <c r="T971" s="3" t="s">
        <v>38</v>
      </c>
      <c r="U971" s="3" t="s">
        <v>39</v>
      </c>
      <c r="V971" s="5">
        <v>3904</v>
      </c>
      <c r="W971" s="5">
        <v>1971.52</v>
      </c>
      <c r="X971" s="5">
        <v>1352.74</v>
      </c>
      <c r="Y971" s="3">
        <v>579.74</v>
      </c>
    </row>
    <row r="972" spans="1:25" ht="41.5" hidden="1" x14ac:dyDescent="0.35">
      <c r="A972" s="3" t="s">
        <v>26</v>
      </c>
      <c r="B972" s="3" t="s">
        <v>27</v>
      </c>
      <c r="C972" s="3" t="s">
        <v>470</v>
      </c>
      <c r="D972" s="3" t="s">
        <v>29</v>
      </c>
      <c r="E972" s="3" t="s">
        <v>199</v>
      </c>
      <c r="F972" s="3" t="s">
        <v>31</v>
      </c>
      <c r="G972" s="3" t="s">
        <v>199</v>
      </c>
      <c r="H972" s="3" t="s">
        <v>664</v>
      </c>
      <c r="I972" s="3">
        <v>2024</v>
      </c>
      <c r="J972" s="3" t="str">
        <f>CONCATENATE("44811916640")</f>
        <v>44811916640</v>
      </c>
      <c r="K972" s="3" t="s">
        <v>33</v>
      </c>
      <c r="L972" s="3" t="str">
        <f t="shared" si="62"/>
        <v/>
      </c>
      <c r="M972" s="3" t="str">
        <f>CONCATENATE("SRA01")</f>
        <v>SRA01</v>
      </c>
      <c r="N972" s="3" t="str">
        <f>CONCATENATE("PTNDNC60C20D862T")</f>
        <v>PTNDNC60C20D862T</v>
      </c>
      <c r="O972" s="3" t="s">
        <v>1504</v>
      </c>
      <c r="P972" s="3" t="s">
        <v>35</v>
      </c>
      <c r="Q972" s="3" t="s">
        <v>1383</v>
      </c>
      <c r="R972" s="4">
        <v>45915</v>
      </c>
      <c r="S972" s="3" t="s">
        <v>37</v>
      </c>
      <c r="T972" s="3" t="s">
        <v>38</v>
      </c>
      <c r="U972" s="3" t="s">
        <v>39</v>
      </c>
      <c r="V972" s="5">
        <v>15959.07</v>
      </c>
      <c r="W972" s="5">
        <v>8059.33</v>
      </c>
      <c r="X972" s="5">
        <v>5529.82</v>
      </c>
      <c r="Y972" s="5">
        <v>2369.92</v>
      </c>
    </row>
    <row r="973" spans="1:25" ht="41.5" hidden="1" x14ac:dyDescent="0.35">
      <c r="A973" s="3" t="s">
        <v>26</v>
      </c>
      <c r="B973" s="3" t="s">
        <v>27</v>
      </c>
      <c r="C973" s="3" t="s">
        <v>470</v>
      </c>
      <c r="D973" s="3" t="s">
        <v>234</v>
      </c>
      <c r="E973" s="3" t="s">
        <v>1505</v>
      </c>
      <c r="F973" s="3" t="s">
        <v>119</v>
      </c>
      <c r="G973" s="3" t="s">
        <v>1505</v>
      </c>
      <c r="H973" s="3" t="s">
        <v>664</v>
      </c>
      <c r="I973" s="3">
        <v>2024</v>
      </c>
      <c r="J973" s="3" t="str">
        <f>CONCATENATE("44810294221")</f>
        <v>44810294221</v>
      </c>
      <c r="K973" s="3" t="s">
        <v>33</v>
      </c>
      <c r="L973" s="3" t="str">
        <f t="shared" si="62"/>
        <v/>
      </c>
      <c r="M973" s="3" t="str">
        <f>CONCATENATE("SRA01")</f>
        <v>SRA01</v>
      </c>
      <c r="N973" s="3" t="str">
        <f>CONCATENATE("SRDMFR00L22G712P")</f>
        <v>SRDMFR00L22G712P</v>
      </c>
      <c r="O973" s="3" t="s">
        <v>1506</v>
      </c>
      <c r="P973" s="3" t="s">
        <v>35</v>
      </c>
      <c r="Q973" s="3" t="s">
        <v>1383</v>
      </c>
      <c r="R973" s="4">
        <v>45915</v>
      </c>
      <c r="S973" s="3" t="s">
        <v>37</v>
      </c>
      <c r="T973" s="3" t="s">
        <v>38</v>
      </c>
      <c r="U973" s="3" t="s">
        <v>39</v>
      </c>
      <c r="V973" s="5">
        <v>2331.41</v>
      </c>
      <c r="W973" s="5">
        <v>1177.3599999999999</v>
      </c>
      <c r="X973" s="3">
        <v>807.83</v>
      </c>
      <c r="Y973" s="3">
        <v>346.22</v>
      </c>
    </row>
    <row r="974" spans="1:25" ht="49.5" hidden="1" x14ac:dyDescent="0.35">
      <c r="A974" s="3" t="s">
        <v>26</v>
      </c>
      <c r="B974" s="3" t="s">
        <v>27</v>
      </c>
      <c r="C974" s="3" t="s">
        <v>90</v>
      </c>
      <c r="D974" s="3" t="s">
        <v>99</v>
      </c>
      <c r="E974" s="3" t="s">
        <v>1463</v>
      </c>
      <c r="F974" s="3" t="s">
        <v>101</v>
      </c>
      <c r="G974" s="3" t="s">
        <v>1463</v>
      </c>
      <c r="H974" s="3" t="s">
        <v>96</v>
      </c>
      <c r="I974" s="3">
        <v>2024</v>
      </c>
      <c r="J974" s="3" t="str">
        <f>CONCATENATE("44811009966")</f>
        <v>44811009966</v>
      </c>
      <c r="K974" s="3" t="s">
        <v>33</v>
      </c>
      <c r="L974" s="3" t="str">
        <f t="shared" si="62"/>
        <v/>
      </c>
      <c r="M974" s="3" t="str">
        <f t="shared" ref="M974:M1013" si="63">CONCATENATE("SRA29")</f>
        <v>SRA29</v>
      </c>
      <c r="N974" s="3" t="str">
        <f>CONCATENATE("NDLCGR60D12A195H")</f>
        <v>NDLCGR60D12A195H</v>
      </c>
      <c r="O974" s="3" t="s">
        <v>1507</v>
      </c>
      <c r="P974" s="3" t="s">
        <v>35</v>
      </c>
      <c r="Q974" s="3" t="s">
        <v>1384</v>
      </c>
      <c r="R974" s="4">
        <v>45931</v>
      </c>
      <c r="S974" s="3" t="s">
        <v>37</v>
      </c>
      <c r="T974" s="3" t="s">
        <v>38</v>
      </c>
      <c r="U974" s="3" t="s">
        <v>39</v>
      </c>
      <c r="V974" s="3">
        <v>724.47</v>
      </c>
      <c r="W974" s="3">
        <v>365.86</v>
      </c>
      <c r="X974" s="3">
        <v>251.03</v>
      </c>
      <c r="Y974" s="3">
        <v>107.58</v>
      </c>
    </row>
    <row r="975" spans="1:25" ht="41.5" hidden="1" x14ac:dyDescent="0.35">
      <c r="A975" s="3" t="s">
        <v>26</v>
      </c>
      <c r="B975" s="3" t="s">
        <v>27</v>
      </c>
      <c r="C975" s="3" t="s">
        <v>90</v>
      </c>
      <c r="D975" s="3" t="s">
        <v>164</v>
      </c>
      <c r="E975" s="3" t="s">
        <v>337</v>
      </c>
      <c r="F975" s="3" t="s">
        <v>166</v>
      </c>
      <c r="G975" s="3" t="s">
        <v>337</v>
      </c>
      <c r="H975" s="3" t="s">
        <v>96</v>
      </c>
      <c r="I975" s="3">
        <v>2024</v>
      </c>
      <c r="J975" s="3" t="str">
        <f>CONCATENATE("44810249597")</f>
        <v>44810249597</v>
      </c>
      <c r="K975" s="3" t="s">
        <v>33</v>
      </c>
      <c r="L975" s="3" t="str">
        <f t="shared" si="62"/>
        <v/>
      </c>
      <c r="M975" s="3" t="str">
        <f t="shared" si="63"/>
        <v>SRA29</v>
      </c>
      <c r="N975" s="3" t="str">
        <f>CONCATENATE("NTSNCR56L56C067Z")</f>
        <v>NTSNCR56L56C067Z</v>
      </c>
      <c r="O975" s="3" t="s">
        <v>1508</v>
      </c>
      <c r="P975" s="3" t="s">
        <v>35</v>
      </c>
      <c r="Q975" s="3" t="s">
        <v>1384</v>
      </c>
      <c r="R975" s="4">
        <v>45931</v>
      </c>
      <c r="S975" s="3" t="s">
        <v>37</v>
      </c>
      <c r="T975" s="3" t="s">
        <v>38</v>
      </c>
      <c r="U975" s="3" t="s">
        <v>39</v>
      </c>
      <c r="V975" s="5">
        <v>13174.26</v>
      </c>
      <c r="W975" s="5">
        <v>6653</v>
      </c>
      <c r="X975" s="5">
        <v>4564.88</v>
      </c>
      <c r="Y975" s="5">
        <v>1956.38</v>
      </c>
    </row>
    <row r="976" spans="1:25" ht="41.5" hidden="1" x14ac:dyDescent="0.35">
      <c r="A976" s="3" t="s">
        <v>26</v>
      </c>
      <c r="B976" s="3" t="s">
        <v>27</v>
      </c>
      <c r="C976" s="3" t="s">
        <v>90</v>
      </c>
      <c r="D976" s="3" t="s">
        <v>99</v>
      </c>
      <c r="E976" s="3" t="s">
        <v>1509</v>
      </c>
      <c r="F976" s="3" t="s">
        <v>101</v>
      </c>
      <c r="G976" s="3" t="s">
        <v>1509</v>
      </c>
      <c r="H976" s="3" t="s">
        <v>96</v>
      </c>
      <c r="I976" s="3">
        <v>2024</v>
      </c>
      <c r="J976" s="3" t="str">
        <f>CONCATENATE("44811258050")</f>
        <v>44811258050</v>
      </c>
      <c r="K976" s="3" t="s">
        <v>33</v>
      </c>
      <c r="L976" s="3" t="str">
        <f t="shared" si="62"/>
        <v/>
      </c>
      <c r="M976" s="3" t="str">
        <f t="shared" si="63"/>
        <v>SRA29</v>
      </c>
      <c r="N976" s="3" t="str">
        <f>CONCATENATE("RMTCGR58M61I533O")</f>
        <v>RMTCGR58M61I533O</v>
      </c>
      <c r="O976" s="3" t="s">
        <v>1510</v>
      </c>
      <c r="P976" s="3" t="s">
        <v>35</v>
      </c>
      <c r="Q976" s="3" t="s">
        <v>1384</v>
      </c>
      <c r="R976" s="4">
        <v>45931</v>
      </c>
      <c r="S976" s="3" t="s">
        <v>37</v>
      </c>
      <c r="T976" s="3" t="s">
        <v>38</v>
      </c>
      <c r="U976" s="3" t="s">
        <v>39</v>
      </c>
      <c r="V976" s="5">
        <v>5495.56</v>
      </c>
      <c r="W976" s="5">
        <v>2775.26</v>
      </c>
      <c r="X976" s="5">
        <v>1904.21</v>
      </c>
      <c r="Y976" s="3">
        <v>816.09</v>
      </c>
    </row>
    <row r="977" spans="1:25" ht="41.5" hidden="1" x14ac:dyDescent="0.35">
      <c r="A977" s="3" t="s">
        <v>26</v>
      </c>
      <c r="B977" s="3" t="s">
        <v>27</v>
      </c>
      <c r="C977" s="3" t="s">
        <v>90</v>
      </c>
      <c r="D977" s="3" t="s">
        <v>41</v>
      </c>
      <c r="E977" s="3" t="s">
        <v>264</v>
      </c>
      <c r="F977" s="3" t="s">
        <v>43</v>
      </c>
      <c r="G977" s="3" t="s">
        <v>264</v>
      </c>
      <c r="H977" s="3" t="s">
        <v>96</v>
      </c>
      <c r="I977" s="3">
        <v>2024</v>
      </c>
      <c r="J977" s="3" t="str">
        <f>CONCATENATE("44810533867")</f>
        <v>44810533867</v>
      </c>
      <c r="K977" s="3" t="s">
        <v>33</v>
      </c>
      <c r="L977" s="3" t="str">
        <f t="shared" si="62"/>
        <v/>
      </c>
      <c r="M977" s="3" t="str">
        <f t="shared" si="63"/>
        <v>SRA29</v>
      </c>
      <c r="N977" s="3" t="str">
        <f>CONCATENATE("BDLCRN98M43G273J")</f>
        <v>BDLCRN98M43G273J</v>
      </c>
      <c r="O977" s="3" t="s">
        <v>1511</v>
      </c>
      <c r="P977" s="3" t="s">
        <v>35</v>
      </c>
      <c r="Q977" s="3" t="s">
        <v>1384</v>
      </c>
      <c r="R977" s="4">
        <v>45931</v>
      </c>
      <c r="S977" s="3" t="s">
        <v>37</v>
      </c>
      <c r="T977" s="3" t="s">
        <v>38</v>
      </c>
      <c r="U977" s="3" t="s">
        <v>39</v>
      </c>
      <c r="V977" s="3">
        <v>998.65</v>
      </c>
      <c r="W977" s="3">
        <v>504.32</v>
      </c>
      <c r="X977" s="3">
        <v>346.03</v>
      </c>
      <c r="Y977" s="3">
        <v>148.30000000000001</v>
      </c>
    </row>
    <row r="978" spans="1:25" ht="33.5" hidden="1" x14ac:dyDescent="0.35">
      <c r="A978" s="3" t="s">
        <v>26</v>
      </c>
      <c r="B978" s="3" t="s">
        <v>27</v>
      </c>
      <c r="C978" s="3" t="s">
        <v>90</v>
      </c>
      <c r="D978" s="3" t="s">
        <v>364</v>
      </c>
      <c r="E978" s="3" t="s">
        <v>365</v>
      </c>
      <c r="F978" s="3" t="s">
        <v>85</v>
      </c>
      <c r="G978" s="3" t="s">
        <v>258</v>
      </c>
      <c r="H978" s="3" t="s">
        <v>96</v>
      </c>
      <c r="I978" s="3">
        <v>2024</v>
      </c>
      <c r="J978" s="3" t="str">
        <f>CONCATENATE("44810531200")</f>
        <v>44810531200</v>
      </c>
      <c r="K978" s="3" t="s">
        <v>33</v>
      </c>
      <c r="L978" s="3" t="str">
        <f t="shared" si="62"/>
        <v/>
      </c>
      <c r="M978" s="3" t="str">
        <f t="shared" si="63"/>
        <v>SRA29</v>
      </c>
      <c r="N978" s="3" t="str">
        <f>CONCATENATE("CLCPLA55C43C871Y")</f>
        <v>CLCPLA55C43C871Y</v>
      </c>
      <c r="O978" s="3" t="s">
        <v>1512</v>
      </c>
      <c r="P978" s="3" t="s">
        <v>35</v>
      </c>
      <c r="Q978" s="3" t="s">
        <v>1384</v>
      </c>
      <c r="R978" s="4">
        <v>45931</v>
      </c>
      <c r="S978" s="3" t="s">
        <v>37</v>
      </c>
      <c r="T978" s="3" t="s">
        <v>38</v>
      </c>
      <c r="U978" s="3" t="s">
        <v>39</v>
      </c>
      <c r="V978" s="5">
        <v>16347.54</v>
      </c>
      <c r="W978" s="5">
        <v>8255.51</v>
      </c>
      <c r="X978" s="5">
        <v>5664.42</v>
      </c>
      <c r="Y978" s="5">
        <v>2427.61</v>
      </c>
    </row>
    <row r="979" spans="1:25" ht="25.5" hidden="1" x14ac:dyDescent="0.35">
      <c r="A979" s="3" t="s">
        <v>26</v>
      </c>
      <c r="B979" s="3" t="s">
        <v>27</v>
      </c>
      <c r="C979" s="3" t="s">
        <v>28</v>
      </c>
      <c r="D979" s="3" t="s">
        <v>425</v>
      </c>
      <c r="E979" s="3" t="s">
        <v>1513</v>
      </c>
      <c r="F979" s="3" t="s">
        <v>101</v>
      </c>
      <c r="G979" s="3" t="s">
        <v>999</v>
      </c>
      <c r="H979" s="3" t="s">
        <v>72</v>
      </c>
      <c r="I979" s="3">
        <v>2024</v>
      </c>
      <c r="J979" s="3" t="str">
        <f>CONCATENATE("44811145521")</f>
        <v>44811145521</v>
      </c>
      <c r="K979" s="3" t="s">
        <v>33</v>
      </c>
      <c r="L979" s="3" t="str">
        <f t="shared" si="62"/>
        <v/>
      </c>
      <c r="M979" s="3" t="str">
        <f t="shared" si="63"/>
        <v>SRA29</v>
      </c>
      <c r="N979" s="3" t="str">
        <f>CONCATENATE("08721340720")</f>
        <v>08721340720</v>
      </c>
      <c r="O979" s="3" t="s">
        <v>1514</v>
      </c>
      <c r="P979" s="3" t="s">
        <v>35</v>
      </c>
      <c r="Q979" s="3" t="s">
        <v>1389</v>
      </c>
      <c r="R979" s="4">
        <v>45916</v>
      </c>
      <c r="S979" s="3" t="s">
        <v>37</v>
      </c>
      <c r="T979" s="3" t="s">
        <v>38</v>
      </c>
      <c r="U979" s="3" t="s">
        <v>39</v>
      </c>
      <c r="V979" s="3">
        <v>50.89</v>
      </c>
      <c r="W979" s="3">
        <v>25.7</v>
      </c>
      <c r="X979" s="3">
        <v>17.63</v>
      </c>
      <c r="Y979" s="3">
        <v>7.56</v>
      </c>
    </row>
    <row r="980" spans="1:25" ht="41.5" hidden="1" x14ac:dyDescent="0.35">
      <c r="A980" s="3" t="s">
        <v>26</v>
      </c>
      <c r="B980" s="3" t="s">
        <v>27</v>
      </c>
      <c r="C980" s="3" t="s">
        <v>28</v>
      </c>
      <c r="D980" s="3" t="s">
        <v>69</v>
      </c>
      <c r="E980" s="3" t="s">
        <v>1427</v>
      </c>
      <c r="F980" s="3" t="s">
        <v>71</v>
      </c>
      <c r="G980" s="3" t="s">
        <v>1427</v>
      </c>
      <c r="H980" s="3" t="s">
        <v>1403</v>
      </c>
      <c r="I980" s="3">
        <v>2024</v>
      </c>
      <c r="J980" s="3" t="str">
        <f>CONCATENATE("44810105054")</f>
        <v>44810105054</v>
      </c>
      <c r="K980" s="3" t="s">
        <v>33</v>
      </c>
      <c r="L980" s="3" t="str">
        <f t="shared" si="62"/>
        <v/>
      </c>
      <c r="M980" s="3" t="str">
        <f t="shared" si="63"/>
        <v>SRA29</v>
      </c>
      <c r="N980" s="3" t="str">
        <f>CONCATENATE("NTNGRB65E25E506U")</f>
        <v>NTNGRB65E25E506U</v>
      </c>
      <c r="O980" s="3" t="s">
        <v>1515</v>
      </c>
      <c r="P980" s="3" t="s">
        <v>35</v>
      </c>
      <c r="Q980" s="3" t="s">
        <v>1389</v>
      </c>
      <c r="R980" s="4">
        <v>45916</v>
      </c>
      <c r="S980" s="3" t="s">
        <v>37</v>
      </c>
      <c r="T980" s="3" t="s">
        <v>38</v>
      </c>
      <c r="U980" s="3" t="s">
        <v>39</v>
      </c>
      <c r="V980" s="3">
        <v>26.1</v>
      </c>
      <c r="W980" s="3">
        <v>13.18</v>
      </c>
      <c r="X980" s="3">
        <v>9.0399999999999991</v>
      </c>
      <c r="Y980" s="3">
        <v>3.88</v>
      </c>
    </row>
    <row r="981" spans="1:25" ht="25.5" hidden="1" x14ac:dyDescent="0.35">
      <c r="A981" s="3" t="s">
        <v>26</v>
      </c>
      <c r="B981" s="3" t="s">
        <v>27</v>
      </c>
      <c r="C981" s="3" t="s">
        <v>28</v>
      </c>
      <c r="D981" s="3" t="s">
        <v>61</v>
      </c>
      <c r="E981" s="3" t="s">
        <v>1396</v>
      </c>
      <c r="F981" s="3" t="s">
        <v>63</v>
      </c>
      <c r="G981" s="3" t="s">
        <v>1396</v>
      </c>
      <c r="H981" s="3" t="s">
        <v>72</v>
      </c>
      <c r="I981" s="3">
        <v>2024</v>
      </c>
      <c r="J981" s="3" t="str">
        <f>CONCATENATE("44811171253")</f>
        <v>44811171253</v>
      </c>
      <c r="K981" s="3" t="s">
        <v>33</v>
      </c>
      <c r="L981" s="3" t="str">
        <f t="shared" si="62"/>
        <v/>
      </c>
      <c r="M981" s="3" t="str">
        <f t="shared" si="63"/>
        <v>SRA29</v>
      </c>
      <c r="N981" s="3" t="str">
        <f>CONCATENATE("05062190722")</f>
        <v>05062190722</v>
      </c>
      <c r="O981" s="3" t="s">
        <v>1516</v>
      </c>
      <c r="P981" s="3" t="s">
        <v>35</v>
      </c>
      <c r="Q981" s="3" t="s">
        <v>1389</v>
      </c>
      <c r="R981" s="4">
        <v>45916</v>
      </c>
      <c r="S981" s="3" t="s">
        <v>37</v>
      </c>
      <c r="T981" s="3" t="s">
        <v>38</v>
      </c>
      <c r="U981" s="3" t="s">
        <v>39</v>
      </c>
      <c r="V981" s="3">
        <v>256.20999999999998</v>
      </c>
      <c r="W981" s="3">
        <v>129.38999999999999</v>
      </c>
      <c r="X981" s="3">
        <v>88.78</v>
      </c>
      <c r="Y981" s="3">
        <v>38.04</v>
      </c>
    </row>
    <row r="982" spans="1:25" ht="49.5" hidden="1" x14ac:dyDescent="0.35">
      <c r="A982" s="3" t="s">
        <v>26</v>
      </c>
      <c r="B982" s="3" t="s">
        <v>27</v>
      </c>
      <c r="C982" s="3" t="s">
        <v>28</v>
      </c>
      <c r="D982" s="3" t="s">
        <v>51</v>
      </c>
      <c r="E982" s="3" t="s">
        <v>1517</v>
      </c>
      <c r="F982" s="3" t="s">
        <v>77</v>
      </c>
      <c r="G982" s="3" t="s">
        <v>1518</v>
      </c>
      <c r="H982" s="3" t="s">
        <v>32</v>
      </c>
      <c r="I982" s="3">
        <v>2024</v>
      </c>
      <c r="J982" s="3" t="str">
        <f>CONCATENATE("44810935245")</f>
        <v>44810935245</v>
      </c>
      <c r="K982" s="3" t="s">
        <v>33</v>
      </c>
      <c r="L982" s="3" t="str">
        <f t="shared" si="62"/>
        <v/>
      </c>
      <c r="M982" s="3" t="str">
        <f t="shared" si="63"/>
        <v>SRA29</v>
      </c>
      <c r="N982" s="3" t="str">
        <f>CONCATENATE("ZZRFNC91R24H926N")</f>
        <v>ZZRFNC91R24H926N</v>
      </c>
      <c r="O982" s="3" t="s">
        <v>1519</v>
      </c>
      <c r="P982" s="3" t="s">
        <v>35</v>
      </c>
      <c r="Q982" s="3" t="s">
        <v>1389</v>
      </c>
      <c r="R982" s="4">
        <v>45916</v>
      </c>
      <c r="S982" s="3" t="s">
        <v>37</v>
      </c>
      <c r="T982" s="3" t="s">
        <v>38</v>
      </c>
      <c r="U982" s="3" t="s">
        <v>39</v>
      </c>
      <c r="V982" s="3">
        <v>267.95</v>
      </c>
      <c r="W982" s="3">
        <v>135.31</v>
      </c>
      <c r="X982" s="3">
        <v>92.84</v>
      </c>
      <c r="Y982" s="3">
        <v>39.799999999999997</v>
      </c>
    </row>
    <row r="983" spans="1:25" ht="41.5" hidden="1" x14ac:dyDescent="0.35">
      <c r="A983" s="3" t="s">
        <v>26</v>
      </c>
      <c r="B983" s="3" t="s">
        <v>27</v>
      </c>
      <c r="C983" s="3" t="s">
        <v>28</v>
      </c>
      <c r="D983" s="3" t="s">
        <v>61</v>
      </c>
      <c r="E983" s="3" t="s">
        <v>1520</v>
      </c>
      <c r="F983" s="3" t="s">
        <v>63</v>
      </c>
      <c r="G983" s="3" t="s">
        <v>1520</v>
      </c>
      <c r="H983" s="3" t="s">
        <v>1403</v>
      </c>
      <c r="I983" s="3">
        <v>2024</v>
      </c>
      <c r="J983" s="3" t="str">
        <f>CONCATENATE("44810641876")</f>
        <v>44810641876</v>
      </c>
      <c r="K983" s="3" t="s">
        <v>33</v>
      </c>
      <c r="L983" s="3" t="str">
        <f t="shared" si="62"/>
        <v/>
      </c>
      <c r="M983" s="3" t="str">
        <f t="shared" si="63"/>
        <v>SRA29</v>
      </c>
      <c r="N983" s="3" t="str">
        <f>CONCATENATE("BFFRSO33S54D862A")</f>
        <v>BFFRSO33S54D862A</v>
      </c>
      <c r="O983" s="3" t="s">
        <v>1521</v>
      </c>
      <c r="P983" s="3" t="s">
        <v>35</v>
      </c>
      <c r="Q983" s="3" t="s">
        <v>1389</v>
      </c>
      <c r="R983" s="4">
        <v>45916</v>
      </c>
      <c r="S983" s="3" t="s">
        <v>37</v>
      </c>
      <c r="T983" s="3" t="s">
        <v>38</v>
      </c>
      <c r="U983" s="3" t="s">
        <v>39</v>
      </c>
      <c r="V983" s="5">
        <v>1627.11</v>
      </c>
      <c r="W983" s="3">
        <v>821.69</v>
      </c>
      <c r="X983" s="3">
        <v>563.79</v>
      </c>
      <c r="Y983" s="3">
        <v>241.63</v>
      </c>
    </row>
    <row r="984" spans="1:25" ht="25.5" hidden="1" x14ac:dyDescent="0.35">
      <c r="A984" s="3" t="s">
        <v>26</v>
      </c>
      <c r="B984" s="3" t="s">
        <v>27</v>
      </c>
      <c r="C984" s="3" t="s">
        <v>28</v>
      </c>
      <c r="D984" s="3" t="s">
        <v>75</v>
      </c>
      <c r="E984" s="3" t="s">
        <v>1010</v>
      </c>
      <c r="F984" s="3" t="s">
        <v>77</v>
      </c>
      <c r="G984" s="3" t="s">
        <v>1010</v>
      </c>
      <c r="H984" s="3" t="s">
        <v>32</v>
      </c>
      <c r="I984" s="3">
        <v>2024</v>
      </c>
      <c r="J984" s="3" t="str">
        <f>CONCATENATE("44810295673")</f>
        <v>44810295673</v>
      </c>
      <c r="K984" s="3" t="s">
        <v>33</v>
      </c>
      <c r="L984" s="3" t="str">
        <f t="shared" si="62"/>
        <v/>
      </c>
      <c r="M984" s="3" t="str">
        <f t="shared" si="63"/>
        <v>SRA29</v>
      </c>
      <c r="N984" s="3" t="str">
        <f>CONCATENATE("04066480718")</f>
        <v>04066480718</v>
      </c>
      <c r="O984" s="3" t="s">
        <v>1522</v>
      </c>
      <c r="P984" s="3" t="s">
        <v>35</v>
      </c>
      <c r="Q984" s="3" t="s">
        <v>1389</v>
      </c>
      <c r="R984" s="4">
        <v>45916</v>
      </c>
      <c r="S984" s="3" t="s">
        <v>37</v>
      </c>
      <c r="T984" s="3" t="s">
        <v>38</v>
      </c>
      <c r="U984" s="3" t="s">
        <v>39</v>
      </c>
      <c r="V984" s="3">
        <v>7.55</v>
      </c>
      <c r="W984" s="3">
        <v>3.81</v>
      </c>
      <c r="X984" s="3">
        <v>2.62</v>
      </c>
      <c r="Y984" s="3">
        <v>1.1200000000000001</v>
      </c>
    </row>
    <row r="985" spans="1:25" ht="49.5" hidden="1" x14ac:dyDescent="0.35">
      <c r="A985" s="3" t="s">
        <v>26</v>
      </c>
      <c r="B985" s="3" t="s">
        <v>27</v>
      </c>
      <c r="C985" s="3" t="s">
        <v>28</v>
      </c>
      <c r="D985" s="3" t="s">
        <v>61</v>
      </c>
      <c r="E985" s="3" t="s">
        <v>1523</v>
      </c>
      <c r="F985" s="3" t="s">
        <v>63</v>
      </c>
      <c r="G985" s="3" t="s">
        <v>1523</v>
      </c>
      <c r="H985" s="3" t="s">
        <v>32</v>
      </c>
      <c r="I985" s="3">
        <v>2024</v>
      </c>
      <c r="J985" s="3" t="str">
        <f>CONCATENATE("44810193720")</f>
        <v>44810193720</v>
      </c>
      <c r="K985" s="3" t="s">
        <v>33</v>
      </c>
      <c r="L985" s="3" t="str">
        <f t="shared" si="62"/>
        <v/>
      </c>
      <c r="M985" s="3" t="str">
        <f t="shared" si="63"/>
        <v>SRA29</v>
      </c>
      <c r="N985" s="3" t="str">
        <f>CONCATENATE("BSCGRG49M16B819H")</f>
        <v>BSCGRG49M16B819H</v>
      </c>
      <c r="O985" s="3" t="s">
        <v>1524</v>
      </c>
      <c r="P985" s="3" t="s">
        <v>35</v>
      </c>
      <c r="Q985" s="3" t="s">
        <v>1389</v>
      </c>
      <c r="R985" s="4">
        <v>45916</v>
      </c>
      <c r="S985" s="3" t="s">
        <v>37</v>
      </c>
      <c r="T985" s="3" t="s">
        <v>38</v>
      </c>
      <c r="U985" s="3" t="s">
        <v>39</v>
      </c>
      <c r="V985" s="3">
        <v>209.71</v>
      </c>
      <c r="W985" s="3">
        <v>105.9</v>
      </c>
      <c r="X985" s="3">
        <v>72.66</v>
      </c>
      <c r="Y985" s="3">
        <v>31.15</v>
      </c>
    </row>
    <row r="986" spans="1:25" ht="49.5" hidden="1" x14ac:dyDescent="0.35">
      <c r="A986" s="3" t="s">
        <v>26</v>
      </c>
      <c r="B986" s="3" t="s">
        <v>27</v>
      </c>
      <c r="C986" s="3" t="s">
        <v>28</v>
      </c>
      <c r="D986" s="3" t="s">
        <v>41</v>
      </c>
      <c r="E986" s="3" t="s">
        <v>1525</v>
      </c>
      <c r="F986" s="3" t="s">
        <v>43</v>
      </c>
      <c r="G986" s="3" t="s">
        <v>1525</v>
      </c>
      <c r="H986" s="3" t="s">
        <v>1403</v>
      </c>
      <c r="I986" s="3">
        <v>2024</v>
      </c>
      <c r="J986" s="3" t="str">
        <f>CONCATENATE("44811252640")</f>
        <v>44811252640</v>
      </c>
      <c r="K986" s="3" t="s">
        <v>33</v>
      </c>
      <c r="L986" s="3" t="str">
        <f t="shared" si="62"/>
        <v/>
      </c>
      <c r="M986" s="3" t="str">
        <f t="shared" si="63"/>
        <v>SRA29</v>
      </c>
      <c r="N986" s="3" t="str">
        <f>CONCATENATE("BRMMRC79B15D862A")</f>
        <v>BRMMRC79B15D862A</v>
      </c>
      <c r="O986" s="3" t="s">
        <v>1526</v>
      </c>
      <c r="P986" s="3" t="s">
        <v>35</v>
      </c>
      <c r="Q986" s="3" t="s">
        <v>1389</v>
      </c>
      <c r="R986" s="4">
        <v>45916</v>
      </c>
      <c r="S986" s="3" t="s">
        <v>37</v>
      </c>
      <c r="T986" s="3" t="s">
        <v>38</v>
      </c>
      <c r="U986" s="3" t="s">
        <v>39</v>
      </c>
      <c r="V986" s="3">
        <v>647.86</v>
      </c>
      <c r="W986" s="3">
        <v>327.17</v>
      </c>
      <c r="X986" s="3">
        <v>224.48</v>
      </c>
      <c r="Y986" s="3">
        <v>96.21</v>
      </c>
    </row>
    <row r="987" spans="1:25" ht="41.5" hidden="1" x14ac:dyDescent="0.35">
      <c r="A987" s="3" t="s">
        <v>26</v>
      </c>
      <c r="B987" s="3" t="s">
        <v>27</v>
      </c>
      <c r="C987" s="3" t="s">
        <v>28</v>
      </c>
      <c r="D987" s="3" t="s">
        <v>51</v>
      </c>
      <c r="E987" s="3" t="s">
        <v>1517</v>
      </c>
      <c r="F987" s="3" t="s">
        <v>77</v>
      </c>
      <c r="G987" s="3" t="s">
        <v>1518</v>
      </c>
      <c r="H987" s="3" t="s">
        <v>32</v>
      </c>
      <c r="I987" s="3">
        <v>2024</v>
      </c>
      <c r="J987" s="3" t="str">
        <f>CONCATENATE("44811243540")</f>
        <v>44811243540</v>
      </c>
      <c r="K987" s="3" t="s">
        <v>33</v>
      </c>
      <c r="L987" s="3" t="str">
        <f t="shared" si="62"/>
        <v/>
      </c>
      <c r="M987" s="3" t="str">
        <f t="shared" si="63"/>
        <v>SRA29</v>
      </c>
      <c r="N987" s="3" t="str">
        <f>CONCATENATE("CNNMHL96S21H926I")</f>
        <v>CNNMHL96S21H926I</v>
      </c>
      <c r="O987" s="3" t="s">
        <v>1527</v>
      </c>
      <c r="P987" s="3" t="s">
        <v>35</v>
      </c>
      <c r="Q987" s="3" t="s">
        <v>1389</v>
      </c>
      <c r="R987" s="4">
        <v>45916</v>
      </c>
      <c r="S987" s="3" t="s">
        <v>37</v>
      </c>
      <c r="T987" s="3" t="s">
        <v>38</v>
      </c>
      <c r="U987" s="3" t="s">
        <v>39</v>
      </c>
      <c r="V987" s="5">
        <v>1506.46</v>
      </c>
      <c r="W987" s="3">
        <v>760.76</v>
      </c>
      <c r="X987" s="3">
        <v>521.99</v>
      </c>
      <c r="Y987" s="3">
        <v>223.71</v>
      </c>
    </row>
    <row r="988" spans="1:25" ht="41.5" hidden="1" x14ac:dyDescent="0.35">
      <c r="A988" s="3" t="s">
        <v>26</v>
      </c>
      <c r="B988" s="3" t="s">
        <v>27</v>
      </c>
      <c r="C988" s="3" t="s">
        <v>28</v>
      </c>
      <c r="D988" s="3" t="s">
        <v>41</v>
      </c>
      <c r="E988" s="3" t="s">
        <v>183</v>
      </c>
      <c r="F988" s="3" t="s">
        <v>101</v>
      </c>
      <c r="G988" s="3" t="s">
        <v>193</v>
      </c>
      <c r="H988" s="3" t="s">
        <v>72</v>
      </c>
      <c r="I988" s="3">
        <v>2024</v>
      </c>
      <c r="J988" s="3" t="str">
        <f>CONCATENATE("44811342896")</f>
        <v>44811342896</v>
      </c>
      <c r="K988" s="3" t="s">
        <v>33</v>
      </c>
      <c r="L988" s="3" t="str">
        <f t="shared" si="62"/>
        <v/>
      </c>
      <c r="M988" s="3" t="str">
        <f t="shared" si="63"/>
        <v>SRA29</v>
      </c>
      <c r="N988" s="3" t="str">
        <f>CONCATENATE("CSLGCM71C31A225S")</f>
        <v>CSLGCM71C31A225S</v>
      </c>
      <c r="O988" s="3" t="s">
        <v>1528</v>
      </c>
      <c r="P988" s="3" t="s">
        <v>35</v>
      </c>
      <c r="Q988" s="3" t="s">
        <v>1389</v>
      </c>
      <c r="R988" s="4">
        <v>45916</v>
      </c>
      <c r="S988" s="3" t="s">
        <v>37</v>
      </c>
      <c r="T988" s="3" t="s">
        <v>38</v>
      </c>
      <c r="U988" s="3" t="s">
        <v>39</v>
      </c>
      <c r="V988" s="5">
        <v>8295.26</v>
      </c>
      <c r="W988" s="5">
        <v>4189.1099999999997</v>
      </c>
      <c r="X988" s="5">
        <v>2874.31</v>
      </c>
      <c r="Y988" s="5">
        <v>1231.8399999999999</v>
      </c>
    </row>
    <row r="989" spans="1:25" ht="25.5" hidden="1" x14ac:dyDescent="0.35">
      <c r="A989" s="3" t="s">
        <v>26</v>
      </c>
      <c r="B989" s="3" t="s">
        <v>27</v>
      </c>
      <c r="C989" s="3" t="s">
        <v>28</v>
      </c>
      <c r="D989" s="3" t="s">
        <v>61</v>
      </c>
      <c r="E989" s="3" t="s">
        <v>1529</v>
      </c>
      <c r="F989" s="3" t="s">
        <v>63</v>
      </c>
      <c r="G989" s="3" t="s">
        <v>1529</v>
      </c>
      <c r="H989" s="3" t="s">
        <v>72</v>
      </c>
      <c r="I989" s="3">
        <v>2024</v>
      </c>
      <c r="J989" s="3" t="str">
        <f>CONCATENATE("44810136877")</f>
        <v>44810136877</v>
      </c>
      <c r="K989" s="3" t="s">
        <v>33</v>
      </c>
      <c r="L989" s="3" t="str">
        <f t="shared" si="62"/>
        <v/>
      </c>
      <c r="M989" s="3" t="str">
        <f t="shared" si="63"/>
        <v>SRA29</v>
      </c>
      <c r="N989" s="3" t="str">
        <f>CONCATENATE("07151320723")</f>
        <v>07151320723</v>
      </c>
      <c r="O989" s="3" t="s">
        <v>1530</v>
      </c>
      <c r="P989" s="3" t="s">
        <v>35</v>
      </c>
      <c r="Q989" s="3" t="s">
        <v>1389</v>
      </c>
      <c r="R989" s="4">
        <v>45916</v>
      </c>
      <c r="S989" s="3" t="s">
        <v>37</v>
      </c>
      <c r="T989" s="3" t="s">
        <v>38</v>
      </c>
      <c r="U989" s="3" t="s">
        <v>39</v>
      </c>
      <c r="V989" s="3">
        <v>361.15</v>
      </c>
      <c r="W989" s="3">
        <v>182.38</v>
      </c>
      <c r="X989" s="3">
        <v>125.14</v>
      </c>
      <c r="Y989" s="3">
        <v>53.63</v>
      </c>
    </row>
    <row r="990" spans="1:25" ht="41.5" hidden="1" x14ac:dyDescent="0.35">
      <c r="A990" s="3" t="s">
        <v>26</v>
      </c>
      <c r="B990" s="3" t="s">
        <v>27</v>
      </c>
      <c r="C990" s="3" t="s">
        <v>28</v>
      </c>
      <c r="D990" s="3" t="s">
        <v>61</v>
      </c>
      <c r="E990" s="3" t="s">
        <v>1531</v>
      </c>
      <c r="F990" s="3" t="s">
        <v>63</v>
      </c>
      <c r="G990" s="3" t="s">
        <v>1531</v>
      </c>
      <c r="H990" s="3" t="s">
        <v>1403</v>
      </c>
      <c r="I990" s="3">
        <v>2024</v>
      </c>
      <c r="J990" s="3" t="str">
        <f>CONCATENATE("44810951846")</f>
        <v>44810951846</v>
      </c>
      <c r="K990" s="3" t="s">
        <v>33</v>
      </c>
      <c r="L990" s="3" t="str">
        <f t="shared" si="62"/>
        <v/>
      </c>
      <c r="M990" s="3" t="str">
        <f t="shared" si="63"/>
        <v>SRA29</v>
      </c>
      <c r="N990" s="3" t="str">
        <f>CONCATENATE("CSEMRT75L47B936C")</f>
        <v>CSEMRT75L47B936C</v>
      </c>
      <c r="O990" s="3" t="s">
        <v>1532</v>
      </c>
      <c r="P990" s="3" t="s">
        <v>35</v>
      </c>
      <c r="Q990" s="3" t="s">
        <v>1389</v>
      </c>
      <c r="R990" s="4">
        <v>45916</v>
      </c>
      <c r="S990" s="3" t="s">
        <v>37</v>
      </c>
      <c r="T990" s="3" t="s">
        <v>38</v>
      </c>
      <c r="U990" s="3" t="s">
        <v>39</v>
      </c>
      <c r="V990" s="3">
        <v>40.96</v>
      </c>
      <c r="W990" s="3">
        <v>20.68</v>
      </c>
      <c r="X990" s="3">
        <v>14.19</v>
      </c>
      <c r="Y990" s="3">
        <v>6.09</v>
      </c>
    </row>
    <row r="991" spans="1:25" ht="41.5" hidden="1" x14ac:dyDescent="0.35">
      <c r="A991" s="3" t="s">
        <v>26</v>
      </c>
      <c r="B991" s="3" t="s">
        <v>27</v>
      </c>
      <c r="C991" s="3" t="s">
        <v>28</v>
      </c>
      <c r="D991" s="3" t="s">
        <v>41</v>
      </c>
      <c r="E991" s="3" t="s">
        <v>1533</v>
      </c>
      <c r="F991" s="3" t="s">
        <v>43</v>
      </c>
      <c r="G991" s="3" t="s">
        <v>1533</v>
      </c>
      <c r="H991" s="3" t="s">
        <v>32</v>
      </c>
      <c r="I991" s="3">
        <v>2024</v>
      </c>
      <c r="J991" s="3" t="str">
        <f>CONCATENATE("44811189552")</f>
        <v>44811189552</v>
      </c>
      <c r="K991" s="3" t="s">
        <v>33</v>
      </c>
      <c r="L991" s="3" t="str">
        <f t="shared" si="62"/>
        <v/>
      </c>
      <c r="M991" s="3" t="str">
        <f t="shared" si="63"/>
        <v>SRA29</v>
      </c>
      <c r="N991" s="3" t="str">
        <f>CONCATENATE("CFLLSS89L45H926T")</f>
        <v>CFLLSS89L45H926T</v>
      </c>
      <c r="O991" s="3" t="s">
        <v>1534</v>
      </c>
      <c r="P991" s="3" t="s">
        <v>35</v>
      </c>
      <c r="Q991" s="3" t="s">
        <v>1389</v>
      </c>
      <c r="R991" s="4">
        <v>45916</v>
      </c>
      <c r="S991" s="3" t="s">
        <v>37</v>
      </c>
      <c r="T991" s="3" t="s">
        <v>38</v>
      </c>
      <c r="U991" s="3" t="s">
        <v>39</v>
      </c>
      <c r="V991" s="3">
        <v>61.6</v>
      </c>
      <c r="W991" s="3">
        <v>31.11</v>
      </c>
      <c r="X991" s="3">
        <v>21.34</v>
      </c>
      <c r="Y991" s="3">
        <v>9.15</v>
      </c>
    </row>
    <row r="992" spans="1:25" ht="41.5" hidden="1" x14ac:dyDescent="0.35">
      <c r="A992" s="3" t="s">
        <v>26</v>
      </c>
      <c r="B992" s="3" t="s">
        <v>27</v>
      </c>
      <c r="C992" s="3" t="s">
        <v>28</v>
      </c>
      <c r="D992" s="3" t="s">
        <v>75</v>
      </c>
      <c r="E992" s="3" t="s">
        <v>1535</v>
      </c>
      <c r="F992" s="3" t="s">
        <v>77</v>
      </c>
      <c r="G992" s="3" t="s">
        <v>1535</v>
      </c>
      <c r="H992" s="3" t="s">
        <v>1403</v>
      </c>
      <c r="I992" s="3">
        <v>2024</v>
      </c>
      <c r="J992" s="3" t="str">
        <f>CONCATENATE("44810883924")</f>
        <v>44810883924</v>
      </c>
      <c r="K992" s="3" t="s">
        <v>33</v>
      </c>
      <c r="L992" s="3" t="str">
        <f t="shared" si="62"/>
        <v/>
      </c>
      <c r="M992" s="3" t="str">
        <f t="shared" si="63"/>
        <v>SRA29</v>
      </c>
      <c r="N992" s="3" t="str">
        <f>CONCATENATE("CNSLSU99R58H501Z")</f>
        <v>CNSLSU99R58H501Z</v>
      </c>
      <c r="O992" s="3" t="s">
        <v>1536</v>
      </c>
      <c r="P992" s="3" t="s">
        <v>35</v>
      </c>
      <c r="Q992" s="3" t="s">
        <v>1389</v>
      </c>
      <c r="R992" s="4">
        <v>45916</v>
      </c>
      <c r="S992" s="3" t="s">
        <v>37</v>
      </c>
      <c r="T992" s="3" t="s">
        <v>38</v>
      </c>
      <c r="U992" s="3" t="s">
        <v>39</v>
      </c>
      <c r="V992" s="5">
        <v>4968.4399999999996</v>
      </c>
      <c r="W992" s="5">
        <v>2509.06</v>
      </c>
      <c r="X992" s="5">
        <v>1721.56</v>
      </c>
      <c r="Y992" s="3">
        <v>737.82</v>
      </c>
    </row>
    <row r="993" spans="1:25" ht="41.5" hidden="1" x14ac:dyDescent="0.35">
      <c r="A993" s="3" t="s">
        <v>26</v>
      </c>
      <c r="B993" s="3" t="s">
        <v>27</v>
      </c>
      <c r="C993" s="3" t="s">
        <v>28</v>
      </c>
      <c r="D993" s="3" t="s">
        <v>29</v>
      </c>
      <c r="E993" s="3" t="s">
        <v>1537</v>
      </c>
      <c r="F993" s="3" t="s">
        <v>63</v>
      </c>
      <c r="G993" s="3" t="s">
        <v>1531</v>
      </c>
      <c r="H993" s="3" t="s">
        <v>1403</v>
      </c>
      <c r="I993" s="3">
        <v>2024</v>
      </c>
      <c r="J993" s="3" t="str">
        <f>CONCATENATE("44811096443")</f>
        <v>44811096443</v>
      </c>
      <c r="K993" s="3" t="s">
        <v>33</v>
      </c>
      <c r="L993" s="3" t="str">
        <f t="shared" si="62"/>
        <v/>
      </c>
      <c r="M993" s="3" t="str">
        <f t="shared" si="63"/>
        <v>SRA29</v>
      </c>
      <c r="N993" s="3" t="str">
        <f>CONCATENATE("CSOTMS71B06L419I")</f>
        <v>CSOTMS71B06L419I</v>
      </c>
      <c r="O993" s="3" t="s">
        <v>1538</v>
      </c>
      <c r="P993" s="3" t="s">
        <v>35</v>
      </c>
      <c r="Q993" s="3" t="s">
        <v>1389</v>
      </c>
      <c r="R993" s="4">
        <v>45916</v>
      </c>
      <c r="S993" s="3" t="s">
        <v>37</v>
      </c>
      <c r="T993" s="3" t="s">
        <v>38</v>
      </c>
      <c r="U993" s="3" t="s">
        <v>39</v>
      </c>
      <c r="V993" s="5">
        <v>8159.65</v>
      </c>
      <c r="W993" s="5">
        <v>4120.62</v>
      </c>
      <c r="X993" s="5">
        <v>2827.32</v>
      </c>
      <c r="Y993" s="5">
        <v>1211.71</v>
      </c>
    </row>
    <row r="994" spans="1:25" ht="41.5" hidden="1" x14ac:dyDescent="0.35">
      <c r="A994" s="3" t="s">
        <v>26</v>
      </c>
      <c r="B994" s="3" t="s">
        <v>27</v>
      </c>
      <c r="C994" s="3" t="s">
        <v>28</v>
      </c>
      <c r="D994" s="3" t="s">
        <v>29</v>
      </c>
      <c r="E994" s="3" t="s">
        <v>1539</v>
      </c>
      <c r="F994" s="3" t="s">
        <v>31</v>
      </c>
      <c r="G994" s="3" t="s">
        <v>1539</v>
      </c>
      <c r="H994" s="3" t="s">
        <v>72</v>
      </c>
      <c r="I994" s="3">
        <v>2024</v>
      </c>
      <c r="J994" s="3" t="str">
        <f>CONCATENATE("44810696367")</f>
        <v>44810696367</v>
      </c>
      <c r="K994" s="3" t="s">
        <v>33</v>
      </c>
      <c r="L994" s="3" t="str">
        <f t="shared" si="62"/>
        <v/>
      </c>
      <c r="M994" s="3" t="str">
        <f t="shared" si="63"/>
        <v>SRA29</v>
      </c>
      <c r="N994" s="3" t="str">
        <f>CONCATENATE("CSCLRD70L12E038A")</f>
        <v>CSCLRD70L12E038A</v>
      </c>
      <c r="O994" s="3" t="s">
        <v>1540</v>
      </c>
      <c r="P994" s="3" t="s">
        <v>35</v>
      </c>
      <c r="Q994" s="3" t="s">
        <v>1389</v>
      </c>
      <c r="R994" s="4">
        <v>45916</v>
      </c>
      <c r="S994" s="3" t="s">
        <v>37</v>
      </c>
      <c r="T994" s="3" t="s">
        <v>38</v>
      </c>
      <c r="U994" s="3" t="s">
        <v>39</v>
      </c>
      <c r="V994" s="5">
        <v>2338.6</v>
      </c>
      <c r="W994" s="5">
        <v>1180.99</v>
      </c>
      <c r="X994" s="3">
        <v>810.32</v>
      </c>
      <c r="Y994" s="3">
        <v>347.29</v>
      </c>
    </row>
    <row r="995" spans="1:25" ht="41.5" hidden="1" x14ac:dyDescent="0.35">
      <c r="A995" s="3" t="s">
        <v>26</v>
      </c>
      <c r="B995" s="3" t="s">
        <v>27</v>
      </c>
      <c r="C995" s="3" t="s">
        <v>28</v>
      </c>
      <c r="D995" s="3" t="s">
        <v>61</v>
      </c>
      <c r="E995" s="3" t="s">
        <v>1523</v>
      </c>
      <c r="F995" s="3" t="s">
        <v>63</v>
      </c>
      <c r="G995" s="3" t="s">
        <v>1523</v>
      </c>
      <c r="H995" s="3" t="s">
        <v>32</v>
      </c>
      <c r="I995" s="3">
        <v>2024</v>
      </c>
      <c r="J995" s="3" t="str">
        <f>CONCATENATE("44810612356")</f>
        <v>44810612356</v>
      </c>
      <c r="K995" s="3" t="s">
        <v>33</v>
      </c>
      <c r="L995" s="3" t="str">
        <f t="shared" si="62"/>
        <v/>
      </c>
      <c r="M995" s="3" t="str">
        <f t="shared" si="63"/>
        <v>SRA29</v>
      </c>
      <c r="N995" s="3" t="str">
        <f>CONCATENATE("DGSGRZ53A68E645M")</f>
        <v>DGSGRZ53A68E645M</v>
      </c>
      <c r="O995" s="3" t="s">
        <v>1541</v>
      </c>
      <c r="P995" s="3" t="s">
        <v>35</v>
      </c>
      <c r="Q995" s="3" t="s">
        <v>1389</v>
      </c>
      <c r="R995" s="4">
        <v>45916</v>
      </c>
      <c r="S995" s="3" t="s">
        <v>37</v>
      </c>
      <c r="T995" s="3" t="s">
        <v>38</v>
      </c>
      <c r="U995" s="3" t="s">
        <v>39</v>
      </c>
      <c r="V995" s="3">
        <v>16.34</v>
      </c>
      <c r="W995" s="3">
        <v>8.25</v>
      </c>
      <c r="X995" s="3">
        <v>5.66</v>
      </c>
      <c r="Y995" s="3">
        <v>2.4300000000000002</v>
      </c>
    </row>
    <row r="996" spans="1:25" ht="49.5" hidden="1" x14ac:dyDescent="0.35">
      <c r="A996" s="3" t="s">
        <v>26</v>
      </c>
      <c r="B996" s="3" t="s">
        <v>27</v>
      </c>
      <c r="C996" s="3" t="s">
        <v>28</v>
      </c>
      <c r="D996" s="3" t="s">
        <v>61</v>
      </c>
      <c r="E996" s="3" t="s">
        <v>1531</v>
      </c>
      <c r="F996" s="3" t="s">
        <v>63</v>
      </c>
      <c r="G996" s="3" t="s">
        <v>1531</v>
      </c>
      <c r="H996" s="3" t="s">
        <v>1403</v>
      </c>
      <c r="I996" s="3">
        <v>2024</v>
      </c>
      <c r="J996" s="3" t="str">
        <f>CONCATENATE("44811167145")</f>
        <v>44811167145</v>
      </c>
      <c r="K996" s="3" t="s">
        <v>33</v>
      </c>
      <c r="L996" s="3" t="str">
        <f t="shared" si="62"/>
        <v/>
      </c>
      <c r="M996" s="3" t="str">
        <f t="shared" si="63"/>
        <v>SRA29</v>
      </c>
      <c r="N996" s="3" t="str">
        <f>CONCATENATE("DPSSMN80R16D705D")</f>
        <v>DPSSMN80R16D705D</v>
      </c>
      <c r="O996" s="3" t="s">
        <v>1542</v>
      </c>
      <c r="P996" s="3" t="s">
        <v>35</v>
      </c>
      <c r="Q996" s="3" t="s">
        <v>1389</v>
      </c>
      <c r="R996" s="4">
        <v>45916</v>
      </c>
      <c r="S996" s="3" t="s">
        <v>37</v>
      </c>
      <c r="T996" s="3" t="s">
        <v>38</v>
      </c>
      <c r="U996" s="3" t="s">
        <v>39</v>
      </c>
      <c r="V996" s="3">
        <v>75.66</v>
      </c>
      <c r="W996" s="3">
        <v>38.21</v>
      </c>
      <c r="X996" s="3">
        <v>26.22</v>
      </c>
      <c r="Y996" s="3">
        <v>11.23</v>
      </c>
    </row>
    <row r="997" spans="1:25" ht="41.5" hidden="1" x14ac:dyDescent="0.35">
      <c r="A997" s="3" t="s">
        <v>26</v>
      </c>
      <c r="B997" s="3" t="s">
        <v>27</v>
      </c>
      <c r="C997" s="3" t="s">
        <v>28</v>
      </c>
      <c r="D997" s="3" t="s">
        <v>254</v>
      </c>
      <c r="E997" s="3" t="s">
        <v>1543</v>
      </c>
      <c r="F997" s="3" t="s">
        <v>256</v>
      </c>
      <c r="G997" s="3" t="s">
        <v>1543</v>
      </c>
      <c r="H997" s="3" t="s">
        <v>72</v>
      </c>
      <c r="I997" s="3">
        <v>2024</v>
      </c>
      <c r="J997" s="3" t="str">
        <f>CONCATENATE("44810644433")</f>
        <v>44810644433</v>
      </c>
      <c r="K997" s="3" t="s">
        <v>33</v>
      </c>
      <c r="L997" s="3" t="str">
        <f t="shared" si="62"/>
        <v/>
      </c>
      <c r="M997" s="3" t="str">
        <f t="shared" si="63"/>
        <v>SRA29</v>
      </c>
      <c r="N997" s="3" t="str">
        <f>CONCATENATE("DPLVMR71B47G769P")</f>
        <v>DPLVMR71B47G769P</v>
      </c>
      <c r="O997" s="3" t="s">
        <v>1544</v>
      </c>
      <c r="P997" s="3" t="s">
        <v>35</v>
      </c>
      <c r="Q997" s="3" t="s">
        <v>1389</v>
      </c>
      <c r="R997" s="4">
        <v>45916</v>
      </c>
      <c r="S997" s="3" t="s">
        <v>37</v>
      </c>
      <c r="T997" s="3" t="s">
        <v>38</v>
      </c>
      <c r="U997" s="3" t="s">
        <v>39</v>
      </c>
      <c r="V997" s="5">
        <v>22955.56</v>
      </c>
      <c r="W997" s="5">
        <v>11592.56</v>
      </c>
      <c r="X997" s="5">
        <v>7954.1</v>
      </c>
      <c r="Y997" s="5">
        <v>3408.9</v>
      </c>
    </row>
    <row r="998" spans="1:25" ht="49.5" hidden="1" x14ac:dyDescent="0.35">
      <c r="A998" s="3" t="s">
        <v>26</v>
      </c>
      <c r="B998" s="3" t="s">
        <v>27</v>
      </c>
      <c r="C998" s="3" t="s">
        <v>28</v>
      </c>
      <c r="D998" s="3" t="s">
        <v>29</v>
      </c>
      <c r="E998" s="3" t="s">
        <v>1545</v>
      </c>
      <c r="F998" s="3" t="s">
        <v>57</v>
      </c>
      <c r="G998" s="3" t="s">
        <v>1546</v>
      </c>
      <c r="H998" s="3" t="s">
        <v>32</v>
      </c>
      <c r="I998" s="3">
        <v>2024</v>
      </c>
      <c r="J998" s="3" t="str">
        <f>CONCATENATE("44810942811")</f>
        <v>44810942811</v>
      </c>
      <c r="K998" s="3" t="s">
        <v>33</v>
      </c>
      <c r="L998" s="3" t="str">
        <f t="shared" si="62"/>
        <v/>
      </c>
      <c r="M998" s="3" t="str">
        <f t="shared" si="63"/>
        <v>SRA29</v>
      </c>
      <c r="N998" s="3" t="str">
        <f>CONCATENATE("DRCNCL52D21B829V")</f>
        <v>DRCNCL52D21B829V</v>
      </c>
      <c r="O998" s="3" t="s">
        <v>1547</v>
      </c>
      <c r="P998" s="3" t="s">
        <v>35</v>
      </c>
      <c r="Q998" s="3" t="s">
        <v>1389</v>
      </c>
      <c r="R998" s="4">
        <v>45916</v>
      </c>
      <c r="S998" s="3" t="s">
        <v>37</v>
      </c>
      <c r="T998" s="3" t="s">
        <v>38</v>
      </c>
      <c r="U998" s="3" t="s">
        <v>39</v>
      </c>
      <c r="V998" s="5">
        <v>9466.25</v>
      </c>
      <c r="W998" s="5">
        <v>4780.46</v>
      </c>
      <c r="X998" s="5">
        <v>3280.06</v>
      </c>
      <c r="Y998" s="5">
        <v>1405.73</v>
      </c>
    </row>
    <row r="999" spans="1:25" ht="41.5" hidden="1" x14ac:dyDescent="0.35">
      <c r="A999" s="3" t="s">
        <v>26</v>
      </c>
      <c r="B999" s="3" t="s">
        <v>27</v>
      </c>
      <c r="C999" s="3" t="s">
        <v>90</v>
      </c>
      <c r="D999" s="3" t="s">
        <v>29</v>
      </c>
      <c r="E999" s="3" t="s">
        <v>286</v>
      </c>
      <c r="F999" s="3" t="s">
        <v>31</v>
      </c>
      <c r="G999" s="3" t="s">
        <v>286</v>
      </c>
      <c r="H999" s="3" t="s">
        <v>96</v>
      </c>
      <c r="I999" s="3">
        <v>2024</v>
      </c>
      <c r="J999" s="3" t="str">
        <f>CONCATENATE("44811205259")</f>
        <v>44811205259</v>
      </c>
      <c r="K999" s="3" t="s">
        <v>33</v>
      </c>
      <c r="L999" s="3" t="str">
        <f t="shared" si="62"/>
        <v/>
      </c>
      <c r="M999" s="3" t="str">
        <f t="shared" si="63"/>
        <v>SRA29</v>
      </c>
      <c r="N999" s="3" t="str">
        <f>CONCATENATE("CNTNGL67E29L603C")</f>
        <v>CNTNGL67E29L603C</v>
      </c>
      <c r="O999" s="3" t="s">
        <v>1548</v>
      </c>
      <c r="P999" s="3" t="s">
        <v>35</v>
      </c>
      <c r="Q999" s="3" t="s">
        <v>1384</v>
      </c>
      <c r="R999" s="4">
        <v>45931</v>
      </c>
      <c r="S999" s="3" t="s">
        <v>37</v>
      </c>
      <c r="T999" s="3" t="s">
        <v>38</v>
      </c>
      <c r="U999" s="3" t="s">
        <v>39</v>
      </c>
      <c r="V999" s="3">
        <v>308.81</v>
      </c>
      <c r="W999" s="3">
        <v>155.94999999999999</v>
      </c>
      <c r="X999" s="3">
        <v>107</v>
      </c>
      <c r="Y999" s="3">
        <v>45.86</v>
      </c>
    </row>
    <row r="1000" spans="1:25" ht="41.5" hidden="1" x14ac:dyDescent="0.35">
      <c r="A1000" s="3" t="s">
        <v>26</v>
      </c>
      <c r="B1000" s="3" t="s">
        <v>27</v>
      </c>
      <c r="C1000" s="3" t="s">
        <v>90</v>
      </c>
      <c r="D1000" s="3" t="s">
        <v>180</v>
      </c>
      <c r="E1000" s="3" t="s">
        <v>258</v>
      </c>
      <c r="F1000" s="3" t="s">
        <v>85</v>
      </c>
      <c r="G1000" s="3" t="s">
        <v>258</v>
      </c>
      <c r="H1000" s="3" t="s">
        <v>96</v>
      </c>
      <c r="I1000" s="3">
        <v>2024</v>
      </c>
      <c r="J1000" s="3" t="str">
        <f>CONCATENATE("44811229556")</f>
        <v>44811229556</v>
      </c>
      <c r="K1000" s="3" t="s">
        <v>33</v>
      </c>
      <c r="L1000" s="3" t="str">
        <f t="shared" si="62"/>
        <v/>
      </c>
      <c r="M1000" s="3" t="str">
        <f t="shared" si="63"/>
        <v>SRA29</v>
      </c>
      <c r="N1000" s="3" t="str">
        <f>CONCATENATE("DSRMVL78D64G348T")</f>
        <v>DSRMVL78D64G348T</v>
      </c>
      <c r="O1000" s="3" t="s">
        <v>1549</v>
      </c>
      <c r="P1000" s="3" t="s">
        <v>35</v>
      </c>
      <c r="Q1000" s="3" t="s">
        <v>1384</v>
      </c>
      <c r="R1000" s="4">
        <v>45931</v>
      </c>
      <c r="S1000" s="3" t="s">
        <v>37</v>
      </c>
      <c r="T1000" s="3" t="s">
        <v>38</v>
      </c>
      <c r="U1000" s="3" t="s">
        <v>39</v>
      </c>
      <c r="V1000" s="5">
        <v>5163.29</v>
      </c>
      <c r="W1000" s="5">
        <v>2607.46</v>
      </c>
      <c r="X1000" s="5">
        <v>1789.08</v>
      </c>
      <c r="Y1000" s="3">
        <v>766.75</v>
      </c>
    </row>
    <row r="1001" spans="1:25" ht="41.5" hidden="1" x14ac:dyDescent="0.35">
      <c r="A1001" s="3" t="s">
        <v>26</v>
      </c>
      <c r="B1001" s="3" t="s">
        <v>27</v>
      </c>
      <c r="C1001" s="3" t="s">
        <v>90</v>
      </c>
      <c r="D1001" s="3" t="s">
        <v>99</v>
      </c>
      <c r="E1001" s="3" t="s">
        <v>1550</v>
      </c>
      <c r="F1001" s="3" t="s">
        <v>101</v>
      </c>
      <c r="G1001" s="3" t="s">
        <v>1550</v>
      </c>
      <c r="H1001" s="3" t="s">
        <v>96</v>
      </c>
      <c r="I1001" s="3">
        <v>2024</v>
      </c>
      <c r="J1001" s="3" t="str">
        <f>CONCATENATE("44811238359")</f>
        <v>44811238359</v>
      </c>
      <c r="K1001" s="3" t="s">
        <v>33</v>
      </c>
      <c r="L1001" s="3" t="str">
        <f t="shared" si="62"/>
        <v/>
      </c>
      <c r="M1001" s="3" t="str">
        <f t="shared" si="63"/>
        <v>SRA29</v>
      </c>
      <c r="N1001" s="3" t="str">
        <f>CONCATENATE("GRSFNC64S16A203A")</f>
        <v>GRSFNC64S16A203A</v>
      </c>
      <c r="O1001" s="3" t="s">
        <v>1551</v>
      </c>
      <c r="P1001" s="3" t="s">
        <v>35</v>
      </c>
      <c r="Q1001" s="3" t="s">
        <v>1384</v>
      </c>
      <c r="R1001" s="4">
        <v>45931</v>
      </c>
      <c r="S1001" s="3" t="s">
        <v>37</v>
      </c>
      <c r="T1001" s="3" t="s">
        <v>38</v>
      </c>
      <c r="U1001" s="3" t="s">
        <v>39</v>
      </c>
      <c r="V1001" s="5">
        <v>5956.63</v>
      </c>
      <c r="W1001" s="5">
        <v>3008.1</v>
      </c>
      <c r="X1001" s="5">
        <v>2063.9699999999998</v>
      </c>
      <c r="Y1001" s="3">
        <v>884.56</v>
      </c>
    </row>
    <row r="1002" spans="1:25" ht="41.5" hidden="1" x14ac:dyDescent="0.35">
      <c r="A1002" s="3" t="s">
        <v>26</v>
      </c>
      <c r="B1002" s="3" t="s">
        <v>27</v>
      </c>
      <c r="C1002" s="3" t="s">
        <v>90</v>
      </c>
      <c r="D1002" s="3" t="s">
        <v>75</v>
      </c>
      <c r="E1002" s="3" t="s">
        <v>294</v>
      </c>
      <c r="F1002" s="3" t="s">
        <v>77</v>
      </c>
      <c r="G1002" s="3" t="s">
        <v>294</v>
      </c>
      <c r="H1002" s="3" t="s">
        <v>96</v>
      </c>
      <c r="I1002" s="3">
        <v>2024</v>
      </c>
      <c r="J1002" s="3" t="str">
        <f>CONCATENATE("44810562965")</f>
        <v>44810562965</v>
      </c>
      <c r="K1002" s="3" t="s">
        <v>33</v>
      </c>
      <c r="L1002" s="3" t="str">
        <f t="shared" si="62"/>
        <v/>
      </c>
      <c r="M1002" s="3" t="str">
        <f t="shared" si="63"/>
        <v>SRA29</v>
      </c>
      <c r="N1002" s="3" t="str">
        <f>CONCATENATE("RLNMFR82R41G273J")</f>
        <v>RLNMFR82R41G273J</v>
      </c>
      <c r="O1002" s="3" t="s">
        <v>1552</v>
      </c>
      <c r="P1002" s="3" t="s">
        <v>35</v>
      </c>
      <c r="Q1002" s="3" t="s">
        <v>1384</v>
      </c>
      <c r="R1002" s="4">
        <v>45931</v>
      </c>
      <c r="S1002" s="3" t="s">
        <v>37</v>
      </c>
      <c r="T1002" s="3" t="s">
        <v>38</v>
      </c>
      <c r="U1002" s="3" t="s">
        <v>39</v>
      </c>
      <c r="V1002" s="5">
        <v>2612.09</v>
      </c>
      <c r="W1002" s="5">
        <v>1319.11</v>
      </c>
      <c r="X1002" s="3">
        <v>905.09</v>
      </c>
      <c r="Y1002" s="3">
        <v>387.89</v>
      </c>
    </row>
    <row r="1003" spans="1:25" ht="25.5" hidden="1" x14ac:dyDescent="0.35">
      <c r="A1003" s="3" t="s">
        <v>26</v>
      </c>
      <c r="B1003" s="3" t="s">
        <v>27</v>
      </c>
      <c r="C1003" s="3" t="s">
        <v>90</v>
      </c>
      <c r="D1003" s="3" t="s">
        <v>61</v>
      </c>
      <c r="E1003" s="3" t="s">
        <v>290</v>
      </c>
      <c r="F1003" s="3" t="s">
        <v>63</v>
      </c>
      <c r="G1003" s="3" t="s">
        <v>290</v>
      </c>
      <c r="H1003" s="3" t="s">
        <v>96</v>
      </c>
      <c r="I1003" s="3">
        <v>2024</v>
      </c>
      <c r="J1003" s="3" t="str">
        <f>CONCATENATE("44811289600")</f>
        <v>44811289600</v>
      </c>
      <c r="K1003" s="3" t="s">
        <v>33</v>
      </c>
      <c r="L1003" s="3" t="str">
        <f t="shared" si="62"/>
        <v/>
      </c>
      <c r="M1003" s="3" t="str">
        <f t="shared" si="63"/>
        <v>SRA29</v>
      </c>
      <c r="N1003" s="3" t="str">
        <f>CONCATENATE("06812190822")</f>
        <v>06812190822</v>
      </c>
      <c r="O1003" s="3" t="s">
        <v>1553</v>
      </c>
      <c r="P1003" s="3" t="s">
        <v>35</v>
      </c>
      <c r="Q1003" s="3" t="s">
        <v>1384</v>
      </c>
      <c r="R1003" s="4">
        <v>45931</v>
      </c>
      <c r="S1003" s="3" t="s">
        <v>37</v>
      </c>
      <c r="T1003" s="3" t="s">
        <v>38</v>
      </c>
      <c r="U1003" s="3" t="s">
        <v>39</v>
      </c>
      <c r="V1003" s="5">
        <v>13463.48</v>
      </c>
      <c r="W1003" s="5">
        <v>6799.06</v>
      </c>
      <c r="X1003" s="5">
        <v>4665.1000000000004</v>
      </c>
      <c r="Y1003" s="5">
        <v>1999.32</v>
      </c>
    </row>
    <row r="1004" spans="1:25" ht="41.5" hidden="1" x14ac:dyDescent="0.35">
      <c r="A1004" s="3" t="s">
        <v>26</v>
      </c>
      <c r="B1004" s="3" t="s">
        <v>27</v>
      </c>
      <c r="C1004" s="3" t="s">
        <v>90</v>
      </c>
      <c r="D1004" s="3" t="s">
        <v>41</v>
      </c>
      <c r="E1004" s="3" t="s">
        <v>260</v>
      </c>
      <c r="F1004" s="3" t="s">
        <v>43</v>
      </c>
      <c r="G1004" s="3" t="s">
        <v>260</v>
      </c>
      <c r="H1004" s="3" t="s">
        <v>96</v>
      </c>
      <c r="I1004" s="3">
        <v>2024</v>
      </c>
      <c r="J1004" s="3" t="str">
        <f>CONCATENATE("44810507317")</f>
        <v>44810507317</v>
      </c>
      <c r="K1004" s="3" t="s">
        <v>33</v>
      </c>
      <c r="L1004" s="3" t="str">
        <f t="shared" si="62"/>
        <v/>
      </c>
      <c r="M1004" s="3" t="str">
        <f t="shared" si="63"/>
        <v>SRA29</v>
      </c>
      <c r="N1004" s="3" t="str">
        <f>CONCATENATE("LCRGNN90R18G273X")</f>
        <v>LCRGNN90R18G273X</v>
      </c>
      <c r="O1004" s="3" t="s">
        <v>1554</v>
      </c>
      <c r="P1004" s="3" t="s">
        <v>35</v>
      </c>
      <c r="Q1004" s="3" t="s">
        <v>1384</v>
      </c>
      <c r="R1004" s="4">
        <v>45931</v>
      </c>
      <c r="S1004" s="3" t="s">
        <v>37</v>
      </c>
      <c r="T1004" s="3" t="s">
        <v>38</v>
      </c>
      <c r="U1004" s="3" t="s">
        <v>39</v>
      </c>
      <c r="V1004" s="5">
        <v>2162.2199999999998</v>
      </c>
      <c r="W1004" s="5">
        <v>1091.92</v>
      </c>
      <c r="X1004" s="3">
        <v>749.21</v>
      </c>
      <c r="Y1004" s="3">
        <v>321.08999999999997</v>
      </c>
    </row>
    <row r="1005" spans="1:25" ht="41.5" hidden="1" x14ac:dyDescent="0.35">
      <c r="A1005" s="3" t="s">
        <v>26</v>
      </c>
      <c r="B1005" s="3" t="s">
        <v>27</v>
      </c>
      <c r="C1005" s="3" t="s">
        <v>90</v>
      </c>
      <c r="D1005" s="3" t="s">
        <v>61</v>
      </c>
      <c r="E1005" s="3" t="s">
        <v>1231</v>
      </c>
      <c r="F1005" s="3" t="s">
        <v>63</v>
      </c>
      <c r="G1005" s="3" t="s">
        <v>1231</v>
      </c>
      <c r="H1005" s="3" t="s">
        <v>96</v>
      </c>
      <c r="I1005" s="3">
        <v>2024</v>
      </c>
      <c r="J1005" s="3" t="str">
        <f>CONCATENATE("44810646941")</f>
        <v>44810646941</v>
      </c>
      <c r="K1005" s="3" t="s">
        <v>33</v>
      </c>
      <c r="L1005" s="3" t="str">
        <f t="shared" si="62"/>
        <v/>
      </c>
      <c r="M1005" s="3" t="str">
        <f t="shared" si="63"/>
        <v>SRA29</v>
      </c>
      <c r="N1005" s="3" t="str">
        <f>CONCATENATE("MSNSVT49P01H245X")</f>
        <v>MSNSVT49P01H245X</v>
      </c>
      <c r="O1005" s="3" t="s">
        <v>1555</v>
      </c>
      <c r="P1005" s="3" t="s">
        <v>35</v>
      </c>
      <c r="Q1005" s="3" t="s">
        <v>1384</v>
      </c>
      <c r="R1005" s="4">
        <v>45931</v>
      </c>
      <c r="S1005" s="3" t="s">
        <v>37</v>
      </c>
      <c r="T1005" s="3" t="s">
        <v>38</v>
      </c>
      <c r="U1005" s="3" t="s">
        <v>39</v>
      </c>
      <c r="V1005" s="5">
        <v>8895.07</v>
      </c>
      <c r="W1005" s="5">
        <v>4492.01</v>
      </c>
      <c r="X1005" s="5">
        <v>3082.14</v>
      </c>
      <c r="Y1005" s="5">
        <v>1320.92</v>
      </c>
    </row>
    <row r="1006" spans="1:25" ht="41.5" hidden="1" x14ac:dyDescent="0.35">
      <c r="A1006" s="3" t="s">
        <v>26</v>
      </c>
      <c r="B1006" s="3" t="s">
        <v>27</v>
      </c>
      <c r="C1006" s="3" t="s">
        <v>90</v>
      </c>
      <c r="D1006" s="3" t="s">
        <v>51</v>
      </c>
      <c r="E1006" s="3" t="s">
        <v>105</v>
      </c>
      <c r="F1006" s="3" t="s">
        <v>51</v>
      </c>
      <c r="G1006" s="3" t="s">
        <v>105</v>
      </c>
      <c r="H1006" s="3" t="s">
        <v>96</v>
      </c>
      <c r="I1006" s="3">
        <v>2024</v>
      </c>
      <c r="J1006" s="3" t="str">
        <f>CONCATENATE("44811010857")</f>
        <v>44811010857</v>
      </c>
      <c r="K1006" s="3" t="s">
        <v>33</v>
      </c>
      <c r="L1006" s="3" t="str">
        <f t="shared" si="62"/>
        <v/>
      </c>
      <c r="M1006" s="3" t="str">
        <f t="shared" si="63"/>
        <v>SRA29</v>
      </c>
      <c r="N1006" s="3" t="str">
        <f>CONCATENATE("NRTVLR64S04G797A")</f>
        <v>NRTVLR64S04G797A</v>
      </c>
      <c r="O1006" s="3" t="s">
        <v>1556</v>
      </c>
      <c r="P1006" s="3" t="s">
        <v>35</v>
      </c>
      <c r="Q1006" s="3" t="s">
        <v>1384</v>
      </c>
      <c r="R1006" s="4">
        <v>45931</v>
      </c>
      <c r="S1006" s="3" t="s">
        <v>37</v>
      </c>
      <c r="T1006" s="3" t="s">
        <v>38</v>
      </c>
      <c r="U1006" s="3" t="s">
        <v>39</v>
      </c>
      <c r="V1006" s="5">
        <v>5149.34</v>
      </c>
      <c r="W1006" s="5">
        <v>2600.42</v>
      </c>
      <c r="X1006" s="5">
        <v>1784.25</v>
      </c>
      <c r="Y1006" s="3">
        <v>764.67</v>
      </c>
    </row>
    <row r="1007" spans="1:25" ht="49.5" hidden="1" x14ac:dyDescent="0.35">
      <c r="A1007" s="3" t="s">
        <v>26</v>
      </c>
      <c r="B1007" s="3" t="s">
        <v>27</v>
      </c>
      <c r="C1007" s="3" t="s">
        <v>90</v>
      </c>
      <c r="D1007" s="3" t="s">
        <v>69</v>
      </c>
      <c r="E1007" s="3" t="s">
        <v>109</v>
      </c>
      <c r="F1007" s="3" t="s">
        <v>71</v>
      </c>
      <c r="G1007" s="3" t="s">
        <v>109</v>
      </c>
      <c r="H1007" s="3" t="s">
        <v>96</v>
      </c>
      <c r="I1007" s="3">
        <v>2024</v>
      </c>
      <c r="J1007" s="3" t="str">
        <f>CONCATENATE("44811219888")</f>
        <v>44811219888</v>
      </c>
      <c r="K1007" s="3" t="s">
        <v>33</v>
      </c>
      <c r="L1007" s="3" t="str">
        <f t="shared" si="62"/>
        <v/>
      </c>
      <c r="M1007" s="3" t="str">
        <f t="shared" si="63"/>
        <v>SRA29</v>
      </c>
      <c r="N1007" s="3" t="str">
        <f>CONCATENATE("PCRGPR85B14G273U")</f>
        <v>PCRGPR85B14G273U</v>
      </c>
      <c r="O1007" s="3" t="s">
        <v>1557</v>
      </c>
      <c r="P1007" s="3" t="s">
        <v>35</v>
      </c>
      <c r="Q1007" s="3" t="s">
        <v>1384</v>
      </c>
      <c r="R1007" s="4">
        <v>45931</v>
      </c>
      <c r="S1007" s="3" t="s">
        <v>37</v>
      </c>
      <c r="T1007" s="3" t="s">
        <v>38</v>
      </c>
      <c r="U1007" s="3" t="s">
        <v>39</v>
      </c>
      <c r="V1007" s="5">
        <v>3450.09</v>
      </c>
      <c r="W1007" s="5">
        <v>1742.3</v>
      </c>
      <c r="X1007" s="5">
        <v>1195.46</v>
      </c>
      <c r="Y1007" s="3">
        <v>512.33000000000004</v>
      </c>
    </row>
    <row r="1008" spans="1:25" ht="41.5" hidden="1" x14ac:dyDescent="0.35">
      <c r="A1008" s="3" t="s">
        <v>26</v>
      </c>
      <c r="B1008" s="3" t="s">
        <v>27</v>
      </c>
      <c r="C1008" s="3" t="s">
        <v>28</v>
      </c>
      <c r="D1008" s="3" t="s">
        <v>41</v>
      </c>
      <c r="E1008" s="3" t="s">
        <v>1142</v>
      </c>
      <c r="F1008" s="3" t="s">
        <v>43</v>
      </c>
      <c r="G1008" s="3" t="s">
        <v>1142</v>
      </c>
      <c r="H1008" s="3" t="s">
        <v>32</v>
      </c>
      <c r="I1008" s="3">
        <v>2024</v>
      </c>
      <c r="J1008" s="3" t="str">
        <f>CONCATENATE("44811180379")</f>
        <v>44811180379</v>
      </c>
      <c r="K1008" s="3" t="s">
        <v>33</v>
      </c>
      <c r="L1008" s="3" t="str">
        <f t="shared" si="62"/>
        <v/>
      </c>
      <c r="M1008" s="3" t="str">
        <f t="shared" si="63"/>
        <v>SRA29</v>
      </c>
      <c r="N1008" s="3" t="str">
        <f>CONCATENATE("SPSNTN71S29E549S")</f>
        <v>SPSNTN71S29E549S</v>
      </c>
      <c r="O1008" s="3" t="s">
        <v>1558</v>
      </c>
      <c r="P1008" s="3" t="s">
        <v>35</v>
      </c>
      <c r="Q1008" s="3" t="s">
        <v>1389</v>
      </c>
      <c r="R1008" s="4">
        <v>45916</v>
      </c>
      <c r="S1008" s="3" t="s">
        <v>37</v>
      </c>
      <c r="T1008" s="3" t="s">
        <v>38</v>
      </c>
      <c r="U1008" s="3" t="s">
        <v>39</v>
      </c>
      <c r="V1008" s="3">
        <v>553.57000000000005</v>
      </c>
      <c r="W1008" s="3">
        <v>279.55</v>
      </c>
      <c r="X1008" s="3">
        <v>191.81</v>
      </c>
      <c r="Y1008" s="3">
        <v>82.21</v>
      </c>
    </row>
    <row r="1009" spans="1:25" ht="41.5" hidden="1" x14ac:dyDescent="0.35">
      <c r="A1009" s="3" t="s">
        <v>26</v>
      </c>
      <c r="B1009" s="3" t="s">
        <v>27</v>
      </c>
      <c r="C1009" s="3" t="s">
        <v>28</v>
      </c>
      <c r="D1009" s="3" t="s">
        <v>29</v>
      </c>
      <c r="E1009" s="3" t="s">
        <v>1128</v>
      </c>
      <c r="F1009" s="3" t="s">
        <v>31</v>
      </c>
      <c r="G1009" s="3" t="s">
        <v>1128</v>
      </c>
      <c r="H1009" s="3" t="s">
        <v>72</v>
      </c>
      <c r="I1009" s="3">
        <v>2024</v>
      </c>
      <c r="J1009" s="3" t="str">
        <f>CONCATENATE("44811346400")</f>
        <v>44811346400</v>
      </c>
      <c r="K1009" s="3" t="s">
        <v>33</v>
      </c>
      <c r="L1009" s="3" t="str">
        <f t="shared" si="62"/>
        <v/>
      </c>
      <c r="M1009" s="3" t="str">
        <f t="shared" si="63"/>
        <v>SRA29</v>
      </c>
      <c r="N1009" s="3" t="str">
        <f>CONCATENATE("FRIVCN63T20A225N")</f>
        <v>FRIVCN63T20A225N</v>
      </c>
      <c r="O1009" s="3" t="s">
        <v>1559</v>
      </c>
      <c r="P1009" s="3" t="s">
        <v>35</v>
      </c>
      <c r="Q1009" s="3" t="s">
        <v>1389</v>
      </c>
      <c r="R1009" s="4">
        <v>45916</v>
      </c>
      <c r="S1009" s="3" t="s">
        <v>37</v>
      </c>
      <c r="T1009" s="3" t="s">
        <v>38</v>
      </c>
      <c r="U1009" s="3" t="s">
        <v>39</v>
      </c>
      <c r="V1009" s="5">
        <v>2258.2199999999998</v>
      </c>
      <c r="W1009" s="5">
        <v>1140.4000000000001</v>
      </c>
      <c r="X1009" s="3">
        <v>782.47</v>
      </c>
      <c r="Y1009" s="3">
        <v>335.35</v>
      </c>
    </row>
    <row r="1010" spans="1:25" ht="41.5" hidden="1" x14ac:dyDescent="0.35">
      <c r="A1010" s="3" t="s">
        <v>26</v>
      </c>
      <c r="B1010" s="3" t="s">
        <v>27</v>
      </c>
      <c r="C1010" s="3" t="s">
        <v>28</v>
      </c>
      <c r="D1010" s="3" t="s">
        <v>51</v>
      </c>
      <c r="E1010" s="3" t="s">
        <v>1517</v>
      </c>
      <c r="F1010" s="3" t="s">
        <v>77</v>
      </c>
      <c r="G1010" s="3" t="s">
        <v>1518</v>
      </c>
      <c r="H1010" s="3" t="s">
        <v>32</v>
      </c>
      <c r="I1010" s="3">
        <v>2024</v>
      </c>
      <c r="J1010" s="3" t="str">
        <f>CONCATENATE("44811407301")</f>
        <v>44811407301</v>
      </c>
      <c r="K1010" s="3" t="s">
        <v>33</v>
      </c>
      <c r="L1010" s="3" t="str">
        <f t="shared" si="62"/>
        <v/>
      </c>
      <c r="M1010" s="3" t="str">
        <f t="shared" si="63"/>
        <v>SRA29</v>
      </c>
      <c r="N1010" s="3" t="str">
        <f>CONCATENATE("FRTMTT80P27H926T")</f>
        <v>FRTMTT80P27H926T</v>
      </c>
      <c r="O1010" s="3" t="s">
        <v>1560</v>
      </c>
      <c r="P1010" s="3" t="s">
        <v>35</v>
      </c>
      <c r="Q1010" s="3" t="s">
        <v>1389</v>
      </c>
      <c r="R1010" s="4">
        <v>45916</v>
      </c>
      <c r="S1010" s="3" t="s">
        <v>37</v>
      </c>
      <c r="T1010" s="3" t="s">
        <v>38</v>
      </c>
      <c r="U1010" s="3" t="s">
        <v>39</v>
      </c>
      <c r="V1010" s="5">
        <v>3081.43</v>
      </c>
      <c r="W1010" s="5">
        <v>1556.12</v>
      </c>
      <c r="X1010" s="5">
        <v>1067.72</v>
      </c>
      <c r="Y1010" s="3">
        <v>457.59</v>
      </c>
    </row>
    <row r="1011" spans="1:25" ht="41.5" hidden="1" x14ac:dyDescent="0.35">
      <c r="A1011" s="3" t="s">
        <v>26</v>
      </c>
      <c r="B1011" s="3" t="s">
        <v>27</v>
      </c>
      <c r="C1011" s="3" t="s">
        <v>28</v>
      </c>
      <c r="D1011" s="3" t="s">
        <v>41</v>
      </c>
      <c r="E1011" s="3" t="s">
        <v>1561</v>
      </c>
      <c r="F1011" s="3" t="s">
        <v>43</v>
      </c>
      <c r="G1011" s="3" t="s">
        <v>1561</v>
      </c>
      <c r="H1011" s="3" t="s">
        <v>72</v>
      </c>
      <c r="I1011" s="3">
        <v>2024</v>
      </c>
      <c r="J1011" s="3" t="str">
        <f>CONCATENATE("44810947299")</f>
        <v>44810947299</v>
      </c>
      <c r="K1011" s="3" t="s">
        <v>33</v>
      </c>
      <c r="L1011" s="3" t="str">
        <f t="shared" si="62"/>
        <v/>
      </c>
      <c r="M1011" s="3" t="str">
        <f t="shared" si="63"/>
        <v>SRA29</v>
      </c>
      <c r="N1011" s="3" t="str">
        <f>CONCATENATE("GMPDNC70A14E038G")</f>
        <v>GMPDNC70A14E038G</v>
      </c>
      <c r="O1011" s="3" t="s">
        <v>1562</v>
      </c>
      <c r="P1011" s="3" t="s">
        <v>35</v>
      </c>
      <c r="Q1011" s="3" t="s">
        <v>1389</v>
      </c>
      <c r="R1011" s="4">
        <v>45916</v>
      </c>
      <c r="S1011" s="3" t="s">
        <v>37</v>
      </c>
      <c r="T1011" s="3" t="s">
        <v>38</v>
      </c>
      <c r="U1011" s="3" t="s">
        <v>39</v>
      </c>
      <c r="V1011" s="5">
        <v>2836.19</v>
      </c>
      <c r="W1011" s="5">
        <v>1432.28</v>
      </c>
      <c r="X1011" s="3">
        <v>982.74</v>
      </c>
      <c r="Y1011" s="3">
        <v>421.17</v>
      </c>
    </row>
    <row r="1012" spans="1:25" ht="41.5" hidden="1" x14ac:dyDescent="0.35">
      <c r="A1012" s="3" t="s">
        <v>26</v>
      </c>
      <c r="B1012" s="3" t="s">
        <v>27</v>
      </c>
      <c r="C1012" s="3" t="s">
        <v>90</v>
      </c>
      <c r="D1012" s="3" t="s">
        <v>180</v>
      </c>
      <c r="E1012" s="3" t="s">
        <v>258</v>
      </c>
      <c r="F1012" s="3" t="s">
        <v>85</v>
      </c>
      <c r="G1012" s="3" t="s">
        <v>258</v>
      </c>
      <c r="H1012" s="3" t="s">
        <v>96</v>
      </c>
      <c r="I1012" s="3">
        <v>2024</v>
      </c>
      <c r="J1012" s="3" t="str">
        <f>CONCATENATE("44810290377")</f>
        <v>44810290377</v>
      </c>
      <c r="K1012" s="3" t="s">
        <v>33</v>
      </c>
      <c r="L1012" s="3" t="str">
        <f t="shared" si="62"/>
        <v/>
      </c>
      <c r="M1012" s="3" t="str">
        <f t="shared" si="63"/>
        <v>SRA29</v>
      </c>
      <c r="N1012" s="3" t="str">
        <f>CONCATENATE("RSSMLL46C46G511U")</f>
        <v>RSSMLL46C46G511U</v>
      </c>
      <c r="O1012" s="3" t="s">
        <v>1563</v>
      </c>
      <c r="P1012" s="3" t="s">
        <v>35</v>
      </c>
      <c r="Q1012" s="3" t="s">
        <v>1384</v>
      </c>
      <c r="R1012" s="4">
        <v>45931</v>
      </c>
      <c r="S1012" s="3" t="s">
        <v>37</v>
      </c>
      <c r="T1012" s="3" t="s">
        <v>38</v>
      </c>
      <c r="U1012" s="3" t="s">
        <v>39</v>
      </c>
      <c r="V1012" s="5">
        <v>3257.8</v>
      </c>
      <c r="W1012" s="5">
        <v>1645.19</v>
      </c>
      <c r="X1012" s="5">
        <v>1128.83</v>
      </c>
      <c r="Y1012" s="3">
        <v>483.78</v>
      </c>
    </row>
    <row r="1013" spans="1:25" ht="25.5" hidden="1" x14ac:dyDescent="0.35">
      <c r="A1013" s="3" t="s">
        <v>26</v>
      </c>
      <c r="B1013" s="3" t="s">
        <v>27</v>
      </c>
      <c r="C1013" s="3" t="s">
        <v>90</v>
      </c>
      <c r="D1013" s="3" t="s">
        <v>51</v>
      </c>
      <c r="E1013" s="3" t="s">
        <v>105</v>
      </c>
      <c r="F1013" s="3" t="s">
        <v>51</v>
      </c>
      <c r="G1013" s="3" t="s">
        <v>105</v>
      </c>
      <c r="H1013" s="3" t="s">
        <v>96</v>
      </c>
      <c r="I1013" s="3">
        <v>2024</v>
      </c>
      <c r="J1013" s="3" t="str">
        <f>CONCATENATE("44811201126")</f>
        <v>44811201126</v>
      </c>
      <c r="K1013" s="3" t="s">
        <v>33</v>
      </c>
      <c r="L1013" s="3" t="str">
        <f t="shared" si="62"/>
        <v/>
      </c>
      <c r="M1013" s="3" t="str">
        <f t="shared" si="63"/>
        <v>SRA29</v>
      </c>
      <c r="N1013" s="3" t="str">
        <f>CONCATENATE("07090330825")</f>
        <v>07090330825</v>
      </c>
      <c r="O1013" s="3" t="s">
        <v>1564</v>
      </c>
      <c r="P1013" s="3" t="s">
        <v>35</v>
      </c>
      <c r="Q1013" s="3" t="s">
        <v>1384</v>
      </c>
      <c r="R1013" s="4">
        <v>45931</v>
      </c>
      <c r="S1013" s="3" t="s">
        <v>37</v>
      </c>
      <c r="T1013" s="3" t="s">
        <v>38</v>
      </c>
      <c r="U1013" s="3" t="s">
        <v>39</v>
      </c>
      <c r="V1013" s="5">
        <v>20770.16</v>
      </c>
      <c r="W1013" s="5">
        <v>10488.93</v>
      </c>
      <c r="X1013" s="5">
        <v>7196.86</v>
      </c>
      <c r="Y1013" s="5">
        <v>3084.37</v>
      </c>
    </row>
    <row r="1014" spans="1:25" ht="25.5" hidden="1" x14ac:dyDescent="0.35">
      <c r="A1014" s="3" t="s">
        <v>26</v>
      </c>
      <c r="B1014" s="3" t="s">
        <v>27</v>
      </c>
      <c r="C1014" s="3" t="s">
        <v>451</v>
      </c>
      <c r="D1014" s="3" t="s">
        <v>29</v>
      </c>
      <c r="E1014" s="3" t="s">
        <v>534</v>
      </c>
      <c r="F1014" s="3" t="s">
        <v>31</v>
      </c>
      <c r="G1014" s="3" t="s">
        <v>534</v>
      </c>
      <c r="H1014" s="3" t="s">
        <v>453</v>
      </c>
      <c r="I1014" s="3">
        <v>2023</v>
      </c>
      <c r="J1014" s="3" t="str">
        <f>CONCATENATE("34820782109")</f>
        <v>34820782109</v>
      </c>
      <c r="K1014" s="3" t="s">
        <v>33</v>
      </c>
      <c r="L1014" s="3" t="str">
        <f t="shared" si="62"/>
        <v/>
      </c>
      <c r="M1014" s="3" t="str">
        <f>CONCATENATE("SRB02")</f>
        <v>SRB02</v>
      </c>
      <c r="N1014" s="3" t="str">
        <f>CONCATENATE("00557420551")</f>
        <v>00557420551</v>
      </c>
      <c r="O1014" s="3" t="s">
        <v>1565</v>
      </c>
      <c r="P1014" s="3" t="s">
        <v>35</v>
      </c>
      <c r="Q1014" s="3" t="s">
        <v>1566</v>
      </c>
      <c r="R1014" s="4">
        <v>45919</v>
      </c>
      <c r="S1014" s="3" t="s">
        <v>37</v>
      </c>
      <c r="T1014" s="3" t="s">
        <v>38</v>
      </c>
      <c r="U1014" s="3" t="s">
        <v>39</v>
      </c>
      <c r="V1014" s="5">
        <v>2647.4</v>
      </c>
      <c r="W1014" s="5">
        <v>1125.1500000000001</v>
      </c>
      <c r="X1014" s="5">
        <v>1065.58</v>
      </c>
      <c r="Y1014" s="3">
        <v>456.67</v>
      </c>
    </row>
    <row r="1015" spans="1:25" ht="25.5" hidden="1" x14ac:dyDescent="0.35">
      <c r="A1015" s="3" t="s">
        <v>26</v>
      </c>
      <c r="B1015" s="3" t="s">
        <v>27</v>
      </c>
      <c r="C1015" s="3" t="s">
        <v>90</v>
      </c>
      <c r="D1015" s="3" t="s">
        <v>41</v>
      </c>
      <c r="E1015" s="3" t="s">
        <v>863</v>
      </c>
      <c r="F1015" s="3" t="s">
        <v>43</v>
      </c>
      <c r="G1015" s="3" t="s">
        <v>863</v>
      </c>
      <c r="H1015" s="3" t="s">
        <v>102</v>
      </c>
      <c r="I1015" s="3">
        <v>2024</v>
      </c>
      <c r="J1015" s="3" t="str">
        <f>CONCATENATE("44810534113")</f>
        <v>44810534113</v>
      </c>
      <c r="K1015" s="3" t="s">
        <v>33</v>
      </c>
      <c r="L1015" s="3" t="str">
        <f t="shared" si="62"/>
        <v/>
      </c>
      <c r="M1015" s="3" t="str">
        <f>CONCATENATE("SRA30")</f>
        <v>SRA30</v>
      </c>
      <c r="N1015" s="3" t="str">
        <f>CONCATENATE("01040000885")</f>
        <v>01040000885</v>
      </c>
      <c r="O1015" s="3" t="s">
        <v>1567</v>
      </c>
      <c r="P1015" s="3" t="s">
        <v>35</v>
      </c>
      <c r="Q1015" s="3" t="s">
        <v>1568</v>
      </c>
      <c r="R1015" s="4">
        <v>45931</v>
      </c>
      <c r="S1015" s="3" t="s">
        <v>37</v>
      </c>
      <c r="T1015" s="3" t="s">
        <v>38</v>
      </c>
      <c r="U1015" s="3" t="s">
        <v>39</v>
      </c>
      <c r="V1015" s="5">
        <v>10009.6</v>
      </c>
      <c r="W1015" s="5">
        <v>5054.8500000000004</v>
      </c>
      <c r="X1015" s="5">
        <v>3468.33</v>
      </c>
      <c r="Y1015" s="5">
        <v>1486.42</v>
      </c>
    </row>
    <row r="1016" spans="1:25" ht="49.5" hidden="1" x14ac:dyDescent="0.35">
      <c r="A1016" s="3" t="s">
        <v>26</v>
      </c>
      <c r="B1016" s="3" t="s">
        <v>27</v>
      </c>
      <c r="C1016" s="3" t="s">
        <v>90</v>
      </c>
      <c r="D1016" s="3" t="s">
        <v>41</v>
      </c>
      <c r="E1016" s="3" t="s">
        <v>863</v>
      </c>
      <c r="F1016" s="3" t="s">
        <v>43</v>
      </c>
      <c r="G1016" s="3" t="s">
        <v>863</v>
      </c>
      <c r="H1016" s="3" t="s">
        <v>102</v>
      </c>
      <c r="I1016" s="3">
        <v>2024</v>
      </c>
      <c r="J1016" s="3" t="str">
        <f>CONCATENATE("44810112761")</f>
        <v>44810112761</v>
      </c>
      <c r="K1016" s="3" t="s">
        <v>33</v>
      </c>
      <c r="L1016" s="3" t="str">
        <f t="shared" si="62"/>
        <v/>
      </c>
      <c r="M1016" s="3" t="str">
        <f>CONCATENATE("SRA30")</f>
        <v>SRA30</v>
      </c>
      <c r="N1016" s="3" t="str">
        <f>CONCATENATE("GRFGPP63D07H163B")</f>
        <v>GRFGPP63D07H163B</v>
      </c>
      <c r="O1016" s="3" t="s">
        <v>1569</v>
      </c>
      <c r="P1016" s="3" t="s">
        <v>35</v>
      </c>
      <c r="Q1016" s="3" t="s">
        <v>1568</v>
      </c>
      <c r="R1016" s="4">
        <v>45931</v>
      </c>
      <c r="S1016" s="3" t="s">
        <v>37</v>
      </c>
      <c r="T1016" s="3" t="s">
        <v>38</v>
      </c>
      <c r="U1016" s="3" t="s">
        <v>39</v>
      </c>
      <c r="V1016" s="5">
        <v>3727.71</v>
      </c>
      <c r="W1016" s="5">
        <v>1882.49</v>
      </c>
      <c r="X1016" s="5">
        <v>1291.6500000000001</v>
      </c>
      <c r="Y1016" s="3">
        <v>553.57000000000005</v>
      </c>
    </row>
    <row r="1017" spans="1:25" ht="49.5" hidden="1" x14ac:dyDescent="0.35">
      <c r="A1017" s="3" t="s">
        <v>26</v>
      </c>
      <c r="B1017" s="3" t="s">
        <v>27</v>
      </c>
      <c r="C1017" s="3" t="s">
        <v>90</v>
      </c>
      <c r="D1017" s="3" t="s">
        <v>41</v>
      </c>
      <c r="E1017" s="3" t="s">
        <v>863</v>
      </c>
      <c r="F1017" s="3" t="s">
        <v>43</v>
      </c>
      <c r="G1017" s="3" t="s">
        <v>863</v>
      </c>
      <c r="H1017" s="3" t="s">
        <v>102</v>
      </c>
      <c r="I1017" s="3">
        <v>2024</v>
      </c>
      <c r="J1017" s="3" t="str">
        <f>CONCATENATE("44810444420")</f>
        <v>44810444420</v>
      </c>
      <c r="K1017" s="3" t="s">
        <v>33</v>
      </c>
      <c r="L1017" s="3" t="str">
        <f t="shared" si="62"/>
        <v/>
      </c>
      <c r="M1017" s="3" t="str">
        <f>CONCATENATE("SRA30")</f>
        <v>SRA30</v>
      </c>
      <c r="N1017" s="3" t="str">
        <f>CONCATENATE("GMMGRG66P22H163M")</f>
        <v>GMMGRG66P22H163M</v>
      </c>
      <c r="O1017" s="3" t="s">
        <v>1570</v>
      </c>
      <c r="P1017" s="3" t="s">
        <v>35</v>
      </c>
      <c r="Q1017" s="3" t="s">
        <v>1568</v>
      </c>
      <c r="R1017" s="4">
        <v>45931</v>
      </c>
      <c r="S1017" s="3" t="s">
        <v>37</v>
      </c>
      <c r="T1017" s="3" t="s">
        <v>38</v>
      </c>
      <c r="U1017" s="3" t="s">
        <v>39</v>
      </c>
      <c r="V1017" s="5">
        <v>8269.65</v>
      </c>
      <c r="W1017" s="5">
        <v>4176.17</v>
      </c>
      <c r="X1017" s="5">
        <v>2865.43</v>
      </c>
      <c r="Y1017" s="5">
        <v>1228.05</v>
      </c>
    </row>
    <row r="1018" spans="1:25" ht="41.5" hidden="1" x14ac:dyDescent="0.35">
      <c r="A1018" s="3" t="s">
        <v>26</v>
      </c>
      <c r="B1018" s="3" t="s">
        <v>27</v>
      </c>
      <c r="C1018" s="3" t="s">
        <v>465</v>
      </c>
      <c r="D1018" s="3" t="s">
        <v>29</v>
      </c>
      <c r="E1018" s="3" t="s">
        <v>466</v>
      </c>
      <c r="F1018" s="3" t="s">
        <v>31</v>
      </c>
      <c r="G1018" s="3" t="s">
        <v>466</v>
      </c>
      <c r="H1018" s="3" t="s">
        <v>467</v>
      </c>
      <c r="I1018" s="3">
        <v>2024</v>
      </c>
      <c r="J1018" s="3" t="str">
        <f>CONCATENATE("44811453073")</f>
        <v>44811453073</v>
      </c>
      <c r="K1018" s="3" t="s">
        <v>33</v>
      </c>
      <c r="L1018" s="3" t="str">
        <f t="shared" si="62"/>
        <v/>
      </c>
      <c r="M1018" s="3" t="str">
        <f>CONCATENATE("SRA30")</f>
        <v>SRA30</v>
      </c>
      <c r="N1018" s="3" t="str">
        <f>CONCATENATE("CTRSLV78E65H501S")</f>
        <v>CTRSLV78E65H501S</v>
      </c>
      <c r="O1018" s="3" t="s">
        <v>1571</v>
      </c>
      <c r="P1018" s="3" t="s">
        <v>35</v>
      </c>
      <c r="Q1018" s="3" t="s">
        <v>1572</v>
      </c>
      <c r="R1018" s="4">
        <v>45926</v>
      </c>
      <c r="S1018" s="3" t="s">
        <v>37</v>
      </c>
      <c r="T1018" s="3" t="s">
        <v>38</v>
      </c>
      <c r="U1018" s="3" t="s">
        <v>39</v>
      </c>
      <c r="V1018" s="5">
        <v>3800</v>
      </c>
      <c r="W1018" s="5">
        <v>1615</v>
      </c>
      <c r="X1018" s="5">
        <v>1529.5</v>
      </c>
      <c r="Y1018" s="3">
        <v>655.5</v>
      </c>
    </row>
    <row r="1019" spans="1:25" ht="41.5" hidden="1" x14ac:dyDescent="0.35">
      <c r="A1019" s="3" t="s">
        <v>26</v>
      </c>
      <c r="B1019" s="3" t="s">
        <v>27</v>
      </c>
      <c r="C1019" s="3" t="s">
        <v>478</v>
      </c>
      <c r="D1019" s="3" t="s">
        <v>234</v>
      </c>
      <c r="E1019" s="3" t="s">
        <v>1140</v>
      </c>
      <c r="F1019" s="3" t="s">
        <v>119</v>
      </c>
      <c r="G1019" s="3" t="s">
        <v>1140</v>
      </c>
      <c r="H1019" s="3" t="s">
        <v>604</v>
      </c>
      <c r="I1019" s="3">
        <v>2024</v>
      </c>
      <c r="J1019" s="3" t="str">
        <f>CONCATENATE("44811055936")</f>
        <v>44811055936</v>
      </c>
      <c r="K1019" s="3" t="s">
        <v>33</v>
      </c>
      <c r="L1019" s="3" t="str">
        <f t="shared" si="62"/>
        <v/>
      </c>
      <c r="M1019" s="3" t="str">
        <f>CONCATENATE("SRA29")</f>
        <v>SRA29</v>
      </c>
      <c r="N1019" s="3" t="str">
        <f>CONCATENATE("CCUNRN68B65L616L")</f>
        <v>CCUNRN68B65L616L</v>
      </c>
      <c r="O1019" s="3" t="s">
        <v>1284</v>
      </c>
      <c r="P1019" s="3" t="s">
        <v>35</v>
      </c>
      <c r="Q1019" s="3" t="s">
        <v>1573</v>
      </c>
      <c r="R1019" s="4">
        <v>45915</v>
      </c>
      <c r="S1019" s="3" t="s">
        <v>37</v>
      </c>
      <c r="T1019" s="3" t="s">
        <v>38</v>
      </c>
      <c r="U1019" s="3" t="s">
        <v>39</v>
      </c>
      <c r="V1019" s="5">
        <v>1677.4</v>
      </c>
      <c r="W1019" s="3">
        <v>847.09</v>
      </c>
      <c r="X1019" s="3">
        <v>581.22</v>
      </c>
      <c r="Y1019" s="3">
        <v>249.09</v>
      </c>
    </row>
    <row r="1020" spans="1:25" ht="41.5" hidden="1" x14ac:dyDescent="0.35">
      <c r="A1020" s="3" t="s">
        <v>26</v>
      </c>
      <c r="B1020" s="3" t="s">
        <v>27</v>
      </c>
      <c r="C1020" s="3" t="s">
        <v>478</v>
      </c>
      <c r="D1020" s="3" t="s">
        <v>41</v>
      </c>
      <c r="E1020" s="3" t="s">
        <v>667</v>
      </c>
      <c r="F1020" s="3" t="s">
        <v>43</v>
      </c>
      <c r="G1020" s="3" t="s">
        <v>667</v>
      </c>
      <c r="H1020" s="3" t="s">
        <v>604</v>
      </c>
      <c r="I1020" s="3">
        <v>2024</v>
      </c>
      <c r="J1020" s="3" t="str">
        <f>CONCATENATE("44810187821")</f>
        <v>44810187821</v>
      </c>
      <c r="K1020" s="3" t="s">
        <v>33</v>
      </c>
      <c r="L1020" s="3" t="str">
        <f t="shared" si="62"/>
        <v/>
      </c>
      <c r="M1020" s="3" t="str">
        <f>CONCATENATE("SRA29")</f>
        <v>SRA29</v>
      </c>
      <c r="N1020" s="3" t="str">
        <f>CONCATENATE("STPCSG69T55M130W")</f>
        <v>STPCSG69T55M130W</v>
      </c>
      <c r="O1020" s="3" t="s">
        <v>1574</v>
      </c>
      <c r="P1020" s="3" t="s">
        <v>35</v>
      </c>
      <c r="Q1020" s="3" t="s">
        <v>1573</v>
      </c>
      <c r="R1020" s="4">
        <v>45915</v>
      </c>
      <c r="S1020" s="3" t="s">
        <v>37</v>
      </c>
      <c r="T1020" s="3" t="s">
        <v>38</v>
      </c>
      <c r="U1020" s="3" t="s">
        <v>39</v>
      </c>
      <c r="V1020" s="5">
        <v>4059.36</v>
      </c>
      <c r="W1020" s="5">
        <v>2049.98</v>
      </c>
      <c r="X1020" s="5">
        <v>1406.57</v>
      </c>
      <c r="Y1020" s="3">
        <v>602.80999999999995</v>
      </c>
    </row>
    <row r="1021" spans="1:25" ht="41.5" hidden="1" x14ac:dyDescent="0.35">
      <c r="A1021" s="3" t="s">
        <v>26</v>
      </c>
      <c r="B1021" s="3" t="s">
        <v>27</v>
      </c>
      <c r="C1021" s="3" t="s">
        <v>28</v>
      </c>
      <c r="D1021" s="3" t="s">
        <v>41</v>
      </c>
      <c r="E1021" s="3" t="s">
        <v>1575</v>
      </c>
      <c r="F1021" s="3" t="s">
        <v>43</v>
      </c>
      <c r="G1021" s="3" t="s">
        <v>1575</v>
      </c>
      <c r="H1021" s="3" t="s">
        <v>32</v>
      </c>
      <c r="I1021" s="3">
        <v>2024</v>
      </c>
      <c r="J1021" s="3" t="str">
        <f>CONCATENATE("44811176856")</f>
        <v>44811176856</v>
      </c>
      <c r="K1021" s="3" t="s">
        <v>33</v>
      </c>
      <c r="L1021" s="3" t="str">
        <f t="shared" si="62"/>
        <v/>
      </c>
      <c r="M1021" s="3" t="str">
        <f>CONCATENATE("SRA29")</f>
        <v>SRA29</v>
      </c>
      <c r="N1021" s="3" t="str">
        <f>CONCATENATE("PTNGNN48P16H985K")</f>
        <v>PTNGNN48P16H985K</v>
      </c>
      <c r="O1021" s="3" t="s">
        <v>1576</v>
      </c>
      <c r="P1021" s="3" t="s">
        <v>35</v>
      </c>
      <c r="Q1021" s="3" t="s">
        <v>1389</v>
      </c>
      <c r="R1021" s="4">
        <v>45916</v>
      </c>
      <c r="S1021" s="3" t="s">
        <v>37</v>
      </c>
      <c r="T1021" s="3" t="s">
        <v>38</v>
      </c>
      <c r="U1021" s="3" t="s">
        <v>39</v>
      </c>
      <c r="V1021" s="5">
        <v>7781.89</v>
      </c>
      <c r="W1021" s="5">
        <v>3929.85</v>
      </c>
      <c r="X1021" s="5">
        <v>2696.42</v>
      </c>
      <c r="Y1021" s="5">
        <v>1155.6199999999999</v>
      </c>
    </row>
    <row r="1022" spans="1:25" ht="49.5" hidden="1" x14ac:dyDescent="0.35">
      <c r="A1022" s="3" t="s">
        <v>26</v>
      </c>
      <c r="B1022" s="3" t="s">
        <v>27</v>
      </c>
      <c r="C1022" s="3" t="s">
        <v>28</v>
      </c>
      <c r="D1022" s="3" t="s">
        <v>41</v>
      </c>
      <c r="E1022" s="3" t="s">
        <v>1577</v>
      </c>
      <c r="F1022" s="3" t="s">
        <v>43</v>
      </c>
      <c r="G1022" s="3" t="s">
        <v>1577</v>
      </c>
      <c r="H1022" s="3" t="s">
        <v>72</v>
      </c>
      <c r="I1022" s="3">
        <v>2024</v>
      </c>
      <c r="J1022" s="3" t="str">
        <f>CONCATENATE("44810677227")</f>
        <v>44810677227</v>
      </c>
      <c r="K1022" s="3" t="s">
        <v>33</v>
      </c>
      <c r="L1022" s="3" t="str">
        <f t="shared" si="62"/>
        <v/>
      </c>
      <c r="M1022" s="3" t="str">
        <f>CONCATENATE("SRA29")</f>
        <v>SRA29</v>
      </c>
      <c r="N1022" s="3" t="str">
        <f>CONCATENATE("RMNSFN70H61H096A")</f>
        <v>RMNSFN70H61H096A</v>
      </c>
      <c r="O1022" s="3" t="s">
        <v>1578</v>
      </c>
      <c r="P1022" s="3" t="s">
        <v>35</v>
      </c>
      <c r="Q1022" s="3" t="s">
        <v>1389</v>
      </c>
      <c r="R1022" s="4">
        <v>45916</v>
      </c>
      <c r="S1022" s="3" t="s">
        <v>37</v>
      </c>
      <c r="T1022" s="3" t="s">
        <v>38</v>
      </c>
      <c r="U1022" s="3" t="s">
        <v>39</v>
      </c>
      <c r="V1022" s="3">
        <v>518.29</v>
      </c>
      <c r="W1022" s="3">
        <v>261.74</v>
      </c>
      <c r="X1022" s="3">
        <v>179.59</v>
      </c>
      <c r="Y1022" s="3">
        <v>76.959999999999994</v>
      </c>
    </row>
    <row r="1023" spans="1:25" ht="41.5" hidden="1" x14ac:dyDescent="0.35">
      <c r="A1023" s="3" t="s">
        <v>26</v>
      </c>
      <c r="B1023" s="3" t="s">
        <v>27</v>
      </c>
      <c r="C1023" s="3" t="s">
        <v>28</v>
      </c>
      <c r="D1023" s="3" t="s">
        <v>29</v>
      </c>
      <c r="E1023" s="3" t="s">
        <v>1579</v>
      </c>
      <c r="F1023" s="3" t="s">
        <v>31</v>
      </c>
      <c r="G1023" s="3" t="s">
        <v>1579</v>
      </c>
      <c r="H1023" s="3" t="s">
        <v>32</v>
      </c>
      <c r="I1023" s="3">
        <v>2024</v>
      </c>
      <c r="J1023" s="3" t="str">
        <f>CONCATENATE("44810664597")</f>
        <v>44810664597</v>
      </c>
      <c r="K1023" s="3" t="s">
        <v>33</v>
      </c>
      <c r="L1023" s="3" t="str">
        <f t="shared" si="62"/>
        <v/>
      </c>
      <c r="M1023" s="3" t="str">
        <f>CONCATENATE("SRA29")</f>
        <v>SRA29</v>
      </c>
      <c r="N1023" s="3" t="str">
        <f>CONCATENATE("RMNGRL74S11C514U")</f>
        <v>RMNGRL74S11C514U</v>
      </c>
      <c r="O1023" s="3" t="s">
        <v>1580</v>
      </c>
      <c r="P1023" s="3" t="s">
        <v>35</v>
      </c>
      <c r="Q1023" s="3" t="s">
        <v>1389</v>
      </c>
      <c r="R1023" s="4">
        <v>45916</v>
      </c>
      <c r="S1023" s="3" t="s">
        <v>37</v>
      </c>
      <c r="T1023" s="3" t="s">
        <v>38</v>
      </c>
      <c r="U1023" s="3" t="s">
        <v>39</v>
      </c>
      <c r="V1023" s="3">
        <v>541.24</v>
      </c>
      <c r="W1023" s="3">
        <v>273.33</v>
      </c>
      <c r="X1023" s="3">
        <v>187.54</v>
      </c>
      <c r="Y1023" s="3">
        <v>80.37</v>
      </c>
    </row>
    <row r="1024" spans="1:25" ht="41.5" hidden="1" x14ac:dyDescent="0.35">
      <c r="A1024" s="3" t="s">
        <v>26</v>
      </c>
      <c r="B1024" s="3" t="s">
        <v>27</v>
      </c>
      <c r="C1024" s="3" t="s">
        <v>561</v>
      </c>
      <c r="D1024" s="3" t="s">
        <v>254</v>
      </c>
      <c r="E1024" s="3" t="s">
        <v>1581</v>
      </c>
      <c r="F1024" s="3" t="s">
        <v>256</v>
      </c>
      <c r="G1024" s="3" t="s">
        <v>1581</v>
      </c>
      <c r="H1024" s="3" t="s">
        <v>563</v>
      </c>
      <c r="I1024" s="3">
        <v>2024</v>
      </c>
      <c r="J1024" s="3" t="str">
        <f>CONCATENATE("44820551412")</f>
        <v>44820551412</v>
      </c>
      <c r="K1024" s="3" t="s">
        <v>33</v>
      </c>
      <c r="L1024" s="3" t="str">
        <f t="shared" si="62"/>
        <v/>
      </c>
      <c r="M1024" s="3" t="str">
        <f>CONCATENATE("SRB01")</f>
        <v>SRB01</v>
      </c>
      <c r="N1024" s="3" t="str">
        <f>CONCATENATE("STNGNN87C06B519Q")</f>
        <v>STNGNN87C06B519Q</v>
      </c>
      <c r="O1024" s="3" t="s">
        <v>1582</v>
      </c>
      <c r="P1024" s="3" t="s">
        <v>50</v>
      </c>
      <c r="Q1024" s="3"/>
      <c r="R1024" s="4">
        <v>45931</v>
      </c>
      <c r="S1024" s="3" t="s">
        <v>37</v>
      </c>
      <c r="T1024" s="3" t="s">
        <v>38</v>
      </c>
      <c r="U1024" s="3" t="s">
        <v>39</v>
      </c>
      <c r="V1024" s="3">
        <v>15.82</v>
      </c>
      <c r="W1024" s="3">
        <v>7.99</v>
      </c>
      <c r="X1024" s="3">
        <v>5.48</v>
      </c>
      <c r="Y1024" s="3">
        <v>2.35</v>
      </c>
    </row>
    <row r="1025" spans="1:25" ht="41.5" hidden="1" x14ac:dyDescent="0.35">
      <c r="A1025" s="3" t="s">
        <v>26</v>
      </c>
      <c r="B1025" s="3" t="s">
        <v>27</v>
      </c>
      <c r="C1025" s="3" t="s">
        <v>561</v>
      </c>
      <c r="D1025" s="3" t="s">
        <v>41</v>
      </c>
      <c r="E1025" s="3" t="s">
        <v>1583</v>
      </c>
      <c r="F1025" s="3" t="s">
        <v>43</v>
      </c>
      <c r="G1025" s="3" t="s">
        <v>1583</v>
      </c>
      <c r="H1025" s="3" t="s">
        <v>563</v>
      </c>
      <c r="I1025" s="3">
        <v>2024</v>
      </c>
      <c r="J1025" s="3" t="str">
        <f>CONCATENATE("44820625794")</f>
        <v>44820625794</v>
      </c>
      <c r="K1025" s="3" t="s">
        <v>33</v>
      </c>
      <c r="L1025" s="3" t="str">
        <f t="shared" si="62"/>
        <v/>
      </c>
      <c r="M1025" s="3" t="str">
        <f>CONCATENATE("SRB01")</f>
        <v>SRB01</v>
      </c>
      <c r="N1025" s="3" t="str">
        <f>CONCATENATE("DVTGNN97P22H501J")</f>
        <v>DVTGNN97P22H501J</v>
      </c>
      <c r="O1025" s="3" t="s">
        <v>1584</v>
      </c>
      <c r="P1025" s="3" t="s">
        <v>50</v>
      </c>
      <c r="Q1025" s="3"/>
      <c r="R1025" s="4">
        <v>45931</v>
      </c>
      <c r="S1025" s="3" t="s">
        <v>37</v>
      </c>
      <c r="T1025" s="3" t="s">
        <v>38</v>
      </c>
      <c r="U1025" s="3" t="s">
        <v>39</v>
      </c>
      <c r="V1025" s="3">
        <v>740.21</v>
      </c>
      <c r="W1025" s="3">
        <v>373.81</v>
      </c>
      <c r="X1025" s="3">
        <v>256.48</v>
      </c>
      <c r="Y1025" s="3">
        <v>109.92</v>
      </c>
    </row>
    <row r="1026" spans="1:25" ht="41.5" hidden="1" x14ac:dyDescent="0.35">
      <c r="A1026" s="3" t="s">
        <v>26</v>
      </c>
      <c r="B1026" s="3" t="s">
        <v>27</v>
      </c>
      <c r="C1026" s="3" t="s">
        <v>658</v>
      </c>
      <c r="D1026" s="3" t="s">
        <v>254</v>
      </c>
      <c r="E1026" s="3" t="s">
        <v>962</v>
      </c>
      <c r="F1026" s="3" t="s">
        <v>256</v>
      </c>
      <c r="G1026" s="3" t="s">
        <v>962</v>
      </c>
      <c r="H1026" s="3" t="s">
        <v>660</v>
      </c>
      <c r="I1026" s="3">
        <v>2024</v>
      </c>
      <c r="J1026" s="3" t="str">
        <f>CONCATENATE("44820442943")</f>
        <v>44820442943</v>
      </c>
      <c r="K1026" s="3" t="s">
        <v>33</v>
      </c>
      <c r="L1026" s="3" t="str">
        <f t="shared" si="62"/>
        <v/>
      </c>
      <c r="M1026" s="3" t="str">
        <f t="shared" ref="M1026:M1035" si="64">CONCATENATE("SRC01")</f>
        <v>SRC01</v>
      </c>
      <c r="N1026" s="3" t="str">
        <f>CONCATENATE("NDRDNL86T04A326H")</f>
        <v>NDRDNL86T04A326H</v>
      </c>
      <c r="O1026" s="3" t="s">
        <v>1585</v>
      </c>
      <c r="P1026" s="3" t="s">
        <v>35</v>
      </c>
      <c r="Q1026" s="3" t="s">
        <v>1380</v>
      </c>
      <c r="R1026" s="4">
        <v>45926</v>
      </c>
      <c r="S1026" s="3" t="s">
        <v>37</v>
      </c>
      <c r="T1026" s="3" t="s">
        <v>38</v>
      </c>
      <c r="U1026" s="3" t="s">
        <v>39</v>
      </c>
      <c r="V1026" s="5">
        <v>7100.06</v>
      </c>
      <c r="W1026" s="5">
        <v>2889.72</v>
      </c>
      <c r="X1026" s="5">
        <v>2947.23</v>
      </c>
      <c r="Y1026" s="5">
        <v>1263.1099999999999</v>
      </c>
    </row>
    <row r="1027" spans="1:25" ht="25.5" hidden="1" x14ac:dyDescent="0.35">
      <c r="A1027" s="3" t="s">
        <v>26</v>
      </c>
      <c r="B1027" s="3" t="s">
        <v>27</v>
      </c>
      <c r="C1027" s="3" t="s">
        <v>658</v>
      </c>
      <c r="D1027" s="3" t="s">
        <v>41</v>
      </c>
      <c r="E1027" s="3" t="s">
        <v>1497</v>
      </c>
      <c r="F1027" s="3" t="s">
        <v>43</v>
      </c>
      <c r="G1027" s="3" t="s">
        <v>1497</v>
      </c>
      <c r="H1027" s="3" t="s">
        <v>660</v>
      </c>
      <c r="I1027" s="3">
        <v>2024</v>
      </c>
      <c r="J1027" s="3" t="str">
        <f>CONCATENATE("44820519385")</f>
        <v>44820519385</v>
      </c>
      <c r="K1027" s="3" t="s">
        <v>33</v>
      </c>
      <c r="L1027" s="3" t="str">
        <f t="shared" si="62"/>
        <v/>
      </c>
      <c r="M1027" s="3" t="str">
        <f t="shared" si="64"/>
        <v>SRC01</v>
      </c>
      <c r="N1027" s="3" t="str">
        <f>CONCATENATE("01221040072")</f>
        <v>01221040072</v>
      </c>
      <c r="O1027" s="3" t="s">
        <v>1586</v>
      </c>
      <c r="P1027" s="3" t="s">
        <v>35</v>
      </c>
      <c r="Q1027" s="3" t="s">
        <v>1380</v>
      </c>
      <c r="R1027" s="4">
        <v>45926</v>
      </c>
      <c r="S1027" s="3" t="s">
        <v>37</v>
      </c>
      <c r="T1027" s="3" t="s">
        <v>38</v>
      </c>
      <c r="U1027" s="3" t="s">
        <v>39</v>
      </c>
      <c r="V1027" s="3">
        <v>27.4</v>
      </c>
      <c r="W1027" s="3">
        <v>11.15</v>
      </c>
      <c r="X1027" s="3">
        <v>11.37</v>
      </c>
      <c r="Y1027" s="3">
        <v>4.88</v>
      </c>
    </row>
    <row r="1028" spans="1:25" ht="25.5" hidden="1" x14ac:dyDescent="0.35">
      <c r="A1028" s="3" t="s">
        <v>26</v>
      </c>
      <c r="B1028" s="3" t="s">
        <v>27</v>
      </c>
      <c r="C1028" s="3" t="s">
        <v>658</v>
      </c>
      <c r="D1028" s="3" t="s">
        <v>41</v>
      </c>
      <c r="E1028" s="3" t="s">
        <v>1497</v>
      </c>
      <c r="F1028" s="3" t="s">
        <v>43</v>
      </c>
      <c r="G1028" s="3" t="s">
        <v>1497</v>
      </c>
      <c r="H1028" s="3" t="s">
        <v>660</v>
      </c>
      <c r="I1028" s="3">
        <v>2024</v>
      </c>
      <c r="J1028" s="3" t="str">
        <f>CONCATENATE("44820635033")</f>
        <v>44820635033</v>
      </c>
      <c r="K1028" s="3" t="s">
        <v>33</v>
      </c>
      <c r="L1028" s="3" t="str">
        <f t="shared" ref="L1028:L1091" si="65">CONCATENATE("")</f>
        <v/>
      </c>
      <c r="M1028" s="3" t="str">
        <f t="shared" si="64"/>
        <v>SRC01</v>
      </c>
      <c r="N1028" s="3" t="str">
        <f>CONCATENATE("01218770079")</f>
        <v>01218770079</v>
      </c>
      <c r="O1028" s="3" t="s">
        <v>1587</v>
      </c>
      <c r="P1028" s="3" t="s">
        <v>35</v>
      </c>
      <c r="Q1028" s="3" t="s">
        <v>1380</v>
      </c>
      <c r="R1028" s="4">
        <v>45926</v>
      </c>
      <c r="S1028" s="3" t="s">
        <v>37</v>
      </c>
      <c r="T1028" s="3" t="s">
        <v>38</v>
      </c>
      <c r="U1028" s="3" t="s">
        <v>39</v>
      </c>
      <c r="V1028" s="5">
        <v>1388.88</v>
      </c>
      <c r="W1028" s="3">
        <v>565.27</v>
      </c>
      <c r="X1028" s="3">
        <v>576.52</v>
      </c>
      <c r="Y1028" s="3">
        <v>247.09</v>
      </c>
    </row>
    <row r="1029" spans="1:25" ht="49.5" hidden="1" x14ac:dyDescent="0.35">
      <c r="A1029" s="3" t="s">
        <v>26</v>
      </c>
      <c r="B1029" s="3" t="s">
        <v>27</v>
      </c>
      <c r="C1029" s="3" t="s">
        <v>658</v>
      </c>
      <c r="D1029" s="3" t="s">
        <v>29</v>
      </c>
      <c r="E1029" s="3" t="s">
        <v>965</v>
      </c>
      <c r="F1029" s="3" t="s">
        <v>31</v>
      </c>
      <c r="G1029" s="3" t="s">
        <v>965</v>
      </c>
      <c r="H1029" s="3" t="s">
        <v>660</v>
      </c>
      <c r="I1029" s="3">
        <v>2024</v>
      </c>
      <c r="J1029" s="3" t="str">
        <f>CONCATENATE("44820522769")</f>
        <v>44820522769</v>
      </c>
      <c r="K1029" s="3" t="s">
        <v>33</v>
      </c>
      <c r="L1029" s="3" t="str">
        <f t="shared" si="65"/>
        <v/>
      </c>
      <c r="M1029" s="3" t="str">
        <f t="shared" si="64"/>
        <v>SRC01</v>
      </c>
      <c r="N1029" s="3" t="str">
        <f>CONCATENATE("MRTFNC83M03A326R")</f>
        <v>MRTFNC83M03A326R</v>
      </c>
      <c r="O1029" s="3" t="s">
        <v>1588</v>
      </c>
      <c r="P1029" s="3" t="s">
        <v>35</v>
      </c>
      <c r="Q1029" s="3" t="s">
        <v>1380</v>
      </c>
      <c r="R1029" s="4">
        <v>45926</v>
      </c>
      <c r="S1029" s="3" t="s">
        <v>37</v>
      </c>
      <c r="T1029" s="3" t="s">
        <v>38</v>
      </c>
      <c r="U1029" s="3" t="s">
        <v>39</v>
      </c>
      <c r="V1029" s="5">
        <v>7461.84</v>
      </c>
      <c r="W1029" s="5">
        <v>3036.97</v>
      </c>
      <c r="X1029" s="5">
        <v>3097.41</v>
      </c>
      <c r="Y1029" s="5">
        <v>1327.46</v>
      </c>
    </row>
    <row r="1030" spans="1:25" ht="41.5" hidden="1" x14ac:dyDescent="0.35">
      <c r="A1030" s="3" t="s">
        <v>26</v>
      </c>
      <c r="B1030" s="3" t="s">
        <v>27</v>
      </c>
      <c r="C1030" s="3" t="s">
        <v>658</v>
      </c>
      <c r="D1030" s="3" t="s">
        <v>41</v>
      </c>
      <c r="E1030" s="3" t="s">
        <v>1497</v>
      </c>
      <c r="F1030" s="3" t="s">
        <v>43</v>
      </c>
      <c r="G1030" s="3" t="s">
        <v>1497</v>
      </c>
      <c r="H1030" s="3" t="s">
        <v>660</v>
      </c>
      <c r="I1030" s="3">
        <v>2024</v>
      </c>
      <c r="J1030" s="3" t="str">
        <f>CONCATENATE("44820466447")</f>
        <v>44820466447</v>
      </c>
      <c r="K1030" s="3" t="s">
        <v>33</v>
      </c>
      <c r="L1030" s="3" t="str">
        <f t="shared" si="65"/>
        <v/>
      </c>
      <c r="M1030" s="3" t="str">
        <f t="shared" si="64"/>
        <v>SRC01</v>
      </c>
      <c r="N1030" s="3" t="str">
        <f>CONCATENATE("MNTLEO71E12A326G")</f>
        <v>MNTLEO71E12A326G</v>
      </c>
      <c r="O1030" s="3" t="s">
        <v>1589</v>
      </c>
      <c r="P1030" s="3" t="s">
        <v>35</v>
      </c>
      <c r="Q1030" s="3" t="s">
        <v>1380</v>
      </c>
      <c r="R1030" s="4">
        <v>45926</v>
      </c>
      <c r="S1030" s="3" t="s">
        <v>37</v>
      </c>
      <c r="T1030" s="3" t="s">
        <v>38</v>
      </c>
      <c r="U1030" s="3" t="s">
        <v>39</v>
      </c>
      <c r="V1030" s="5">
        <v>7480.76</v>
      </c>
      <c r="W1030" s="5">
        <v>3044.67</v>
      </c>
      <c r="X1030" s="5">
        <v>3105.26</v>
      </c>
      <c r="Y1030" s="5">
        <v>1330.83</v>
      </c>
    </row>
    <row r="1031" spans="1:25" ht="49.5" hidden="1" x14ac:dyDescent="0.35">
      <c r="A1031" s="3" t="s">
        <v>26</v>
      </c>
      <c r="B1031" s="3" t="s">
        <v>27</v>
      </c>
      <c r="C1031" s="3" t="s">
        <v>658</v>
      </c>
      <c r="D1031" s="3" t="s">
        <v>41</v>
      </c>
      <c r="E1031" s="3" t="s">
        <v>1497</v>
      </c>
      <c r="F1031" s="3" t="s">
        <v>43</v>
      </c>
      <c r="G1031" s="3" t="s">
        <v>1497</v>
      </c>
      <c r="H1031" s="3" t="s">
        <v>660</v>
      </c>
      <c r="I1031" s="3">
        <v>2024</v>
      </c>
      <c r="J1031" s="3" t="str">
        <f>CONCATENATE("44820598256")</f>
        <v>44820598256</v>
      </c>
      <c r="K1031" s="3" t="s">
        <v>33</v>
      </c>
      <c r="L1031" s="3" t="str">
        <f t="shared" si="65"/>
        <v/>
      </c>
      <c r="M1031" s="3" t="str">
        <f t="shared" si="64"/>
        <v>SRC01</v>
      </c>
      <c r="N1031" s="3" t="str">
        <f>CONCATENATE("MRTMRN76M44A326E")</f>
        <v>MRTMRN76M44A326E</v>
      </c>
      <c r="O1031" s="3" t="s">
        <v>1590</v>
      </c>
      <c r="P1031" s="3" t="s">
        <v>35</v>
      </c>
      <c r="Q1031" s="3" t="s">
        <v>1380</v>
      </c>
      <c r="R1031" s="4">
        <v>45926</v>
      </c>
      <c r="S1031" s="3" t="s">
        <v>37</v>
      </c>
      <c r="T1031" s="3" t="s">
        <v>38</v>
      </c>
      <c r="U1031" s="3" t="s">
        <v>39</v>
      </c>
      <c r="V1031" s="5">
        <v>7230</v>
      </c>
      <c r="W1031" s="5">
        <v>2942.61</v>
      </c>
      <c r="X1031" s="5">
        <v>3001.17</v>
      </c>
      <c r="Y1031" s="5">
        <v>1286.22</v>
      </c>
    </row>
    <row r="1032" spans="1:25" ht="41.5" hidden="1" x14ac:dyDescent="0.35">
      <c r="A1032" s="3" t="s">
        <v>26</v>
      </c>
      <c r="B1032" s="3" t="s">
        <v>27</v>
      </c>
      <c r="C1032" s="3" t="s">
        <v>658</v>
      </c>
      <c r="D1032" s="3" t="s">
        <v>41</v>
      </c>
      <c r="E1032" s="3" t="s">
        <v>1497</v>
      </c>
      <c r="F1032" s="3" t="s">
        <v>43</v>
      </c>
      <c r="G1032" s="3" t="s">
        <v>1497</v>
      </c>
      <c r="H1032" s="3" t="s">
        <v>660</v>
      </c>
      <c r="I1032" s="3">
        <v>2024</v>
      </c>
      <c r="J1032" s="3" t="str">
        <f>CONCATENATE("44820509287")</f>
        <v>44820509287</v>
      </c>
      <c r="K1032" s="3" t="s">
        <v>33</v>
      </c>
      <c r="L1032" s="3" t="str">
        <f t="shared" si="65"/>
        <v/>
      </c>
      <c r="M1032" s="3" t="str">
        <f t="shared" si="64"/>
        <v>SRC01</v>
      </c>
      <c r="N1032" s="3" t="str">
        <f>CONCATENATE("PRSDDR93L16A326X")</f>
        <v>PRSDDR93L16A326X</v>
      </c>
      <c r="O1032" s="3" t="s">
        <v>1591</v>
      </c>
      <c r="P1032" s="3" t="s">
        <v>35</v>
      </c>
      <c r="Q1032" s="3" t="s">
        <v>1380</v>
      </c>
      <c r="R1032" s="4">
        <v>45926</v>
      </c>
      <c r="S1032" s="3" t="s">
        <v>37</v>
      </c>
      <c r="T1032" s="3" t="s">
        <v>38</v>
      </c>
      <c r="U1032" s="3" t="s">
        <v>39</v>
      </c>
      <c r="V1032" s="5">
        <v>7336.28</v>
      </c>
      <c r="W1032" s="5">
        <v>2985.87</v>
      </c>
      <c r="X1032" s="5">
        <v>3045.29</v>
      </c>
      <c r="Y1032" s="5">
        <v>1305.1199999999999</v>
      </c>
    </row>
    <row r="1033" spans="1:25" ht="25.5" hidden="1" x14ac:dyDescent="0.35">
      <c r="A1033" s="3" t="s">
        <v>26</v>
      </c>
      <c r="B1033" s="3" t="s">
        <v>27</v>
      </c>
      <c r="C1033" s="3" t="s">
        <v>658</v>
      </c>
      <c r="D1033" s="3" t="s">
        <v>61</v>
      </c>
      <c r="E1033" s="3" t="s">
        <v>1592</v>
      </c>
      <c r="F1033" s="3" t="s">
        <v>63</v>
      </c>
      <c r="G1033" s="3" t="s">
        <v>1592</v>
      </c>
      <c r="H1033" s="3" t="s">
        <v>660</v>
      </c>
      <c r="I1033" s="3">
        <v>2024</v>
      </c>
      <c r="J1033" s="3" t="str">
        <f>CONCATENATE("44820480919")</f>
        <v>44820480919</v>
      </c>
      <c r="K1033" s="3" t="s">
        <v>33</v>
      </c>
      <c r="L1033" s="3" t="str">
        <f t="shared" si="65"/>
        <v/>
      </c>
      <c r="M1033" s="3" t="str">
        <f t="shared" si="64"/>
        <v>SRC01</v>
      </c>
      <c r="N1033" s="3" t="str">
        <f>CONCATENATE("01252900079")</f>
        <v>01252900079</v>
      </c>
      <c r="O1033" s="3" t="s">
        <v>1593</v>
      </c>
      <c r="P1033" s="3" t="s">
        <v>35</v>
      </c>
      <c r="Q1033" s="3" t="s">
        <v>1380</v>
      </c>
      <c r="R1033" s="4">
        <v>45926</v>
      </c>
      <c r="S1033" s="3" t="s">
        <v>37</v>
      </c>
      <c r="T1033" s="3" t="s">
        <v>38</v>
      </c>
      <c r="U1033" s="3" t="s">
        <v>39</v>
      </c>
      <c r="V1033" s="5">
        <v>7483.84</v>
      </c>
      <c r="W1033" s="5">
        <v>3045.92</v>
      </c>
      <c r="X1033" s="5">
        <v>3106.54</v>
      </c>
      <c r="Y1033" s="5">
        <v>1331.38</v>
      </c>
    </row>
    <row r="1034" spans="1:25" ht="25.5" hidden="1" x14ac:dyDescent="0.35">
      <c r="A1034" s="3" t="s">
        <v>26</v>
      </c>
      <c r="B1034" s="3" t="s">
        <v>27</v>
      </c>
      <c r="C1034" s="3" t="s">
        <v>658</v>
      </c>
      <c r="D1034" s="3" t="s">
        <v>254</v>
      </c>
      <c r="E1034" s="3" t="s">
        <v>962</v>
      </c>
      <c r="F1034" s="3" t="s">
        <v>256</v>
      </c>
      <c r="G1034" s="3" t="s">
        <v>962</v>
      </c>
      <c r="H1034" s="3" t="s">
        <v>660</v>
      </c>
      <c r="I1034" s="3">
        <v>2024</v>
      </c>
      <c r="J1034" s="3" t="str">
        <f>CONCATENATE("44820486890")</f>
        <v>44820486890</v>
      </c>
      <c r="K1034" s="3" t="s">
        <v>33</v>
      </c>
      <c r="L1034" s="3" t="str">
        <f t="shared" si="65"/>
        <v/>
      </c>
      <c r="M1034" s="3" t="str">
        <f t="shared" si="64"/>
        <v>SRC01</v>
      </c>
      <c r="N1034" s="3" t="str">
        <f>CONCATENATE("01070770076")</f>
        <v>01070770076</v>
      </c>
      <c r="O1034" s="3" t="s">
        <v>1594</v>
      </c>
      <c r="P1034" s="3" t="s">
        <v>35</v>
      </c>
      <c r="Q1034" s="3" t="s">
        <v>1380</v>
      </c>
      <c r="R1034" s="4">
        <v>45926</v>
      </c>
      <c r="S1034" s="3" t="s">
        <v>37</v>
      </c>
      <c r="T1034" s="3" t="s">
        <v>38</v>
      </c>
      <c r="U1034" s="3" t="s">
        <v>39</v>
      </c>
      <c r="V1034" s="5">
        <v>7485.92</v>
      </c>
      <c r="W1034" s="5">
        <v>3046.77</v>
      </c>
      <c r="X1034" s="5">
        <v>3107.41</v>
      </c>
      <c r="Y1034" s="5">
        <v>1331.74</v>
      </c>
    </row>
    <row r="1035" spans="1:25" ht="41.5" hidden="1" x14ac:dyDescent="0.35">
      <c r="A1035" s="3" t="s">
        <v>26</v>
      </c>
      <c r="B1035" s="3" t="s">
        <v>27</v>
      </c>
      <c r="C1035" s="3" t="s">
        <v>658</v>
      </c>
      <c r="D1035" s="3" t="s">
        <v>29</v>
      </c>
      <c r="E1035" s="3" t="s">
        <v>1595</v>
      </c>
      <c r="F1035" s="3" t="s">
        <v>31</v>
      </c>
      <c r="G1035" s="3" t="s">
        <v>1595</v>
      </c>
      <c r="H1035" s="3" t="s">
        <v>660</v>
      </c>
      <c r="I1035" s="3">
        <v>2024</v>
      </c>
      <c r="J1035" s="3" t="str">
        <f>CONCATENATE("44820542346")</f>
        <v>44820542346</v>
      </c>
      <c r="K1035" s="3" t="s">
        <v>33</v>
      </c>
      <c r="L1035" s="3" t="str">
        <f t="shared" si="65"/>
        <v/>
      </c>
      <c r="M1035" s="3" t="str">
        <f t="shared" si="64"/>
        <v>SRC01</v>
      </c>
      <c r="N1035" s="3" t="str">
        <f>CONCATENATE("GHTMTT93H16E379V")</f>
        <v>GHTMTT93H16E379V</v>
      </c>
      <c r="O1035" s="3" t="s">
        <v>1596</v>
      </c>
      <c r="P1035" s="3" t="s">
        <v>35</v>
      </c>
      <c r="Q1035" s="3" t="s">
        <v>1380</v>
      </c>
      <c r="R1035" s="4">
        <v>45926</v>
      </c>
      <c r="S1035" s="3" t="s">
        <v>37</v>
      </c>
      <c r="T1035" s="3" t="s">
        <v>38</v>
      </c>
      <c r="U1035" s="3" t="s">
        <v>39</v>
      </c>
      <c r="V1035" s="5">
        <v>6912.62</v>
      </c>
      <c r="W1035" s="5">
        <v>2813.44</v>
      </c>
      <c r="X1035" s="5">
        <v>2869.43</v>
      </c>
      <c r="Y1035" s="5">
        <v>1229.75</v>
      </c>
    </row>
    <row r="1036" spans="1:25" ht="41.5" hidden="1" x14ac:dyDescent="0.35">
      <c r="A1036" s="3" t="s">
        <v>26</v>
      </c>
      <c r="B1036" s="3" t="s">
        <v>27</v>
      </c>
      <c r="C1036" s="3" t="s">
        <v>470</v>
      </c>
      <c r="D1036" s="3" t="s">
        <v>234</v>
      </c>
      <c r="E1036" s="3" t="s">
        <v>1597</v>
      </c>
      <c r="F1036" s="3" t="s">
        <v>119</v>
      </c>
      <c r="G1036" s="3" t="s">
        <v>1597</v>
      </c>
      <c r="H1036" s="3" t="s">
        <v>472</v>
      </c>
      <c r="I1036" s="3">
        <v>2024</v>
      </c>
      <c r="J1036" s="3" t="str">
        <f>CONCATENATE("44820792073")</f>
        <v>44820792073</v>
      </c>
      <c r="K1036" s="3" t="s">
        <v>33</v>
      </c>
      <c r="L1036" s="3" t="str">
        <f t="shared" si="65"/>
        <v/>
      </c>
      <c r="M1036" s="3" t="str">
        <f t="shared" ref="M1036:M1046" si="66">CONCATENATE("SRB01")</f>
        <v>SRB01</v>
      </c>
      <c r="N1036" s="3" t="str">
        <f>CONCATENATE("CLCTSM00R46G942Y")</f>
        <v>CLCTSM00R46G942Y</v>
      </c>
      <c r="O1036" s="3" t="s">
        <v>1598</v>
      </c>
      <c r="P1036" s="3" t="s">
        <v>35</v>
      </c>
      <c r="Q1036" s="3" t="s">
        <v>1381</v>
      </c>
      <c r="R1036" s="4">
        <v>45916</v>
      </c>
      <c r="S1036" s="3" t="s">
        <v>37</v>
      </c>
      <c r="T1036" s="3" t="s">
        <v>38</v>
      </c>
      <c r="U1036" s="3" t="s">
        <v>39</v>
      </c>
      <c r="V1036" s="3">
        <v>500.14</v>
      </c>
      <c r="W1036" s="3">
        <v>252.57</v>
      </c>
      <c r="X1036" s="3">
        <v>173.3</v>
      </c>
      <c r="Y1036" s="3">
        <v>74.27</v>
      </c>
    </row>
    <row r="1037" spans="1:25" ht="41.5" hidden="1" x14ac:dyDescent="0.35">
      <c r="A1037" s="3" t="s">
        <v>26</v>
      </c>
      <c r="B1037" s="3" t="s">
        <v>27</v>
      </c>
      <c r="C1037" s="3" t="s">
        <v>470</v>
      </c>
      <c r="D1037" s="3" t="s">
        <v>99</v>
      </c>
      <c r="E1037" s="3" t="s">
        <v>1599</v>
      </c>
      <c r="F1037" s="3" t="s">
        <v>101</v>
      </c>
      <c r="G1037" s="3" t="s">
        <v>1599</v>
      </c>
      <c r="H1037" s="3" t="s">
        <v>472</v>
      </c>
      <c r="I1037" s="3">
        <v>2024</v>
      </c>
      <c r="J1037" s="3" t="str">
        <f>CONCATENATE("44820635405")</f>
        <v>44820635405</v>
      </c>
      <c r="K1037" s="3" t="s">
        <v>33</v>
      </c>
      <c r="L1037" s="3" t="str">
        <f t="shared" si="65"/>
        <v/>
      </c>
      <c r="M1037" s="3" t="str">
        <f t="shared" si="66"/>
        <v>SRB01</v>
      </c>
      <c r="N1037" s="3" t="str">
        <f>CONCATENATE("CRNGPP57T52F817W")</f>
        <v>CRNGPP57T52F817W</v>
      </c>
      <c r="O1037" s="3" t="s">
        <v>1600</v>
      </c>
      <c r="P1037" s="3" t="s">
        <v>35</v>
      </c>
      <c r="Q1037" s="3" t="s">
        <v>1381</v>
      </c>
      <c r="R1037" s="4">
        <v>45916</v>
      </c>
      <c r="S1037" s="3" t="s">
        <v>37</v>
      </c>
      <c r="T1037" s="3" t="s">
        <v>38</v>
      </c>
      <c r="U1037" s="3" t="s">
        <v>39</v>
      </c>
      <c r="V1037" s="5">
        <v>1616.88</v>
      </c>
      <c r="W1037" s="3">
        <v>816.52</v>
      </c>
      <c r="X1037" s="3">
        <v>560.25</v>
      </c>
      <c r="Y1037" s="3">
        <v>240.11</v>
      </c>
    </row>
    <row r="1038" spans="1:25" ht="41.5" hidden="1" x14ac:dyDescent="0.35">
      <c r="A1038" s="3" t="s">
        <v>26</v>
      </c>
      <c r="B1038" s="3" t="s">
        <v>27</v>
      </c>
      <c r="C1038" s="3" t="s">
        <v>470</v>
      </c>
      <c r="D1038" s="3" t="s">
        <v>61</v>
      </c>
      <c r="E1038" s="3" t="s">
        <v>1499</v>
      </c>
      <c r="F1038" s="3" t="s">
        <v>63</v>
      </c>
      <c r="G1038" s="3" t="s">
        <v>1499</v>
      </c>
      <c r="H1038" s="3" t="s">
        <v>472</v>
      </c>
      <c r="I1038" s="3">
        <v>2024</v>
      </c>
      <c r="J1038" s="3" t="str">
        <f>CONCATENATE("44820467924")</f>
        <v>44820467924</v>
      </c>
      <c r="K1038" s="3" t="s">
        <v>33</v>
      </c>
      <c r="L1038" s="3" t="str">
        <f t="shared" si="65"/>
        <v/>
      </c>
      <c r="M1038" s="3" t="str">
        <f t="shared" si="66"/>
        <v>SRB01</v>
      </c>
      <c r="N1038" s="3" t="str">
        <f>CONCATENATE("CNTRNG76S64G942F")</f>
        <v>CNTRNG76S64G942F</v>
      </c>
      <c r="O1038" s="3" t="s">
        <v>1601</v>
      </c>
      <c r="P1038" s="3" t="s">
        <v>35</v>
      </c>
      <c r="Q1038" s="3" t="s">
        <v>1381</v>
      </c>
      <c r="R1038" s="4">
        <v>45916</v>
      </c>
      <c r="S1038" s="3" t="s">
        <v>37</v>
      </c>
      <c r="T1038" s="3" t="s">
        <v>38</v>
      </c>
      <c r="U1038" s="3" t="s">
        <v>39</v>
      </c>
      <c r="V1038" s="5">
        <v>1007.61</v>
      </c>
      <c r="W1038" s="3">
        <v>508.84</v>
      </c>
      <c r="X1038" s="3">
        <v>349.14</v>
      </c>
      <c r="Y1038" s="3">
        <v>149.63</v>
      </c>
    </row>
    <row r="1039" spans="1:25" ht="41.5" hidden="1" x14ac:dyDescent="0.35">
      <c r="A1039" s="3" t="s">
        <v>26</v>
      </c>
      <c r="B1039" s="3" t="s">
        <v>27</v>
      </c>
      <c r="C1039" s="3" t="s">
        <v>470</v>
      </c>
      <c r="D1039" s="3" t="s">
        <v>234</v>
      </c>
      <c r="E1039" s="3" t="s">
        <v>1597</v>
      </c>
      <c r="F1039" s="3" t="s">
        <v>119</v>
      </c>
      <c r="G1039" s="3" t="s">
        <v>1597</v>
      </c>
      <c r="H1039" s="3" t="s">
        <v>472</v>
      </c>
      <c r="I1039" s="3">
        <v>2024</v>
      </c>
      <c r="J1039" s="3" t="str">
        <f>CONCATENATE("44820361846")</f>
        <v>44820361846</v>
      </c>
      <c r="K1039" s="3" t="s">
        <v>33</v>
      </c>
      <c r="L1039" s="3" t="str">
        <f t="shared" si="65"/>
        <v/>
      </c>
      <c r="M1039" s="3" t="str">
        <f t="shared" si="66"/>
        <v>SRB01</v>
      </c>
      <c r="N1039" s="3" t="str">
        <f>CONCATENATE("DNIMRS84S65A893K")</f>
        <v>DNIMRS84S65A893K</v>
      </c>
      <c r="O1039" s="3" t="s">
        <v>1602</v>
      </c>
      <c r="P1039" s="3" t="s">
        <v>35</v>
      </c>
      <c r="Q1039" s="3" t="s">
        <v>1381</v>
      </c>
      <c r="R1039" s="4">
        <v>45916</v>
      </c>
      <c r="S1039" s="3" t="s">
        <v>37</v>
      </c>
      <c r="T1039" s="3" t="s">
        <v>38</v>
      </c>
      <c r="U1039" s="3" t="s">
        <v>39</v>
      </c>
      <c r="V1039" s="3">
        <v>621.64</v>
      </c>
      <c r="W1039" s="3">
        <v>313.93</v>
      </c>
      <c r="X1039" s="3">
        <v>215.4</v>
      </c>
      <c r="Y1039" s="3">
        <v>92.31</v>
      </c>
    </row>
    <row r="1040" spans="1:25" ht="41.5" hidden="1" x14ac:dyDescent="0.35">
      <c r="A1040" s="3" t="s">
        <v>26</v>
      </c>
      <c r="B1040" s="3" t="s">
        <v>27</v>
      </c>
      <c r="C1040" s="3" t="s">
        <v>470</v>
      </c>
      <c r="D1040" s="3" t="s">
        <v>234</v>
      </c>
      <c r="E1040" s="3" t="s">
        <v>1597</v>
      </c>
      <c r="F1040" s="3" t="s">
        <v>119</v>
      </c>
      <c r="G1040" s="3" t="s">
        <v>1597</v>
      </c>
      <c r="H1040" s="3" t="s">
        <v>472</v>
      </c>
      <c r="I1040" s="3">
        <v>2024</v>
      </c>
      <c r="J1040" s="3" t="str">
        <f>CONCATENATE("44820428421")</f>
        <v>44820428421</v>
      </c>
      <c r="K1040" s="3" t="s">
        <v>33</v>
      </c>
      <c r="L1040" s="3" t="str">
        <f t="shared" si="65"/>
        <v/>
      </c>
      <c r="M1040" s="3" t="str">
        <f t="shared" si="66"/>
        <v>SRB01</v>
      </c>
      <c r="N1040" s="3" t="str">
        <f>CONCATENATE("GRDRCH53P44A013F")</f>
        <v>GRDRCH53P44A013F</v>
      </c>
      <c r="O1040" s="3" t="s">
        <v>1603</v>
      </c>
      <c r="P1040" s="3" t="s">
        <v>35</v>
      </c>
      <c r="Q1040" s="3" t="s">
        <v>1381</v>
      </c>
      <c r="R1040" s="4">
        <v>45916</v>
      </c>
      <c r="S1040" s="3" t="s">
        <v>37</v>
      </c>
      <c r="T1040" s="3" t="s">
        <v>38</v>
      </c>
      <c r="U1040" s="3" t="s">
        <v>39</v>
      </c>
      <c r="V1040" s="3">
        <v>536.48</v>
      </c>
      <c r="W1040" s="3">
        <v>270.92</v>
      </c>
      <c r="X1040" s="3">
        <v>185.89</v>
      </c>
      <c r="Y1040" s="3">
        <v>79.67</v>
      </c>
    </row>
    <row r="1041" spans="1:25" ht="49.5" hidden="1" x14ac:dyDescent="0.35">
      <c r="A1041" s="3" t="s">
        <v>26</v>
      </c>
      <c r="B1041" s="3" t="s">
        <v>27</v>
      </c>
      <c r="C1041" s="3" t="s">
        <v>470</v>
      </c>
      <c r="D1041" s="3" t="s">
        <v>41</v>
      </c>
      <c r="E1041" s="3" t="s">
        <v>675</v>
      </c>
      <c r="F1041" s="3" t="s">
        <v>43</v>
      </c>
      <c r="G1041" s="3" t="s">
        <v>675</v>
      </c>
      <c r="H1041" s="3" t="s">
        <v>472</v>
      </c>
      <c r="I1041" s="3">
        <v>2024</v>
      </c>
      <c r="J1041" s="3" t="str">
        <f>CONCATENATE("44820298105")</f>
        <v>44820298105</v>
      </c>
      <c r="K1041" s="3" t="s">
        <v>33</v>
      </c>
      <c r="L1041" s="3" t="str">
        <f t="shared" si="65"/>
        <v/>
      </c>
      <c r="M1041" s="3" t="str">
        <f t="shared" si="66"/>
        <v>SRB01</v>
      </c>
      <c r="N1041" s="3" t="str">
        <f>CONCATENATE("PSSNTN72B17G942Q")</f>
        <v>PSSNTN72B17G942Q</v>
      </c>
      <c r="O1041" s="3" t="s">
        <v>1604</v>
      </c>
      <c r="P1041" s="3" t="s">
        <v>35</v>
      </c>
      <c r="Q1041" s="3" t="s">
        <v>1381</v>
      </c>
      <c r="R1041" s="4">
        <v>45916</v>
      </c>
      <c r="S1041" s="3" t="s">
        <v>37</v>
      </c>
      <c r="T1041" s="3" t="s">
        <v>38</v>
      </c>
      <c r="U1041" s="3" t="s">
        <v>39</v>
      </c>
      <c r="V1041" s="5">
        <v>3640.57</v>
      </c>
      <c r="W1041" s="5">
        <v>1838.49</v>
      </c>
      <c r="X1041" s="5">
        <v>1261.46</v>
      </c>
      <c r="Y1041" s="3">
        <v>540.62</v>
      </c>
    </row>
    <row r="1042" spans="1:25" ht="41.5" hidden="1" x14ac:dyDescent="0.35">
      <c r="A1042" s="3" t="s">
        <v>26</v>
      </c>
      <c r="B1042" s="3" t="s">
        <v>27</v>
      </c>
      <c r="C1042" s="3" t="s">
        <v>470</v>
      </c>
      <c r="D1042" s="3" t="s">
        <v>61</v>
      </c>
      <c r="E1042" s="3" t="s">
        <v>1605</v>
      </c>
      <c r="F1042" s="3" t="s">
        <v>63</v>
      </c>
      <c r="G1042" s="3" t="s">
        <v>1605</v>
      </c>
      <c r="H1042" s="3" t="s">
        <v>472</v>
      </c>
      <c r="I1042" s="3">
        <v>2024</v>
      </c>
      <c r="J1042" s="3" t="str">
        <f>CONCATENATE("44820440384")</f>
        <v>44820440384</v>
      </c>
      <c r="K1042" s="3" t="s">
        <v>33</v>
      </c>
      <c r="L1042" s="3" t="str">
        <f t="shared" si="65"/>
        <v/>
      </c>
      <c r="M1042" s="3" t="str">
        <f t="shared" si="66"/>
        <v>SRB01</v>
      </c>
      <c r="N1042" s="3" t="str">
        <f>CONCATENATE("SLDVTI64C27L859Q")</f>
        <v>SLDVTI64C27L859Q</v>
      </c>
      <c r="O1042" s="3" t="s">
        <v>1606</v>
      </c>
      <c r="P1042" s="3" t="s">
        <v>35</v>
      </c>
      <c r="Q1042" s="3" t="s">
        <v>1381</v>
      </c>
      <c r="R1042" s="4">
        <v>45916</v>
      </c>
      <c r="S1042" s="3" t="s">
        <v>37</v>
      </c>
      <c r="T1042" s="3" t="s">
        <v>38</v>
      </c>
      <c r="U1042" s="3" t="s">
        <v>39</v>
      </c>
      <c r="V1042" s="3">
        <v>301.10000000000002</v>
      </c>
      <c r="W1042" s="3">
        <v>152.06</v>
      </c>
      <c r="X1042" s="3">
        <v>104.33</v>
      </c>
      <c r="Y1042" s="3">
        <v>44.71</v>
      </c>
    </row>
    <row r="1043" spans="1:25" ht="41.5" hidden="1" x14ac:dyDescent="0.35">
      <c r="A1043" s="3" t="s">
        <v>26</v>
      </c>
      <c r="B1043" s="3" t="s">
        <v>27</v>
      </c>
      <c r="C1043" s="3" t="s">
        <v>470</v>
      </c>
      <c r="D1043" s="3" t="s">
        <v>41</v>
      </c>
      <c r="E1043" s="3" t="s">
        <v>675</v>
      </c>
      <c r="F1043" s="3" t="s">
        <v>43</v>
      </c>
      <c r="G1043" s="3" t="s">
        <v>675</v>
      </c>
      <c r="H1043" s="3" t="s">
        <v>472</v>
      </c>
      <c r="I1043" s="3">
        <v>2024</v>
      </c>
      <c r="J1043" s="3" t="str">
        <f>CONCATENATE("44820320800")</f>
        <v>44820320800</v>
      </c>
      <c r="K1043" s="3" t="s">
        <v>33</v>
      </c>
      <c r="L1043" s="3" t="str">
        <f t="shared" si="65"/>
        <v/>
      </c>
      <c r="M1043" s="3" t="str">
        <f t="shared" si="66"/>
        <v>SRB01</v>
      </c>
      <c r="N1043" s="3" t="str">
        <f>CONCATENATE("SNNNNT77T65G942I")</f>
        <v>SNNNNT77T65G942I</v>
      </c>
      <c r="O1043" s="3" t="s">
        <v>1607</v>
      </c>
      <c r="P1043" s="3" t="s">
        <v>35</v>
      </c>
      <c r="Q1043" s="3" t="s">
        <v>1381</v>
      </c>
      <c r="R1043" s="4">
        <v>45916</v>
      </c>
      <c r="S1043" s="3" t="s">
        <v>37</v>
      </c>
      <c r="T1043" s="3" t="s">
        <v>38</v>
      </c>
      <c r="U1043" s="3" t="s">
        <v>39</v>
      </c>
      <c r="V1043" s="5">
        <v>1031.27</v>
      </c>
      <c r="W1043" s="3">
        <v>520.79</v>
      </c>
      <c r="X1043" s="3">
        <v>357.34</v>
      </c>
      <c r="Y1043" s="3">
        <v>153.13999999999999</v>
      </c>
    </row>
    <row r="1044" spans="1:25" ht="41.5" hidden="1" x14ac:dyDescent="0.35">
      <c r="A1044" s="3" t="s">
        <v>26</v>
      </c>
      <c r="B1044" s="3" t="s">
        <v>27</v>
      </c>
      <c r="C1044" s="3" t="s">
        <v>470</v>
      </c>
      <c r="D1044" s="3" t="s">
        <v>234</v>
      </c>
      <c r="E1044" s="3" t="s">
        <v>1597</v>
      </c>
      <c r="F1044" s="3" t="s">
        <v>119</v>
      </c>
      <c r="G1044" s="3" t="s">
        <v>1597</v>
      </c>
      <c r="H1044" s="3" t="s">
        <v>472</v>
      </c>
      <c r="I1044" s="3">
        <v>2024</v>
      </c>
      <c r="J1044" s="3" t="str">
        <f>CONCATENATE("44820505996")</f>
        <v>44820505996</v>
      </c>
      <c r="K1044" s="3" t="s">
        <v>33</v>
      </c>
      <c r="L1044" s="3" t="str">
        <f t="shared" si="65"/>
        <v/>
      </c>
      <c r="M1044" s="3" t="str">
        <f t="shared" si="66"/>
        <v>SRB01</v>
      </c>
      <c r="N1044" s="3" t="str">
        <f>CONCATENATE("SRLGPP95E10G942A")</f>
        <v>SRLGPP95E10G942A</v>
      </c>
      <c r="O1044" s="3" t="s">
        <v>1608</v>
      </c>
      <c r="P1044" s="3" t="s">
        <v>35</v>
      </c>
      <c r="Q1044" s="3" t="s">
        <v>1381</v>
      </c>
      <c r="R1044" s="4">
        <v>45916</v>
      </c>
      <c r="S1044" s="3" t="s">
        <v>37</v>
      </c>
      <c r="T1044" s="3" t="s">
        <v>38</v>
      </c>
      <c r="U1044" s="3" t="s">
        <v>39</v>
      </c>
      <c r="V1044" s="5">
        <v>3267.92</v>
      </c>
      <c r="W1044" s="5">
        <v>1650.3</v>
      </c>
      <c r="X1044" s="5">
        <v>1132.33</v>
      </c>
      <c r="Y1044" s="3">
        <v>485.29</v>
      </c>
    </row>
    <row r="1045" spans="1:25" ht="41.5" hidden="1" x14ac:dyDescent="0.35">
      <c r="A1045" s="3" t="s">
        <v>26</v>
      </c>
      <c r="B1045" s="3" t="s">
        <v>27</v>
      </c>
      <c r="C1045" s="3" t="s">
        <v>470</v>
      </c>
      <c r="D1045" s="3" t="s">
        <v>75</v>
      </c>
      <c r="E1045" s="3" t="s">
        <v>1609</v>
      </c>
      <c r="F1045" s="3" t="s">
        <v>77</v>
      </c>
      <c r="G1045" s="3" t="s">
        <v>1609</v>
      </c>
      <c r="H1045" s="3" t="s">
        <v>472</v>
      </c>
      <c r="I1045" s="3">
        <v>2024</v>
      </c>
      <c r="J1045" s="3" t="str">
        <f>CONCATENATE("44820531687")</f>
        <v>44820531687</v>
      </c>
      <c r="K1045" s="3" t="s">
        <v>33</v>
      </c>
      <c r="L1045" s="3" t="str">
        <f t="shared" si="65"/>
        <v/>
      </c>
      <c r="M1045" s="3" t="str">
        <f t="shared" si="66"/>
        <v>SRB01</v>
      </c>
      <c r="N1045" s="3" t="str">
        <f>CONCATENATE("SCVGNN93E62L418R")</f>
        <v>SCVGNN93E62L418R</v>
      </c>
      <c r="O1045" s="3" t="s">
        <v>1610</v>
      </c>
      <c r="P1045" s="3" t="s">
        <v>35</v>
      </c>
      <c r="Q1045" s="3" t="s">
        <v>1381</v>
      </c>
      <c r="R1045" s="4">
        <v>45916</v>
      </c>
      <c r="S1045" s="3" t="s">
        <v>37</v>
      </c>
      <c r="T1045" s="3" t="s">
        <v>38</v>
      </c>
      <c r="U1045" s="3" t="s">
        <v>39</v>
      </c>
      <c r="V1045" s="5">
        <v>3752.65</v>
      </c>
      <c r="W1045" s="5">
        <v>1895.09</v>
      </c>
      <c r="X1045" s="5">
        <v>1300.29</v>
      </c>
      <c r="Y1045" s="3">
        <v>557.27</v>
      </c>
    </row>
    <row r="1046" spans="1:25" ht="49.5" hidden="1" x14ac:dyDescent="0.35">
      <c r="A1046" s="3" t="s">
        <v>26</v>
      </c>
      <c r="B1046" s="3" t="s">
        <v>27</v>
      </c>
      <c r="C1046" s="3" t="s">
        <v>470</v>
      </c>
      <c r="D1046" s="3" t="s">
        <v>61</v>
      </c>
      <c r="E1046" s="3" t="s">
        <v>1611</v>
      </c>
      <c r="F1046" s="3" t="s">
        <v>63</v>
      </c>
      <c r="G1046" s="3" t="s">
        <v>1611</v>
      </c>
      <c r="H1046" s="3" t="s">
        <v>472</v>
      </c>
      <c r="I1046" s="3">
        <v>2024</v>
      </c>
      <c r="J1046" s="3" t="str">
        <f>CONCATENATE("44820135349")</f>
        <v>44820135349</v>
      </c>
      <c r="K1046" s="3" t="s">
        <v>33</v>
      </c>
      <c r="L1046" s="3" t="str">
        <f t="shared" si="65"/>
        <v/>
      </c>
      <c r="M1046" s="3" t="str">
        <f t="shared" si="66"/>
        <v>SRB01</v>
      </c>
      <c r="N1046" s="3" t="str">
        <f>CONCATENATE("TLSMRA63D65G942H")</f>
        <v>TLSMRA63D65G942H</v>
      </c>
      <c r="O1046" s="3" t="s">
        <v>1612</v>
      </c>
      <c r="P1046" s="3" t="s">
        <v>35</v>
      </c>
      <c r="Q1046" s="3" t="s">
        <v>1381</v>
      </c>
      <c r="R1046" s="4">
        <v>45916</v>
      </c>
      <c r="S1046" s="3" t="s">
        <v>37</v>
      </c>
      <c r="T1046" s="3" t="s">
        <v>38</v>
      </c>
      <c r="U1046" s="3" t="s">
        <v>39</v>
      </c>
      <c r="V1046" s="3">
        <v>340.39</v>
      </c>
      <c r="W1046" s="3">
        <v>171.9</v>
      </c>
      <c r="X1046" s="3">
        <v>117.95</v>
      </c>
      <c r="Y1046" s="3">
        <v>50.54</v>
      </c>
    </row>
    <row r="1047" spans="1:25" ht="41.5" hidden="1" x14ac:dyDescent="0.35">
      <c r="A1047" s="3" t="s">
        <v>26</v>
      </c>
      <c r="B1047" s="3" t="s">
        <v>27</v>
      </c>
      <c r="C1047" s="3" t="s">
        <v>470</v>
      </c>
      <c r="D1047" s="3" t="s">
        <v>61</v>
      </c>
      <c r="E1047" s="3" t="s">
        <v>911</v>
      </c>
      <c r="F1047" s="3" t="s">
        <v>63</v>
      </c>
      <c r="G1047" s="3" t="s">
        <v>911</v>
      </c>
      <c r="H1047" s="3" t="s">
        <v>664</v>
      </c>
      <c r="I1047" s="3">
        <v>2024</v>
      </c>
      <c r="J1047" s="3" t="str">
        <f>CONCATENATE("44810357309")</f>
        <v>44810357309</v>
      </c>
      <c r="K1047" s="3" t="s">
        <v>33</v>
      </c>
      <c r="L1047" s="3" t="str">
        <f t="shared" si="65"/>
        <v/>
      </c>
      <c r="M1047" s="3" t="str">
        <f>CONCATENATE("SRA01")</f>
        <v>SRA01</v>
      </c>
      <c r="N1047" s="3" t="str">
        <f>CONCATENATE("DLLMRS36R43F399E")</f>
        <v>DLLMRS36R43F399E</v>
      </c>
      <c r="O1047" s="3" t="s">
        <v>1613</v>
      </c>
      <c r="P1047" s="3" t="s">
        <v>35</v>
      </c>
      <c r="Q1047" s="3" t="s">
        <v>1383</v>
      </c>
      <c r="R1047" s="4">
        <v>45915</v>
      </c>
      <c r="S1047" s="3" t="s">
        <v>37</v>
      </c>
      <c r="T1047" s="3" t="s">
        <v>38</v>
      </c>
      <c r="U1047" s="3" t="s">
        <v>39</v>
      </c>
      <c r="V1047" s="5">
        <v>4663.8999999999996</v>
      </c>
      <c r="W1047" s="5">
        <v>2355.27</v>
      </c>
      <c r="X1047" s="5">
        <v>1616.04</v>
      </c>
      <c r="Y1047" s="3">
        <v>692.59</v>
      </c>
    </row>
    <row r="1048" spans="1:25" ht="41.5" hidden="1" x14ac:dyDescent="0.35">
      <c r="A1048" s="3" t="s">
        <v>26</v>
      </c>
      <c r="B1048" s="3" t="s">
        <v>27</v>
      </c>
      <c r="C1048" s="3" t="s">
        <v>470</v>
      </c>
      <c r="D1048" s="3" t="s">
        <v>41</v>
      </c>
      <c r="E1048" s="3" t="s">
        <v>913</v>
      </c>
      <c r="F1048" s="3" t="s">
        <v>43</v>
      </c>
      <c r="G1048" s="3" t="s">
        <v>913</v>
      </c>
      <c r="H1048" s="3" t="s">
        <v>664</v>
      </c>
      <c r="I1048" s="3">
        <v>2024</v>
      </c>
      <c r="J1048" s="3" t="str">
        <f>CONCATENATE("44810317337")</f>
        <v>44810317337</v>
      </c>
      <c r="K1048" s="3" t="s">
        <v>33</v>
      </c>
      <c r="L1048" s="3" t="str">
        <f t="shared" si="65"/>
        <v/>
      </c>
      <c r="M1048" s="3" t="str">
        <f>CONCATENATE("SRA01")</f>
        <v>SRA01</v>
      </c>
      <c r="N1048" s="3" t="str">
        <f>CONCATENATE("NNZGRG96E29G786Z")</f>
        <v>NNZGRG96E29G786Z</v>
      </c>
      <c r="O1048" s="3" t="s">
        <v>1614</v>
      </c>
      <c r="P1048" s="3" t="s">
        <v>35</v>
      </c>
      <c r="Q1048" s="3" t="s">
        <v>1383</v>
      </c>
      <c r="R1048" s="4">
        <v>45915</v>
      </c>
      <c r="S1048" s="3" t="s">
        <v>37</v>
      </c>
      <c r="T1048" s="3" t="s">
        <v>38</v>
      </c>
      <c r="U1048" s="3" t="s">
        <v>39</v>
      </c>
      <c r="V1048" s="5">
        <v>3212.88</v>
      </c>
      <c r="W1048" s="5">
        <v>1622.5</v>
      </c>
      <c r="X1048" s="5">
        <v>1113.26</v>
      </c>
      <c r="Y1048" s="3">
        <v>477.12</v>
      </c>
    </row>
    <row r="1049" spans="1:25" ht="41.5" hidden="1" x14ac:dyDescent="0.35">
      <c r="A1049" s="3" t="s">
        <v>26</v>
      </c>
      <c r="B1049" s="3" t="s">
        <v>27</v>
      </c>
      <c r="C1049" s="3" t="s">
        <v>28</v>
      </c>
      <c r="D1049" s="3" t="s">
        <v>69</v>
      </c>
      <c r="E1049" s="3" t="s">
        <v>70</v>
      </c>
      <c r="F1049" s="3" t="s">
        <v>71</v>
      </c>
      <c r="G1049" s="3" t="s">
        <v>70</v>
      </c>
      <c r="H1049" s="3" t="s">
        <v>72</v>
      </c>
      <c r="I1049" s="3">
        <v>2024</v>
      </c>
      <c r="J1049" s="3" t="str">
        <f>CONCATENATE("44811336070")</f>
        <v>44811336070</v>
      </c>
      <c r="K1049" s="3" t="s">
        <v>33</v>
      </c>
      <c r="L1049" s="3" t="str">
        <f t="shared" si="65"/>
        <v/>
      </c>
      <c r="M1049" s="3" t="str">
        <f t="shared" ref="M1049:M1080" si="67">CONCATENATE("SRA29")</f>
        <v>SRA29</v>
      </c>
      <c r="N1049" s="3" t="str">
        <f>CONCATENATE("NLLDNC55A14F923U")</f>
        <v>NLLDNC55A14F923U</v>
      </c>
      <c r="O1049" s="3" t="s">
        <v>1615</v>
      </c>
      <c r="P1049" s="3" t="s">
        <v>35</v>
      </c>
      <c r="Q1049" s="3" t="s">
        <v>1389</v>
      </c>
      <c r="R1049" s="4">
        <v>45916</v>
      </c>
      <c r="S1049" s="3" t="s">
        <v>37</v>
      </c>
      <c r="T1049" s="3" t="s">
        <v>38</v>
      </c>
      <c r="U1049" s="3" t="s">
        <v>39</v>
      </c>
      <c r="V1049" s="5">
        <v>1163.54</v>
      </c>
      <c r="W1049" s="3">
        <v>587.59</v>
      </c>
      <c r="X1049" s="3">
        <v>403.17</v>
      </c>
      <c r="Y1049" s="3">
        <v>172.78</v>
      </c>
    </row>
    <row r="1050" spans="1:25" ht="25.5" hidden="1" x14ac:dyDescent="0.35">
      <c r="A1050" s="3" t="s">
        <v>26</v>
      </c>
      <c r="B1050" s="3" t="s">
        <v>27</v>
      </c>
      <c r="C1050" s="3" t="s">
        <v>28</v>
      </c>
      <c r="D1050" s="3" t="s">
        <v>51</v>
      </c>
      <c r="E1050" s="3" t="s">
        <v>161</v>
      </c>
      <c r="F1050" s="3" t="s">
        <v>51</v>
      </c>
      <c r="G1050" s="3" t="s">
        <v>161</v>
      </c>
      <c r="H1050" s="3" t="s">
        <v>72</v>
      </c>
      <c r="I1050" s="3">
        <v>2024</v>
      </c>
      <c r="J1050" s="3" t="str">
        <f>CONCATENATE("44810999720")</f>
        <v>44810999720</v>
      </c>
      <c r="K1050" s="3" t="s">
        <v>33</v>
      </c>
      <c r="L1050" s="3" t="str">
        <f t="shared" si="65"/>
        <v/>
      </c>
      <c r="M1050" s="3" t="str">
        <f t="shared" si="67"/>
        <v>SRA29</v>
      </c>
      <c r="N1050" s="3" t="str">
        <f>CONCATENATE("05263550724")</f>
        <v>05263550724</v>
      </c>
      <c r="O1050" s="3" t="s">
        <v>1616</v>
      </c>
      <c r="P1050" s="3" t="s">
        <v>35</v>
      </c>
      <c r="Q1050" s="3" t="s">
        <v>1389</v>
      </c>
      <c r="R1050" s="4">
        <v>45916</v>
      </c>
      <c r="S1050" s="3" t="s">
        <v>37</v>
      </c>
      <c r="T1050" s="3" t="s">
        <v>38</v>
      </c>
      <c r="U1050" s="3" t="s">
        <v>39</v>
      </c>
      <c r="V1050" s="3">
        <v>353.52</v>
      </c>
      <c r="W1050" s="3">
        <v>178.53</v>
      </c>
      <c r="X1050" s="3">
        <v>122.49</v>
      </c>
      <c r="Y1050" s="3">
        <v>52.5</v>
      </c>
    </row>
    <row r="1051" spans="1:25" ht="25.5" hidden="1" x14ac:dyDescent="0.35">
      <c r="A1051" s="3" t="s">
        <v>26</v>
      </c>
      <c r="B1051" s="3" t="s">
        <v>27</v>
      </c>
      <c r="C1051" s="3" t="s">
        <v>28</v>
      </c>
      <c r="D1051" s="3" t="s">
        <v>164</v>
      </c>
      <c r="E1051" s="3" t="s">
        <v>1617</v>
      </c>
      <c r="F1051" s="3" t="s">
        <v>166</v>
      </c>
      <c r="G1051" s="3" t="s">
        <v>1617</v>
      </c>
      <c r="H1051" s="3" t="s">
        <v>72</v>
      </c>
      <c r="I1051" s="3">
        <v>2024</v>
      </c>
      <c r="J1051" s="3" t="str">
        <f>CONCATENATE("44811304680")</f>
        <v>44811304680</v>
      </c>
      <c r="K1051" s="3" t="s">
        <v>33</v>
      </c>
      <c r="L1051" s="3" t="str">
        <f t="shared" si="65"/>
        <v/>
      </c>
      <c r="M1051" s="3" t="str">
        <f t="shared" si="67"/>
        <v>SRA29</v>
      </c>
      <c r="N1051" s="3" t="str">
        <f>CONCATENATE("07915150721")</f>
        <v>07915150721</v>
      </c>
      <c r="O1051" s="3" t="s">
        <v>1618</v>
      </c>
      <c r="P1051" s="3" t="s">
        <v>35</v>
      </c>
      <c r="Q1051" s="3" t="s">
        <v>1389</v>
      </c>
      <c r="R1051" s="4">
        <v>45916</v>
      </c>
      <c r="S1051" s="3" t="s">
        <v>37</v>
      </c>
      <c r="T1051" s="3" t="s">
        <v>38</v>
      </c>
      <c r="U1051" s="3" t="s">
        <v>39</v>
      </c>
      <c r="V1051" s="5">
        <v>4423.3599999999997</v>
      </c>
      <c r="W1051" s="5">
        <v>2233.8000000000002</v>
      </c>
      <c r="X1051" s="5">
        <v>1532.69</v>
      </c>
      <c r="Y1051" s="3">
        <v>656.87</v>
      </c>
    </row>
    <row r="1052" spans="1:25" ht="41.5" hidden="1" x14ac:dyDescent="0.35">
      <c r="A1052" s="3" t="s">
        <v>26</v>
      </c>
      <c r="B1052" s="3" t="s">
        <v>27</v>
      </c>
      <c r="C1052" s="3" t="s">
        <v>28</v>
      </c>
      <c r="D1052" s="3" t="s">
        <v>75</v>
      </c>
      <c r="E1052" s="3" t="s">
        <v>1619</v>
      </c>
      <c r="F1052" s="3" t="s">
        <v>63</v>
      </c>
      <c r="G1052" s="3" t="s">
        <v>1531</v>
      </c>
      <c r="H1052" s="3" t="s">
        <v>1403</v>
      </c>
      <c r="I1052" s="3">
        <v>2024</v>
      </c>
      <c r="J1052" s="3" t="str">
        <f>CONCATENATE("44811301553")</f>
        <v>44811301553</v>
      </c>
      <c r="K1052" s="3" t="s">
        <v>33</v>
      </c>
      <c r="L1052" s="3" t="str">
        <f t="shared" si="65"/>
        <v/>
      </c>
      <c r="M1052" s="3" t="str">
        <f t="shared" si="67"/>
        <v>SRA29</v>
      </c>
      <c r="N1052" s="3" t="str">
        <f>CONCATENATE("ZZLRRT91B53B506D")</f>
        <v>ZZLRRT91B53B506D</v>
      </c>
      <c r="O1052" s="3" t="s">
        <v>1620</v>
      </c>
      <c r="P1052" s="3" t="s">
        <v>35</v>
      </c>
      <c r="Q1052" s="3" t="s">
        <v>1389</v>
      </c>
      <c r="R1052" s="4">
        <v>45916</v>
      </c>
      <c r="S1052" s="3" t="s">
        <v>37</v>
      </c>
      <c r="T1052" s="3" t="s">
        <v>38</v>
      </c>
      <c r="U1052" s="3" t="s">
        <v>39</v>
      </c>
      <c r="V1052" s="3">
        <v>151.72999999999999</v>
      </c>
      <c r="W1052" s="3">
        <v>76.62</v>
      </c>
      <c r="X1052" s="3">
        <v>52.57</v>
      </c>
      <c r="Y1052" s="3">
        <v>22.54</v>
      </c>
    </row>
    <row r="1053" spans="1:25" ht="41.5" hidden="1" x14ac:dyDescent="0.35">
      <c r="A1053" s="3" t="s">
        <v>26</v>
      </c>
      <c r="B1053" s="3" t="s">
        <v>27</v>
      </c>
      <c r="C1053" s="3" t="s">
        <v>28</v>
      </c>
      <c r="D1053" s="3" t="s">
        <v>75</v>
      </c>
      <c r="E1053" s="3" t="s">
        <v>1621</v>
      </c>
      <c r="F1053" s="3" t="s">
        <v>77</v>
      </c>
      <c r="G1053" s="3" t="s">
        <v>1621</v>
      </c>
      <c r="H1053" s="3" t="s">
        <v>1403</v>
      </c>
      <c r="I1053" s="3">
        <v>2024</v>
      </c>
      <c r="J1053" s="3" t="str">
        <f>CONCATENATE("44810574382")</f>
        <v>44810574382</v>
      </c>
      <c r="K1053" s="3" t="s">
        <v>33</v>
      </c>
      <c r="L1053" s="3" t="str">
        <f t="shared" si="65"/>
        <v/>
      </c>
      <c r="M1053" s="3" t="str">
        <f t="shared" si="67"/>
        <v>SRA29</v>
      </c>
      <c r="N1053" s="3" t="str">
        <f>CONCATENATE("CLGDNN65D46E506P")</f>
        <v>CLGDNN65D46E506P</v>
      </c>
      <c r="O1053" s="3" t="s">
        <v>1622</v>
      </c>
      <c r="P1053" s="3" t="s">
        <v>35</v>
      </c>
      <c r="Q1053" s="3" t="s">
        <v>1389</v>
      </c>
      <c r="R1053" s="4">
        <v>45916</v>
      </c>
      <c r="S1053" s="3" t="s">
        <v>37</v>
      </c>
      <c r="T1053" s="3" t="s">
        <v>38</v>
      </c>
      <c r="U1053" s="3" t="s">
        <v>39</v>
      </c>
      <c r="V1053" s="3">
        <v>611.07000000000005</v>
      </c>
      <c r="W1053" s="3">
        <v>308.58999999999997</v>
      </c>
      <c r="X1053" s="3">
        <v>211.74</v>
      </c>
      <c r="Y1053" s="3">
        <v>90.74</v>
      </c>
    </row>
    <row r="1054" spans="1:25" ht="41.5" hidden="1" x14ac:dyDescent="0.35">
      <c r="A1054" s="3" t="s">
        <v>26</v>
      </c>
      <c r="B1054" s="3" t="s">
        <v>27</v>
      </c>
      <c r="C1054" s="3" t="s">
        <v>28</v>
      </c>
      <c r="D1054" s="3" t="s">
        <v>41</v>
      </c>
      <c r="E1054" s="3" t="s">
        <v>183</v>
      </c>
      <c r="F1054" s="3" t="s">
        <v>43</v>
      </c>
      <c r="G1054" s="3" t="s">
        <v>183</v>
      </c>
      <c r="H1054" s="3" t="s">
        <v>72</v>
      </c>
      <c r="I1054" s="3">
        <v>2024</v>
      </c>
      <c r="J1054" s="3" t="str">
        <f>CONCATENATE("44810814671")</f>
        <v>44810814671</v>
      </c>
      <c r="K1054" s="3" t="s">
        <v>33</v>
      </c>
      <c r="L1054" s="3" t="str">
        <f t="shared" si="65"/>
        <v/>
      </c>
      <c r="M1054" s="3" t="str">
        <f t="shared" si="67"/>
        <v>SRA29</v>
      </c>
      <c r="N1054" s="3" t="str">
        <f>CONCATENATE("CPZDNI00B26L328B")</f>
        <v>CPZDNI00B26L328B</v>
      </c>
      <c r="O1054" s="3" t="s">
        <v>1623</v>
      </c>
      <c r="P1054" s="3" t="s">
        <v>35</v>
      </c>
      <c r="Q1054" s="3" t="s">
        <v>1389</v>
      </c>
      <c r="R1054" s="4">
        <v>45916</v>
      </c>
      <c r="S1054" s="3" t="s">
        <v>37</v>
      </c>
      <c r="T1054" s="3" t="s">
        <v>38</v>
      </c>
      <c r="U1054" s="3" t="s">
        <v>39</v>
      </c>
      <c r="V1054" s="3">
        <v>30.6</v>
      </c>
      <c r="W1054" s="3">
        <v>15.45</v>
      </c>
      <c r="X1054" s="3">
        <v>10.6</v>
      </c>
      <c r="Y1054" s="3">
        <v>4.55</v>
      </c>
    </row>
    <row r="1055" spans="1:25" ht="41.5" hidden="1" x14ac:dyDescent="0.35">
      <c r="A1055" s="3" t="s">
        <v>26</v>
      </c>
      <c r="B1055" s="3" t="s">
        <v>27</v>
      </c>
      <c r="C1055" s="3" t="s">
        <v>28</v>
      </c>
      <c r="D1055" s="3" t="s">
        <v>164</v>
      </c>
      <c r="E1055" s="3" t="s">
        <v>1624</v>
      </c>
      <c r="F1055" s="3" t="s">
        <v>166</v>
      </c>
      <c r="G1055" s="3" t="s">
        <v>1624</v>
      </c>
      <c r="H1055" s="3" t="s">
        <v>156</v>
      </c>
      <c r="I1055" s="3">
        <v>2024</v>
      </c>
      <c r="J1055" s="3" t="str">
        <f>CONCATENATE("44810871168")</f>
        <v>44810871168</v>
      </c>
      <c r="K1055" s="3" t="s">
        <v>33</v>
      </c>
      <c r="L1055" s="3" t="str">
        <f t="shared" si="65"/>
        <v/>
      </c>
      <c r="M1055" s="3" t="str">
        <f t="shared" si="67"/>
        <v>SRA29</v>
      </c>
      <c r="N1055" s="3" t="str">
        <f>CONCATENATE("CNTPLA60A61F205S")</f>
        <v>CNTPLA60A61F205S</v>
      </c>
      <c r="O1055" s="3" t="s">
        <v>1625</v>
      </c>
      <c r="P1055" s="3" t="s">
        <v>35</v>
      </c>
      <c r="Q1055" s="3" t="s">
        <v>1389</v>
      </c>
      <c r="R1055" s="4">
        <v>45916</v>
      </c>
      <c r="S1055" s="3" t="s">
        <v>37</v>
      </c>
      <c r="T1055" s="3" t="s">
        <v>38</v>
      </c>
      <c r="U1055" s="3" t="s">
        <v>39</v>
      </c>
      <c r="V1055" s="3">
        <v>425.89</v>
      </c>
      <c r="W1055" s="3">
        <v>215.07</v>
      </c>
      <c r="X1055" s="3">
        <v>147.57</v>
      </c>
      <c r="Y1055" s="3">
        <v>63.25</v>
      </c>
    </row>
    <row r="1056" spans="1:25" ht="41.5" hidden="1" x14ac:dyDescent="0.35">
      <c r="A1056" s="3" t="s">
        <v>26</v>
      </c>
      <c r="B1056" s="3" t="s">
        <v>27</v>
      </c>
      <c r="C1056" s="3" t="s">
        <v>28</v>
      </c>
      <c r="D1056" s="3" t="s">
        <v>107</v>
      </c>
      <c r="E1056" s="3" t="s">
        <v>1626</v>
      </c>
      <c r="F1056" s="3" t="s">
        <v>115</v>
      </c>
      <c r="G1056" s="3" t="s">
        <v>1626</v>
      </c>
      <c r="H1056" s="3" t="s">
        <v>1403</v>
      </c>
      <c r="I1056" s="3">
        <v>2024</v>
      </c>
      <c r="J1056" s="3" t="str">
        <f>CONCATENATE("44810706612")</f>
        <v>44810706612</v>
      </c>
      <c r="K1056" s="3" t="s">
        <v>33</v>
      </c>
      <c r="L1056" s="3" t="str">
        <f t="shared" si="65"/>
        <v/>
      </c>
      <c r="M1056" s="3" t="str">
        <f t="shared" si="67"/>
        <v>SRA29</v>
      </c>
      <c r="N1056" s="3" t="str">
        <f>CONCATENATE("DCLGPP53S18B809W")</f>
        <v>DCLGPP53S18B809W</v>
      </c>
      <c r="O1056" s="3" t="s">
        <v>1627</v>
      </c>
      <c r="P1056" s="3" t="s">
        <v>35</v>
      </c>
      <c r="Q1056" s="3" t="s">
        <v>1389</v>
      </c>
      <c r="R1056" s="4">
        <v>45916</v>
      </c>
      <c r="S1056" s="3" t="s">
        <v>37</v>
      </c>
      <c r="T1056" s="3" t="s">
        <v>38</v>
      </c>
      <c r="U1056" s="3" t="s">
        <v>39</v>
      </c>
      <c r="V1056" s="5">
        <v>1443.8</v>
      </c>
      <c r="W1056" s="3">
        <v>729.12</v>
      </c>
      <c r="X1056" s="3">
        <v>500.28</v>
      </c>
      <c r="Y1056" s="3">
        <v>214.4</v>
      </c>
    </row>
    <row r="1057" spans="1:25" ht="41.5" hidden="1" x14ac:dyDescent="0.35">
      <c r="A1057" s="3" t="s">
        <v>26</v>
      </c>
      <c r="B1057" s="3" t="s">
        <v>27</v>
      </c>
      <c r="C1057" s="3" t="s">
        <v>28</v>
      </c>
      <c r="D1057" s="3" t="s">
        <v>29</v>
      </c>
      <c r="E1057" s="3" t="s">
        <v>1410</v>
      </c>
      <c r="F1057" s="3" t="s">
        <v>31</v>
      </c>
      <c r="G1057" s="3" t="s">
        <v>1410</v>
      </c>
      <c r="H1057" s="3" t="s">
        <v>72</v>
      </c>
      <c r="I1057" s="3">
        <v>2024</v>
      </c>
      <c r="J1057" s="3" t="str">
        <f>CONCATENATE("44810913663")</f>
        <v>44810913663</v>
      </c>
      <c r="K1057" s="3" t="s">
        <v>33</v>
      </c>
      <c r="L1057" s="3" t="str">
        <f t="shared" si="65"/>
        <v/>
      </c>
      <c r="M1057" s="3" t="str">
        <f t="shared" si="67"/>
        <v>SRA29</v>
      </c>
      <c r="N1057" s="3" t="str">
        <f>CONCATENATE("DSNVNT98C69I330D")</f>
        <v>DSNVNT98C69I330D</v>
      </c>
      <c r="O1057" s="3" t="s">
        <v>1628</v>
      </c>
      <c r="P1057" s="3" t="s">
        <v>35</v>
      </c>
      <c r="Q1057" s="3" t="s">
        <v>1389</v>
      </c>
      <c r="R1057" s="4">
        <v>45916</v>
      </c>
      <c r="S1057" s="3" t="s">
        <v>37</v>
      </c>
      <c r="T1057" s="3" t="s">
        <v>38</v>
      </c>
      <c r="U1057" s="3" t="s">
        <v>39</v>
      </c>
      <c r="V1057" s="3">
        <v>1.47</v>
      </c>
      <c r="W1057" s="3">
        <v>0.74</v>
      </c>
      <c r="X1057" s="3">
        <v>0.51</v>
      </c>
      <c r="Y1057" s="3">
        <v>0.22</v>
      </c>
    </row>
    <row r="1058" spans="1:25" ht="41.5" hidden="1" x14ac:dyDescent="0.35">
      <c r="A1058" s="3" t="s">
        <v>26</v>
      </c>
      <c r="B1058" s="3" t="s">
        <v>27</v>
      </c>
      <c r="C1058" s="3" t="s">
        <v>28</v>
      </c>
      <c r="D1058" s="3" t="s">
        <v>41</v>
      </c>
      <c r="E1058" s="3" t="s">
        <v>1629</v>
      </c>
      <c r="F1058" s="3" t="s">
        <v>31</v>
      </c>
      <c r="G1058" s="3" t="s">
        <v>1579</v>
      </c>
      <c r="H1058" s="3" t="s">
        <v>72</v>
      </c>
      <c r="I1058" s="3">
        <v>2024</v>
      </c>
      <c r="J1058" s="3" t="str">
        <f>CONCATENATE("44810966422")</f>
        <v>44810966422</v>
      </c>
      <c r="K1058" s="3" t="s">
        <v>33</v>
      </c>
      <c r="L1058" s="3" t="str">
        <f t="shared" si="65"/>
        <v/>
      </c>
      <c r="M1058" s="3" t="str">
        <f t="shared" si="67"/>
        <v>SRA29</v>
      </c>
      <c r="N1058" s="3" t="str">
        <f>CONCATENATE("PDNTRS55H57G291S")</f>
        <v>PDNTRS55H57G291S</v>
      </c>
      <c r="O1058" s="3" t="s">
        <v>1630</v>
      </c>
      <c r="P1058" s="3" t="s">
        <v>35</v>
      </c>
      <c r="Q1058" s="3" t="s">
        <v>1389</v>
      </c>
      <c r="R1058" s="4">
        <v>45916</v>
      </c>
      <c r="S1058" s="3" t="s">
        <v>37</v>
      </c>
      <c r="T1058" s="3" t="s">
        <v>38</v>
      </c>
      <c r="U1058" s="3" t="s">
        <v>39</v>
      </c>
      <c r="V1058" s="3">
        <v>373.29</v>
      </c>
      <c r="W1058" s="3">
        <v>188.51</v>
      </c>
      <c r="X1058" s="3">
        <v>129.34</v>
      </c>
      <c r="Y1058" s="3">
        <v>55.44</v>
      </c>
    </row>
    <row r="1059" spans="1:25" ht="49.5" hidden="1" x14ac:dyDescent="0.35">
      <c r="A1059" s="3" t="s">
        <v>26</v>
      </c>
      <c r="B1059" s="3" t="s">
        <v>27</v>
      </c>
      <c r="C1059" s="3" t="s">
        <v>90</v>
      </c>
      <c r="D1059" s="3" t="s">
        <v>69</v>
      </c>
      <c r="E1059" s="3" t="s">
        <v>109</v>
      </c>
      <c r="F1059" s="3" t="s">
        <v>71</v>
      </c>
      <c r="G1059" s="3" t="s">
        <v>109</v>
      </c>
      <c r="H1059" s="3" t="s">
        <v>96</v>
      </c>
      <c r="I1059" s="3">
        <v>2024</v>
      </c>
      <c r="J1059" s="3" t="str">
        <f>CONCATENATE("44810020436")</f>
        <v>44810020436</v>
      </c>
      <c r="K1059" s="3" t="s">
        <v>33</v>
      </c>
      <c r="L1059" s="3" t="str">
        <f t="shared" si="65"/>
        <v/>
      </c>
      <c r="M1059" s="3" t="str">
        <f t="shared" si="67"/>
        <v>SRA29</v>
      </c>
      <c r="N1059" s="3" t="str">
        <f>CONCATENATE("DMRRSO76B57G273K")</f>
        <v>DMRRSO76B57G273K</v>
      </c>
      <c r="O1059" s="3" t="s">
        <v>1631</v>
      </c>
      <c r="P1059" s="3" t="s">
        <v>35</v>
      </c>
      <c r="Q1059" s="3" t="s">
        <v>1384</v>
      </c>
      <c r="R1059" s="4">
        <v>45931</v>
      </c>
      <c r="S1059" s="3" t="s">
        <v>37</v>
      </c>
      <c r="T1059" s="3" t="s">
        <v>38</v>
      </c>
      <c r="U1059" s="3" t="s">
        <v>39</v>
      </c>
      <c r="V1059" s="5">
        <v>3430.01</v>
      </c>
      <c r="W1059" s="5">
        <v>1732.16</v>
      </c>
      <c r="X1059" s="5">
        <v>1188.5</v>
      </c>
      <c r="Y1059" s="3">
        <v>509.35</v>
      </c>
    </row>
    <row r="1060" spans="1:25" ht="41.5" hidden="1" x14ac:dyDescent="0.35">
      <c r="A1060" s="3" t="s">
        <v>26</v>
      </c>
      <c r="B1060" s="3" t="s">
        <v>27</v>
      </c>
      <c r="C1060" s="3" t="s">
        <v>90</v>
      </c>
      <c r="D1060" s="3" t="s">
        <v>51</v>
      </c>
      <c r="E1060" s="3" t="s">
        <v>105</v>
      </c>
      <c r="F1060" s="3" t="s">
        <v>85</v>
      </c>
      <c r="G1060" s="3" t="s">
        <v>258</v>
      </c>
      <c r="H1060" s="3" t="s">
        <v>96</v>
      </c>
      <c r="I1060" s="3">
        <v>2024</v>
      </c>
      <c r="J1060" s="3" t="str">
        <f>CONCATENATE("44811278843")</f>
        <v>44811278843</v>
      </c>
      <c r="K1060" s="3" t="s">
        <v>33</v>
      </c>
      <c r="L1060" s="3" t="str">
        <f t="shared" si="65"/>
        <v/>
      </c>
      <c r="M1060" s="3" t="str">
        <f t="shared" si="67"/>
        <v>SRA29</v>
      </c>
      <c r="N1060" s="3" t="str">
        <f>CONCATENATE("DPZFNC85L04B780G")</f>
        <v>DPZFNC85L04B780G</v>
      </c>
      <c r="O1060" s="3" t="s">
        <v>1632</v>
      </c>
      <c r="P1060" s="3" t="s">
        <v>35</v>
      </c>
      <c r="Q1060" s="3" t="s">
        <v>1384</v>
      </c>
      <c r="R1060" s="4">
        <v>45931</v>
      </c>
      <c r="S1060" s="3" t="s">
        <v>37</v>
      </c>
      <c r="T1060" s="3" t="s">
        <v>38</v>
      </c>
      <c r="U1060" s="3" t="s">
        <v>39</v>
      </c>
      <c r="V1060" s="5">
        <v>9368.7800000000007</v>
      </c>
      <c r="W1060" s="5">
        <v>4731.2299999999996</v>
      </c>
      <c r="X1060" s="5">
        <v>3246.28</v>
      </c>
      <c r="Y1060" s="5">
        <v>1391.27</v>
      </c>
    </row>
    <row r="1061" spans="1:25" ht="41.5" hidden="1" x14ac:dyDescent="0.35">
      <c r="A1061" s="3" t="s">
        <v>26</v>
      </c>
      <c r="B1061" s="3" t="s">
        <v>27</v>
      </c>
      <c r="C1061" s="3" t="s">
        <v>90</v>
      </c>
      <c r="D1061" s="3" t="s">
        <v>61</v>
      </c>
      <c r="E1061" s="3" t="s">
        <v>1231</v>
      </c>
      <c r="F1061" s="3" t="s">
        <v>63</v>
      </c>
      <c r="G1061" s="3" t="s">
        <v>1231</v>
      </c>
      <c r="H1061" s="3" t="s">
        <v>96</v>
      </c>
      <c r="I1061" s="3">
        <v>2024</v>
      </c>
      <c r="J1061" s="3" t="str">
        <f>CONCATENATE("44811000726")</f>
        <v>44811000726</v>
      </c>
      <c r="K1061" s="3" t="s">
        <v>33</v>
      </c>
      <c r="L1061" s="3" t="str">
        <f t="shared" si="65"/>
        <v/>
      </c>
      <c r="M1061" s="3" t="str">
        <f t="shared" si="67"/>
        <v>SRA29</v>
      </c>
      <c r="N1061" s="3" t="str">
        <f>CONCATENATE("GNGDTG66T04H245J")</f>
        <v>GNGDTG66T04H245J</v>
      </c>
      <c r="O1061" s="3" t="s">
        <v>1633</v>
      </c>
      <c r="P1061" s="3" t="s">
        <v>35</v>
      </c>
      <c r="Q1061" s="3" t="s">
        <v>1384</v>
      </c>
      <c r="R1061" s="4">
        <v>45931</v>
      </c>
      <c r="S1061" s="3" t="s">
        <v>37</v>
      </c>
      <c r="T1061" s="3" t="s">
        <v>38</v>
      </c>
      <c r="U1061" s="3" t="s">
        <v>39</v>
      </c>
      <c r="V1061" s="5">
        <v>20685.55</v>
      </c>
      <c r="W1061" s="5">
        <v>10446.200000000001</v>
      </c>
      <c r="X1061" s="5">
        <v>7167.54</v>
      </c>
      <c r="Y1061" s="5">
        <v>3071.81</v>
      </c>
    </row>
    <row r="1062" spans="1:25" ht="41.5" hidden="1" x14ac:dyDescent="0.35">
      <c r="A1062" s="3" t="s">
        <v>26</v>
      </c>
      <c r="B1062" s="3" t="s">
        <v>27</v>
      </c>
      <c r="C1062" s="3" t="s">
        <v>90</v>
      </c>
      <c r="D1062" s="3" t="s">
        <v>51</v>
      </c>
      <c r="E1062" s="3" t="s">
        <v>105</v>
      </c>
      <c r="F1062" s="3" t="s">
        <v>51</v>
      </c>
      <c r="G1062" s="3" t="s">
        <v>105</v>
      </c>
      <c r="H1062" s="3" t="s">
        <v>96</v>
      </c>
      <c r="I1062" s="3">
        <v>2024</v>
      </c>
      <c r="J1062" s="3" t="str">
        <f>CONCATENATE("44810279487")</f>
        <v>44810279487</v>
      </c>
      <c r="K1062" s="3" t="s">
        <v>33</v>
      </c>
      <c r="L1062" s="3" t="str">
        <f t="shared" si="65"/>
        <v/>
      </c>
      <c r="M1062" s="3" t="str">
        <f t="shared" si="67"/>
        <v>SRA29</v>
      </c>
      <c r="N1062" s="3" t="str">
        <f>CONCATENATE("GRDVCN65L18B315O")</f>
        <v>GRDVCN65L18B315O</v>
      </c>
      <c r="O1062" s="3" t="s">
        <v>1634</v>
      </c>
      <c r="P1062" s="3" t="s">
        <v>35</v>
      </c>
      <c r="Q1062" s="3" t="s">
        <v>1384</v>
      </c>
      <c r="R1062" s="4">
        <v>45931</v>
      </c>
      <c r="S1062" s="3" t="s">
        <v>37</v>
      </c>
      <c r="T1062" s="3" t="s">
        <v>38</v>
      </c>
      <c r="U1062" s="3" t="s">
        <v>39</v>
      </c>
      <c r="V1062" s="5">
        <v>2276.67</v>
      </c>
      <c r="W1062" s="5">
        <v>1149.72</v>
      </c>
      <c r="X1062" s="3">
        <v>788.87</v>
      </c>
      <c r="Y1062" s="3">
        <v>338.08</v>
      </c>
    </row>
    <row r="1063" spans="1:25" ht="25.5" hidden="1" x14ac:dyDescent="0.35">
      <c r="A1063" s="3" t="s">
        <v>26</v>
      </c>
      <c r="B1063" s="3" t="s">
        <v>27</v>
      </c>
      <c r="C1063" s="3" t="s">
        <v>90</v>
      </c>
      <c r="D1063" s="3" t="s">
        <v>41</v>
      </c>
      <c r="E1063" s="3" t="s">
        <v>264</v>
      </c>
      <c r="F1063" s="3" t="s">
        <v>43</v>
      </c>
      <c r="G1063" s="3" t="s">
        <v>264</v>
      </c>
      <c r="H1063" s="3" t="s">
        <v>96</v>
      </c>
      <c r="I1063" s="3">
        <v>2024</v>
      </c>
      <c r="J1063" s="3" t="str">
        <f>CONCATENATE("44810122778")</f>
        <v>44810122778</v>
      </c>
      <c r="K1063" s="3" t="s">
        <v>33</v>
      </c>
      <c r="L1063" s="3" t="str">
        <f t="shared" si="65"/>
        <v/>
      </c>
      <c r="M1063" s="3" t="str">
        <f t="shared" si="67"/>
        <v>SRA29</v>
      </c>
      <c r="N1063" s="3" t="str">
        <f>CONCATENATE("06808910829")</f>
        <v>06808910829</v>
      </c>
      <c r="O1063" s="3" t="s">
        <v>1635</v>
      </c>
      <c r="P1063" s="3" t="s">
        <v>35</v>
      </c>
      <c r="Q1063" s="3" t="s">
        <v>1384</v>
      </c>
      <c r="R1063" s="4">
        <v>45931</v>
      </c>
      <c r="S1063" s="3" t="s">
        <v>37</v>
      </c>
      <c r="T1063" s="3" t="s">
        <v>38</v>
      </c>
      <c r="U1063" s="3" t="s">
        <v>39</v>
      </c>
      <c r="V1063" s="5">
        <v>4425.43</v>
      </c>
      <c r="W1063" s="5">
        <v>2234.84</v>
      </c>
      <c r="X1063" s="5">
        <v>1533.41</v>
      </c>
      <c r="Y1063" s="3">
        <v>657.18</v>
      </c>
    </row>
    <row r="1064" spans="1:25" ht="41.5" hidden="1" x14ac:dyDescent="0.35">
      <c r="A1064" s="3" t="s">
        <v>26</v>
      </c>
      <c r="B1064" s="3" t="s">
        <v>27</v>
      </c>
      <c r="C1064" s="3" t="s">
        <v>90</v>
      </c>
      <c r="D1064" s="3" t="s">
        <v>29</v>
      </c>
      <c r="E1064" s="3" t="s">
        <v>286</v>
      </c>
      <c r="F1064" s="3" t="s">
        <v>31</v>
      </c>
      <c r="G1064" s="3" t="s">
        <v>286</v>
      </c>
      <c r="H1064" s="3" t="s">
        <v>96</v>
      </c>
      <c r="I1064" s="3">
        <v>2024</v>
      </c>
      <c r="J1064" s="3" t="str">
        <f>CONCATENATE("44811296134")</f>
        <v>44811296134</v>
      </c>
      <c r="K1064" s="3" t="s">
        <v>33</v>
      </c>
      <c r="L1064" s="3" t="str">
        <f t="shared" si="65"/>
        <v/>
      </c>
      <c r="M1064" s="3" t="str">
        <f t="shared" si="67"/>
        <v>SRA29</v>
      </c>
      <c r="N1064" s="3" t="str">
        <f>CONCATENATE("PLZRLN78S18B780Z")</f>
        <v>PLZRLN78S18B780Z</v>
      </c>
      <c r="O1064" s="3" t="s">
        <v>1636</v>
      </c>
      <c r="P1064" s="3" t="s">
        <v>35</v>
      </c>
      <c r="Q1064" s="3" t="s">
        <v>1384</v>
      </c>
      <c r="R1064" s="4">
        <v>45931</v>
      </c>
      <c r="S1064" s="3" t="s">
        <v>37</v>
      </c>
      <c r="T1064" s="3" t="s">
        <v>38</v>
      </c>
      <c r="U1064" s="3" t="s">
        <v>39</v>
      </c>
      <c r="V1064" s="5">
        <v>2552.83</v>
      </c>
      <c r="W1064" s="5">
        <v>1289.18</v>
      </c>
      <c r="X1064" s="3">
        <v>884.56</v>
      </c>
      <c r="Y1064" s="3">
        <v>379.09</v>
      </c>
    </row>
    <row r="1065" spans="1:25" ht="41.5" hidden="1" x14ac:dyDescent="0.35">
      <c r="A1065" s="3" t="s">
        <v>26</v>
      </c>
      <c r="B1065" s="3" t="s">
        <v>27</v>
      </c>
      <c r="C1065" s="3" t="s">
        <v>28</v>
      </c>
      <c r="D1065" s="3" t="s">
        <v>107</v>
      </c>
      <c r="E1065" s="3" t="s">
        <v>1626</v>
      </c>
      <c r="F1065" s="3" t="s">
        <v>115</v>
      </c>
      <c r="G1065" s="3" t="s">
        <v>1626</v>
      </c>
      <c r="H1065" s="3" t="s">
        <v>1403</v>
      </c>
      <c r="I1065" s="3">
        <v>2024</v>
      </c>
      <c r="J1065" s="3" t="str">
        <f>CONCATENATE("44810734143")</f>
        <v>44810734143</v>
      </c>
      <c r="K1065" s="3" t="s">
        <v>33</v>
      </c>
      <c r="L1065" s="3" t="str">
        <f t="shared" si="65"/>
        <v/>
      </c>
      <c r="M1065" s="3" t="str">
        <f t="shared" si="67"/>
        <v>SRA29</v>
      </c>
      <c r="N1065" s="3" t="str">
        <f>CONCATENATE("PFNCMD44R01I559P")</f>
        <v>PFNCMD44R01I559P</v>
      </c>
      <c r="O1065" s="3" t="s">
        <v>1637</v>
      </c>
      <c r="P1065" s="3" t="s">
        <v>35</v>
      </c>
      <c r="Q1065" s="3" t="s">
        <v>1389</v>
      </c>
      <c r="R1065" s="4">
        <v>45916</v>
      </c>
      <c r="S1065" s="3" t="s">
        <v>37</v>
      </c>
      <c r="T1065" s="3" t="s">
        <v>38</v>
      </c>
      <c r="U1065" s="3" t="s">
        <v>39</v>
      </c>
      <c r="V1065" s="3">
        <v>155.43</v>
      </c>
      <c r="W1065" s="3">
        <v>78.489999999999995</v>
      </c>
      <c r="X1065" s="3">
        <v>53.86</v>
      </c>
      <c r="Y1065" s="3">
        <v>23.08</v>
      </c>
    </row>
    <row r="1066" spans="1:25" ht="25.5" hidden="1" x14ac:dyDescent="0.35">
      <c r="A1066" s="3" t="s">
        <v>26</v>
      </c>
      <c r="B1066" s="3" t="s">
        <v>27</v>
      </c>
      <c r="C1066" s="3" t="s">
        <v>28</v>
      </c>
      <c r="D1066" s="3" t="s">
        <v>61</v>
      </c>
      <c r="E1066" s="3" t="s">
        <v>1520</v>
      </c>
      <c r="F1066" s="3" t="s">
        <v>63</v>
      </c>
      <c r="G1066" s="3" t="s">
        <v>1520</v>
      </c>
      <c r="H1066" s="3" t="s">
        <v>1403</v>
      </c>
      <c r="I1066" s="3">
        <v>2024</v>
      </c>
      <c r="J1066" s="3" t="str">
        <f>CONCATENATE("44811317955")</f>
        <v>44811317955</v>
      </c>
      <c r="K1066" s="3" t="s">
        <v>33</v>
      </c>
      <c r="L1066" s="3" t="str">
        <f t="shared" si="65"/>
        <v/>
      </c>
      <c r="M1066" s="3" t="str">
        <f t="shared" si="67"/>
        <v>SRA29</v>
      </c>
      <c r="N1066" s="3" t="str">
        <f>CONCATENATE("04310720752")</f>
        <v>04310720752</v>
      </c>
      <c r="O1066" s="3" t="s">
        <v>1638</v>
      </c>
      <c r="P1066" s="3" t="s">
        <v>35</v>
      </c>
      <c r="Q1066" s="3" t="s">
        <v>1389</v>
      </c>
      <c r="R1066" s="4">
        <v>45916</v>
      </c>
      <c r="S1066" s="3" t="s">
        <v>37</v>
      </c>
      <c r="T1066" s="3" t="s">
        <v>38</v>
      </c>
      <c r="U1066" s="3" t="s">
        <v>39</v>
      </c>
      <c r="V1066" s="5">
        <v>7121.09</v>
      </c>
      <c r="W1066" s="5">
        <v>3596.15</v>
      </c>
      <c r="X1066" s="5">
        <v>2467.46</v>
      </c>
      <c r="Y1066" s="5">
        <v>1057.48</v>
      </c>
    </row>
    <row r="1067" spans="1:25" ht="41.5" hidden="1" x14ac:dyDescent="0.35">
      <c r="A1067" s="3" t="s">
        <v>26</v>
      </c>
      <c r="B1067" s="3" t="s">
        <v>27</v>
      </c>
      <c r="C1067" s="3" t="s">
        <v>28</v>
      </c>
      <c r="D1067" s="3" t="s">
        <v>41</v>
      </c>
      <c r="E1067" s="3" t="s">
        <v>174</v>
      </c>
      <c r="F1067" s="3" t="s">
        <v>43</v>
      </c>
      <c r="G1067" s="3" t="s">
        <v>174</v>
      </c>
      <c r="H1067" s="3" t="s">
        <v>32</v>
      </c>
      <c r="I1067" s="3">
        <v>2024</v>
      </c>
      <c r="J1067" s="3" t="str">
        <f>CONCATENATE("44810367779")</f>
        <v>44810367779</v>
      </c>
      <c r="K1067" s="3" t="s">
        <v>33</v>
      </c>
      <c r="L1067" s="3" t="str">
        <f t="shared" si="65"/>
        <v/>
      </c>
      <c r="M1067" s="3" t="str">
        <f t="shared" si="67"/>
        <v>SRA29</v>
      </c>
      <c r="N1067" s="3" t="str">
        <f>CONCATENATE("FLEVTR71P29D643C")</f>
        <v>FLEVTR71P29D643C</v>
      </c>
      <c r="O1067" s="3" t="s">
        <v>1639</v>
      </c>
      <c r="P1067" s="3" t="s">
        <v>35</v>
      </c>
      <c r="Q1067" s="3" t="s">
        <v>1389</v>
      </c>
      <c r="R1067" s="4">
        <v>45916</v>
      </c>
      <c r="S1067" s="3" t="s">
        <v>37</v>
      </c>
      <c r="T1067" s="3" t="s">
        <v>38</v>
      </c>
      <c r="U1067" s="3" t="s">
        <v>39</v>
      </c>
      <c r="V1067" s="3">
        <v>4</v>
      </c>
      <c r="W1067" s="3">
        <v>2.02</v>
      </c>
      <c r="X1067" s="3">
        <v>1.39</v>
      </c>
      <c r="Y1067" s="3">
        <v>0.59</v>
      </c>
    </row>
    <row r="1068" spans="1:25" ht="41.5" hidden="1" x14ac:dyDescent="0.35">
      <c r="A1068" s="3" t="s">
        <v>26</v>
      </c>
      <c r="B1068" s="3" t="s">
        <v>27</v>
      </c>
      <c r="C1068" s="3" t="s">
        <v>28</v>
      </c>
      <c r="D1068" s="3" t="s">
        <v>51</v>
      </c>
      <c r="E1068" s="3" t="s">
        <v>1517</v>
      </c>
      <c r="F1068" s="3" t="s">
        <v>77</v>
      </c>
      <c r="G1068" s="3" t="s">
        <v>1518</v>
      </c>
      <c r="H1068" s="3" t="s">
        <v>32</v>
      </c>
      <c r="I1068" s="3">
        <v>2024</v>
      </c>
      <c r="J1068" s="3" t="str">
        <f>CONCATENATE("44811303302")</f>
        <v>44811303302</v>
      </c>
      <c r="K1068" s="3" t="s">
        <v>33</v>
      </c>
      <c r="L1068" s="3" t="str">
        <f t="shared" si="65"/>
        <v/>
      </c>
      <c r="M1068" s="3" t="str">
        <f t="shared" si="67"/>
        <v>SRA29</v>
      </c>
      <c r="N1068" s="3" t="str">
        <f>CONCATENATE("FNZFNC60B12B829K")</f>
        <v>FNZFNC60B12B829K</v>
      </c>
      <c r="O1068" s="3" t="s">
        <v>1640</v>
      </c>
      <c r="P1068" s="3" t="s">
        <v>35</v>
      </c>
      <c r="Q1068" s="3" t="s">
        <v>1389</v>
      </c>
      <c r="R1068" s="4">
        <v>45916</v>
      </c>
      <c r="S1068" s="3" t="s">
        <v>37</v>
      </c>
      <c r="T1068" s="3" t="s">
        <v>38</v>
      </c>
      <c r="U1068" s="3" t="s">
        <v>39</v>
      </c>
      <c r="V1068" s="3">
        <v>476.18</v>
      </c>
      <c r="W1068" s="3">
        <v>240.47</v>
      </c>
      <c r="X1068" s="3">
        <v>165</v>
      </c>
      <c r="Y1068" s="3">
        <v>70.709999999999994</v>
      </c>
    </row>
    <row r="1069" spans="1:25" ht="41.5" hidden="1" x14ac:dyDescent="0.35">
      <c r="A1069" s="3" t="s">
        <v>26</v>
      </c>
      <c r="B1069" s="3" t="s">
        <v>27</v>
      </c>
      <c r="C1069" s="3" t="s">
        <v>28</v>
      </c>
      <c r="D1069" s="3" t="s">
        <v>51</v>
      </c>
      <c r="E1069" s="3" t="s">
        <v>1517</v>
      </c>
      <c r="F1069" s="3" t="s">
        <v>77</v>
      </c>
      <c r="G1069" s="3" t="s">
        <v>1518</v>
      </c>
      <c r="H1069" s="3" t="s">
        <v>32</v>
      </c>
      <c r="I1069" s="3">
        <v>2024</v>
      </c>
      <c r="J1069" s="3" t="str">
        <f>CONCATENATE("44810896686")</f>
        <v>44810896686</v>
      </c>
      <c r="K1069" s="3" t="s">
        <v>33</v>
      </c>
      <c r="L1069" s="3" t="str">
        <f t="shared" si="65"/>
        <v/>
      </c>
      <c r="M1069" s="3" t="str">
        <f t="shared" si="67"/>
        <v>SRA29</v>
      </c>
      <c r="N1069" s="3" t="str">
        <f>CONCATENATE("GLLFNC59S13B829M")</f>
        <v>GLLFNC59S13B829M</v>
      </c>
      <c r="O1069" s="3" t="s">
        <v>1641</v>
      </c>
      <c r="P1069" s="3" t="s">
        <v>35</v>
      </c>
      <c r="Q1069" s="3" t="s">
        <v>1389</v>
      </c>
      <c r="R1069" s="4">
        <v>45916</v>
      </c>
      <c r="S1069" s="3" t="s">
        <v>37</v>
      </c>
      <c r="T1069" s="3" t="s">
        <v>38</v>
      </c>
      <c r="U1069" s="3" t="s">
        <v>39</v>
      </c>
      <c r="V1069" s="3">
        <v>254.03</v>
      </c>
      <c r="W1069" s="3">
        <v>128.29</v>
      </c>
      <c r="X1069" s="3">
        <v>88.02</v>
      </c>
      <c r="Y1069" s="3">
        <v>37.72</v>
      </c>
    </row>
    <row r="1070" spans="1:25" ht="41.5" hidden="1" x14ac:dyDescent="0.35">
      <c r="A1070" s="3" t="s">
        <v>26</v>
      </c>
      <c r="B1070" s="3" t="s">
        <v>27</v>
      </c>
      <c r="C1070" s="3" t="s">
        <v>28</v>
      </c>
      <c r="D1070" s="3" t="s">
        <v>51</v>
      </c>
      <c r="E1070" s="3" t="s">
        <v>1642</v>
      </c>
      <c r="F1070" s="3" t="s">
        <v>51</v>
      </c>
      <c r="G1070" s="3" t="s">
        <v>1642</v>
      </c>
      <c r="H1070" s="3" t="s">
        <v>32</v>
      </c>
      <c r="I1070" s="3">
        <v>2024</v>
      </c>
      <c r="J1070" s="3" t="str">
        <f>CONCATENATE("44811167830")</f>
        <v>44811167830</v>
      </c>
      <c r="K1070" s="3" t="s">
        <v>33</v>
      </c>
      <c r="L1070" s="3" t="str">
        <f t="shared" si="65"/>
        <v/>
      </c>
      <c r="M1070" s="3" t="str">
        <f t="shared" si="67"/>
        <v>SRA29</v>
      </c>
      <c r="N1070" s="3" t="str">
        <f>CONCATENATE("FRLLSS01B58C514W")</f>
        <v>FRLLSS01B58C514W</v>
      </c>
      <c r="O1070" s="3" t="s">
        <v>1643</v>
      </c>
      <c r="P1070" s="3" t="s">
        <v>35</v>
      </c>
      <c r="Q1070" s="3" t="s">
        <v>1389</v>
      </c>
      <c r="R1070" s="4">
        <v>45916</v>
      </c>
      <c r="S1070" s="3" t="s">
        <v>37</v>
      </c>
      <c r="T1070" s="3" t="s">
        <v>38</v>
      </c>
      <c r="U1070" s="3" t="s">
        <v>39</v>
      </c>
      <c r="V1070" s="3">
        <v>772.5</v>
      </c>
      <c r="W1070" s="3">
        <v>390.11</v>
      </c>
      <c r="X1070" s="3">
        <v>267.67</v>
      </c>
      <c r="Y1070" s="3">
        <v>114.72</v>
      </c>
    </row>
    <row r="1071" spans="1:25" ht="41.5" hidden="1" x14ac:dyDescent="0.35">
      <c r="A1071" s="3" t="s">
        <v>26</v>
      </c>
      <c r="B1071" s="3" t="s">
        <v>27</v>
      </c>
      <c r="C1071" s="3" t="s">
        <v>28</v>
      </c>
      <c r="D1071" s="3" t="s">
        <v>41</v>
      </c>
      <c r="E1071" s="3" t="s">
        <v>168</v>
      </c>
      <c r="F1071" s="3" t="s">
        <v>43</v>
      </c>
      <c r="G1071" s="3" t="s">
        <v>168</v>
      </c>
      <c r="H1071" s="3" t="s">
        <v>32</v>
      </c>
      <c r="I1071" s="3">
        <v>2024</v>
      </c>
      <c r="J1071" s="3" t="str">
        <f>CONCATENATE("44811872009")</f>
        <v>44811872009</v>
      </c>
      <c r="K1071" s="3" t="s">
        <v>33</v>
      </c>
      <c r="L1071" s="3" t="str">
        <f t="shared" si="65"/>
        <v/>
      </c>
      <c r="M1071" s="3" t="str">
        <f t="shared" si="67"/>
        <v>SRA29</v>
      </c>
      <c r="N1071" s="3" t="str">
        <f>CONCATENATE("FRNCCL38T61A150F")</f>
        <v>FRNCCL38T61A150F</v>
      </c>
      <c r="O1071" s="3" t="s">
        <v>1644</v>
      </c>
      <c r="P1071" s="3" t="s">
        <v>35</v>
      </c>
      <c r="Q1071" s="3" t="s">
        <v>1389</v>
      </c>
      <c r="R1071" s="4">
        <v>45916</v>
      </c>
      <c r="S1071" s="3" t="s">
        <v>37</v>
      </c>
      <c r="T1071" s="3" t="s">
        <v>38</v>
      </c>
      <c r="U1071" s="3" t="s">
        <v>39</v>
      </c>
      <c r="V1071" s="5">
        <v>1227.24</v>
      </c>
      <c r="W1071" s="3">
        <v>619.76</v>
      </c>
      <c r="X1071" s="3">
        <v>425.24</v>
      </c>
      <c r="Y1071" s="3">
        <v>182.24</v>
      </c>
    </row>
    <row r="1072" spans="1:25" ht="25.5" hidden="1" x14ac:dyDescent="0.35">
      <c r="A1072" s="3" t="s">
        <v>26</v>
      </c>
      <c r="B1072" s="3" t="s">
        <v>27</v>
      </c>
      <c r="C1072" s="3" t="s">
        <v>28</v>
      </c>
      <c r="D1072" s="3" t="s">
        <v>75</v>
      </c>
      <c r="E1072" s="3" t="s">
        <v>1645</v>
      </c>
      <c r="F1072" s="3" t="s">
        <v>77</v>
      </c>
      <c r="G1072" s="3" t="s">
        <v>1645</v>
      </c>
      <c r="H1072" s="3" t="s">
        <v>32</v>
      </c>
      <c r="I1072" s="3">
        <v>2024</v>
      </c>
      <c r="J1072" s="3" t="str">
        <f>CONCATENATE("44810452910")</f>
        <v>44810452910</v>
      </c>
      <c r="K1072" s="3" t="s">
        <v>33</v>
      </c>
      <c r="L1072" s="3" t="str">
        <f t="shared" si="65"/>
        <v/>
      </c>
      <c r="M1072" s="3" t="str">
        <f t="shared" si="67"/>
        <v>SRA29</v>
      </c>
      <c r="N1072" s="3" t="str">
        <f>CONCATENATE("01542840713")</f>
        <v>01542840713</v>
      </c>
      <c r="O1072" s="3" t="s">
        <v>1646</v>
      </c>
      <c r="P1072" s="3" t="s">
        <v>35</v>
      </c>
      <c r="Q1072" s="3" t="s">
        <v>1389</v>
      </c>
      <c r="R1072" s="4">
        <v>45916</v>
      </c>
      <c r="S1072" s="3" t="s">
        <v>37</v>
      </c>
      <c r="T1072" s="3" t="s">
        <v>38</v>
      </c>
      <c r="U1072" s="3" t="s">
        <v>39</v>
      </c>
      <c r="V1072" s="5">
        <v>3013.39</v>
      </c>
      <c r="W1072" s="5">
        <v>1521.76</v>
      </c>
      <c r="X1072" s="5">
        <v>1044.1400000000001</v>
      </c>
      <c r="Y1072" s="3">
        <v>447.49</v>
      </c>
    </row>
    <row r="1073" spans="1:25" ht="49.5" hidden="1" x14ac:dyDescent="0.35">
      <c r="A1073" s="3" t="s">
        <v>26</v>
      </c>
      <c r="B1073" s="3" t="s">
        <v>27</v>
      </c>
      <c r="C1073" s="3" t="s">
        <v>28</v>
      </c>
      <c r="D1073" s="3" t="s">
        <v>99</v>
      </c>
      <c r="E1073" s="3" t="s">
        <v>193</v>
      </c>
      <c r="F1073" s="3" t="s">
        <v>101</v>
      </c>
      <c r="G1073" s="3" t="s">
        <v>193</v>
      </c>
      <c r="H1073" s="3" t="s">
        <v>72</v>
      </c>
      <c r="I1073" s="3">
        <v>2024</v>
      </c>
      <c r="J1073" s="3" t="str">
        <f>CONCATENATE("44811144813")</f>
        <v>44811144813</v>
      </c>
      <c r="K1073" s="3" t="s">
        <v>33</v>
      </c>
      <c r="L1073" s="3" t="str">
        <f t="shared" si="65"/>
        <v/>
      </c>
      <c r="M1073" s="3" t="str">
        <f t="shared" si="67"/>
        <v>SRA29</v>
      </c>
      <c r="N1073" s="3" t="str">
        <f>CONCATENATE("GMPNGL74A61A048R")</f>
        <v>GMPNGL74A61A048R</v>
      </c>
      <c r="O1073" s="3" t="s">
        <v>1647</v>
      </c>
      <c r="P1073" s="3" t="s">
        <v>35</v>
      </c>
      <c r="Q1073" s="3" t="s">
        <v>1389</v>
      </c>
      <c r="R1073" s="4">
        <v>45916</v>
      </c>
      <c r="S1073" s="3" t="s">
        <v>37</v>
      </c>
      <c r="T1073" s="3" t="s">
        <v>38</v>
      </c>
      <c r="U1073" s="3" t="s">
        <v>39</v>
      </c>
      <c r="V1073" s="5">
        <v>1129.3900000000001</v>
      </c>
      <c r="W1073" s="3">
        <v>570.34</v>
      </c>
      <c r="X1073" s="3">
        <v>391.33</v>
      </c>
      <c r="Y1073" s="3">
        <v>167.72</v>
      </c>
    </row>
    <row r="1074" spans="1:25" ht="25.5" hidden="1" x14ac:dyDescent="0.35">
      <c r="A1074" s="3" t="s">
        <v>26</v>
      </c>
      <c r="B1074" s="3" t="s">
        <v>27</v>
      </c>
      <c r="C1074" s="3" t="s">
        <v>28</v>
      </c>
      <c r="D1074" s="3" t="s">
        <v>99</v>
      </c>
      <c r="E1074" s="3" t="s">
        <v>193</v>
      </c>
      <c r="F1074" s="3" t="s">
        <v>101</v>
      </c>
      <c r="G1074" s="3" t="s">
        <v>193</v>
      </c>
      <c r="H1074" s="3" t="s">
        <v>72</v>
      </c>
      <c r="I1074" s="3">
        <v>2024</v>
      </c>
      <c r="J1074" s="3" t="str">
        <f>CONCATENATE("44810868446")</f>
        <v>44810868446</v>
      </c>
      <c r="K1074" s="3" t="s">
        <v>33</v>
      </c>
      <c r="L1074" s="3" t="str">
        <f t="shared" si="65"/>
        <v/>
      </c>
      <c r="M1074" s="3" t="str">
        <f t="shared" si="67"/>
        <v>SRA29</v>
      </c>
      <c r="N1074" s="3" t="str">
        <f>CONCATENATE("08286380723")</f>
        <v>08286380723</v>
      </c>
      <c r="O1074" s="3" t="s">
        <v>1648</v>
      </c>
      <c r="P1074" s="3" t="s">
        <v>35</v>
      </c>
      <c r="Q1074" s="3" t="s">
        <v>1389</v>
      </c>
      <c r="R1074" s="4">
        <v>45916</v>
      </c>
      <c r="S1074" s="3" t="s">
        <v>37</v>
      </c>
      <c r="T1074" s="3" t="s">
        <v>38</v>
      </c>
      <c r="U1074" s="3" t="s">
        <v>39</v>
      </c>
      <c r="V1074" s="3">
        <v>42.86</v>
      </c>
      <c r="W1074" s="3">
        <v>21.64</v>
      </c>
      <c r="X1074" s="3">
        <v>14.85</v>
      </c>
      <c r="Y1074" s="3">
        <v>6.37</v>
      </c>
    </row>
    <row r="1075" spans="1:25" ht="49.5" hidden="1" x14ac:dyDescent="0.35">
      <c r="A1075" s="3" t="s">
        <v>26</v>
      </c>
      <c r="B1075" s="3" t="s">
        <v>27</v>
      </c>
      <c r="C1075" s="3" t="s">
        <v>28</v>
      </c>
      <c r="D1075" s="3" t="s">
        <v>164</v>
      </c>
      <c r="E1075" s="3" t="s">
        <v>1617</v>
      </c>
      <c r="F1075" s="3" t="s">
        <v>166</v>
      </c>
      <c r="G1075" s="3" t="s">
        <v>1617</v>
      </c>
      <c r="H1075" s="3" t="s">
        <v>72</v>
      </c>
      <c r="I1075" s="3">
        <v>2024</v>
      </c>
      <c r="J1075" s="3" t="str">
        <f>CONCATENATE("44810568939")</f>
        <v>44810568939</v>
      </c>
      <c r="K1075" s="3" t="s">
        <v>33</v>
      </c>
      <c r="L1075" s="3" t="str">
        <f t="shared" si="65"/>
        <v/>
      </c>
      <c r="M1075" s="3" t="str">
        <f t="shared" si="67"/>
        <v>SRA29</v>
      </c>
      <c r="N1075" s="3" t="str">
        <f>CONCATENATE("GRRDNC89B18A048H")</f>
        <v>GRRDNC89B18A048H</v>
      </c>
      <c r="O1075" s="3" t="s">
        <v>1649</v>
      </c>
      <c r="P1075" s="3" t="s">
        <v>35</v>
      </c>
      <c r="Q1075" s="3" t="s">
        <v>1389</v>
      </c>
      <c r="R1075" s="4">
        <v>45916</v>
      </c>
      <c r="S1075" s="3" t="s">
        <v>37</v>
      </c>
      <c r="T1075" s="3" t="s">
        <v>38</v>
      </c>
      <c r="U1075" s="3" t="s">
        <v>39</v>
      </c>
      <c r="V1075" s="3">
        <v>79.430000000000007</v>
      </c>
      <c r="W1075" s="3">
        <v>40.11</v>
      </c>
      <c r="X1075" s="3">
        <v>27.52</v>
      </c>
      <c r="Y1075" s="3">
        <v>11.8</v>
      </c>
    </row>
    <row r="1076" spans="1:25" ht="25.5" hidden="1" x14ac:dyDescent="0.35">
      <c r="A1076" s="3" t="s">
        <v>26</v>
      </c>
      <c r="B1076" s="3" t="s">
        <v>27</v>
      </c>
      <c r="C1076" s="3" t="s">
        <v>28</v>
      </c>
      <c r="D1076" s="3" t="s">
        <v>29</v>
      </c>
      <c r="E1076" s="3" t="s">
        <v>155</v>
      </c>
      <c r="F1076" s="3" t="s">
        <v>31</v>
      </c>
      <c r="G1076" s="3" t="s">
        <v>155</v>
      </c>
      <c r="H1076" s="3" t="s">
        <v>156</v>
      </c>
      <c r="I1076" s="3">
        <v>2024</v>
      </c>
      <c r="J1076" s="3" t="str">
        <f>CONCATENATE("44810389005")</f>
        <v>44810389005</v>
      </c>
      <c r="K1076" s="3" t="s">
        <v>33</v>
      </c>
      <c r="L1076" s="3" t="str">
        <f t="shared" si="65"/>
        <v/>
      </c>
      <c r="M1076" s="3" t="str">
        <f t="shared" si="67"/>
        <v>SRA29</v>
      </c>
      <c r="N1076" s="3" t="str">
        <f>CONCATENATE("00372960757")</f>
        <v>00372960757</v>
      </c>
      <c r="O1076" s="3" t="s">
        <v>1650</v>
      </c>
      <c r="P1076" s="3" t="s">
        <v>35</v>
      </c>
      <c r="Q1076" s="3" t="s">
        <v>1389</v>
      </c>
      <c r="R1076" s="4">
        <v>45916</v>
      </c>
      <c r="S1076" s="3" t="s">
        <v>37</v>
      </c>
      <c r="T1076" s="3" t="s">
        <v>38</v>
      </c>
      <c r="U1076" s="3" t="s">
        <v>39</v>
      </c>
      <c r="V1076" s="5">
        <v>7636.02</v>
      </c>
      <c r="W1076" s="5">
        <v>3856.19</v>
      </c>
      <c r="X1076" s="5">
        <v>2645.88</v>
      </c>
      <c r="Y1076" s="5">
        <v>1133.95</v>
      </c>
    </row>
    <row r="1077" spans="1:25" ht="41.5" hidden="1" x14ac:dyDescent="0.35">
      <c r="A1077" s="3" t="s">
        <v>26</v>
      </c>
      <c r="B1077" s="3" t="s">
        <v>27</v>
      </c>
      <c r="C1077" s="3" t="s">
        <v>28</v>
      </c>
      <c r="D1077" s="3" t="s">
        <v>228</v>
      </c>
      <c r="E1077" s="3" t="s">
        <v>1651</v>
      </c>
      <c r="F1077" s="3" t="s">
        <v>230</v>
      </c>
      <c r="G1077" s="3" t="s">
        <v>1651</v>
      </c>
      <c r="H1077" s="3" t="s">
        <v>72</v>
      </c>
      <c r="I1077" s="3">
        <v>2024</v>
      </c>
      <c r="J1077" s="3" t="str">
        <f>CONCATENATE("44811292810")</f>
        <v>44811292810</v>
      </c>
      <c r="K1077" s="3" t="s">
        <v>33</v>
      </c>
      <c r="L1077" s="3" t="str">
        <f t="shared" si="65"/>
        <v/>
      </c>
      <c r="M1077" s="3" t="str">
        <f t="shared" si="67"/>
        <v>SRA29</v>
      </c>
      <c r="N1077" s="3" t="str">
        <f>CONCATENATE("MNGPNI90C06C983M")</f>
        <v>MNGPNI90C06C983M</v>
      </c>
      <c r="O1077" s="3" t="s">
        <v>1652</v>
      </c>
      <c r="P1077" s="3" t="s">
        <v>35</v>
      </c>
      <c r="Q1077" s="3" t="s">
        <v>1389</v>
      </c>
      <c r="R1077" s="4">
        <v>45916</v>
      </c>
      <c r="S1077" s="3" t="s">
        <v>37</v>
      </c>
      <c r="T1077" s="3" t="s">
        <v>38</v>
      </c>
      <c r="U1077" s="3" t="s">
        <v>39</v>
      </c>
      <c r="V1077" s="3">
        <v>339.69</v>
      </c>
      <c r="W1077" s="3">
        <v>171.54</v>
      </c>
      <c r="X1077" s="3">
        <v>117.7</v>
      </c>
      <c r="Y1077" s="3">
        <v>50.45</v>
      </c>
    </row>
    <row r="1078" spans="1:25" ht="41.5" hidden="1" x14ac:dyDescent="0.35">
      <c r="A1078" s="3" t="s">
        <v>26</v>
      </c>
      <c r="B1078" s="3" t="s">
        <v>27</v>
      </c>
      <c r="C1078" s="3" t="s">
        <v>28</v>
      </c>
      <c r="D1078" s="3" t="s">
        <v>69</v>
      </c>
      <c r="E1078" s="3" t="s">
        <v>1427</v>
      </c>
      <c r="F1078" s="3" t="s">
        <v>71</v>
      </c>
      <c r="G1078" s="3" t="s">
        <v>1427</v>
      </c>
      <c r="H1078" s="3" t="s">
        <v>1403</v>
      </c>
      <c r="I1078" s="3">
        <v>2024</v>
      </c>
      <c r="J1078" s="3" t="str">
        <f>CONCATENATE("44810105104")</f>
        <v>44810105104</v>
      </c>
      <c r="K1078" s="3" t="s">
        <v>33</v>
      </c>
      <c r="L1078" s="3" t="str">
        <f t="shared" si="65"/>
        <v/>
      </c>
      <c r="M1078" s="3" t="str">
        <f t="shared" si="67"/>
        <v>SRA29</v>
      </c>
      <c r="N1078" s="3" t="str">
        <f>CONCATENATE("MRSRNN96S42F842W")</f>
        <v>MRSRNN96S42F842W</v>
      </c>
      <c r="O1078" s="3" t="s">
        <v>1653</v>
      </c>
      <c r="P1078" s="3" t="s">
        <v>35</v>
      </c>
      <c r="Q1078" s="3" t="s">
        <v>1389</v>
      </c>
      <c r="R1078" s="4">
        <v>45916</v>
      </c>
      <c r="S1078" s="3" t="s">
        <v>37</v>
      </c>
      <c r="T1078" s="3" t="s">
        <v>38</v>
      </c>
      <c r="U1078" s="3" t="s">
        <v>39</v>
      </c>
      <c r="V1078" s="3">
        <v>660.25</v>
      </c>
      <c r="W1078" s="3">
        <v>333.43</v>
      </c>
      <c r="X1078" s="3">
        <v>228.78</v>
      </c>
      <c r="Y1078" s="3">
        <v>98.04</v>
      </c>
    </row>
    <row r="1079" spans="1:25" ht="49.5" hidden="1" x14ac:dyDescent="0.35">
      <c r="A1079" s="3" t="s">
        <v>26</v>
      </c>
      <c r="B1079" s="3" t="s">
        <v>27</v>
      </c>
      <c r="C1079" s="3" t="s">
        <v>28</v>
      </c>
      <c r="D1079" s="3" t="s">
        <v>69</v>
      </c>
      <c r="E1079" s="3" t="s">
        <v>1654</v>
      </c>
      <c r="F1079" s="3" t="s">
        <v>119</v>
      </c>
      <c r="G1079" s="3" t="s">
        <v>1655</v>
      </c>
      <c r="H1079" s="3" t="s">
        <v>32</v>
      </c>
      <c r="I1079" s="3">
        <v>2024</v>
      </c>
      <c r="J1079" s="3" t="str">
        <f>CONCATENATE("44810297398")</f>
        <v>44810297398</v>
      </c>
      <c r="K1079" s="3" t="s">
        <v>33</v>
      </c>
      <c r="L1079" s="3" t="str">
        <f t="shared" si="65"/>
        <v/>
      </c>
      <c r="M1079" s="3" t="str">
        <f t="shared" si="67"/>
        <v>SRA29</v>
      </c>
      <c r="N1079" s="3" t="str">
        <f>CONCATENATE("MNNFNC66D08B829M")</f>
        <v>MNNFNC66D08B829M</v>
      </c>
      <c r="O1079" s="3" t="s">
        <v>1656</v>
      </c>
      <c r="P1079" s="3" t="s">
        <v>35</v>
      </c>
      <c r="Q1079" s="3" t="s">
        <v>1389</v>
      </c>
      <c r="R1079" s="4">
        <v>45916</v>
      </c>
      <c r="S1079" s="3" t="s">
        <v>37</v>
      </c>
      <c r="T1079" s="3" t="s">
        <v>38</v>
      </c>
      <c r="U1079" s="3" t="s">
        <v>39</v>
      </c>
      <c r="V1079" s="5">
        <v>2905.96</v>
      </c>
      <c r="W1079" s="5">
        <v>1467.51</v>
      </c>
      <c r="X1079" s="5">
        <v>1006.92</v>
      </c>
      <c r="Y1079" s="3">
        <v>431.53</v>
      </c>
    </row>
    <row r="1080" spans="1:25" ht="41.5" hidden="1" x14ac:dyDescent="0.35">
      <c r="A1080" s="3" t="s">
        <v>26</v>
      </c>
      <c r="B1080" s="3" t="s">
        <v>27</v>
      </c>
      <c r="C1080" s="3" t="s">
        <v>28</v>
      </c>
      <c r="D1080" s="3" t="s">
        <v>228</v>
      </c>
      <c r="E1080" s="3" t="s">
        <v>1657</v>
      </c>
      <c r="F1080" s="3" t="s">
        <v>230</v>
      </c>
      <c r="G1080" s="3" t="s">
        <v>1657</v>
      </c>
      <c r="H1080" s="3" t="s">
        <v>72</v>
      </c>
      <c r="I1080" s="3">
        <v>2024</v>
      </c>
      <c r="J1080" s="3" t="str">
        <f>CONCATENATE("44810572717")</f>
        <v>44810572717</v>
      </c>
      <c r="K1080" s="3" t="s">
        <v>33</v>
      </c>
      <c r="L1080" s="3" t="str">
        <f t="shared" si="65"/>
        <v/>
      </c>
      <c r="M1080" s="3" t="str">
        <f t="shared" si="67"/>
        <v>SRA29</v>
      </c>
      <c r="N1080" s="3" t="str">
        <f>CONCATENATE("MNFGNN00C11C983Y")</f>
        <v>MNFGNN00C11C983Y</v>
      </c>
      <c r="O1080" s="3" t="s">
        <v>1658</v>
      </c>
      <c r="P1080" s="3" t="s">
        <v>35</v>
      </c>
      <c r="Q1080" s="3" t="s">
        <v>1389</v>
      </c>
      <c r="R1080" s="4">
        <v>45916</v>
      </c>
      <c r="S1080" s="3" t="s">
        <v>37</v>
      </c>
      <c r="T1080" s="3" t="s">
        <v>38</v>
      </c>
      <c r="U1080" s="3" t="s">
        <v>39</v>
      </c>
      <c r="V1080" s="5">
        <v>2527.92</v>
      </c>
      <c r="W1080" s="5">
        <v>1276.5999999999999</v>
      </c>
      <c r="X1080" s="3">
        <v>875.92</v>
      </c>
      <c r="Y1080" s="3">
        <v>375.4</v>
      </c>
    </row>
    <row r="1081" spans="1:25" ht="25.5" hidden="1" x14ac:dyDescent="0.35">
      <c r="A1081" s="3" t="s">
        <v>26</v>
      </c>
      <c r="B1081" s="3" t="s">
        <v>27</v>
      </c>
      <c r="C1081" s="3" t="s">
        <v>28</v>
      </c>
      <c r="D1081" s="3" t="s">
        <v>61</v>
      </c>
      <c r="E1081" s="3" t="s">
        <v>1531</v>
      </c>
      <c r="F1081" s="3" t="s">
        <v>63</v>
      </c>
      <c r="G1081" s="3" t="s">
        <v>1531</v>
      </c>
      <c r="H1081" s="3" t="s">
        <v>1403</v>
      </c>
      <c r="I1081" s="3">
        <v>2024</v>
      </c>
      <c r="J1081" s="3" t="str">
        <f>CONCATENATE("44811448081")</f>
        <v>44811448081</v>
      </c>
      <c r="K1081" s="3" t="s">
        <v>33</v>
      </c>
      <c r="L1081" s="3" t="str">
        <f t="shared" si="65"/>
        <v/>
      </c>
      <c r="M1081" s="3" t="str">
        <f t="shared" ref="M1081:M1116" si="68">CONCATENATE("SRA29")</f>
        <v>SRA29</v>
      </c>
      <c r="N1081" s="3" t="str">
        <f>CONCATENATE("04886500752")</f>
        <v>04886500752</v>
      </c>
      <c r="O1081" s="3" t="s">
        <v>1659</v>
      </c>
      <c r="P1081" s="3" t="s">
        <v>35</v>
      </c>
      <c r="Q1081" s="3" t="s">
        <v>1389</v>
      </c>
      <c r="R1081" s="4">
        <v>45916</v>
      </c>
      <c r="S1081" s="3" t="s">
        <v>37</v>
      </c>
      <c r="T1081" s="3" t="s">
        <v>38</v>
      </c>
      <c r="U1081" s="3" t="s">
        <v>39</v>
      </c>
      <c r="V1081" s="5">
        <v>8931.7800000000007</v>
      </c>
      <c r="W1081" s="5">
        <v>4510.55</v>
      </c>
      <c r="X1081" s="5">
        <v>3094.86</v>
      </c>
      <c r="Y1081" s="5">
        <v>1326.37</v>
      </c>
    </row>
    <row r="1082" spans="1:25" ht="41.5" hidden="1" x14ac:dyDescent="0.35">
      <c r="A1082" s="3" t="s">
        <v>26</v>
      </c>
      <c r="B1082" s="3" t="s">
        <v>27</v>
      </c>
      <c r="C1082" s="3" t="s">
        <v>28</v>
      </c>
      <c r="D1082" s="3" t="s">
        <v>41</v>
      </c>
      <c r="E1082" s="3" t="s">
        <v>1660</v>
      </c>
      <c r="F1082" s="3" t="s">
        <v>43</v>
      </c>
      <c r="G1082" s="3" t="s">
        <v>1660</v>
      </c>
      <c r="H1082" s="3" t="s">
        <v>72</v>
      </c>
      <c r="I1082" s="3">
        <v>2024</v>
      </c>
      <c r="J1082" s="3" t="str">
        <f>CONCATENATE("44811432903")</f>
        <v>44811432903</v>
      </c>
      <c r="K1082" s="3" t="s">
        <v>33</v>
      </c>
      <c r="L1082" s="3" t="str">
        <f t="shared" si="65"/>
        <v/>
      </c>
      <c r="M1082" s="3" t="str">
        <f t="shared" si="68"/>
        <v>SRA29</v>
      </c>
      <c r="N1082" s="3" t="str">
        <f>CONCATENATE("LGRGPP62P12C134E")</f>
        <v>LGRGPP62P12C134E</v>
      </c>
      <c r="O1082" s="3" t="s">
        <v>1661</v>
      </c>
      <c r="P1082" s="3" t="s">
        <v>35</v>
      </c>
      <c r="Q1082" s="3" t="s">
        <v>1389</v>
      </c>
      <c r="R1082" s="4">
        <v>45916</v>
      </c>
      <c r="S1082" s="3" t="s">
        <v>37</v>
      </c>
      <c r="T1082" s="3" t="s">
        <v>38</v>
      </c>
      <c r="U1082" s="3" t="s">
        <v>39</v>
      </c>
      <c r="V1082" s="5">
        <v>2130.5100000000002</v>
      </c>
      <c r="W1082" s="5">
        <v>1075.9100000000001</v>
      </c>
      <c r="X1082" s="3">
        <v>738.22</v>
      </c>
      <c r="Y1082" s="3">
        <v>316.38</v>
      </c>
    </row>
    <row r="1083" spans="1:25" ht="41.5" hidden="1" x14ac:dyDescent="0.35">
      <c r="A1083" s="3" t="s">
        <v>26</v>
      </c>
      <c r="B1083" s="3" t="s">
        <v>27</v>
      </c>
      <c r="C1083" s="3" t="s">
        <v>28</v>
      </c>
      <c r="D1083" s="3" t="s">
        <v>61</v>
      </c>
      <c r="E1083" s="3" t="s">
        <v>322</v>
      </c>
      <c r="F1083" s="3" t="s">
        <v>63</v>
      </c>
      <c r="G1083" s="3" t="s">
        <v>322</v>
      </c>
      <c r="H1083" s="3" t="s">
        <v>72</v>
      </c>
      <c r="I1083" s="3">
        <v>2024</v>
      </c>
      <c r="J1083" s="3" t="str">
        <f>CONCATENATE("44810904878")</f>
        <v>44810904878</v>
      </c>
      <c r="K1083" s="3" t="s">
        <v>33</v>
      </c>
      <c r="L1083" s="3" t="str">
        <f t="shared" si="65"/>
        <v/>
      </c>
      <c r="M1083" s="3" t="str">
        <f t="shared" si="68"/>
        <v>SRA29</v>
      </c>
      <c r="N1083" s="3" t="str">
        <f>CONCATENATE("LMRGCM84E26E223K")</f>
        <v>LMRGCM84E26E223K</v>
      </c>
      <c r="O1083" s="3" t="s">
        <v>1662</v>
      </c>
      <c r="P1083" s="3" t="s">
        <v>35</v>
      </c>
      <c r="Q1083" s="3" t="s">
        <v>1389</v>
      </c>
      <c r="R1083" s="4">
        <v>45916</v>
      </c>
      <c r="S1083" s="3" t="s">
        <v>37</v>
      </c>
      <c r="T1083" s="3" t="s">
        <v>38</v>
      </c>
      <c r="U1083" s="3" t="s">
        <v>39</v>
      </c>
      <c r="V1083" s="3">
        <v>203.4</v>
      </c>
      <c r="W1083" s="3">
        <v>102.72</v>
      </c>
      <c r="X1083" s="3">
        <v>70.48</v>
      </c>
      <c r="Y1083" s="3">
        <v>30.2</v>
      </c>
    </row>
    <row r="1084" spans="1:25" ht="41.5" hidden="1" x14ac:dyDescent="0.35">
      <c r="A1084" s="3" t="s">
        <v>26</v>
      </c>
      <c r="B1084" s="3" t="s">
        <v>27</v>
      </c>
      <c r="C1084" s="3" t="s">
        <v>28</v>
      </c>
      <c r="D1084" s="3" t="s">
        <v>41</v>
      </c>
      <c r="E1084" s="3" t="s">
        <v>1525</v>
      </c>
      <c r="F1084" s="3" t="s">
        <v>43</v>
      </c>
      <c r="G1084" s="3" t="s">
        <v>1525</v>
      </c>
      <c r="H1084" s="3" t="s">
        <v>1403</v>
      </c>
      <c r="I1084" s="3">
        <v>2024</v>
      </c>
      <c r="J1084" s="3" t="str">
        <f>CONCATENATE("44810459816")</f>
        <v>44810459816</v>
      </c>
      <c r="K1084" s="3" t="s">
        <v>33</v>
      </c>
      <c r="L1084" s="3" t="str">
        <f t="shared" si="65"/>
        <v/>
      </c>
      <c r="M1084" s="3" t="str">
        <f t="shared" si="68"/>
        <v>SRA29</v>
      </c>
      <c r="N1084" s="3" t="str">
        <f>CONCATENATE("LNGLGG91S26F842S")</f>
        <v>LNGLGG91S26F842S</v>
      </c>
      <c r="O1084" s="3" t="s">
        <v>1663</v>
      </c>
      <c r="P1084" s="3" t="s">
        <v>35</v>
      </c>
      <c r="Q1084" s="3" t="s">
        <v>1389</v>
      </c>
      <c r="R1084" s="4">
        <v>45916</v>
      </c>
      <c r="S1084" s="3" t="s">
        <v>37</v>
      </c>
      <c r="T1084" s="3" t="s">
        <v>38</v>
      </c>
      <c r="U1084" s="3" t="s">
        <v>39</v>
      </c>
      <c r="V1084" s="5">
        <v>3017.39</v>
      </c>
      <c r="W1084" s="5">
        <v>1523.78</v>
      </c>
      <c r="X1084" s="5">
        <v>1045.53</v>
      </c>
      <c r="Y1084" s="3">
        <v>448.08</v>
      </c>
    </row>
    <row r="1085" spans="1:25" ht="41.5" hidden="1" x14ac:dyDescent="0.35">
      <c r="A1085" s="3" t="s">
        <v>26</v>
      </c>
      <c r="B1085" s="3" t="s">
        <v>27</v>
      </c>
      <c r="C1085" s="3" t="s">
        <v>28</v>
      </c>
      <c r="D1085" s="3" t="s">
        <v>61</v>
      </c>
      <c r="E1085" s="3" t="s">
        <v>1664</v>
      </c>
      <c r="F1085" s="3" t="s">
        <v>63</v>
      </c>
      <c r="G1085" s="3" t="s">
        <v>1664</v>
      </c>
      <c r="H1085" s="3" t="s">
        <v>72</v>
      </c>
      <c r="I1085" s="3">
        <v>2024</v>
      </c>
      <c r="J1085" s="3" t="str">
        <f>CONCATENATE("44810181238")</f>
        <v>44810181238</v>
      </c>
      <c r="K1085" s="3" t="s">
        <v>33</v>
      </c>
      <c r="L1085" s="3" t="str">
        <f t="shared" si="65"/>
        <v/>
      </c>
      <c r="M1085" s="3" t="str">
        <f t="shared" si="68"/>
        <v>SRA29</v>
      </c>
      <c r="N1085" s="3" t="str">
        <f>CONCATENATE("LNGVNT62S03C134M")</f>
        <v>LNGVNT62S03C134M</v>
      </c>
      <c r="O1085" s="3" t="s">
        <v>1665</v>
      </c>
      <c r="P1085" s="3" t="s">
        <v>35</v>
      </c>
      <c r="Q1085" s="3" t="s">
        <v>1389</v>
      </c>
      <c r="R1085" s="4">
        <v>45916</v>
      </c>
      <c r="S1085" s="3" t="s">
        <v>37</v>
      </c>
      <c r="T1085" s="3" t="s">
        <v>38</v>
      </c>
      <c r="U1085" s="3" t="s">
        <v>39</v>
      </c>
      <c r="V1085" s="3">
        <v>244.97</v>
      </c>
      <c r="W1085" s="3">
        <v>123.71</v>
      </c>
      <c r="X1085" s="3">
        <v>84.88</v>
      </c>
      <c r="Y1085" s="3">
        <v>36.380000000000003</v>
      </c>
    </row>
    <row r="1086" spans="1:25" ht="41.5" hidden="1" x14ac:dyDescent="0.35">
      <c r="A1086" s="3" t="s">
        <v>26</v>
      </c>
      <c r="B1086" s="3" t="s">
        <v>27</v>
      </c>
      <c r="C1086" s="3" t="s">
        <v>28</v>
      </c>
      <c r="D1086" s="3" t="s">
        <v>254</v>
      </c>
      <c r="E1086" s="3" t="s">
        <v>1666</v>
      </c>
      <c r="F1086" s="3" t="s">
        <v>256</v>
      </c>
      <c r="G1086" s="3" t="s">
        <v>1666</v>
      </c>
      <c r="H1086" s="3" t="s">
        <v>72</v>
      </c>
      <c r="I1086" s="3">
        <v>2024</v>
      </c>
      <c r="J1086" s="3" t="str">
        <f>CONCATENATE("44811207453")</f>
        <v>44811207453</v>
      </c>
      <c r="K1086" s="3" t="s">
        <v>33</v>
      </c>
      <c r="L1086" s="3" t="str">
        <f t="shared" si="65"/>
        <v/>
      </c>
      <c r="M1086" s="3" t="str">
        <f t="shared" si="68"/>
        <v>SRA29</v>
      </c>
      <c r="N1086" s="3" t="str">
        <f>CONCATENATE("LRSLCU87E69A225V")</f>
        <v>LRSLCU87E69A225V</v>
      </c>
      <c r="O1086" s="3" t="s">
        <v>1667</v>
      </c>
      <c r="P1086" s="3" t="s">
        <v>35</v>
      </c>
      <c r="Q1086" s="3" t="s">
        <v>1389</v>
      </c>
      <c r="R1086" s="4">
        <v>45916</v>
      </c>
      <c r="S1086" s="3" t="s">
        <v>37</v>
      </c>
      <c r="T1086" s="3" t="s">
        <v>38</v>
      </c>
      <c r="U1086" s="3" t="s">
        <v>39</v>
      </c>
      <c r="V1086" s="3">
        <v>674.65</v>
      </c>
      <c r="W1086" s="3">
        <v>340.7</v>
      </c>
      <c r="X1086" s="3">
        <v>233.77</v>
      </c>
      <c r="Y1086" s="3">
        <v>100.18</v>
      </c>
    </row>
    <row r="1087" spans="1:25" ht="41.5" hidden="1" x14ac:dyDescent="0.35">
      <c r="A1087" s="3" t="s">
        <v>26</v>
      </c>
      <c r="B1087" s="3" t="s">
        <v>27</v>
      </c>
      <c r="C1087" s="3" t="s">
        <v>28</v>
      </c>
      <c r="D1087" s="3" t="s">
        <v>164</v>
      </c>
      <c r="E1087" s="3" t="s">
        <v>165</v>
      </c>
      <c r="F1087" s="3" t="s">
        <v>166</v>
      </c>
      <c r="G1087" s="3" t="s">
        <v>165</v>
      </c>
      <c r="H1087" s="3" t="s">
        <v>72</v>
      </c>
      <c r="I1087" s="3">
        <v>2024</v>
      </c>
      <c r="J1087" s="3" t="str">
        <f>CONCATENATE("44811224367")</f>
        <v>44811224367</v>
      </c>
      <c r="K1087" s="3" t="s">
        <v>33</v>
      </c>
      <c r="L1087" s="3" t="str">
        <f t="shared" si="65"/>
        <v/>
      </c>
      <c r="M1087" s="3" t="str">
        <f t="shared" si="68"/>
        <v>SRA29</v>
      </c>
      <c r="N1087" s="3" t="str">
        <f>CONCATENATE("MGGNLR78C04E038J")</f>
        <v>MGGNLR78C04E038J</v>
      </c>
      <c r="O1087" s="3" t="s">
        <v>1668</v>
      </c>
      <c r="P1087" s="3" t="s">
        <v>35</v>
      </c>
      <c r="Q1087" s="3" t="s">
        <v>1389</v>
      </c>
      <c r="R1087" s="4">
        <v>45916</v>
      </c>
      <c r="S1087" s="3" t="s">
        <v>37</v>
      </c>
      <c r="T1087" s="3" t="s">
        <v>38</v>
      </c>
      <c r="U1087" s="3" t="s">
        <v>39</v>
      </c>
      <c r="V1087" s="3">
        <v>530.67999999999995</v>
      </c>
      <c r="W1087" s="3">
        <v>267.99</v>
      </c>
      <c r="X1087" s="3">
        <v>183.88</v>
      </c>
      <c r="Y1087" s="3">
        <v>78.81</v>
      </c>
    </row>
    <row r="1088" spans="1:25" ht="33.5" hidden="1" x14ac:dyDescent="0.35">
      <c r="A1088" s="3" t="s">
        <v>26</v>
      </c>
      <c r="B1088" s="3" t="s">
        <v>27</v>
      </c>
      <c r="C1088" s="3" t="s">
        <v>28</v>
      </c>
      <c r="D1088" s="3" t="s">
        <v>61</v>
      </c>
      <c r="E1088" s="3" t="s">
        <v>1396</v>
      </c>
      <c r="F1088" s="3" t="s">
        <v>63</v>
      </c>
      <c r="G1088" s="3" t="s">
        <v>1396</v>
      </c>
      <c r="H1088" s="3" t="s">
        <v>72</v>
      </c>
      <c r="I1088" s="3">
        <v>2024</v>
      </c>
      <c r="J1088" s="3" t="str">
        <f>CONCATENATE("44811227402")</f>
        <v>44811227402</v>
      </c>
      <c r="K1088" s="3" t="s">
        <v>33</v>
      </c>
      <c r="L1088" s="3" t="str">
        <f t="shared" si="65"/>
        <v/>
      </c>
      <c r="M1088" s="3" t="str">
        <f t="shared" si="68"/>
        <v>SRA29</v>
      </c>
      <c r="N1088" s="3" t="str">
        <f>CONCATENATE("PLLGPP61L18A662E")</f>
        <v>PLLGPP61L18A662E</v>
      </c>
      <c r="O1088" s="3" t="s">
        <v>1669</v>
      </c>
      <c r="P1088" s="3" t="s">
        <v>35</v>
      </c>
      <c r="Q1088" s="3" t="s">
        <v>1389</v>
      </c>
      <c r="R1088" s="4">
        <v>45916</v>
      </c>
      <c r="S1088" s="3" t="s">
        <v>37</v>
      </c>
      <c r="T1088" s="3" t="s">
        <v>38</v>
      </c>
      <c r="U1088" s="3" t="s">
        <v>39</v>
      </c>
      <c r="V1088" s="3">
        <v>534.16</v>
      </c>
      <c r="W1088" s="3">
        <v>269.75</v>
      </c>
      <c r="X1088" s="3">
        <v>185.09</v>
      </c>
      <c r="Y1088" s="3">
        <v>79.319999999999993</v>
      </c>
    </row>
    <row r="1089" spans="1:25" ht="41.5" hidden="1" x14ac:dyDescent="0.35">
      <c r="A1089" s="3" t="s">
        <v>26</v>
      </c>
      <c r="B1089" s="3" t="s">
        <v>27</v>
      </c>
      <c r="C1089" s="3" t="s">
        <v>28</v>
      </c>
      <c r="D1089" s="3" t="s">
        <v>41</v>
      </c>
      <c r="E1089" s="3" t="s">
        <v>174</v>
      </c>
      <c r="F1089" s="3" t="s">
        <v>43</v>
      </c>
      <c r="G1089" s="3" t="s">
        <v>174</v>
      </c>
      <c r="H1089" s="3" t="s">
        <v>32</v>
      </c>
      <c r="I1089" s="3">
        <v>2024</v>
      </c>
      <c r="J1089" s="3" t="str">
        <f>CONCATENATE("44810844975")</f>
        <v>44810844975</v>
      </c>
      <c r="K1089" s="3" t="s">
        <v>33</v>
      </c>
      <c r="L1089" s="3" t="str">
        <f t="shared" si="65"/>
        <v/>
      </c>
      <c r="M1089" s="3" t="str">
        <f t="shared" si="68"/>
        <v>SRA29</v>
      </c>
      <c r="N1089" s="3" t="str">
        <f>CONCATENATE("MGLLNR97E53D643Y")</f>
        <v>MGLLNR97E53D643Y</v>
      </c>
      <c r="O1089" s="3" t="s">
        <v>1670</v>
      </c>
      <c r="P1089" s="3" t="s">
        <v>35</v>
      </c>
      <c r="Q1089" s="3" t="s">
        <v>1389</v>
      </c>
      <c r="R1089" s="4">
        <v>45916</v>
      </c>
      <c r="S1089" s="3" t="s">
        <v>37</v>
      </c>
      <c r="T1089" s="3" t="s">
        <v>38</v>
      </c>
      <c r="U1089" s="3" t="s">
        <v>39</v>
      </c>
      <c r="V1089" s="5">
        <v>5318.1</v>
      </c>
      <c r="W1089" s="5">
        <v>2685.64</v>
      </c>
      <c r="X1089" s="5">
        <v>1842.72</v>
      </c>
      <c r="Y1089" s="3">
        <v>789.74</v>
      </c>
    </row>
    <row r="1090" spans="1:25" ht="49.5" hidden="1" x14ac:dyDescent="0.35">
      <c r="A1090" s="3" t="s">
        <v>26</v>
      </c>
      <c r="B1090" s="3" t="s">
        <v>27</v>
      </c>
      <c r="C1090" s="3" t="s">
        <v>28</v>
      </c>
      <c r="D1090" s="3" t="s">
        <v>41</v>
      </c>
      <c r="E1090" s="3" t="s">
        <v>183</v>
      </c>
      <c r="F1090" s="3" t="s">
        <v>43</v>
      </c>
      <c r="G1090" s="3" t="s">
        <v>183</v>
      </c>
      <c r="H1090" s="3" t="s">
        <v>72</v>
      </c>
      <c r="I1090" s="3">
        <v>2024</v>
      </c>
      <c r="J1090" s="3" t="str">
        <f>CONCATENATE("44811305711")</f>
        <v>44811305711</v>
      </c>
      <c r="K1090" s="3" t="s">
        <v>33</v>
      </c>
      <c r="L1090" s="3" t="str">
        <f t="shared" si="65"/>
        <v/>
      </c>
      <c r="M1090" s="3" t="str">
        <f t="shared" si="68"/>
        <v>SRA29</v>
      </c>
      <c r="N1090" s="3" t="str">
        <f>CONCATENATE("MGNRCR91B05L109U")</f>
        <v>MGNRCR91B05L109U</v>
      </c>
      <c r="O1090" s="3" t="s">
        <v>1671</v>
      </c>
      <c r="P1090" s="3" t="s">
        <v>35</v>
      </c>
      <c r="Q1090" s="3" t="s">
        <v>1389</v>
      </c>
      <c r="R1090" s="4">
        <v>45916</v>
      </c>
      <c r="S1090" s="3" t="s">
        <v>37</v>
      </c>
      <c r="T1090" s="3" t="s">
        <v>38</v>
      </c>
      <c r="U1090" s="3" t="s">
        <v>39</v>
      </c>
      <c r="V1090" s="5">
        <v>5418.57</v>
      </c>
      <c r="W1090" s="5">
        <v>2736.38</v>
      </c>
      <c r="X1090" s="5">
        <v>1877.53</v>
      </c>
      <c r="Y1090" s="3">
        <v>804.66</v>
      </c>
    </row>
    <row r="1091" spans="1:25" ht="25.5" hidden="1" x14ac:dyDescent="0.35">
      <c r="A1091" s="3" t="s">
        <v>26</v>
      </c>
      <c r="B1091" s="3" t="s">
        <v>27</v>
      </c>
      <c r="C1091" s="3" t="s">
        <v>28</v>
      </c>
      <c r="D1091" s="3" t="s">
        <v>41</v>
      </c>
      <c r="E1091" s="3" t="s">
        <v>195</v>
      </c>
      <c r="F1091" s="3" t="s">
        <v>43</v>
      </c>
      <c r="G1091" s="3" t="s">
        <v>195</v>
      </c>
      <c r="H1091" s="3" t="s">
        <v>72</v>
      </c>
      <c r="I1091" s="3">
        <v>2024</v>
      </c>
      <c r="J1091" s="3" t="str">
        <f>CONCATENATE("44811306784")</f>
        <v>44811306784</v>
      </c>
      <c r="K1091" s="3" t="s">
        <v>33</v>
      </c>
      <c r="L1091" s="3" t="str">
        <f t="shared" si="65"/>
        <v/>
      </c>
      <c r="M1091" s="3" t="str">
        <f t="shared" si="68"/>
        <v>SRA29</v>
      </c>
      <c r="N1091" s="3" t="str">
        <f>CONCATENATE("08057230727")</f>
        <v>08057230727</v>
      </c>
      <c r="O1091" s="3" t="s">
        <v>1672</v>
      </c>
      <c r="P1091" s="3" t="s">
        <v>35</v>
      </c>
      <c r="Q1091" s="3" t="s">
        <v>1389</v>
      </c>
      <c r="R1091" s="4">
        <v>45916</v>
      </c>
      <c r="S1091" s="3" t="s">
        <v>37</v>
      </c>
      <c r="T1091" s="3" t="s">
        <v>38</v>
      </c>
      <c r="U1091" s="3" t="s">
        <v>39</v>
      </c>
      <c r="V1091" s="3">
        <v>62.11</v>
      </c>
      <c r="W1091" s="3">
        <v>31.37</v>
      </c>
      <c r="X1091" s="3">
        <v>21.52</v>
      </c>
      <c r="Y1091" s="3">
        <v>9.2200000000000006</v>
      </c>
    </row>
    <row r="1092" spans="1:25" ht="49.5" hidden="1" x14ac:dyDescent="0.35">
      <c r="A1092" s="3" t="s">
        <v>26</v>
      </c>
      <c r="B1092" s="3" t="s">
        <v>27</v>
      </c>
      <c r="C1092" s="3" t="s">
        <v>28</v>
      </c>
      <c r="D1092" s="3" t="s">
        <v>51</v>
      </c>
      <c r="E1092" s="3" t="s">
        <v>1425</v>
      </c>
      <c r="F1092" s="3" t="s">
        <v>51</v>
      </c>
      <c r="G1092" s="3" t="s">
        <v>1425</v>
      </c>
      <c r="H1092" s="3" t="s">
        <v>1403</v>
      </c>
      <c r="I1092" s="3">
        <v>2024</v>
      </c>
      <c r="J1092" s="3" t="str">
        <f>CONCATENATE("44810657849")</f>
        <v>44810657849</v>
      </c>
      <c r="K1092" s="3" t="s">
        <v>33</v>
      </c>
      <c r="L1092" s="3" t="str">
        <f t="shared" ref="L1092:L1155" si="69">CONCATENATE("")</f>
        <v/>
      </c>
      <c r="M1092" s="3" t="str">
        <f t="shared" si="68"/>
        <v>SRA29</v>
      </c>
      <c r="N1092" s="3" t="str">
        <f>CONCATENATE("MRNFNC89A65L419Q")</f>
        <v>MRNFNC89A65L419Q</v>
      </c>
      <c r="O1092" s="3" t="s">
        <v>1673</v>
      </c>
      <c r="P1092" s="3" t="s">
        <v>35</v>
      </c>
      <c r="Q1092" s="3" t="s">
        <v>1389</v>
      </c>
      <c r="R1092" s="4">
        <v>45916</v>
      </c>
      <c r="S1092" s="3" t="s">
        <v>37</v>
      </c>
      <c r="T1092" s="3" t="s">
        <v>38</v>
      </c>
      <c r="U1092" s="3" t="s">
        <v>39</v>
      </c>
      <c r="V1092" s="3">
        <v>186.53</v>
      </c>
      <c r="W1092" s="3">
        <v>94.2</v>
      </c>
      <c r="X1092" s="3">
        <v>64.63</v>
      </c>
      <c r="Y1092" s="3">
        <v>27.7</v>
      </c>
    </row>
    <row r="1093" spans="1:25" ht="41.5" hidden="1" x14ac:dyDescent="0.35">
      <c r="A1093" s="3" t="s">
        <v>26</v>
      </c>
      <c r="B1093" s="3" t="s">
        <v>27</v>
      </c>
      <c r="C1093" s="3" t="s">
        <v>28</v>
      </c>
      <c r="D1093" s="3" t="s">
        <v>41</v>
      </c>
      <c r="E1093" s="3" t="s">
        <v>1420</v>
      </c>
      <c r="F1093" s="3" t="s">
        <v>51</v>
      </c>
      <c r="G1093" s="3" t="s">
        <v>161</v>
      </c>
      <c r="H1093" s="3" t="s">
        <v>72</v>
      </c>
      <c r="I1093" s="3">
        <v>2024</v>
      </c>
      <c r="J1093" s="3" t="str">
        <f>CONCATENATE("44810683894")</f>
        <v>44810683894</v>
      </c>
      <c r="K1093" s="3" t="s">
        <v>33</v>
      </c>
      <c r="L1093" s="3" t="str">
        <f t="shared" si="69"/>
        <v/>
      </c>
      <c r="M1093" s="3" t="str">
        <f t="shared" si="68"/>
        <v>SRA29</v>
      </c>
      <c r="N1093" s="3" t="str">
        <f>CONCATENATE("MLRNTN84R22L109R")</f>
        <v>MLRNTN84R22L109R</v>
      </c>
      <c r="O1093" s="3" t="s">
        <v>1674</v>
      </c>
      <c r="P1093" s="3" t="s">
        <v>35</v>
      </c>
      <c r="Q1093" s="3" t="s">
        <v>1389</v>
      </c>
      <c r="R1093" s="4">
        <v>45916</v>
      </c>
      <c r="S1093" s="3" t="s">
        <v>37</v>
      </c>
      <c r="T1093" s="3" t="s">
        <v>38</v>
      </c>
      <c r="U1093" s="3" t="s">
        <v>39</v>
      </c>
      <c r="V1093" s="5">
        <v>4259.62</v>
      </c>
      <c r="W1093" s="5">
        <v>2151.11</v>
      </c>
      <c r="X1093" s="5">
        <v>1475.96</v>
      </c>
      <c r="Y1093" s="3">
        <v>632.54999999999995</v>
      </c>
    </row>
    <row r="1094" spans="1:25" ht="49.5" hidden="1" x14ac:dyDescent="0.35">
      <c r="A1094" s="3" t="s">
        <v>26</v>
      </c>
      <c r="B1094" s="3" t="s">
        <v>27</v>
      </c>
      <c r="C1094" s="3" t="s">
        <v>28</v>
      </c>
      <c r="D1094" s="3" t="s">
        <v>51</v>
      </c>
      <c r="E1094" s="3" t="s">
        <v>161</v>
      </c>
      <c r="F1094" s="3" t="s">
        <v>51</v>
      </c>
      <c r="G1094" s="3" t="s">
        <v>161</v>
      </c>
      <c r="H1094" s="3" t="s">
        <v>72</v>
      </c>
      <c r="I1094" s="3">
        <v>2024</v>
      </c>
      <c r="J1094" s="3" t="str">
        <f>CONCATENATE("44810369627")</f>
        <v>44810369627</v>
      </c>
      <c r="K1094" s="3" t="s">
        <v>33</v>
      </c>
      <c r="L1094" s="3" t="str">
        <f t="shared" si="69"/>
        <v/>
      </c>
      <c r="M1094" s="3" t="str">
        <f t="shared" si="68"/>
        <v>SRA29</v>
      </c>
      <c r="N1094" s="3" t="str">
        <f>CONCATENATE("MLRMNN85L54L109A")</f>
        <v>MLRMNN85L54L109A</v>
      </c>
      <c r="O1094" s="3" t="s">
        <v>1675</v>
      </c>
      <c r="P1094" s="3" t="s">
        <v>35</v>
      </c>
      <c r="Q1094" s="3" t="s">
        <v>1389</v>
      </c>
      <c r="R1094" s="4">
        <v>45916</v>
      </c>
      <c r="S1094" s="3" t="s">
        <v>37</v>
      </c>
      <c r="T1094" s="3" t="s">
        <v>38</v>
      </c>
      <c r="U1094" s="3" t="s">
        <v>39</v>
      </c>
      <c r="V1094" s="5">
        <v>1514.51</v>
      </c>
      <c r="W1094" s="3">
        <v>764.83</v>
      </c>
      <c r="X1094" s="3">
        <v>524.78</v>
      </c>
      <c r="Y1094" s="3">
        <v>224.9</v>
      </c>
    </row>
    <row r="1095" spans="1:25" ht="41.5" hidden="1" x14ac:dyDescent="0.35">
      <c r="A1095" s="3" t="s">
        <v>26</v>
      </c>
      <c r="B1095" s="3" t="s">
        <v>27</v>
      </c>
      <c r="C1095" s="3" t="s">
        <v>28</v>
      </c>
      <c r="D1095" s="3" t="s">
        <v>41</v>
      </c>
      <c r="E1095" s="3" t="s">
        <v>1420</v>
      </c>
      <c r="F1095" s="3" t="s">
        <v>51</v>
      </c>
      <c r="G1095" s="3" t="s">
        <v>161</v>
      </c>
      <c r="H1095" s="3" t="s">
        <v>72</v>
      </c>
      <c r="I1095" s="3">
        <v>2024</v>
      </c>
      <c r="J1095" s="3" t="str">
        <f>CONCATENATE("44810984037")</f>
        <v>44810984037</v>
      </c>
      <c r="K1095" s="3" t="s">
        <v>33</v>
      </c>
      <c r="L1095" s="3" t="str">
        <f t="shared" si="69"/>
        <v/>
      </c>
      <c r="M1095" s="3" t="str">
        <f t="shared" si="68"/>
        <v>SRA29</v>
      </c>
      <c r="N1095" s="3" t="str">
        <f>CONCATENATE("PRSMHL77C31L109G")</f>
        <v>PRSMHL77C31L109G</v>
      </c>
      <c r="O1095" s="3" t="s">
        <v>1676</v>
      </c>
      <c r="P1095" s="3" t="s">
        <v>35</v>
      </c>
      <c r="Q1095" s="3" t="s">
        <v>1389</v>
      </c>
      <c r="R1095" s="4">
        <v>45916</v>
      </c>
      <c r="S1095" s="3" t="s">
        <v>37</v>
      </c>
      <c r="T1095" s="3" t="s">
        <v>38</v>
      </c>
      <c r="U1095" s="3" t="s">
        <v>39</v>
      </c>
      <c r="V1095" s="5">
        <v>1503.04</v>
      </c>
      <c r="W1095" s="3">
        <v>759.04</v>
      </c>
      <c r="X1095" s="3">
        <v>520.79999999999995</v>
      </c>
      <c r="Y1095" s="3">
        <v>223.2</v>
      </c>
    </row>
    <row r="1096" spans="1:25" ht="41.5" hidden="1" x14ac:dyDescent="0.35">
      <c r="A1096" s="3" t="s">
        <v>26</v>
      </c>
      <c r="B1096" s="3" t="s">
        <v>27</v>
      </c>
      <c r="C1096" s="3" t="s">
        <v>28</v>
      </c>
      <c r="D1096" s="3" t="s">
        <v>41</v>
      </c>
      <c r="E1096" s="3" t="s">
        <v>1533</v>
      </c>
      <c r="F1096" s="3" t="s">
        <v>43</v>
      </c>
      <c r="G1096" s="3" t="s">
        <v>1533</v>
      </c>
      <c r="H1096" s="3" t="s">
        <v>32</v>
      </c>
      <c r="I1096" s="3">
        <v>2024</v>
      </c>
      <c r="J1096" s="3" t="str">
        <f>CONCATENATE("44810984227")</f>
        <v>44810984227</v>
      </c>
      <c r="K1096" s="3" t="s">
        <v>33</v>
      </c>
      <c r="L1096" s="3" t="str">
        <f t="shared" si="69"/>
        <v/>
      </c>
      <c r="M1096" s="3" t="str">
        <f t="shared" si="68"/>
        <v>SRA29</v>
      </c>
      <c r="N1096" s="3" t="str">
        <f>CONCATENATE("MNDMTT89P25C514Y")</f>
        <v>MNDMTT89P25C514Y</v>
      </c>
      <c r="O1096" s="3" t="s">
        <v>1677</v>
      </c>
      <c r="P1096" s="3" t="s">
        <v>35</v>
      </c>
      <c r="Q1096" s="3" t="s">
        <v>1389</v>
      </c>
      <c r="R1096" s="4">
        <v>45916</v>
      </c>
      <c r="S1096" s="3" t="s">
        <v>37</v>
      </c>
      <c r="T1096" s="3" t="s">
        <v>38</v>
      </c>
      <c r="U1096" s="3" t="s">
        <v>39</v>
      </c>
      <c r="V1096" s="3">
        <v>3.01</v>
      </c>
      <c r="W1096" s="3">
        <v>1.52</v>
      </c>
      <c r="X1096" s="3">
        <v>1.04</v>
      </c>
      <c r="Y1096" s="3">
        <v>0.45</v>
      </c>
    </row>
    <row r="1097" spans="1:25" ht="49.5" hidden="1" x14ac:dyDescent="0.35">
      <c r="A1097" s="3" t="s">
        <v>26</v>
      </c>
      <c r="B1097" s="3" t="s">
        <v>27</v>
      </c>
      <c r="C1097" s="3" t="s">
        <v>28</v>
      </c>
      <c r="D1097" s="3" t="s">
        <v>41</v>
      </c>
      <c r="E1097" s="3" t="s">
        <v>1577</v>
      </c>
      <c r="F1097" s="3" t="s">
        <v>43</v>
      </c>
      <c r="G1097" s="3" t="s">
        <v>1577</v>
      </c>
      <c r="H1097" s="3" t="s">
        <v>72</v>
      </c>
      <c r="I1097" s="3">
        <v>2024</v>
      </c>
      <c r="J1097" s="3" t="str">
        <f>CONCATENATE("44810698421")</f>
        <v>44810698421</v>
      </c>
      <c r="K1097" s="3" t="s">
        <v>33</v>
      </c>
      <c r="L1097" s="3" t="str">
        <f t="shared" si="69"/>
        <v/>
      </c>
      <c r="M1097" s="3" t="str">
        <f t="shared" si="68"/>
        <v>SRA29</v>
      </c>
      <c r="N1097" s="3" t="str">
        <f>CONCATENATE("MNGNRT78D44H096H")</f>
        <v>MNGNRT78D44H096H</v>
      </c>
      <c r="O1097" s="3" t="s">
        <v>1678</v>
      </c>
      <c r="P1097" s="3" t="s">
        <v>35</v>
      </c>
      <c r="Q1097" s="3" t="s">
        <v>1389</v>
      </c>
      <c r="R1097" s="4">
        <v>45916</v>
      </c>
      <c r="S1097" s="3" t="s">
        <v>37</v>
      </c>
      <c r="T1097" s="3" t="s">
        <v>38</v>
      </c>
      <c r="U1097" s="3" t="s">
        <v>39</v>
      </c>
      <c r="V1097" s="5">
        <v>2706.22</v>
      </c>
      <c r="W1097" s="5">
        <v>1366.64</v>
      </c>
      <c r="X1097" s="3">
        <v>937.71</v>
      </c>
      <c r="Y1097" s="3">
        <v>401.87</v>
      </c>
    </row>
    <row r="1098" spans="1:25" ht="49.5" hidden="1" x14ac:dyDescent="0.35">
      <c r="A1098" s="3" t="s">
        <v>26</v>
      </c>
      <c r="B1098" s="3" t="s">
        <v>27</v>
      </c>
      <c r="C1098" s="3" t="s">
        <v>28</v>
      </c>
      <c r="D1098" s="3" t="s">
        <v>61</v>
      </c>
      <c r="E1098" s="3" t="s">
        <v>1520</v>
      </c>
      <c r="F1098" s="3" t="s">
        <v>63</v>
      </c>
      <c r="G1098" s="3" t="s">
        <v>1520</v>
      </c>
      <c r="H1098" s="3" t="s">
        <v>1403</v>
      </c>
      <c r="I1098" s="3">
        <v>2024</v>
      </c>
      <c r="J1098" s="3" t="str">
        <f>CONCATENATE("44811318284")</f>
        <v>44811318284</v>
      </c>
      <c r="K1098" s="3" t="s">
        <v>33</v>
      </c>
      <c r="L1098" s="3" t="str">
        <f t="shared" si="69"/>
        <v/>
      </c>
      <c r="M1098" s="3" t="str">
        <f t="shared" si="68"/>
        <v>SRA29</v>
      </c>
      <c r="N1098" s="3" t="str">
        <f>CONCATENATE("MRNCLD84C60E815G")</f>
        <v>MRNCLD84C60E815G</v>
      </c>
      <c r="O1098" s="3" t="s">
        <v>1679</v>
      </c>
      <c r="P1098" s="3" t="s">
        <v>35</v>
      </c>
      <c r="Q1098" s="3" t="s">
        <v>1389</v>
      </c>
      <c r="R1098" s="4">
        <v>45916</v>
      </c>
      <c r="S1098" s="3" t="s">
        <v>37</v>
      </c>
      <c r="T1098" s="3" t="s">
        <v>38</v>
      </c>
      <c r="U1098" s="3" t="s">
        <v>39</v>
      </c>
      <c r="V1098" s="5">
        <v>5809.54</v>
      </c>
      <c r="W1098" s="5">
        <v>2933.82</v>
      </c>
      <c r="X1098" s="5">
        <v>2013.01</v>
      </c>
      <c r="Y1098" s="3">
        <v>862.71</v>
      </c>
    </row>
    <row r="1099" spans="1:25" ht="49.5" hidden="1" x14ac:dyDescent="0.35">
      <c r="A1099" s="3" t="s">
        <v>26</v>
      </c>
      <c r="B1099" s="3" t="s">
        <v>27</v>
      </c>
      <c r="C1099" s="3" t="s">
        <v>28</v>
      </c>
      <c r="D1099" s="3" t="s">
        <v>69</v>
      </c>
      <c r="E1099" s="3" t="s">
        <v>1427</v>
      </c>
      <c r="F1099" s="3" t="s">
        <v>71</v>
      </c>
      <c r="G1099" s="3" t="s">
        <v>1427</v>
      </c>
      <c r="H1099" s="3" t="s">
        <v>1403</v>
      </c>
      <c r="I1099" s="3">
        <v>2024</v>
      </c>
      <c r="J1099" s="3" t="str">
        <f>CONCATENATE("44810976017")</f>
        <v>44810976017</v>
      </c>
      <c r="K1099" s="3" t="s">
        <v>33</v>
      </c>
      <c r="L1099" s="3" t="str">
        <f t="shared" si="69"/>
        <v/>
      </c>
      <c r="M1099" s="3" t="str">
        <f t="shared" si="68"/>
        <v>SRA29</v>
      </c>
      <c r="N1099" s="3" t="str">
        <f>CONCATENATE("MRNMRC82A19I549L")</f>
        <v>MRNMRC82A19I549L</v>
      </c>
      <c r="O1099" s="3" t="s">
        <v>1680</v>
      </c>
      <c r="P1099" s="3" t="s">
        <v>35</v>
      </c>
      <c r="Q1099" s="3" t="s">
        <v>1389</v>
      </c>
      <c r="R1099" s="4">
        <v>45916</v>
      </c>
      <c r="S1099" s="3" t="s">
        <v>37</v>
      </c>
      <c r="T1099" s="3" t="s">
        <v>38</v>
      </c>
      <c r="U1099" s="3" t="s">
        <v>39</v>
      </c>
      <c r="V1099" s="3">
        <v>440.18</v>
      </c>
      <c r="W1099" s="3">
        <v>222.29</v>
      </c>
      <c r="X1099" s="3">
        <v>152.52000000000001</v>
      </c>
      <c r="Y1099" s="3">
        <v>65.37</v>
      </c>
    </row>
    <row r="1100" spans="1:25" ht="41.5" hidden="1" x14ac:dyDescent="0.35">
      <c r="A1100" s="3" t="s">
        <v>26</v>
      </c>
      <c r="B1100" s="3" t="s">
        <v>27</v>
      </c>
      <c r="C1100" s="3" t="s">
        <v>28</v>
      </c>
      <c r="D1100" s="3" t="s">
        <v>61</v>
      </c>
      <c r="E1100" s="3" t="s">
        <v>1531</v>
      </c>
      <c r="F1100" s="3" t="s">
        <v>63</v>
      </c>
      <c r="G1100" s="3" t="s">
        <v>1531</v>
      </c>
      <c r="H1100" s="3" t="s">
        <v>1403</v>
      </c>
      <c r="I1100" s="3">
        <v>2024</v>
      </c>
      <c r="J1100" s="3" t="str">
        <f>CONCATENATE("44810982858")</f>
        <v>44810982858</v>
      </c>
      <c r="K1100" s="3" t="s">
        <v>33</v>
      </c>
      <c r="L1100" s="3" t="str">
        <f t="shared" si="69"/>
        <v/>
      </c>
      <c r="M1100" s="3" t="str">
        <f t="shared" si="68"/>
        <v>SRA29</v>
      </c>
      <c r="N1100" s="3" t="str">
        <f>CONCATENATE("MSTLRA80H52E815W")</f>
        <v>MSTLRA80H52E815W</v>
      </c>
      <c r="O1100" s="3" t="s">
        <v>1681</v>
      </c>
      <c r="P1100" s="3" t="s">
        <v>35</v>
      </c>
      <c r="Q1100" s="3" t="s">
        <v>1389</v>
      </c>
      <c r="R1100" s="4">
        <v>45916</v>
      </c>
      <c r="S1100" s="3" t="s">
        <v>37</v>
      </c>
      <c r="T1100" s="3" t="s">
        <v>38</v>
      </c>
      <c r="U1100" s="3" t="s">
        <v>39</v>
      </c>
      <c r="V1100" s="5">
        <v>1246.44</v>
      </c>
      <c r="W1100" s="3">
        <v>629.45000000000005</v>
      </c>
      <c r="X1100" s="3">
        <v>431.89</v>
      </c>
      <c r="Y1100" s="3">
        <v>185.1</v>
      </c>
    </row>
    <row r="1101" spans="1:25" ht="41.5" hidden="1" x14ac:dyDescent="0.35">
      <c r="A1101" s="3" t="s">
        <v>26</v>
      </c>
      <c r="B1101" s="3" t="s">
        <v>27</v>
      </c>
      <c r="C1101" s="3" t="s">
        <v>28</v>
      </c>
      <c r="D1101" s="3" t="s">
        <v>234</v>
      </c>
      <c r="E1101" s="3" t="s">
        <v>1655</v>
      </c>
      <c r="F1101" s="3" t="s">
        <v>119</v>
      </c>
      <c r="G1101" s="3" t="s">
        <v>1655</v>
      </c>
      <c r="H1101" s="3" t="s">
        <v>32</v>
      </c>
      <c r="I1101" s="3">
        <v>2024</v>
      </c>
      <c r="J1101" s="3" t="str">
        <f>CONCATENATE("44810939940")</f>
        <v>44810939940</v>
      </c>
      <c r="K1101" s="3" t="s">
        <v>33</v>
      </c>
      <c r="L1101" s="3" t="str">
        <f t="shared" si="69"/>
        <v/>
      </c>
      <c r="M1101" s="3" t="str">
        <f t="shared" si="68"/>
        <v>SRA29</v>
      </c>
      <c r="N1101" s="3" t="str">
        <f>CONCATENATE("MTRDNC82D19H926J")</f>
        <v>MTRDNC82D19H926J</v>
      </c>
      <c r="O1101" s="3" t="s">
        <v>1682</v>
      </c>
      <c r="P1101" s="3" t="s">
        <v>35</v>
      </c>
      <c r="Q1101" s="3" t="s">
        <v>1389</v>
      </c>
      <c r="R1101" s="4">
        <v>45916</v>
      </c>
      <c r="S1101" s="3" t="s">
        <v>37</v>
      </c>
      <c r="T1101" s="3" t="s">
        <v>38</v>
      </c>
      <c r="U1101" s="3" t="s">
        <v>39</v>
      </c>
      <c r="V1101" s="3">
        <v>286.88</v>
      </c>
      <c r="W1101" s="3">
        <v>144.87</v>
      </c>
      <c r="X1101" s="3">
        <v>99.4</v>
      </c>
      <c r="Y1101" s="3">
        <v>42.61</v>
      </c>
    </row>
    <row r="1102" spans="1:25" ht="41.5" hidden="1" x14ac:dyDescent="0.35">
      <c r="A1102" s="3" t="s">
        <v>26</v>
      </c>
      <c r="B1102" s="3" t="s">
        <v>27</v>
      </c>
      <c r="C1102" s="3" t="s">
        <v>28</v>
      </c>
      <c r="D1102" s="3" t="s">
        <v>164</v>
      </c>
      <c r="E1102" s="3" t="s">
        <v>1683</v>
      </c>
      <c r="F1102" s="3" t="s">
        <v>166</v>
      </c>
      <c r="G1102" s="3" t="s">
        <v>1683</v>
      </c>
      <c r="H1102" s="3" t="s">
        <v>72</v>
      </c>
      <c r="I1102" s="3">
        <v>2024</v>
      </c>
      <c r="J1102" s="3" t="str">
        <f>CONCATENATE("44811284262")</f>
        <v>44811284262</v>
      </c>
      <c r="K1102" s="3" t="s">
        <v>33</v>
      </c>
      <c r="L1102" s="3" t="str">
        <f t="shared" si="69"/>
        <v/>
      </c>
      <c r="M1102" s="3" t="str">
        <f t="shared" si="68"/>
        <v>SRA29</v>
      </c>
      <c r="N1102" s="3" t="str">
        <f>CONCATENATE("MLNVSN68L29A048N")</f>
        <v>MLNVSN68L29A048N</v>
      </c>
      <c r="O1102" s="3" t="s">
        <v>1684</v>
      </c>
      <c r="P1102" s="3" t="s">
        <v>35</v>
      </c>
      <c r="Q1102" s="3" t="s">
        <v>1389</v>
      </c>
      <c r="R1102" s="4">
        <v>45916</v>
      </c>
      <c r="S1102" s="3" t="s">
        <v>37</v>
      </c>
      <c r="T1102" s="3" t="s">
        <v>38</v>
      </c>
      <c r="U1102" s="3" t="s">
        <v>39</v>
      </c>
      <c r="V1102" s="3">
        <v>361.54</v>
      </c>
      <c r="W1102" s="3">
        <v>182.58</v>
      </c>
      <c r="X1102" s="3">
        <v>125.27</v>
      </c>
      <c r="Y1102" s="3">
        <v>53.69</v>
      </c>
    </row>
    <row r="1103" spans="1:25" ht="25.5" hidden="1" x14ac:dyDescent="0.35">
      <c r="A1103" s="3" t="s">
        <v>26</v>
      </c>
      <c r="B1103" s="3" t="s">
        <v>27</v>
      </c>
      <c r="C1103" s="3" t="s">
        <v>28</v>
      </c>
      <c r="D1103" s="3" t="s">
        <v>75</v>
      </c>
      <c r="E1103" s="3" t="s">
        <v>1010</v>
      </c>
      <c r="F1103" s="3" t="s">
        <v>77</v>
      </c>
      <c r="G1103" s="3" t="s">
        <v>1010</v>
      </c>
      <c r="H1103" s="3" t="s">
        <v>32</v>
      </c>
      <c r="I1103" s="3">
        <v>2024</v>
      </c>
      <c r="J1103" s="3" t="str">
        <f>CONCATENATE("44810226199")</f>
        <v>44810226199</v>
      </c>
      <c r="K1103" s="3" t="s">
        <v>33</v>
      </c>
      <c r="L1103" s="3" t="str">
        <f t="shared" si="69"/>
        <v/>
      </c>
      <c r="M1103" s="3" t="str">
        <f t="shared" si="68"/>
        <v>SRA29</v>
      </c>
      <c r="N1103" s="3" t="str">
        <f>CONCATENATE("04066160716")</f>
        <v>04066160716</v>
      </c>
      <c r="O1103" s="3" t="s">
        <v>1685</v>
      </c>
      <c r="P1103" s="3" t="s">
        <v>35</v>
      </c>
      <c r="Q1103" s="3" t="s">
        <v>1389</v>
      </c>
      <c r="R1103" s="4">
        <v>45916</v>
      </c>
      <c r="S1103" s="3" t="s">
        <v>37</v>
      </c>
      <c r="T1103" s="3" t="s">
        <v>38</v>
      </c>
      <c r="U1103" s="3" t="s">
        <v>39</v>
      </c>
      <c r="V1103" s="5">
        <v>9977.3700000000008</v>
      </c>
      <c r="W1103" s="5">
        <v>5038.57</v>
      </c>
      <c r="X1103" s="5">
        <v>3457.16</v>
      </c>
      <c r="Y1103" s="5">
        <v>1481.64</v>
      </c>
    </row>
    <row r="1104" spans="1:25" ht="25.5" hidden="1" x14ac:dyDescent="0.35">
      <c r="A1104" s="3" t="s">
        <v>26</v>
      </c>
      <c r="B1104" s="3" t="s">
        <v>27</v>
      </c>
      <c r="C1104" s="3" t="s">
        <v>28</v>
      </c>
      <c r="D1104" s="3" t="s">
        <v>61</v>
      </c>
      <c r="E1104" s="3" t="s">
        <v>1396</v>
      </c>
      <c r="F1104" s="3" t="s">
        <v>63</v>
      </c>
      <c r="G1104" s="3" t="s">
        <v>1396</v>
      </c>
      <c r="H1104" s="3" t="s">
        <v>72</v>
      </c>
      <c r="I1104" s="3">
        <v>2024</v>
      </c>
      <c r="J1104" s="3" t="str">
        <f>CONCATENATE("44811114931")</f>
        <v>44811114931</v>
      </c>
      <c r="K1104" s="3" t="s">
        <v>33</v>
      </c>
      <c r="L1104" s="3" t="str">
        <f t="shared" si="69"/>
        <v/>
      </c>
      <c r="M1104" s="3" t="str">
        <f t="shared" si="68"/>
        <v>SRA29</v>
      </c>
      <c r="N1104" s="3" t="str">
        <f>CONCATENATE("05521150721")</f>
        <v>05521150721</v>
      </c>
      <c r="O1104" s="3" t="s">
        <v>1686</v>
      </c>
      <c r="P1104" s="3" t="s">
        <v>35</v>
      </c>
      <c r="Q1104" s="3" t="s">
        <v>1389</v>
      </c>
      <c r="R1104" s="4">
        <v>45916</v>
      </c>
      <c r="S1104" s="3" t="s">
        <v>37</v>
      </c>
      <c r="T1104" s="3" t="s">
        <v>38</v>
      </c>
      <c r="U1104" s="3" t="s">
        <v>39</v>
      </c>
      <c r="V1104" s="5">
        <v>4512.91</v>
      </c>
      <c r="W1104" s="5">
        <v>2279.02</v>
      </c>
      <c r="X1104" s="5">
        <v>1563.72</v>
      </c>
      <c r="Y1104" s="3">
        <v>670.17</v>
      </c>
    </row>
    <row r="1105" spans="1:25" ht="41.5" hidden="1" x14ac:dyDescent="0.35">
      <c r="A1105" s="3" t="s">
        <v>26</v>
      </c>
      <c r="B1105" s="3" t="s">
        <v>27</v>
      </c>
      <c r="C1105" s="3" t="s">
        <v>28</v>
      </c>
      <c r="D1105" s="3" t="s">
        <v>29</v>
      </c>
      <c r="E1105" s="3" t="s">
        <v>1687</v>
      </c>
      <c r="F1105" s="3" t="s">
        <v>31</v>
      </c>
      <c r="G1105" s="3" t="s">
        <v>1687</v>
      </c>
      <c r="H1105" s="3" t="s">
        <v>32</v>
      </c>
      <c r="I1105" s="3">
        <v>2024</v>
      </c>
      <c r="J1105" s="3" t="str">
        <f>CONCATENATE("44811122298")</f>
        <v>44811122298</v>
      </c>
      <c r="K1105" s="3" t="s">
        <v>33</v>
      </c>
      <c r="L1105" s="3" t="str">
        <f t="shared" si="69"/>
        <v/>
      </c>
      <c r="M1105" s="3" t="str">
        <f t="shared" si="68"/>
        <v>SRA29</v>
      </c>
      <c r="N1105" s="3" t="str">
        <f>CONCATENATE("PSSVNT75M69H926X")</f>
        <v>PSSVNT75M69H926X</v>
      </c>
      <c r="O1105" s="3" t="s">
        <v>1688</v>
      </c>
      <c r="P1105" s="3" t="s">
        <v>35</v>
      </c>
      <c r="Q1105" s="3" t="s">
        <v>1389</v>
      </c>
      <c r="R1105" s="4">
        <v>45916</v>
      </c>
      <c r="S1105" s="3" t="s">
        <v>37</v>
      </c>
      <c r="T1105" s="3" t="s">
        <v>38</v>
      </c>
      <c r="U1105" s="3" t="s">
        <v>39</v>
      </c>
      <c r="V1105" s="5">
        <v>21248.46</v>
      </c>
      <c r="W1105" s="5">
        <v>10730.47</v>
      </c>
      <c r="X1105" s="5">
        <v>7362.59</v>
      </c>
      <c r="Y1105" s="5">
        <v>3155.4</v>
      </c>
    </row>
    <row r="1106" spans="1:25" ht="41.5" hidden="1" x14ac:dyDescent="0.35">
      <c r="A1106" s="3" t="s">
        <v>26</v>
      </c>
      <c r="B1106" s="3" t="s">
        <v>27</v>
      </c>
      <c r="C1106" s="3" t="s">
        <v>28</v>
      </c>
      <c r="D1106" s="3" t="s">
        <v>51</v>
      </c>
      <c r="E1106" s="3" t="s">
        <v>1642</v>
      </c>
      <c r="F1106" s="3" t="s">
        <v>119</v>
      </c>
      <c r="G1106" s="3" t="s">
        <v>1655</v>
      </c>
      <c r="H1106" s="3" t="s">
        <v>32</v>
      </c>
      <c r="I1106" s="3">
        <v>2024</v>
      </c>
      <c r="J1106" s="3" t="str">
        <f>CONCATENATE("44811445103")</f>
        <v>44811445103</v>
      </c>
      <c r="K1106" s="3" t="s">
        <v>33</v>
      </c>
      <c r="L1106" s="3" t="str">
        <f t="shared" si="69"/>
        <v/>
      </c>
      <c r="M1106" s="3" t="str">
        <f t="shared" si="68"/>
        <v>SRA29</v>
      </c>
      <c r="N1106" s="3" t="str">
        <f>CONCATENATE("PSTVCN85P13H985C")</f>
        <v>PSTVCN85P13H985C</v>
      </c>
      <c r="O1106" s="3" t="s">
        <v>1689</v>
      </c>
      <c r="P1106" s="3" t="s">
        <v>35</v>
      </c>
      <c r="Q1106" s="3" t="s">
        <v>1389</v>
      </c>
      <c r="R1106" s="4">
        <v>45916</v>
      </c>
      <c r="S1106" s="3" t="s">
        <v>37</v>
      </c>
      <c r="T1106" s="3" t="s">
        <v>38</v>
      </c>
      <c r="U1106" s="3" t="s">
        <v>39</v>
      </c>
      <c r="V1106" s="3">
        <v>712.3</v>
      </c>
      <c r="W1106" s="3">
        <v>359.71</v>
      </c>
      <c r="X1106" s="3">
        <v>246.81</v>
      </c>
      <c r="Y1106" s="3">
        <v>105.78</v>
      </c>
    </row>
    <row r="1107" spans="1:25" ht="49.5" hidden="1" x14ac:dyDescent="0.35">
      <c r="A1107" s="3" t="s">
        <v>26</v>
      </c>
      <c r="B1107" s="3" t="s">
        <v>27</v>
      </c>
      <c r="C1107" s="3" t="s">
        <v>28</v>
      </c>
      <c r="D1107" s="3" t="s">
        <v>41</v>
      </c>
      <c r="E1107" s="3" t="s">
        <v>195</v>
      </c>
      <c r="F1107" s="3" t="s">
        <v>43</v>
      </c>
      <c r="G1107" s="3" t="s">
        <v>195</v>
      </c>
      <c r="H1107" s="3" t="s">
        <v>72</v>
      </c>
      <c r="I1107" s="3">
        <v>2024</v>
      </c>
      <c r="J1107" s="3" t="str">
        <f>CONCATENATE("44811090347")</f>
        <v>44811090347</v>
      </c>
      <c r="K1107" s="3" t="s">
        <v>33</v>
      </c>
      <c r="L1107" s="3" t="str">
        <f t="shared" si="69"/>
        <v/>
      </c>
      <c r="M1107" s="3" t="str">
        <f t="shared" si="68"/>
        <v>SRA29</v>
      </c>
      <c r="N1107" s="3" t="str">
        <f>CONCATENATE("PTRRHL69A43A225B")</f>
        <v>PTRRHL69A43A225B</v>
      </c>
      <c r="O1107" s="3" t="s">
        <v>1690</v>
      </c>
      <c r="P1107" s="3" t="s">
        <v>35</v>
      </c>
      <c r="Q1107" s="3" t="s">
        <v>1389</v>
      </c>
      <c r="R1107" s="4">
        <v>45916</v>
      </c>
      <c r="S1107" s="3" t="s">
        <v>37</v>
      </c>
      <c r="T1107" s="3" t="s">
        <v>38</v>
      </c>
      <c r="U1107" s="3" t="s">
        <v>39</v>
      </c>
      <c r="V1107" s="5">
        <v>4760.9799999999996</v>
      </c>
      <c r="W1107" s="5">
        <v>2404.29</v>
      </c>
      <c r="X1107" s="5">
        <v>1649.68</v>
      </c>
      <c r="Y1107" s="3">
        <v>707.01</v>
      </c>
    </row>
    <row r="1108" spans="1:25" ht="41.5" hidden="1" x14ac:dyDescent="0.35">
      <c r="A1108" s="3" t="s">
        <v>26</v>
      </c>
      <c r="B1108" s="3" t="s">
        <v>27</v>
      </c>
      <c r="C1108" s="3" t="s">
        <v>28</v>
      </c>
      <c r="D1108" s="3" t="s">
        <v>61</v>
      </c>
      <c r="E1108" s="3" t="s">
        <v>201</v>
      </c>
      <c r="F1108" s="3" t="s">
        <v>63</v>
      </c>
      <c r="G1108" s="3" t="s">
        <v>201</v>
      </c>
      <c r="H1108" s="3" t="s">
        <v>72</v>
      </c>
      <c r="I1108" s="3">
        <v>2024</v>
      </c>
      <c r="J1108" s="3" t="str">
        <f>CONCATENATE("44811046398")</f>
        <v>44811046398</v>
      </c>
      <c r="K1108" s="3" t="s">
        <v>33</v>
      </c>
      <c r="L1108" s="3" t="str">
        <f t="shared" si="69"/>
        <v/>
      </c>
      <c r="M1108" s="3" t="str">
        <f t="shared" si="68"/>
        <v>SRA29</v>
      </c>
      <c r="N1108" s="3" t="str">
        <f>CONCATENATE("PSCPLA98L16A048O")</f>
        <v>PSCPLA98L16A048O</v>
      </c>
      <c r="O1108" s="3" t="s">
        <v>1691</v>
      </c>
      <c r="P1108" s="3" t="s">
        <v>35</v>
      </c>
      <c r="Q1108" s="3" t="s">
        <v>1389</v>
      </c>
      <c r="R1108" s="4">
        <v>45916</v>
      </c>
      <c r="S1108" s="3" t="s">
        <v>37</v>
      </c>
      <c r="T1108" s="3" t="s">
        <v>38</v>
      </c>
      <c r="U1108" s="3" t="s">
        <v>39</v>
      </c>
      <c r="V1108" s="3">
        <v>522.77</v>
      </c>
      <c r="W1108" s="3">
        <v>264</v>
      </c>
      <c r="X1108" s="3">
        <v>181.14</v>
      </c>
      <c r="Y1108" s="3">
        <v>77.63</v>
      </c>
    </row>
    <row r="1109" spans="1:25" ht="41.5" hidden="1" x14ac:dyDescent="0.35">
      <c r="A1109" s="3" t="s">
        <v>26</v>
      </c>
      <c r="B1109" s="3" t="s">
        <v>27</v>
      </c>
      <c r="C1109" s="3" t="s">
        <v>28</v>
      </c>
      <c r="D1109" s="3" t="s">
        <v>61</v>
      </c>
      <c r="E1109" s="3" t="s">
        <v>201</v>
      </c>
      <c r="F1109" s="3" t="s">
        <v>63</v>
      </c>
      <c r="G1109" s="3" t="s">
        <v>201</v>
      </c>
      <c r="H1109" s="3" t="s">
        <v>72</v>
      </c>
      <c r="I1109" s="3">
        <v>2024</v>
      </c>
      <c r="J1109" s="3" t="str">
        <f>CONCATENATE("44811148848")</f>
        <v>44811148848</v>
      </c>
      <c r="K1109" s="3" t="s">
        <v>33</v>
      </c>
      <c r="L1109" s="3" t="str">
        <f t="shared" si="69"/>
        <v/>
      </c>
      <c r="M1109" s="3" t="str">
        <f t="shared" si="68"/>
        <v>SRA29</v>
      </c>
      <c r="N1109" s="3" t="str">
        <f>CONCATENATE("PRFRSO72S64I330L")</f>
        <v>PRFRSO72S64I330L</v>
      </c>
      <c r="O1109" s="3" t="s">
        <v>1692</v>
      </c>
      <c r="P1109" s="3" t="s">
        <v>35</v>
      </c>
      <c r="Q1109" s="3" t="s">
        <v>1389</v>
      </c>
      <c r="R1109" s="4">
        <v>45916</v>
      </c>
      <c r="S1109" s="3" t="s">
        <v>37</v>
      </c>
      <c r="T1109" s="3" t="s">
        <v>38</v>
      </c>
      <c r="U1109" s="3" t="s">
        <v>39</v>
      </c>
      <c r="V1109" s="5">
        <v>1725.76</v>
      </c>
      <c r="W1109" s="3">
        <v>871.51</v>
      </c>
      <c r="X1109" s="3">
        <v>597.98</v>
      </c>
      <c r="Y1109" s="3">
        <v>256.27</v>
      </c>
    </row>
    <row r="1110" spans="1:25" ht="41.5" hidden="1" x14ac:dyDescent="0.35">
      <c r="A1110" s="3" t="s">
        <v>26</v>
      </c>
      <c r="B1110" s="3" t="s">
        <v>27</v>
      </c>
      <c r="C1110" s="3" t="s">
        <v>28</v>
      </c>
      <c r="D1110" s="3" t="s">
        <v>41</v>
      </c>
      <c r="E1110" s="3" t="s">
        <v>1533</v>
      </c>
      <c r="F1110" s="3" t="s">
        <v>43</v>
      </c>
      <c r="G1110" s="3" t="s">
        <v>1533</v>
      </c>
      <c r="H1110" s="3" t="s">
        <v>32</v>
      </c>
      <c r="I1110" s="3">
        <v>2024</v>
      </c>
      <c r="J1110" s="3" t="str">
        <f>CONCATENATE("44810575876")</f>
        <v>44810575876</v>
      </c>
      <c r="K1110" s="3" t="s">
        <v>33</v>
      </c>
      <c r="L1110" s="3" t="str">
        <f t="shared" si="69"/>
        <v/>
      </c>
      <c r="M1110" s="3" t="str">
        <f t="shared" si="68"/>
        <v>SRA29</v>
      </c>
      <c r="N1110" s="3" t="str">
        <f>CONCATENATE("PRDGTN64A21H926X")</f>
        <v>PRDGTN64A21H926X</v>
      </c>
      <c r="O1110" s="3" t="s">
        <v>1693</v>
      </c>
      <c r="P1110" s="3" t="s">
        <v>35</v>
      </c>
      <c r="Q1110" s="3" t="s">
        <v>1389</v>
      </c>
      <c r="R1110" s="4">
        <v>45916</v>
      </c>
      <c r="S1110" s="3" t="s">
        <v>37</v>
      </c>
      <c r="T1110" s="3" t="s">
        <v>38</v>
      </c>
      <c r="U1110" s="3" t="s">
        <v>39</v>
      </c>
      <c r="V1110" s="5">
        <v>1383.05</v>
      </c>
      <c r="W1110" s="3">
        <v>698.44</v>
      </c>
      <c r="X1110" s="3">
        <v>479.23</v>
      </c>
      <c r="Y1110" s="3">
        <v>205.38</v>
      </c>
    </row>
    <row r="1111" spans="1:25" ht="41.5" hidden="1" x14ac:dyDescent="0.35">
      <c r="A1111" s="3" t="s">
        <v>26</v>
      </c>
      <c r="B1111" s="3" t="s">
        <v>27</v>
      </c>
      <c r="C1111" s="3" t="s">
        <v>28</v>
      </c>
      <c r="D1111" s="3" t="s">
        <v>41</v>
      </c>
      <c r="E1111" s="3" t="s">
        <v>1412</v>
      </c>
      <c r="F1111" s="3" t="s">
        <v>43</v>
      </c>
      <c r="G1111" s="3" t="s">
        <v>1412</v>
      </c>
      <c r="H1111" s="3" t="s">
        <v>72</v>
      </c>
      <c r="I1111" s="3">
        <v>2024</v>
      </c>
      <c r="J1111" s="3" t="str">
        <f>CONCATENATE("44811841319")</f>
        <v>44811841319</v>
      </c>
      <c r="K1111" s="3" t="s">
        <v>33</v>
      </c>
      <c r="L1111" s="3" t="str">
        <f t="shared" si="69"/>
        <v/>
      </c>
      <c r="M1111" s="3" t="str">
        <f t="shared" si="68"/>
        <v>SRA29</v>
      </c>
      <c r="N1111" s="3" t="str">
        <f>CONCATENATE("NGRDNC63E27A566J")</f>
        <v>NGRDNC63E27A566J</v>
      </c>
      <c r="O1111" s="3" t="s">
        <v>1694</v>
      </c>
      <c r="P1111" s="3" t="s">
        <v>35</v>
      </c>
      <c r="Q1111" s="3" t="s">
        <v>1389</v>
      </c>
      <c r="R1111" s="4">
        <v>45916</v>
      </c>
      <c r="S1111" s="3" t="s">
        <v>37</v>
      </c>
      <c r="T1111" s="3" t="s">
        <v>38</v>
      </c>
      <c r="U1111" s="3" t="s">
        <v>39</v>
      </c>
      <c r="V1111" s="5">
        <v>5177.59</v>
      </c>
      <c r="W1111" s="5">
        <v>2614.6799999999998</v>
      </c>
      <c r="X1111" s="5">
        <v>1794.03</v>
      </c>
      <c r="Y1111" s="3">
        <v>768.88</v>
      </c>
    </row>
    <row r="1112" spans="1:25" ht="25.5" hidden="1" x14ac:dyDescent="0.35">
      <c r="A1112" s="3" t="s">
        <v>26</v>
      </c>
      <c r="B1112" s="3" t="s">
        <v>27</v>
      </c>
      <c r="C1112" s="3" t="s">
        <v>90</v>
      </c>
      <c r="D1112" s="3" t="s">
        <v>29</v>
      </c>
      <c r="E1112" s="3" t="s">
        <v>286</v>
      </c>
      <c r="F1112" s="3" t="s">
        <v>31</v>
      </c>
      <c r="G1112" s="3" t="s">
        <v>286</v>
      </c>
      <c r="H1112" s="3" t="s">
        <v>96</v>
      </c>
      <c r="I1112" s="3">
        <v>2024</v>
      </c>
      <c r="J1112" s="3" t="str">
        <f>CONCATENATE("44810797595")</f>
        <v>44810797595</v>
      </c>
      <c r="K1112" s="3" t="s">
        <v>33</v>
      </c>
      <c r="L1112" s="3" t="str">
        <f t="shared" si="69"/>
        <v/>
      </c>
      <c r="M1112" s="3" t="str">
        <f t="shared" si="68"/>
        <v>SRA29</v>
      </c>
      <c r="N1112" s="3" t="str">
        <f>CONCATENATE("97360300822")</f>
        <v>97360300822</v>
      </c>
      <c r="O1112" s="3" t="s">
        <v>1695</v>
      </c>
      <c r="P1112" s="3" t="s">
        <v>35</v>
      </c>
      <c r="Q1112" s="3" t="s">
        <v>1384</v>
      </c>
      <c r="R1112" s="4">
        <v>45931</v>
      </c>
      <c r="S1112" s="3" t="s">
        <v>37</v>
      </c>
      <c r="T1112" s="3" t="s">
        <v>38</v>
      </c>
      <c r="U1112" s="3" t="s">
        <v>39</v>
      </c>
      <c r="V1112" s="5">
        <v>2885.69</v>
      </c>
      <c r="W1112" s="5">
        <v>1457.27</v>
      </c>
      <c r="X1112" s="3">
        <v>999.89</v>
      </c>
      <c r="Y1112" s="3">
        <v>428.53</v>
      </c>
    </row>
    <row r="1113" spans="1:25" ht="49.5" hidden="1" x14ac:dyDescent="0.35">
      <c r="A1113" s="3" t="s">
        <v>26</v>
      </c>
      <c r="B1113" s="3" t="s">
        <v>27</v>
      </c>
      <c r="C1113" s="3" t="s">
        <v>90</v>
      </c>
      <c r="D1113" s="3" t="s">
        <v>41</v>
      </c>
      <c r="E1113" s="3" t="s">
        <v>264</v>
      </c>
      <c r="F1113" s="3" t="s">
        <v>43</v>
      </c>
      <c r="G1113" s="3" t="s">
        <v>264</v>
      </c>
      <c r="H1113" s="3" t="s">
        <v>96</v>
      </c>
      <c r="I1113" s="3">
        <v>2024</v>
      </c>
      <c r="J1113" s="3" t="str">
        <f>CONCATENATE("44810123354")</f>
        <v>44810123354</v>
      </c>
      <c r="K1113" s="3" t="s">
        <v>33</v>
      </c>
      <c r="L1113" s="3" t="str">
        <f t="shared" si="69"/>
        <v/>
      </c>
      <c r="M1113" s="3" t="str">
        <f t="shared" si="68"/>
        <v>SRA29</v>
      </c>
      <c r="N1113" s="3" t="str">
        <f>CONCATENATE("SCLDLU87R12G273G")</f>
        <v>SCLDLU87R12G273G</v>
      </c>
      <c r="O1113" s="3" t="s">
        <v>1696</v>
      </c>
      <c r="P1113" s="3" t="s">
        <v>35</v>
      </c>
      <c r="Q1113" s="3" t="s">
        <v>1384</v>
      </c>
      <c r="R1113" s="4">
        <v>45931</v>
      </c>
      <c r="S1113" s="3" t="s">
        <v>37</v>
      </c>
      <c r="T1113" s="3" t="s">
        <v>38</v>
      </c>
      <c r="U1113" s="3" t="s">
        <v>39</v>
      </c>
      <c r="V1113" s="5">
        <v>1729.96</v>
      </c>
      <c r="W1113" s="3">
        <v>873.63</v>
      </c>
      <c r="X1113" s="3">
        <v>599.42999999999995</v>
      </c>
      <c r="Y1113" s="3">
        <v>256.89999999999998</v>
      </c>
    </row>
    <row r="1114" spans="1:25" ht="25.5" hidden="1" x14ac:dyDescent="0.35">
      <c r="A1114" s="3" t="s">
        <v>26</v>
      </c>
      <c r="B1114" s="3" t="s">
        <v>27</v>
      </c>
      <c r="C1114" s="3" t="s">
        <v>90</v>
      </c>
      <c r="D1114" s="3" t="s">
        <v>99</v>
      </c>
      <c r="E1114" s="3" t="s">
        <v>1463</v>
      </c>
      <c r="F1114" s="3" t="s">
        <v>101</v>
      </c>
      <c r="G1114" s="3" t="s">
        <v>1463</v>
      </c>
      <c r="H1114" s="3" t="s">
        <v>96</v>
      </c>
      <c r="I1114" s="3">
        <v>2024</v>
      </c>
      <c r="J1114" s="3" t="str">
        <f>CONCATENATE("44811017050")</f>
        <v>44811017050</v>
      </c>
      <c r="K1114" s="3" t="s">
        <v>33</v>
      </c>
      <c r="L1114" s="3" t="str">
        <f t="shared" si="69"/>
        <v/>
      </c>
      <c r="M1114" s="3" t="str">
        <f t="shared" si="68"/>
        <v>SRA29</v>
      </c>
      <c r="N1114" s="3" t="str">
        <f>CONCATENATE("06057920826")</f>
        <v>06057920826</v>
      </c>
      <c r="O1114" s="3" t="s">
        <v>1697</v>
      </c>
      <c r="P1114" s="3" t="s">
        <v>35</v>
      </c>
      <c r="Q1114" s="3" t="s">
        <v>1384</v>
      </c>
      <c r="R1114" s="4">
        <v>45931</v>
      </c>
      <c r="S1114" s="3" t="s">
        <v>37</v>
      </c>
      <c r="T1114" s="3" t="s">
        <v>38</v>
      </c>
      <c r="U1114" s="3" t="s">
        <v>39</v>
      </c>
      <c r="V1114" s="5">
        <v>1125.5</v>
      </c>
      <c r="W1114" s="3">
        <v>568.38</v>
      </c>
      <c r="X1114" s="3">
        <v>389.99</v>
      </c>
      <c r="Y1114" s="3">
        <v>167.13</v>
      </c>
    </row>
    <row r="1115" spans="1:25" ht="41.5" hidden="1" x14ac:dyDescent="0.35">
      <c r="A1115" s="3" t="s">
        <v>26</v>
      </c>
      <c r="B1115" s="3" t="s">
        <v>27</v>
      </c>
      <c r="C1115" s="3" t="s">
        <v>90</v>
      </c>
      <c r="D1115" s="3" t="s">
        <v>180</v>
      </c>
      <c r="E1115" s="3" t="s">
        <v>258</v>
      </c>
      <c r="F1115" s="3" t="s">
        <v>85</v>
      </c>
      <c r="G1115" s="3" t="s">
        <v>258</v>
      </c>
      <c r="H1115" s="3" t="s">
        <v>96</v>
      </c>
      <c r="I1115" s="3">
        <v>2023</v>
      </c>
      <c r="J1115" s="3" t="str">
        <f>CONCATENATE("34810136423")</f>
        <v>34810136423</v>
      </c>
      <c r="K1115" s="3" t="s">
        <v>33</v>
      </c>
      <c r="L1115" s="3" t="str">
        <f t="shared" si="69"/>
        <v/>
      </c>
      <c r="M1115" s="3" t="str">
        <f t="shared" si="68"/>
        <v>SRA29</v>
      </c>
      <c r="N1115" s="3" t="str">
        <f>CONCATENATE("TRNGPP75C23H914T")</f>
        <v>TRNGPP75C23H914T</v>
      </c>
      <c r="O1115" s="3" t="s">
        <v>1698</v>
      </c>
      <c r="P1115" s="3" t="s">
        <v>35</v>
      </c>
      <c r="Q1115" s="3" t="s">
        <v>1384</v>
      </c>
      <c r="R1115" s="4">
        <v>45931</v>
      </c>
      <c r="S1115" s="3" t="s">
        <v>37</v>
      </c>
      <c r="T1115" s="3" t="s">
        <v>38</v>
      </c>
      <c r="U1115" s="3" t="s">
        <v>39</v>
      </c>
      <c r="V1115" s="5">
        <v>6596.1</v>
      </c>
      <c r="W1115" s="5">
        <v>3331.03</v>
      </c>
      <c r="X1115" s="5">
        <v>2285.5500000000002</v>
      </c>
      <c r="Y1115" s="3">
        <v>979.52</v>
      </c>
    </row>
    <row r="1116" spans="1:25" ht="49.5" hidden="1" x14ac:dyDescent="0.35">
      <c r="A1116" s="3" t="s">
        <v>26</v>
      </c>
      <c r="B1116" s="3" t="s">
        <v>27</v>
      </c>
      <c r="C1116" s="3" t="s">
        <v>90</v>
      </c>
      <c r="D1116" s="3" t="s">
        <v>29</v>
      </c>
      <c r="E1116" s="3" t="s">
        <v>292</v>
      </c>
      <c r="F1116" s="3" t="s">
        <v>31</v>
      </c>
      <c r="G1116" s="3" t="s">
        <v>292</v>
      </c>
      <c r="H1116" s="3" t="s">
        <v>96</v>
      </c>
      <c r="I1116" s="3">
        <v>2024</v>
      </c>
      <c r="J1116" s="3" t="str">
        <f>CONCATENATE("44810873735")</f>
        <v>44810873735</v>
      </c>
      <c r="K1116" s="3" t="s">
        <v>33</v>
      </c>
      <c r="L1116" s="3" t="str">
        <f t="shared" si="69"/>
        <v/>
      </c>
      <c r="M1116" s="3" t="str">
        <f t="shared" si="68"/>
        <v>SRA29</v>
      </c>
      <c r="N1116" s="3" t="str">
        <f>CONCATENATE("VZZGCH74B49B430G")</f>
        <v>VZZGCH74B49B430G</v>
      </c>
      <c r="O1116" s="3" t="s">
        <v>1699</v>
      </c>
      <c r="P1116" s="3" t="s">
        <v>35</v>
      </c>
      <c r="Q1116" s="3" t="s">
        <v>1384</v>
      </c>
      <c r="R1116" s="4">
        <v>45931</v>
      </c>
      <c r="S1116" s="3" t="s">
        <v>37</v>
      </c>
      <c r="T1116" s="3" t="s">
        <v>38</v>
      </c>
      <c r="U1116" s="3" t="s">
        <v>39</v>
      </c>
      <c r="V1116" s="5">
        <v>2194.23</v>
      </c>
      <c r="W1116" s="5">
        <v>1108.0899999999999</v>
      </c>
      <c r="X1116" s="3">
        <v>760.3</v>
      </c>
      <c r="Y1116" s="3">
        <v>325.83999999999997</v>
      </c>
    </row>
    <row r="1117" spans="1:25" ht="41.5" hidden="1" x14ac:dyDescent="0.35">
      <c r="A1117" s="3" t="s">
        <v>26</v>
      </c>
      <c r="B1117" s="3" t="s">
        <v>27</v>
      </c>
      <c r="C1117" s="3" t="s">
        <v>451</v>
      </c>
      <c r="D1117" s="3" t="s">
        <v>61</v>
      </c>
      <c r="E1117" s="3" t="s">
        <v>636</v>
      </c>
      <c r="F1117" s="3" t="s">
        <v>63</v>
      </c>
      <c r="G1117" s="3" t="s">
        <v>636</v>
      </c>
      <c r="H1117" s="3" t="s">
        <v>453</v>
      </c>
      <c r="I1117" s="3">
        <v>2023</v>
      </c>
      <c r="J1117" s="3" t="str">
        <f>CONCATENATE("34820387396")</f>
        <v>34820387396</v>
      </c>
      <c r="K1117" s="3" t="s">
        <v>33</v>
      </c>
      <c r="L1117" s="3" t="str">
        <f t="shared" si="69"/>
        <v/>
      </c>
      <c r="M1117" s="3" t="str">
        <f>CONCATENATE("SRB02")</f>
        <v>SRB02</v>
      </c>
      <c r="N1117" s="3" t="str">
        <f>CONCATENATE("TSTRCR59L30H501F")</f>
        <v>TSTRCR59L30H501F</v>
      </c>
      <c r="O1117" s="3" t="s">
        <v>1700</v>
      </c>
      <c r="P1117" s="3" t="s">
        <v>35</v>
      </c>
      <c r="Q1117" s="3" t="s">
        <v>1566</v>
      </c>
      <c r="R1117" s="4">
        <v>45919</v>
      </c>
      <c r="S1117" s="3" t="s">
        <v>37</v>
      </c>
      <c r="T1117" s="3" t="s">
        <v>38</v>
      </c>
      <c r="U1117" s="3" t="s">
        <v>39</v>
      </c>
      <c r="V1117" s="5">
        <v>4444.2</v>
      </c>
      <c r="W1117" s="5">
        <v>1888.79</v>
      </c>
      <c r="X1117" s="5">
        <v>1788.79</v>
      </c>
      <c r="Y1117" s="3">
        <v>766.62</v>
      </c>
    </row>
    <row r="1118" spans="1:25" ht="25.5" hidden="1" x14ac:dyDescent="0.35">
      <c r="A1118" s="3" t="s">
        <v>26</v>
      </c>
      <c r="B1118" s="3" t="s">
        <v>27</v>
      </c>
      <c r="C1118" s="3" t="s">
        <v>90</v>
      </c>
      <c r="D1118" s="3" t="s">
        <v>61</v>
      </c>
      <c r="E1118" s="3" t="s">
        <v>1701</v>
      </c>
      <c r="F1118" s="3" t="s">
        <v>63</v>
      </c>
      <c r="G1118" s="3" t="s">
        <v>1701</v>
      </c>
      <c r="H1118" s="3" t="s">
        <v>102</v>
      </c>
      <c r="I1118" s="3">
        <v>2024</v>
      </c>
      <c r="J1118" s="3" t="str">
        <f>CONCATENATE("44811052826")</f>
        <v>44811052826</v>
      </c>
      <c r="K1118" s="3" t="s">
        <v>33</v>
      </c>
      <c r="L1118" s="3" t="str">
        <f t="shared" si="69"/>
        <v/>
      </c>
      <c r="M1118" s="3" t="str">
        <f t="shared" ref="M1118:M1133" si="70">CONCATENATE("SRA30")</f>
        <v>SRA30</v>
      </c>
      <c r="N1118" s="3" t="str">
        <f>CONCATENATE("00733000889")</f>
        <v>00733000889</v>
      </c>
      <c r="O1118" s="3" t="s">
        <v>1702</v>
      </c>
      <c r="P1118" s="3" t="s">
        <v>35</v>
      </c>
      <c r="Q1118" s="3" t="s">
        <v>1568</v>
      </c>
      <c r="R1118" s="4">
        <v>45931</v>
      </c>
      <c r="S1118" s="3" t="s">
        <v>37</v>
      </c>
      <c r="T1118" s="3" t="s">
        <v>38</v>
      </c>
      <c r="U1118" s="3" t="s">
        <v>39</v>
      </c>
      <c r="V1118" s="5">
        <v>13382.74</v>
      </c>
      <c r="W1118" s="5">
        <v>6758.28</v>
      </c>
      <c r="X1118" s="5">
        <v>4637.12</v>
      </c>
      <c r="Y1118" s="5">
        <v>1987.34</v>
      </c>
    </row>
    <row r="1119" spans="1:25" ht="25.5" hidden="1" x14ac:dyDescent="0.35">
      <c r="A1119" s="3" t="s">
        <v>26</v>
      </c>
      <c r="B1119" s="3" t="s">
        <v>27</v>
      </c>
      <c r="C1119" s="3" t="s">
        <v>90</v>
      </c>
      <c r="D1119" s="3" t="s">
        <v>41</v>
      </c>
      <c r="E1119" s="3" t="s">
        <v>1703</v>
      </c>
      <c r="F1119" s="3" t="s">
        <v>43</v>
      </c>
      <c r="G1119" s="3" t="s">
        <v>1703</v>
      </c>
      <c r="H1119" s="3" t="s">
        <v>102</v>
      </c>
      <c r="I1119" s="3">
        <v>2024</v>
      </c>
      <c r="J1119" s="3" t="str">
        <f>CONCATENATE("44811923455")</f>
        <v>44811923455</v>
      </c>
      <c r="K1119" s="3" t="s">
        <v>33</v>
      </c>
      <c r="L1119" s="3" t="str">
        <f t="shared" si="69"/>
        <v/>
      </c>
      <c r="M1119" s="3" t="str">
        <f t="shared" si="70"/>
        <v>SRA30</v>
      </c>
      <c r="N1119" s="3" t="str">
        <f>CONCATENATE("00858930886")</f>
        <v>00858930886</v>
      </c>
      <c r="O1119" s="3" t="s">
        <v>1704</v>
      </c>
      <c r="P1119" s="3" t="s">
        <v>35</v>
      </c>
      <c r="Q1119" s="3" t="s">
        <v>1568</v>
      </c>
      <c r="R1119" s="4">
        <v>45931</v>
      </c>
      <c r="S1119" s="3" t="s">
        <v>37</v>
      </c>
      <c r="T1119" s="3" t="s">
        <v>38</v>
      </c>
      <c r="U1119" s="3" t="s">
        <v>39</v>
      </c>
      <c r="V1119" s="5">
        <v>6349.15</v>
      </c>
      <c r="W1119" s="5">
        <v>3206.32</v>
      </c>
      <c r="X1119" s="5">
        <v>2199.98</v>
      </c>
      <c r="Y1119" s="3">
        <v>942.85</v>
      </c>
    </row>
    <row r="1120" spans="1:25" ht="49.5" hidden="1" x14ac:dyDescent="0.35">
      <c r="A1120" s="3" t="s">
        <v>26</v>
      </c>
      <c r="B1120" s="3" t="s">
        <v>27</v>
      </c>
      <c r="C1120" s="3" t="s">
        <v>465</v>
      </c>
      <c r="D1120" s="3" t="s">
        <v>61</v>
      </c>
      <c r="E1120" s="3" t="s">
        <v>1705</v>
      </c>
      <c r="F1120" s="3" t="s">
        <v>63</v>
      </c>
      <c r="G1120" s="3" t="s">
        <v>1705</v>
      </c>
      <c r="H1120" s="3" t="s">
        <v>467</v>
      </c>
      <c r="I1120" s="3">
        <v>2024</v>
      </c>
      <c r="J1120" s="3" t="str">
        <f>CONCATENATE("44810538841")</f>
        <v>44810538841</v>
      </c>
      <c r="K1120" s="3" t="s">
        <v>33</v>
      </c>
      <c r="L1120" s="3" t="str">
        <f t="shared" si="69"/>
        <v/>
      </c>
      <c r="M1120" s="3" t="str">
        <f t="shared" si="70"/>
        <v>SRA30</v>
      </c>
      <c r="N1120" s="3" t="str">
        <f>CONCATENATE("LMNMSM80M29A488M")</f>
        <v>LMNMSM80M29A488M</v>
      </c>
      <c r="O1120" s="3" t="s">
        <v>1706</v>
      </c>
      <c r="P1120" s="3" t="s">
        <v>35</v>
      </c>
      <c r="Q1120" s="3" t="s">
        <v>1572</v>
      </c>
      <c r="R1120" s="4">
        <v>45926</v>
      </c>
      <c r="S1120" s="3" t="s">
        <v>37</v>
      </c>
      <c r="T1120" s="3" t="s">
        <v>38</v>
      </c>
      <c r="U1120" s="3" t="s">
        <v>39</v>
      </c>
      <c r="V1120" s="5">
        <v>3973</v>
      </c>
      <c r="W1120" s="5">
        <v>1688.53</v>
      </c>
      <c r="X1120" s="5">
        <v>1599.13</v>
      </c>
      <c r="Y1120" s="3">
        <v>685.34</v>
      </c>
    </row>
    <row r="1121" spans="1:25" ht="41.5" hidden="1" x14ac:dyDescent="0.35">
      <c r="A1121" s="3" t="s">
        <v>26</v>
      </c>
      <c r="B1121" s="3" t="s">
        <v>27</v>
      </c>
      <c r="C1121" s="3" t="s">
        <v>465</v>
      </c>
      <c r="D1121" s="3" t="s">
        <v>234</v>
      </c>
      <c r="E1121" s="3" t="s">
        <v>1707</v>
      </c>
      <c r="F1121" s="3" t="s">
        <v>119</v>
      </c>
      <c r="G1121" s="3" t="s">
        <v>1707</v>
      </c>
      <c r="H1121" s="3" t="s">
        <v>467</v>
      </c>
      <c r="I1121" s="3">
        <v>2024</v>
      </c>
      <c r="J1121" s="3" t="str">
        <f>CONCATENATE("44811281243")</f>
        <v>44811281243</v>
      </c>
      <c r="K1121" s="3" t="s">
        <v>33</v>
      </c>
      <c r="L1121" s="3" t="str">
        <f t="shared" si="69"/>
        <v/>
      </c>
      <c r="M1121" s="3" t="str">
        <f t="shared" si="70"/>
        <v>SRA30</v>
      </c>
      <c r="N1121" s="3" t="str">
        <f>CONCATENATE("DRTPLA94H52A485J")</f>
        <v>DRTPLA94H52A485J</v>
      </c>
      <c r="O1121" s="3" t="s">
        <v>1708</v>
      </c>
      <c r="P1121" s="3" t="s">
        <v>35</v>
      </c>
      <c r="Q1121" s="3" t="s">
        <v>1572</v>
      </c>
      <c r="R1121" s="4">
        <v>45926</v>
      </c>
      <c r="S1121" s="3" t="s">
        <v>37</v>
      </c>
      <c r="T1121" s="3" t="s">
        <v>38</v>
      </c>
      <c r="U1121" s="3" t="s">
        <v>39</v>
      </c>
      <c r="V1121" s="3">
        <v>633.6</v>
      </c>
      <c r="W1121" s="3">
        <v>269.27999999999997</v>
      </c>
      <c r="X1121" s="3">
        <v>255.02</v>
      </c>
      <c r="Y1121" s="3">
        <v>109.3</v>
      </c>
    </row>
    <row r="1122" spans="1:25" ht="49.5" hidden="1" x14ac:dyDescent="0.35">
      <c r="A1122" s="3" t="s">
        <v>26</v>
      </c>
      <c r="B1122" s="3" t="s">
        <v>27</v>
      </c>
      <c r="C1122" s="3" t="s">
        <v>465</v>
      </c>
      <c r="D1122" s="3" t="s">
        <v>41</v>
      </c>
      <c r="E1122" s="3" t="s">
        <v>1072</v>
      </c>
      <c r="F1122" s="3" t="s">
        <v>43</v>
      </c>
      <c r="G1122" s="3" t="s">
        <v>1072</v>
      </c>
      <c r="H1122" s="3" t="s">
        <v>467</v>
      </c>
      <c r="I1122" s="3">
        <v>2024</v>
      </c>
      <c r="J1122" s="3" t="str">
        <f>CONCATENATE("44811324217")</f>
        <v>44811324217</v>
      </c>
      <c r="K1122" s="3" t="s">
        <v>33</v>
      </c>
      <c r="L1122" s="3" t="str">
        <f t="shared" si="69"/>
        <v/>
      </c>
      <c r="M1122" s="3" t="str">
        <f t="shared" si="70"/>
        <v>SRA30</v>
      </c>
      <c r="N1122" s="3" t="str">
        <f>CONCATENATE("FLCMRS65D69A485V")</f>
        <v>FLCMRS65D69A485V</v>
      </c>
      <c r="O1122" s="3" t="s">
        <v>1709</v>
      </c>
      <c r="P1122" s="3" t="s">
        <v>35</v>
      </c>
      <c r="Q1122" s="3" t="s">
        <v>1572</v>
      </c>
      <c r="R1122" s="4">
        <v>45926</v>
      </c>
      <c r="S1122" s="3" t="s">
        <v>37</v>
      </c>
      <c r="T1122" s="3" t="s">
        <v>38</v>
      </c>
      <c r="U1122" s="3" t="s">
        <v>39</v>
      </c>
      <c r="V1122" s="5">
        <v>1624</v>
      </c>
      <c r="W1122" s="3">
        <v>690.2</v>
      </c>
      <c r="X1122" s="3">
        <v>653.66</v>
      </c>
      <c r="Y1122" s="3">
        <v>280.14</v>
      </c>
    </row>
    <row r="1123" spans="1:25" ht="41.5" hidden="1" x14ac:dyDescent="0.35">
      <c r="A1123" s="3" t="s">
        <v>26</v>
      </c>
      <c r="B1123" s="3" t="s">
        <v>27</v>
      </c>
      <c r="C1123" s="3" t="s">
        <v>465</v>
      </c>
      <c r="D1123" s="3" t="s">
        <v>51</v>
      </c>
      <c r="E1123" s="3" t="s">
        <v>1710</v>
      </c>
      <c r="F1123" s="3" t="s">
        <v>51</v>
      </c>
      <c r="G1123" s="3" t="s">
        <v>1710</v>
      </c>
      <c r="H1123" s="3" t="s">
        <v>467</v>
      </c>
      <c r="I1123" s="3">
        <v>2024</v>
      </c>
      <c r="J1123" s="3" t="str">
        <f>CONCATENATE("44810883783")</f>
        <v>44810883783</v>
      </c>
      <c r="K1123" s="3" t="s">
        <v>33</v>
      </c>
      <c r="L1123" s="3" t="str">
        <f t="shared" si="69"/>
        <v/>
      </c>
      <c r="M1123" s="3" t="str">
        <f t="shared" si="70"/>
        <v>SRA30</v>
      </c>
      <c r="N1123" s="3" t="str">
        <f>CONCATENATE("MNCGPR61T15G438N")</f>
        <v>MNCGPR61T15G438N</v>
      </c>
      <c r="O1123" s="3" t="s">
        <v>1711</v>
      </c>
      <c r="P1123" s="3" t="s">
        <v>35</v>
      </c>
      <c r="Q1123" s="3" t="s">
        <v>1572</v>
      </c>
      <c r="R1123" s="4">
        <v>45926</v>
      </c>
      <c r="S1123" s="3" t="s">
        <v>37</v>
      </c>
      <c r="T1123" s="3" t="s">
        <v>38</v>
      </c>
      <c r="U1123" s="3" t="s">
        <v>39</v>
      </c>
      <c r="V1123" s="5">
        <v>4768</v>
      </c>
      <c r="W1123" s="5">
        <v>2026.4</v>
      </c>
      <c r="X1123" s="5">
        <v>1919.12</v>
      </c>
      <c r="Y1123" s="3">
        <v>822.48</v>
      </c>
    </row>
    <row r="1124" spans="1:25" ht="41.5" hidden="1" x14ac:dyDescent="0.35">
      <c r="A1124" s="3" t="s">
        <v>26</v>
      </c>
      <c r="B1124" s="3" t="s">
        <v>27</v>
      </c>
      <c r="C1124" s="3" t="s">
        <v>465</v>
      </c>
      <c r="D1124" s="3" t="s">
        <v>61</v>
      </c>
      <c r="E1124" s="3" t="s">
        <v>1712</v>
      </c>
      <c r="F1124" s="3" t="s">
        <v>63</v>
      </c>
      <c r="G1124" s="3" t="s">
        <v>1712</v>
      </c>
      <c r="H1124" s="3" t="s">
        <v>467</v>
      </c>
      <c r="I1124" s="3">
        <v>2024</v>
      </c>
      <c r="J1124" s="3" t="str">
        <f>CONCATENATE("44810922466")</f>
        <v>44810922466</v>
      </c>
      <c r="K1124" s="3" t="s">
        <v>33</v>
      </c>
      <c r="L1124" s="3" t="str">
        <f t="shared" si="69"/>
        <v/>
      </c>
      <c r="M1124" s="3" t="str">
        <f t="shared" si="70"/>
        <v>SRA30</v>
      </c>
      <c r="N1124" s="3" t="str">
        <f>CONCATENATE("MNTSFN89D20L103P")</f>
        <v>MNTSFN89D20L103P</v>
      </c>
      <c r="O1124" s="3" t="s">
        <v>1713</v>
      </c>
      <c r="P1124" s="3" t="s">
        <v>35</v>
      </c>
      <c r="Q1124" s="3" t="s">
        <v>1572</v>
      </c>
      <c r="R1124" s="4">
        <v>45926</v>
      </c>
      <c r="S1124" s="3" t="s">
        <v>37</v>
      </c>
      <c r="T1124" s="3" t="s">
        <v>38</v>
      </c>
      <c r="U1124" s="3" t="s">
        <v>39</v>
      </c>
      <c r="V1124" s="5">
        <v>4847.6400000000003</v>
      </c>
      <c r="W1124" s="5">
        <v>2060.25</v>
      </c>
      <c r="X1124" s="5">
        <v>1951.18</v>
      </c>
      <c r="Y1124" s="3">
        <v>836.21</v>
      </c>
    </row>
    <row r="1125" spans="1:25" ht="25.5" hidden="1" x14ac:dyDescent="0.35">
      <c r="A1125" s="3" t="s">
        <v>26</v>
      </c>
      <c r="B1125" s="3" t="s">
        <v>27</v>
      </c>
      <c r="C1125" s="3" t="s">
        <v>465</v>
      </c>
      <c r="D1125" s="3" t="s">
        <v>41</v>
      </c>
      <c r="E1125" s="3" t="s">
        <v>1714</v>
      </c>
      <c r="F1125" s="3" t="s">
        <v>43</v>
      </c>
      <c r="G1125" s="3" t="s">
        <v>1714</v>
      </c>
      <c r="H1125" s="3" t="s">
        <v>467</v>
      </c>
      <c r="I1125" s="3">
        <v>2024</v>
      </c>
      <c r="J1125" s="3" t="str">
        <f>CONCATENATE("44810674125")</f>
        <v>44810674125</v>
      </c>
      <c r="K1125" s="3" t="s">
        <v>33</v>
      </c>
      <c r="L1125" s="3" t="str">
        <f t="shared" si="69"/>
        <v/>
      </c>
      <c r="M1125" s="3" t="str">
        <f t="shared" si="70"/>
        <v>SRA30</v>
      </c>
      <c r="N1125" s="3" t="str">
        <f>CONCATENATE("00743100679")</f>
        <v>00743100679</v>
      </c>
      <c r="O1125" s="3" t="s">
        <v>1715</v>
      </c>
      <c r="P1125" s="3" t="s">
        <v>35</v>
      </c>
      <c r="Q1125" s="3" t="s">
        <v>1572</v>
      </c>
      <c r="R1125" s="4">
        <v>45926</v>
      </c>
      <c r="S1125" s="3" t="s">
        <v>37</v>
      </c>
      <c r="T1125" s="3" t="s">
        <v>38</v>
      </c>
      <c r="U1125" s="3" t="s">
        <v>39</v>
      </c>
      <c r="V1125" s="5">
        <v>7078.5</v>
      </c>
      <c r="W1125" s="5">
        <v>3008.36</v>
      </c>
      <c r="X1125" s="5">
        <v>2849.1</v>
      </c>
      <c r="Y1125" s="5">
        <v>1221.04</v>
      </c>
    </row>
    <row r="1126" spans="1:25" ht="25.5" hidden="1" x14ac:dyDescent="0.35">
      <c r="A1126" s="3" t="s">
        <v>26</v>
      </c>
      <c r="B1126" s="3" t="s">
        <v>27</v>
      </c>
      <c r="C1126" s="3" t="s">
        <v>465</v>
      </c>
      <c r="D1126" s="3" t="s">
        <v>234</v>
      </c>
      <c r="E1126" s="3" t="s">
        <v>1707</v>
      </c>
      <c r="F1126" s="3" t="s">
        <v>119</v>
      </c>
      <c r="G1126" s="3" t="s">
        <v>1707</v>
      </c>
      <c r="H1126" s="3" t="s">
        <v>467</v>
      </c>
      <c r="I1126" s="3">
        <v>2024</v>
      </c>
      <c r="J1126" s="3" t="str">
        <f>CONCATENATE("44811178092")</f>
        <v>44811178092</v>
      </c>
      <c r="K1126" s="3" t="s">
        <v>33</v>
      </c>
      <c r="L1126" s="3" t="str">
        <f t="shared" si="69"/>
        <v/>
      </c>
      <c r="M1126" s="3" t="str">
        <f t="shared" si="70"/>
        <v>SRA30</v>
      </c>
      <c r="N1126" s="3" t="str">
        <f>CONCATENATE("01864890684")</f>
        <v>01864890684</v>
      </c>
      <c r="O1126" s="3" t="s">
        <v>1716</v>
      </c>
      <c r="P1126" s="3" t="s">
        <v>35</v>
      </c>
      <c r="Q1126" s="3" t="s">
        <v>1572</v>
      </c>
      <c r="R1126" s="4">
        <v>45926</v>
      </c>
      <c r="S1126" s="3" t="s">
        <v>37</v>
      </c>
      <c r="T1126" s="3" t="s">
        <v>38</v>
      </c>
      <c r="U1126" s="3" t="s">
        <v>39</v>
      </c>
      <c r="V1126" s="5">
        <v>13932.8</v>
      </c>
      <c r="W1126" s="5">
        <v>5921.44</v>
      </c>
      <c r="X1126" s="5">
        <v>5607.95</v>
      </c>
      <c r="Y1126" s="5">
        <v>2403.41</v>
      </c>
    </row>
    <row r="1127" spans="1:25" ht="41.5" hidden="1" x14ac:dyDescent="0.35">
      <c r="A1127" s="3" t="s">
        <v>26</v>
      </c>
      <c r="B1127" s="3" t="s">
        <v>27</v>
      </c>
      <c r="C1127" s="3" t="s">
        <v>465</v>
      </c>
      <c r="D1127" s="3" t="s">
        <v>41</v>
      </c>
      <c r="E1127" s="3" t="s">
        <v>1717</v>
      </c>
      <c r="F1127" s="3" t="s">
        <v>43</v>
      </c>
      <c r="G1127" s="3" t="s">
        <v>1717</v>
      </c>
      <c r="H1127" s="3" t="s">
        <v>467</v>
      </c>
      <c r="I1127" s="3">
        <v>2024</v>
      </c>
      <c r="J1127" s="3" t="str">
        <f>CONCATENATE("44811342888")</f>
        <v>44811342888</v>
      </c>
      <c r="K1127" s="3" t="s">
        <v>33</v>
      </c>
      <c r="L1127" s="3" t="str">
        <f t="shared" si="69"/>
        <v/>
      </c>
      <c r="M1127" s="3" t="str">
        <f t="shared" si="70"/>
        <v>SRA30</v>
      </c>
      <c r="N1127" s="3" t="str">
        <f>CONCATENATE("TRNPLA67A23C853F")</f>
        <v>TRNPLA67A23C853F</v>
      </c>
      <c r="O1127" s="3" t="s">
        <v>1718</v>
      </c>
      <c r="P1127" s="3" t="s">
        <v>35</v>
      </c>
      <c r="Q1127" s="3" t="s">
        <v>1572</v>
      </c>
      <c r="R1127" s="4">
        <v>45926</v>
      </c>
      <c r="S1127" s="3" t="s">
        <v>37</v>
      </c>
      <c r="T1127" s="3" t="s">
        <v>38</v>
      </c>
      <c r="U1127" s="3" t="s">
        <v>39</v>
      </c>
      <c r="V1127" s="5">
        <v>9248</v>
      </c>
      <c r="W1127" s="5">
        <v>3930.4</v>
      </c>
      <c r="X1127" s="5">
        <v>3722.32</v>
      </c>
      <c r="Y1127" s="5">
        <v>1595.28</v>
      </c>
    </row>
    <row r="1128" spans="1:25" ht="25.5" hidden="1" x14ac:dyDescent="0.35">
      <c r="A1128" s="3" t="s">
        <v>26</v>
      </c>
      <c r="B1128" s="3" t="s">
        <v>27</v>
      </c>
      <c r="C1128" s="3" t="s">
        <v>465</v>
      </c>
      <c r="D1128" s="3" t="s">
        <v>180</v>
      </c>
      <c r="E1128" s="3" t="s">
        <v>1719</v>
      </c>
      <c r="F1128" s="3" t="s">
        <v>85</v>
      </c>
      <c r="G1128" s="3" t="s">
        <v>1719</v>
      </c>
      <c r="H1128" s="3" t="s">
        <v>467</v>
      </c>
      <c r="I1128" s="3">
        <v>2024</v>
      </c>
      <c r="J1128" s="3" t="str">
        <f>CONCATENATE("44811244639")</f>
        <v>44811244639</v>
      </c>
      <c r="K1128" s="3" t="s">
        <v>33</v>
      </c>
      <c r="L1128" s="3" t="str">
        <f t="shared" si="69"/>
        <v/>
      </c>
      <c r="M1128" s="3" t="str">
        <f t="shared" si="70"/>
        <v>SRA30</v>
      </c>
      <c r="N1128" s="3" t="str">
        <f>CONCATENATE("02093480693")</f>
        <v>02093480693</v>
      </c>
      <c r="O1128" s="3" t="s">
        <v>1720</v>
      </c>
      <c r="P1128" s="3" t="s">
        <v>35</v>
      </c>
      <c r="Q1128" s="3" t="s">
        <v>1572</v>
      </c>
      <c r="R1128" s="4">
        <v>45926</v>
      </c>
      <c r="S1128" s="3" t="s">
        <v>37</v>
      </c>
      <c r="T1128" s="3" t="s">
        <v>38</v>
      </c>
      <c r="U1128" s="3" t="s">
        <v>39</v>
      </c>
      <c r="V1128" s="5">
        <v>24580.48</v>
      </c>
      <c r="W1128" s="5">
        <v>10446.700000000001</v>
      </c>
      <c r="X1128" s="5">
        <v>9893.64</v>
      </c>
      <c r="Y1128" s="5">
        <v>4240.1400000000003</v>
      </c>
    </row>
    <row r="1129" spans="1:25" ht="41.5" hidden="1" x14ac:dyDescent="0.35">
      <c r="A1129" s="3" t="s">
        <v>26</v>
      </c>
      <c r="B1129" s="3" t="s">
        <v>27</v>
      </c>
      <c r="C1129" s="3" t="s">
        <v>465</v>
      </c>
      <c r="D1129" s="3" t="s">
        <v>41</v>
      </c>
      <c r="E1129" s="3" t="s">
        <v>1717</v>
      </c>
      <c r="F1129" s="3" t="s">
        <v>43</v>
      </c>
      <c r="G1129" s="3" t="s">
        <v>1717</v>
      </c>
      <c r="H1129" s="3" t="s">
        <v>467</v>
      </c>
      <c r="I1129" s="3">
        <v>2024</v>
      </c>
      <c r="J1129" s="3" t="str">
        <f>CONCATENATE("44810925170")</f>
        <v>44810925170</v>
      </c>
      <c r="K1129" s="3" t="s">
        <v>33</v>
      </c>
      <c r="L1129" s="3" t="str">
        <f t="shared" si="69"/>
        <v/>
      </c>
      <c r="M1129" s="3" t="str">
        <f t="shared" si="70"/>
        <v>SRA30</v>
      </c>
      <c r="N1129" s="3" t="str">
        <f>CONCATENATE("DNNCMN86R24A488X")</f>
        <v>DNNCMN86R24A488X</v>
      </c>
      <c r="O1129" s="3" t="s">
        <v>1721</v>
      </c>
      <c r="P1129" s="3" t="s">
        <v>35</v>
      </c>
      <c r="Q1129" s="3" t="s">
        <v>1572</v>
      </c>
      <c r="R1129" s="4">
        <v>45926</v>
      </c>
      <c r="S1129" s="3" t="s">
        <v>37</v>
      </c>
      <c r="T1129" s="3" t="s">
        <v>38</v>
      </c>
      <c r="U1129" s="3" t="s">
        <v>39</v>
      </c>
      <c r="V1129" s="5">
        <v>2664</v>
      </c>
      <c r="W1129" s="5">
        <v>1132.2</v>
      </c>
      <c r="X1129" s="5">
        <v>1072.26</v>
      </c>
      <c r="Y1129" s="3">
        <v>459.54</v>
      </c>
    </row>
    <row r="1130" spans="1:25" ht="25.5" hidden="1" x14ac:dyDescent="0.35">
      <c r="A1130" s="3" t="s">
        <v>26</v>
      </c>
      <c r="B1130" s="3" t="s">
        <v>27</v>
      </c>
      <c r="C1130" s="3" t="s">
        <v>465</v>
      </c>
      <c r="D1130" s="3" t="s">
        <v>41</v>
      </c>
      <c r="E1130" s="3" t="s">
        <v>1714</v>
      </c>
      <c r="F1130" s="3" t="s">
        <v>43</v>
      </c>
      <c r="G1130" s="3" t="s">
        <v>1714</v>
      </c>
      <c r="H1130" s="3" t="s">
        <v>467</v>
      </c>
      <c r="I1130" s="3">
        <v>2024</v>
      </c>
      <c r="J1130" s="3" t="str">
        <f>CONCATENATE("44811004629")</f>
        <v>44811004629</v>
      </c>
      <c r="K1130" s="3" t="s">
        <v>33</v>
      </c>
      <c r="L1130" s="3" t="str">
        <f t="shared" si="69"/>
        <v/>
      </c>
      <c r="M1130" s="3" t="str">
        <f t="shared" si="70"/>
        <v>SRA30</v>
      </c>
      <c r="N1130" s="3" t="str">
        <f>CONCATENATE("01629940675")</f>
        <v>01629940675</v>
      </c>
      <c r="O1130" s="3" t="s">
        <v>1722</v>
      </c>
      <c r="P1130" s="3" t="s">
        <v>35</v>
      </c>
      <c r="Q1130" s="3" t="s">
        <v>1572</v>
      </c>
      <c r="R1130" s="4">
        <v>45926</v>
      </c>
      <c r="S1130" s="3" t="s">
        <v>37</v>
      </c>
      <c r="T1130" s="3" t="s">
        <v>38</v>
      </c>
      <c r="U1130" s="3" t="s">
        <v>39</v>
      </c>
      <c r="V1130" s="5">
        <v>4194.05</v>
      </c>
      <c r="W1130" s="5">
        <v>1782.47</v>
      </c>
      <c r="X1130" s="5">
        <v>1688.11</v>
      </c>
      <c r="Y1130" s="3">
        <v>723.47</v>
      </c>
    </row>
    <row r="1131" spans="1:25" ht="41.5" hidden="1" x14ac:dyDescent="0.35">
      <c r="A1131" s="3" t="s">
        <v>26</v>
      </c>
      <c r="B1131" s="3" t="s">
        <v>27</v>
      </c>
      <c r="C1131" s="3" t="s">
        <v>465</v>
      </c>
      <c r="D1131" s="3" t="s">
        <v>41</v>
      </c>
      <c r="E1131" s="3" t="s">
        <v>1723</v>
      </c>
      <c r="F1131" s="3" t="s">
        <v>43</v>
      </c>
      <c r="G1131" s="3" t="s">
        <v>1723</v>
      </c>
      <c r="H1131" s="3" t="s">
        <v>467</v>
      </c>
      <c r="I1131" s="3">
        <v>2024</v>
      </c>
      <c r="J1131" s="3" t="str">
        <f>CONCATENATE("44811238417")</f>
        <v>44811238417</v>
      </c>
      <c r="K1131" s="3" t="s">
        <v>33</v>
      </c>
      <c r="L1131" s="3" t="str">
        <f t="shared" si="69"/>
        <v/>
      </c>
      <c r="M1131" s="3" t="str">
        <f t="shared" si="70"/>
        <v>SRA30</v>
      </c>
      <c r="N1131" s="3" t="str">
        <f>CONCATENATE("DLLNCL62B01E243K")</f>
        <v>DLLNCL62B01E243K</v>
      </c>
      <c r="O1131" s="3" t="s">
        <v>1724</v>
      </c>
      <c r="P1131" s="3" t="s">
        <v>35</v>
      </c>
      <c r="Q1131" s="3" t="s">
        <v>1572</v>
      </c>
      <c r="R1131" s="4">
        <v>45926</v>
      </c>
      <c r="S1131" s="3" t="s">
        <v>37</v>
      </c>
      <c r="T1131" s="3" t="s">
        <v>38</v>
      </c>
      <c r="U1131" s="3" t="s">
        <v>39</v>
      </c>
      <c r="V1131" s="5">
        <v>9140</v>
      </c>
      <c r="W1131" s="5">
        <v>3884.5</v>
      </c>
      <c r="X1131" s="5">
        <v>3678.85</v>
      </c>
      <c r="Y1131" s="5">
        <v>1576.65</v>
      </c>
    </row>
    <row r="1132" spans="1:25" ht="41.5" hidden="1" x14ac:dyDescent="0.35">
      <c r="A1132" s="3" t="s">
        <v>26</v>
      </c>
      <c r="B1132" s="3" t="s">
        <v>27</v>
      </c>
      <c r="C1132" s="3" t="s">
        <v>465</v>
      </c>
      <c r="D1132" s="3" t="s">
        <v>61</v>
      </c>
      <c r="E1132" s="3" t="s">
        <v>1725</v>
      </c>
      <c r="F1132" s="3" t="s">
        <v>63</v>
      </c>
      <c r="G1132" s="3" t="s">
        <v>1725</v>
      </c>
      <c r="H1132" s="3" t="s">
        <v>467</v>
      </c>
      <c r="I1132" s="3">
        <v>2024</v>
      </c>
      <c r="J1132" s="3" t="str">
        <f>CONCATENATE("44810812881")</f>
        <v>44810812881</v>
      </c>
      <c r="K1132" s="3" t="s">
        <v>33</v>
      </c>
      <c r="L1132" s="3" t="str">
        <f t="shared" si="69"/>
        <v/>
      </c>
      <c r="M1132" s="3" t="str">
        <f t="shared" si="70"/>
        <v>SRA30</v>
      </c>
      <c r="N1132" s="3" t="str">
        <f>CONCATENATE("DSTGNN80P22L103V")</f>
        <v>DSTGNN80P22L103V</v>
      </c>
      <c r="O1132" s="3" t="s">
        <v>1726</v>
      </c>
      <c r="P1132" s="3" t="s">
        <v>35</v>
      </c>
      <c r="Q1132" s="3" t="s">
        <v>1572</v>
      </c>
      <c r="R1132" s="4">
        <v>45926</v>
      </c>
      <c r="S1132" s="3" t="s">
        <v>37</v>
      </c>
      <c r="T1132" s="3" t="s">
        <v>38</v>
      </c>
      <c r="U1132" s="3" t="s">
        <v>39</v>
      </c>
      <c r="V1132" s="5">
        <v>3110.25</v>
      </c>
      <c r="W1132" s="5">
        <v>1321.86</v>
      </c>
      <c r="X1132" s="5">
        <v>1251.8800000000001</v>
      </c>
      <c r="Y1132" s="3">
        <v>536.51</v>
      </c>
    </row>
    <row r="1133" spans="1:25" ht="41.5" hidden="1" x14ac:dyDescent="0.35">
      <c r="A1133" s="3" t="s">
        <v>26</v>
      </c>
      <c r="B1133" s="3" t="s">
        <v>27</v>
      </c>
      <c r="C1133" s="3" t="s">
        <v>465</v>
      </c>
      <c r="D1133" s="3" t="s">
        <v>29</v>
      </c>
      <c r="E1133" s="3" t="s">
        <v>466</v>
      </c>
      <c r="F1133" s="3" t="s">
        <v>31</v>
      </c>
      <c r="G1133" s="3" t="s">
        <v>466</v>
      </c>
      <c r="H1133" s="3" t="s">
        <v>467</v>
      </c>
      <c r="I1133" s="3">
        <v>2024</v>
      </c>
      <c r="J1133" s="3" t="str">
        <f>CONCATENATE("44811351244")</f>
        <v>44811351244</v>
      </c>
      <c r="K1133" s="3" t="s">
        <v>33</v>
      </c>
      <c r="L1133" s="3" t="str">
        <f t="shared" si="69"/>
        <v/>
      </c>
      <c r="M1133" s="3" t="str">
        <f t="shared" si="70"/>
        <v>SRA30</v>
      </c>
      <c r="N1133" s="3" t="str">
        <f>CONCATENATE("GLNNZE61M05Z103J")</f>
        <v>GLNNZE61M05Z103J</v>
      </c>
      <c r="O1133" s="3" t="s">
        <v>1727</v>
      </c>
      <c r="P1133" s="3" t="s">
        <v>35</v>
      </c>
      <c r="Q1133" s="3" t="s">
        <v>1572</v>
      </c>
      <c r="R1133" s="4">
        <v>45926</v>
      </c>
      <c r="S1133" s="3" t="s">
        <v>37</v>
      </c>
      <c r="T1133" s="3" t="s">
        <v>38</v>
      </c>
      <c r="U1133" s="3" t="s">
        <v>39</v>
      </c>
      <c r="V1133" s="5">
        <v>18266.05</v>
      </c>
      <c r="W1133" s="5">
        <v>7763.07</v>
      </c>
      <c r="X1133" s="5">
        <v>7352.09</v>
      </c>
      <c r="Y1133" s="5">
        <v>3150.89</v>
      </c>
    </row>
    <row r="1134" spans="1:25" ht="25.5" hidden="1" x14ac:dyDescent="0.35">
      <c r="A1134" s="3" t="s">
        <v>26</v>
      </c>
      <c r="B1134" s="3" t="s">
        <v>27</v>
      </c>
      <c r="C1134" s="3" t="s">
        <v>478</v>
      </c>
      <c r="D1134" s="3" t="s">
        <v>107</v>
      </c>
      <c r="E1134" s="3" t="s">
        <v>1728</v>
      </c>
      <c r="F1134" s="3" t="s">
        <v>115</v>
      </c>
      <c r="G1134" s="3" t="s">
        <v>1728</v>
      </c>
      <c r="H1134" s="3" t="s">
        <v>604</v>
      </c>
      <c r="I1134" s="3">
        <v>2024</v>
      </c>
      <c r="J1134" s="3" t="str">
        <f>CONCATENATE("44810011088")</f>
        <v>44810011088</v>
      </c>
      <c r="K1134" s="3" t="s">
        <v>33</v>
      </c>
      <c r="L1134" s="3" t="str">
        <f t="shared" si="69"/>
        <v/>
      </c>
      <c r="M1134" s="3" t="str">
        <f t="shared" ref="M1134:M1160" si="71">CONCATENATE("SRA29")</f>
        <v>SRA29</v>
      </c>
      <c r="N1134" s="3" t="str">
        <f>CONCATENATE("02925630648")</f>
        <v>02925630648</v>
      </c>
      <c r="O1134" s="3" t="s">
        <v>1729</v>
      </c>
      <c r="P1134" s="3" t="s">
        <v>35</v>
      </c>
      <c r="Q1134" s="3" t="s">
        <v>1573</v>
      </c>
      <c r="R1134" s="4">
        <v>45915</v>
      </c>
      <c r="S1134" s="3" t="s">
        <v>37</v>
      </c>
      <c r="T1134" s="3" t="s">
        <v>38</v>
      </c>
      <c r="U1134" s="3" t="s">
        <v>39</v>
      </c>
      <c r="V1134" s="5">
        <v>1168.74</v>
      </c>
      <c r="W1134" s="3">
        <v>590.21</v>
      </c>
      <c r="X1134" s="3">
        <v>404.97</v>
      </c>
      <c r="Y1134" s="3">
        <v>173.56</v>
      </c>
    </row>
    <row r="1135" spans="1:25" ht="41.5" hidden="1" x14ac:dyDescent="0.35">
      <c r="A1135" s="3" t="s">
        <v>26</v>
      </c>
      <c r="B1135" s="3" t="s">
        <v>27</v>
      </c>
      <c r="C1135" s="3" t="s">
        <v>478</v>
      </c>
      <c r="D1135" s="3" t="s">
        <v>51</v>
      </c>
      <c r="E1135" s="3" t="s">
        <v>1730</v>
      </c>
      <c r="F1135" s="3" t="s">
        <v>51</v>
      </c>
      <c r="G1135" s="3" t="s">
        <v>1730</v>
      </c>
      <c r="H1135" s="3" t="s">
        <v>604</v>
      </c>
      <c r="I1135" s="3">
        <v>2024</v>
      </c>
      <c r="J1135" s="3" t="str">
        <f>CONCATENATE("44811017449")</f>
        <v>44811017449</v>
      </c>
      <c r="K1135" s="3" t="s">
        <v>33</v>
      </c>
      <c r="L1135" s="3" t="str">
        <f t="shared" si="69"/>
        <v/>
      </c>
      <c r="M1135" s="3" t="str">
        <f t="shared" si="71"/>
        <v>SRA29</v>
      </c>
      <c r="N1135" s="3" t="str">
        <f>CONCATENATE("BSSNTN84L27A509U")</f>
        <v>BSSNTN84L27A509U</v>
      </c>
      <c r="O1135" s="3" t="s">
        <v>1731</v>
      </c>
      <c r="P1135" s="3" t="s">
        <v>35</v>
      </c>
      <c r="Q1135" s="3" t="s">
        <v>1573</v>
      </c>
      <c r="R1135" s="4">
        <v>45915</v>
      </c>
      <c r="S1135" s="3" t="s">
        <v>37</v>
      </c>
      <c r="T1135" s="3" t="s">
        <v>38</v>
      </c>
      <c r="U1135" s="3" t="s">
        <v>39</v>
      </c>
      <c r="V1135" s="5">
        <v>2346.75</v>
      </c>
      <c r="W1135" s="5">
        <v>1185.1099999999999</v>
      </c>
      <c r="X1135" s="3">
        <v>813.15</v>
      </c>
      <c r="Y1135" s="3">
        <v>348.49</v>
      </c>
    </row>
    <row r="1136" spans="1:25" ht="49.5" hidden="1" x14ac:dyDescent="0.35">
      <c r="A1136" s="3" t="s">
        <v>26</v>
      </c>
      <c r="B1136" s="3" t="s">
        <v>27</v>
      </c>
      <c r="C1136" s="3" t="s">
        <v>478</v>
      </c>
      <c r="D1136" s="3" t="s">
        <v>137</v>
      </c>
      <c r="E1136" s="3" t="s">
        <v>1732</v>
      </c>
      <c r="F1136" s="3" t="s">
        <v>139</v>
      </c>
      <c r="G1136" s="3" t="s">
        <v>1732</v>
      </c>
      <c r="H1136" s="3" t="s">
        <v>604</v>
      </c>
      <c r="I1136" s="3">
        <v>2024</v>
      </c>
      <c r="J1136" s="3" t="str">
        <f>CONCATENATE("44811176302")</f>
        <v>44811176302</v>
      </c>
      <c r="K1136" s="3" t="s">
        <v>33</v>
      </c>
      <c r="L1136" s="3" t="str">
        <f t="shared" si="69"/>
        <v/>
      </c>
      <c r="M1136" s="3" t="str">
        <f t="shared" si="71"/>
        <v>SRA29</v>
      </c>
      <c r="N1136" s="3" t="str">
        <f>CONCATENATE("CNDGLC87R16A509R")</f>
        <v>CNDGLC87R16A509R</v>
      </c>
      <c r="O1136" s="3" t="s">
        <v>1733</v>
      </c>
      <c r="P1136" s="3" t="s">
        <v>35</v>
      </c>
      <c r="Q1136" s="3" t="s">
        <v>1573</v>
      </c>
      <c r="R1136" s="4">
        <v>45915</v>
      </c>
      <c r="S1136" s="3" t="s">
        <v>37</v>
      </c>
      <c r="T1136" s="3" t="s">
        <v>38</v>
      </c>
      <c r="U1136" s="3" t="s">
        <v>39</v>
      </c>
      <c r="V1136" s="5">
        <v>2174.0100000000002</v>
      </c>
      <c r="W1136" s="5">
        <v>1097.8800000000001</v>
      </c>
      <c r="X1136" s="3">
        <v>753.29</v>
      </c>
      <c r="Y1136" s="3">
        <v>322.83999999999997</v>
      </c>
    </row>
    <row r="1137" spans="1:25" ht="41.5" hidden="1" x14ac:dyDescent="0.35">
      <c r="A1137" s="3" t="s">
        <v>26</v>
      </c>
      <c r="B1137" s="3" t="s">
        <v>27</v>
      </c>
      <c r="C1137" s="3" t="s">
        <v>478</v>
      </c>
      <c r="D1137" s="3" t="s">
        <v>29</v>
      </c>
      <c r="E1137" s="3" t="s">
        <v>190</v>
      </c>
      <c r="F1137" s="3" t="s">
        <v>31</v>
      </c>
      <c r="G1137" s="3" t="s">
        <v>190</v>
      </c>
      <c r="H1137" s="3" t="s">
        <v>604</v>
      </c>
      <c r="I1137" s="3">
        <v>2024</v>
      </c>
      <c r="J1137" s="3" t="str">
        <f>CONCATENATE("44811260361")</f>
        <v>44811260361</v>
      </c>
      <c r="K1137" s="3" t="s">
        <v>33</v>
      </c>
      <c r="L1137" s="3" t="str">
        <f t="shared" si="69"/>
        <v/>
      </c>
      <c r="M1137" s="3" t="str">
        <f t="shared" si="71"/>
        <v>SRA29</v>
      </c>
      <c r="N1137" s="3" t="str">
        <f>CONCATENATE("CGLVTI41E18B584Y")</f>
        <v>CGLVTI41E18B584Y</v>
      </c>
      <c r="O1137" s="3" t="s">
        <v>1407</v>
      </c>
      <c r="P1137" s="3" t="s">
        <v>35</v>
      </c>
      <c r="Q1137" s="3" t="s">
        <v>1573</v>
      </c>
      <c r="R1137" s="4">
        <v>45915</v>
      </c>
      <c r="S1137" s="3" t="s">
        <v>37</v>
      </c>
      <c r="T1137" s="3" t="s">
        <v>38</v>
      </c>
      <c r="U1137" s="3" t="s">
        <v>39</v>
      </c>
      <c r="V1137" s="5">
        <v>4588.71</v>
      </c>
      <c r="W1137" s="5">
        <v>2317.3000000000002</v>
      </c>
      <c r="X1137" s="5">
        <v>1589.99</v>
      </c>
      <c r="Y1137" s="3">
        <v>681.42</v>
      </c>
    </row>
    <row r="1138" spans="1:25" ht="41.5" hidden="1" x14ac:dyDescent="0.35">
      <c r="A1138" s="3" t="s">
        <v>26</v>
      </c>
      <c r="B1138" s="3" t="s">
        <v>27</v>
      </c>
      <c r="C1138" s="3" t="s">
        <v>478</v>
      </c>
      <c r="D1138" s="3" t="s">
        <v>41</v>
      </c>
      <c r="E1138" s="3" t="s">
        <v>1734</v>
      </c>
      <c r="F1138" s="3" t="s">
        <v>43</v>
      </c>
      <c r="G1138" s="3" t="s">
        <v>1734</v>
      </c>
      <c r="H1138" s="3" t="s">
        <v>604</v>
      </c>
      <c r="I1138" s="3">
        <v>2024</v>
      </c>
      <c r="J1138" s="3" t="str">
        <f>CONCATENATE("44811124096")</f>
        <v>44811124096</v>
      </c>
      <c r="K1138" s="3" t="s">
        <v>33</v>
      </c>
      <c r="L1138" s="3" t="str">
        <f t="shared" si="69"/>
        <v/>
      </c>
      <c r="M1138" s="3" t="str">
        <f t="shared" si="71"/>
        <v>SRA29</v>
      </c>
      <c r="N1138" s="3" t="str">
        <f>CONCATENATE("CLENGL91E08A881L")</f>
        <v>CLENGL91E08A881L</v>
      </c>
      <c r="O1138" s="3" t="s">
        <v>1735</v>
      </c>
      <c r="P1138" s="3" t="s">
        <v>35</v>
      </c>
      <c r="Q1138" s="3" t="s">
        <v>1573</v>
      </c>
      <c r="R1138" s="4">
        <v>45915</v>
      </c>
      <c r="S1138" s="3" t="s">
        <v>37</v>
      </c>
      <c r="T1138" s="3" t="s">
        <v>38</v>
      </c>
      <c r="U1138" s="3" t="s">
        <v>39</v>
      </c>
      <c r="V1138" s="5">
        <v>1128.5999999999999</v>
      </c>
      <c r="W1138" s="3">
        <v>569.94000000000005</v>
      </c>
      <c r="X1138" s="3">
        <v>391.06</v>
      </c>
      <c r="Y1138" s="3">
        <v>167.6</v>
      </c>
    </row>
    <row r="1139" spans="1:25" ht="41.5" hidden="1" x14ac:dyDescent="0.35">
      <c r="A1139" s="3" t="s">
        <v>26</v>
      </c>
      <c r="B1139" s="3" t="s">
        <v>27</v>
      </c>
      <c r="C1139" s="3" t="s">
        <v>478</v>
      </c>
      <c r="D1139" s="3" t="s">
        <v>234</v>
      </c>
      <c r="E1139" s="3" t="s">
        <v>1140</v>
      </c>
      <c r="F1139" s="3" t="s">
        <v>234</v>
      </c>
      <c r="G1139" s="3" t="s">
        <v>1140</v>
      </c>
      <c r="H1139" s="3" t="s">
        <v>604</v>
      </c>
      <c r="I1139" s="3">
        <v>2024</v>
      </c>
      <c r="J1139" s="3" t="str">
        <f>CONCATENATE("44810711471")</f>
        <v>44810711471</v>
      </c>
      <c r="K1139" s="3" t="s">
        <v>33</v>
      </c>
      <c r="L1139" s="3" t="str">
        <f t="shared" si="69"/>
        <v/>
      </c>
      <c r="M1139" s="3" t="str">
        <f t="shared" si="71"/>
        <v>SRA29</v>
      </c>
      <c r="N1139" s="3" t="str">
        <f>CONCATENATE("CNTGLI63E43G964A")</f>
        <v>CNTGLI63E43G964A</v>
      </c>
      <c r="O1139" s="3" t="s">
        <v>1736</v>
      </c>
      <c r="P1139" s="3" t="s">
        <v>35</v>
      </c>
      <c r="Q1139" s="3" t="s">
        <v>1573</v>
      </c>
      <c r="R1139" s="4">
        <v>45915</v>
      </c>
      <c r="S1139" s="3" t="s">
        <v>37</v>
      </c>
      <c r="T1139" s="3" t="s">
        <v>38</v>
      </c>
      <c r="U1139" s="3" t="s">
        <v>39</v>
      </c>
      <c r="V1139" s="5">
        <v>1656.98</v>
      </c>
      <c r="W1139" s="3">
        <v>836.77</v>
      </c>
      <c r="X1139" s="3">
        <v>574.14</v>
      </c>
      <c r="Y1139" s="3">
        <v>246.07</v>
      </c>
    </row>
    <row r="1140" spans="1:25" ht="49.5" hidden="1" x14ac:dyDescent="0.35">
      <c r="A1140" s="3" t="s">
        <v>26</v>
      </c>
      <c r="B1140" s="3" t="s">
        <v>27</v>
      </c>
      <c r="C1140" s="3" t="s">
        <v>478</v>
      </c>
      <c r="D1140" s="3" t="s">
        <v>41</v>
      </c>
      <c r="E1140" s="3" t="s">
        <v>1213</v>
      </c>
      <c r="F1140" s="3" t="s">
        <v>43</v>
      </c>
      <c r="G1140" s="3" t="s">
        <v>1213</v>
      </c>
      <c r="H1140" s="3" t="s">
        <v>604</v>
      </c>
      <c r="I1140" s="3">
        <v>2024</v>
      </c>
      <c r="J1140" s="3" t="str">
        <f>CONCATENATE("44810754307")</f>
        <v>44810754307</v>
      </c>
      <c r="K1140" s="3" t="s">
        <v>33</v>
      </c>
      <c r="L1140" s="3" t="str">
        <f t="shared" si="69"/>
        <v/>
      </c>
      <c r="M1140" s="3" t="str">
        <f t="shared" si="71"/>
        <v>SRA29</v>
      </c>
      <c r="N1140" s="3" t="str">
        <f>CONCATENATE("FCTMCL05H49G039G")</f>
        <v>FCTMCL05H49G039G</v>
      </c>
      <c r="O1140" s="3" t="s">
        <v>1737</v>
      </c>
      <c r="P1140" s="3" t="s">
        <v>35</v>
      </c>
      <c r="Q1140" s="3" t="s">
        <v>1573</v>
      </c>
      <c r="R1140" s="4">
        <v>45915</v>
      </c>
      <c r="S1140" s="3" t="s">
        <v>37</v>
      </c>
      <c r="T1140" s="3" t="s">
        <v>38</v>
      </c>
      <c r="U1140" s="3" t="s">
        <v>39</v>
      </c>
      <c r="V1140" s="3">
        <v>782.64</v>
      </c>
      <c r="W1140" s="3">
        <v>395.23</v>
      </c>
      <c r="X1140" s="3">
        <v>271.18</v>
      </c>
      <c r="Y1140" s="3">
        <v>116.23</v>
      </c>
    </row>
    <row r="1141" spans="1:25" ht="41.5" hidden="1" x14ac:dyDescent="0.35">
      <c r="A1141" s="3" t="s">
        <v>26</v>
      </c>
      <c r="B1141" s="3" t="s">
        <v>27</v>
      </c>
      <c r="C1141" s="3" t="s">
        <v>478</v>
      </c>
      <c r="D1141" s="3" t="s">
        <v>41</v>
      </c>
      <c r="E1141" s="3" t="s">
        <v>1738</v>
      </c>
      <c r="F1141" s="3" t="s">
        <v>43</v>
      </c>
      <c r="G1141" s="3" t="s">
        <v>1738</v>
      </c>
      <c r="H1141" s="3" t="s">
        <v>604</v>
      </c>
      <c r="I1141" s="3">
        <v>2024</v>
      </c>
      <c r="J1141" s="3" t="str">
        <f>CONCATENATE("44811266780")</f>
        <v>44811266780</v>
      </c>
      <c r="K1141" s="3" t="s">
        <v>33</v>
      </c>
      <c r="L1141" s="3" t="str">
        <f t="shared" si="69"/>
        <v/>
      </c>
      <c r="M1141" s="3" t="str">
        <f t="shared" si="71"/>
        <v>SRA29</v>
      </c>
      <c r="N1141" s="3" t="str">
        <f>CONCATENATE("GLLNTN83P03A783E")</f>
        <v>GLLNTN83P03A783E</v>
      </c>
      <c r="O1141" s="3" t="s">
        <v>1739</v>
      </c>
      <c r="P1141" s="3" t="s">
        <v>35</v>
      </c>
      <c r="Q1141" s="3" t="s">
        <v>1573</v>
      </c>
      <c r="R1141" s="4">
        <v>45915</v>
      </c>
      <c r="S1141" s="3" t="s">
        <v>37</v>
      </c>
      <c r="T1141" s="3" t="s">
        <v>38</v>
      </c>
      <c r="U1141" s="3" t="s">
        <v>39</v>
      </c>
      <c r="V1141" s="5">
        <v>2423.0100000000002</v>
      </c>
      <c r="W1141" s="5">
        <v>1223.6199999999999</v>
      </c>
      <c r="X1141" s="3">
        <v>839.57</v>
      </c>
      <c r="Y1141" s="3">
        <v>359.82</v>
      </c>
    </row>
    <row r="1142" spans="1:25" ht="41.5" hidden="1" x14ac:dyDescent="0.35">
      <c r="A1142" s="3" t="s">
        <v>26</v>
      </c>
      <c r="B1142" s="3" t="s">
        <v>27</v>
      </c>
      <c r="C1142" s="3" t="s">
        <v>478</v>
      </c>
      <c r="D1142" s="3" t="s">
        <v>180</v>
      </c>
      <c r="E1142" s="3" t="s">
        <v>1134</v>
      </c>
      <c r="F1142" s="3" t="s">
        <v>85</v>
      </c>
      <c r="G1142" s="3" t="s">
        <v>1134</v>
      </c>
      <c r="H1142" s="3" t="s">
        <v>604</v>
      </c>
      <c r="I1142" s="3">
        <v>2024</v>
      </c>
      <c r="J1142" s="3" t="str">
        <f>CONCATENATE("44810233914")</f>
        <v>44810233914</v>
      </c>
      <c r="K1142" s="3" t="s">
        <v>33</v>
      </c>
      <c r="L1142" s="3" t="str">
        <f t="shared" si="69"/>
        <v/>
      </c>
      <c r="M1142" s="3" t="str">
        <f t="shared" si="71"/>
        <v>SRA29</v>
      </c>
      <c r="N1142" s="3" t="str">
        <f>CONCATENATE("GRNFMN64P63I129Y")</f>
        <v>GRNFMN64P63I129Y</v>
      </c>
      <c r="O1142" s="3" t="s">
        <v>1740</v>
      </c>
      <c r="P1142" s="3" t="s">
        <v>35</v>
      </c>
      <c r="Q1142" s="3" t="s">
        <v>1573</v>
      </c>
      <c r="R1142" s="4">
        <v>45915</v>
      </c>
      <c r="S1142" s="3" t="s">
        <v>37</v>
      </c>
      <c r="T1142" s="3" t="s">
        <v>38</v>
      </c>
      <c r="U1142" s="3" t="s">
        <v>39</v>
      </c>
      <c r="V1142" s="5">
        <v>1840.41</v>
      </c>
      <c r="W1142" s="3">
        <v>929.41</v>
      </c>
      <c r="X1142" s="3">
        <v>637.70000000000005</v>
      </c>
      <c r="Y1142" s="3">
        <v>273.3</v>
      </c>
    </row>
    <row r="1143" spans="1:25" ht="49.5" hidden="1" x14ac:dyDescent="0.35">
      <c r="A1143" s="3" t="s">
        <v>26</v>
      </c>
      <c r="B1143" s="3" t="s">
        <v>27</v>
      </c>
      <c r="C1143" s="3" t="s">
        <v>478</v>
      </c>
      <c r="D1143" s="3" t="s">
        <v>180</v>
      </c>
      <c r="E1143" s="3" t="s">
        <v>1134</v>
      </c>
      <c r="F1143" s="3" t="s">
        <v>85</v>
      </c>
      <c r="G1143" s="3" t="s">
        <v>1134</v>
      </c>
      <c r="H1143" s="3" t="s">
        <v>604</v>
      </c>
      <c r="I1143" s="3">
        <v>2024</v>
      </c>
      <c r="J1143" s="3" t="str">
        <f>CONCATENATE("44810257665")</f>
        <v>44810257665</v>
      </c>
      <c r="K1143" s="3" t="s">
        <v>33</v>
      </c>
      <c r="L1143" s="3" t="str">
        <f t="shared" si="69"/>
        <v/>
      </c>
      <c r="M1143" s="3" t="str">
        <f t="shared" si="71"/>
        <v>SRA29</v>
      </c>
      <c r="N1143" s="3" t="str">
        <f>CONCATENATE("LMZDNC66B12M130D")</f>
        <v>LMZDNC66B12M130D</v>
      </c>
      <c r="O1143" s="3" t="s">
        <v>1741</v>
      </c>
      <c r="P1143" s="3" t="s">
        <v>35</v>
      </c>
      <c r="Q1143" s="3" t="s">
        <v>1573</v>
      </c>
      <c r="R1143" s="4">
        <v>45915</v>
      </c>
      <c r="S1143" s="3" t="s">
        <v>37</v>
      </c>
      <c r="T1143" s="3" t="s">
        <v>38</v>
      </c>
      <c r="U1143" s="3" t="s">
        <v>39</v>
      </c>
      <c r="V1143" s="5">
        <v>2158.56</v>
      </c>
      <c r="W1143" s="5">
        <v>1090.07</v>
      </c>
      <c r="X1143" s="3">
        <v>747.94</v>
      </c>
      <c r="Y1143" s="3">
        <v>320.55</v>
      </c>
    </row>
    <row r="1144" spans="1:25" ht="49.5" hidden="1" x14ac:dyDescent="0.35">
      <c r="A1144" s="3" t="s">
        <v>26</v>
      </c>
      <c r="B1144" s="3" t="s">
        <v>27</v>
      </c>
      <c r="C1144" s="3" t="s">
        <v>478</v>
      </c>
      <c r="D1144" s="3" t="s">
        <v>180</v>
      </c>
      <c r="E1144" s="3" t="s">
        <v>1134</v>
      </c>
      <c r="F1144" s="3" t="s">
        <v>85</v>
      </c>
      <c r="G1144" s="3" t="s">
        <v>1134</v>
      </c>
      <c r="H1144" s="3" t="s">
        <v>604</v>
      </c>
      <c r="I1144" s="3">
        <v>2024</v>
      </c>
      <c r="J1144" s="3" t="str">
        <f>CONCATENATE("44810768802")</f>
        <v>44810768802</v>
      </c>
      <c r="K1144" s="3" t="s">
        <v>33</v>
      </c>
      <c r="L1144" s="3" t="str">
        <f t="shared" si="69"/>
        <v/>
      </c>
      <c r="M1144" s="3" t="str">
        <f t="shared" si="71"/>
        <v>SRA29</v>
      </c>
      <c r="N1144" s="3" t="str">
        <f>CONCATENATE("RMAGPP55B28A566O")</f>
        <v>RMAGPP55B28A566O</v>
      </c>
      <c r="O1144" s="3" t="s">
        <v>1742</v>
      </c>
      <c r="P1144" s="3" t="s">
        <v>35</v>
      </c>
      <c r="Q1144" s="3" t="s">
        <v>1573</v>
      </c>
      <c r="R1144" s="4">
        <v>45915</v>
      </c>
      <c r="S1144" s="3" t="s">
        <v>37</v>
      </c>
      <c r="T1144" s="3" t="s">
        <v>38</v>
      </c>
      <c r="U1144" s="3" t="s">
        <v>39</v>
      </c>
      <c r="V1144" s="5">
        <v>3006.58</v>
      </c>
      <c r="W1144" s="5">
        <v>1518.32</v>
      </c>
      <c r="X1144" s="5">
        <v>1041.78</v>
      </c>
      <c r="Y1144" s="3">
        <v>446.48</v>
      </c>
    </row>
    <row r="1145" spans="1:25" ht="41.5" hidden="1" x14ac:dyDescent="0.35">
      <c r="A1145" s="3" t="s">
        <v>26</v>
      </c>
      <c r="B1145" s="3" t="s">
        <v>27</v>
      </c>
      <c r="C1145" s="3" t="s">
        <v>478</v>
      </c>
      <c r="D1145" s="3" t="s">
        <v>41</v>
      </c>
      <c r="E1145" s="3" t="s">
        <v>667</v>
      </c>
      <c r="F1145" s="3" t="s">
        <v>43</v>
      </c>
      <c r="G1145" s="3" t="s">
        <v>667</v>
      </c>
      <c r="H1145" s="3" t="s">
        <v>604</v>
      </c>
      <c r="I1145" s="3">
        <v>2024</v>
      </c>
      <c r="J1145" s="3" t="str">
        <f>CONCATENATE("44810332393")</f>
        <v>44810332393</v>
      </c>
      <c r="K1145" s="3" t="s">
        <v>33</v>
      </c>
      <c r="L1145" s="3" t="str">
        <f t="shared" si="69"/>
        <v/>
      </c>
      <c r="M1145" s="3" t="str">
        <f t="shared" si="71"/>
        <v>SRA29</v>
      </c>
      <c r="N1145" s="3" t="str">
        <f>CONCATENATE("RSSLSN91R57A509E")</f>
        <v>RSSLSN91R57A509E</v>
      </c>
      <c r="O1145" s="3" t="s">
        <v>1743</v>
      </c>
      <c r="P1145" s="3" t="s">
        <v>35</v>
      </c>
      <c r="Q1145" s="3" t="s">
        <v>1573</v>
      </c>
      <c r="R1145" s="4">
        <v>45915</v>
      </c>
      <c r="S1145" s="3" t="s">
        <v>37</v>
      </c>
      <c r="T1145" s="3" t="s">
        <v>38</v>
      </c>
      <c r="U1145" s="3" t="s">
        <v>39</v>
      </c>
      <c r="V1145" s="5">
        <v>4937.3100000000004</v>
      </c>
      <c r="W1145" s="5">
        <v>2493.34</v>
      </c>
      <c r="X1145" s="5">
        <v>1710.78</v>
      </c>
      <c r="Y1145" s="3">
        <v>733.19</v>
      </c>
    </row>
    <row r="1146" spans="1:25" ht="41.5" hidden="1" x14ac:dyDescent="0.35">
      <c r="A1146" s="3" t="s">
        <v>26</v>
      </c>
      <c r="B1146" s="3" t="s">
        <v>27</v>
      </c>
      <c r="C1146" s="3" t="s">
        <v>478</v>
      </c>
      <c r="D1146" s="3" t="s">
        <v>75</v>
      </c>
      <c r="E1146" s="3" t="s">
        <v>1744</v>
      </c>
      <c r="F1146" s="3" t="s">
        <v>77</v>
      </c>
      <c r="G1146" s="3" t="s">
        <v>1744</v>
      </c>
      <c r="H1146" s="3" t="s">
        <v>604</v>
      </c>
      <c r="I1146" s="3">
        <v>2024</v>
      </c>
      <c r="J1146" s="3" t="str">
        <f>CONCATENATE("44810311652")</f>
        <v>44810311652</v>
      </c>
      <c r="K1146" s="3" t="s">
        <v>33</v>
      </c>
      <c r="L1146" s="3" t="str">
        <f t="shared" si="69"/>
        <v/>
      </c>
      <c r="M1146" s="3" t="str">
        <f t="shared" si="71"/>
        <v>SRA29</v>
      </c>
      <c r="N1146" s="3" t="str">
        <f>CONCATENATE("SPGNRC98M24F839P")</f>
        <v>SPGNRC98M24F839P</v>
      </c>
      <c r="O1146" s="3" t="s">
        <v>1745</v>
      </c>
      <c r="P1146" s="3" t="s">
        <v>35</v>
      </c>
      <c r="Q1146" s="3" t="s">
        <v>1573</v>
      </c>
      <c r="R1146" s="4">
        <v>45915</v>
      </c>
      <c r="S1146" s="3" t="s">
        <v>37</v>
      </c>
      <c r="T1146" s="3" t="s">
        <v>38</v>
      </c>
      <c r="U1146" s="3" t="s">
        <v>39</v>
      </c>
      <c r="V1146" s="5">
        <v>6180.81</v>
      </c>
      <c r="W1146" s="5">
        <v>3121.31</v>
      </c>
      <c r="X1146" s="5">
        <v>2141.65</v>
      </c>
      <c r="Y1146" s="3">
        <v>917.85</v>
      </c>
    </row>
    <row r="1147" spans="1:25" ht="41.5" hidden="1" x14ac:dyDescent="0.35">
      <c r="A1147" s="3" t="s">
        <v>26</v>
      </c>
      <c r="B1147" s="3" t="s">
        <v>27</v>
      </c>
      <c r="C1147" s="3" t="s">
        <v>28</v>
      </c>
      <c r="D1147" s="3" t="s">
        <v>61</v>
      </c>
      <c r="E1147" s="3" t="s">
        <v>1531</v>
      </c>
      <c r="F1147" s="3" t="s">
        <v>63</v>
      </c>
      <c r="G1147" s="3" t="s">
        <v>1531</v>
      </c>
      <c r="H1147" s="3" t="s">
        <v>1403</v>
      </c>
      <c r="I1147" s="3">
        <v>2024</v>
      </c>
      <c r="J1147" s="3" t="str">
        <f>CONCATENATE("44811161858")</f>
        <v>44811161858</v>
      </c>
      <c r="K1147" s="3" t="s">
        <v>33</v>
      </c>
      <c r="L1147" s="3" t="str">
        <f t="shared" si="69"/>
        <v/>
      </c>
      <c r="M1147" s="3" t="str">
        <f t="shared" si="71"/>
        <v>SRA29</v>
      </c>
      <c r="N1147" s="3" t="str">
        <f>CONCATENATE("PLNBGI86B15I549N")</f>
        <v>PLNBGI86B15I549N</v>
      </c>
      <c r="O1147" s="3" t="s">
        <v>1746</v>
      </c>
      <c r="P1147" s="3" t="s">
        <v>35</v>
      </c>
      <c r="Q1147" s="3" t="s">
        <v>1389</v>
      </c>
      <c r="R1147" s="4">
        <v>45916</v>
      </c>
      <c r="S1147" s="3" t="s">
        <v>37</v>
      </c>
      <c r="T1147" s="3" t="s">
        <v>38</v>
      </c>
      <c r="U1147" s="3" t="s">
        <v>39</v>
      </c>
      <c r="V1147" s="3">
        <v>633.92999999999995</v>
      </c>
      <c r="W1147" s="3">
        <v>320.13</v>
      </c>
      <c r="X1147" s="3">
        <v>219.66</v>
      </c>
      <c r="Y1147" s="3">
        <v>94.14</v>
      </c>
    </row>
    <row r="1148" spans="1:25" ht="41.5" hidden="1" x14ac:dyDescent="0.35">
      <c r="A1148" s="3" t="s">
        <v>26</v>
      </c>
      <c r="B1148" s="3" t="s">
        <v>27</v>
      </c>
      <c r="C1148" s="3" t="s">
        <v>28</v>
      </c>
      <c r="D1148" s="3" t="s">
        <v>234</v>
      </c>
      <c r="E1148" s="3" t="s">
        <v>1655</v>
      </c>
      <c r="F1148" s="3" t="s">
        <v>119</v>
      </c>
      <c r="G1148" s="3" t="s">
        <v>1655</v>
      </c>
      <c r="H1148" s="3" t="s">
        <v>32</v>
      </c>
      <c r="I1148" s="3">
        <v>2024</v>
      </c>
      <c r="J1148" s="3" t="str">
        <f>CONCATENATE("44810994564")</f>
        <v>44810994564</v>
      </c>
      <c r="K1148" s="3" t="s">
        <v>33</v>
      </c>
      <c r="L1148" s="3" t="str">
        <f t="shared" si="69"/>
        <v/>
      </c>
      <c r="M1148" s="3" t="str">
        <f t="shared" si="71"/>
        <v>SRA29</v>
      </c>
      <c r="N1148" s="3" t="str">
        <f>CONCATENATE("PSSNRG79C17D643I")</f>
        <v>PSSNRG79C17D643I</v>
      </c>
      <c r="O1148" s="3" t="s">
        <v>1747</v>
      </c>
      <c r="P1148" s="3" t="s">
        <v>35</v>
      </c>
      <c r="Q1148" s="3" t="s">
        <v>1389</v>
      </c>
      <c r="R1148" s="4">
        <v>45916</v>
      </c>
      <c r="S1148" s="3" t="s">
        <v>37</v>
      </c>
      <c r="T1148" s="3" t="s">
        <v>38</v>
      </c>
      <c r="U1148" s="3" t="s">
        <v>39</v>
      </c>
      <c r="V1148" s="5">
        <v>35877.699999999997</v>
      </c>
      <c r="W1148" s="5">
        <v>18118.240000000002</v>
      </c>
      <c r="X1148" s="5">
        <v>12431.62</v>
      </c>
      <c r="Y1148" s="5">
        <v>5327.84</v>
      </c>
    </row>
    <row r="1149" spans="1:25" ht="41.5" hidden="1" x14ac:dyDescent="0.35">
      <c r="A1149" s="3" t="s">
        <v>26</v>
      </c>
      <c r="B1149" s="3" t="s">
        <v>27</v>
      </c>
      <c r="C1149" s="3" t="s">
        <v>28</v>
      </c>
      <c r="D1149" s="3" t="s">
        <v>41</v>
      </c>
      <c r="E1149" s="3" t="s">
        <v>1748</v>
      </c>
      <c r="F1149" s="3" t="s">
        <v>43</v>
      </c>
      <c r="G1149" s="3" t="s">
        <v>1748</v>
      </c>
      <c r="H1149" s="3" t="s">
        <v>32</v>
      </c>
      <c r="I1149" s="3">
        <v>2024</v>
      </c>
      <c r="J1149" s="3" t="str">
        <f>CONCATENATE("44810596179")</f>
        <v>44810596179</v>
      </c>
      <c r="K1149" s="3" t="s">
        <v>33</v>
      </c>
      <c r="L1149" s="3" t="str">
        <f t="shared" si="69"/>
        <v/>
      </c>
      <c r="M1149" s="3" t="str">
        <f t="shared" si="71"/>
        <v>SRA29</v>
      </c>
      <c r="N1149" s="3" t="str">
        <f>CONCATENATE("PRNMRA40L47F059W")</f>
        <v>PRNMRA40L47F059W</v>
      </c>
      <c r="O1149" s="3" t="s">
        <v>1749</v>
      </c>
      <c r="P1149" s="3" t="s">
        <v>35</v>
      </c>
      <c r="Q1149" s="3" t="s">
        <v>1389</v>
      </c>
      <c r="R1149" s="4">
        <v>45916</v>
      </c>
      <c r="S1149" s="3" t="s">
        <v>37</v>
      </c>
      <c r="T1149" s="3" t="s">
        <v>38</v>
      </c>
      <c r="U1149" s="3" t="s">
        <v>39</v>
      </c>
      <c r="V1149" s="3">
        <v>75.47</v>
      </c>
      <c r="W1149" s="3">
        <v>38.11</v>
      </c>
      <c r="X1149" s="3">
        <v>26.15</v>
      </c>
      <c r="Y1149" s="3">
        <v>11.21</v>
      </c>
    </row>
    <row r="1150" spans="1:25" ht="49.5" hidden="1" x14ac:dyDescent="0.35">
      <c r="A1150" s="3" t="s">
        <v>26</v>
      </c>
      <c r="B1150" s="3" t="s">
        <v>27</v>
      </c>
      <c r="C1150" s="3" t="s">
        <v>28</v>
      </c>
      <c r="D1150" s="3" t="s">
        <v>51</v>
      </c>
      <c r="E1150" s="3" t="s">
        <v>1517</v>
      </c>
      <c r="F1150" s="3" t="s">
        <v>77</v>
      </c>
      <c r="G1150" s="3" t="s">
        <v>1518</v>
      </c>
      <c r="H1150" s="3" t="s">
        <v>32</v>
      </c>
      <c r="I1150" s="3">
        <v>2024</v>
      </c>
      <c r="J1150" s="3" t="str">
        <f>CONCATENATE("44810155943")</f>
        <v>44810155943</v>
      </c>
      <c r="K1150" s="3" t="s">
        <v>33</v>
      </c>
      <c r="L1150" s="3" t="str">
        <f t="shared" si="69"/>
        <v/>
      </c>
      <c r="M1150" s="3" t="str">
        <f t="shared" si="71"/>
        <v>SRA29</v>
      </c>
      <c r="N1150" s="3" t="str">
        <f>CONCATENATE("PTRMTL63M12B829W")</f>
        <v>PTRMTL63M12B829W</v>
      </c>
      <c r="O1150" s="3" t="s">
        <v>1750</v>
      </c>
      <c r="P1150" s="3" t="s">
        <v>35</v>
      </c>
      <c r="Q1150" s="3" t="s">
        <v>1389</v>
      </c>
      <c r="R1150" s="4">
        <v>45916</v>
      </c>
      <c r="S1150" s="3" t="s">
        <v>37</v>
      </c>
      <c r="T1150" s="3" t="s">
        <v>38</v>
      </c>
      <c r="U1150" s="3" t="s">
        <v>39</v>
      </c>
      <c r="V1150" s="3">
        <v>370.99</v>
      </c>
      <c r="W1150" s="3">
        <v>187.35</v>
      </c>
      <c r="X1150" s="3">
        <v>128.55000000000001</v>
      </c>
      <c r="Y1150" s="3">
        <v>55.09</v>
      </c>
    </row>
    <row r="1151" spans="1:25" ht="41.5" hidden="1" x14ac:dyDescent="0.35">
      <c r="A1151" s="3" t="s">
        <v>26</v>
      </c>
      <c r="B1151" s="3" t="s">
        <v>27</v>
      </c>
      <c r="C1151" s="3" t="s">
        <v>28</v>
      </c>
      <c r="D1151" s="3" t="s">
        <v>41</v>
      </c>
      <c r="E1151" s="3" t="s">
        <v>88</v>
      </c>
      <c r="F1151" s="3" t="s">
        <v>43</v>
      </c>
      <c r="G1151" s="3" t="s">
        <v>88</v>
      </c>
      <c r="H1151" s="3" t="s">
        <v>32</v>
      </c>
      <c r="I1151" s="3">
        <v>2024</v>
      </c>
      <c r="J1151" s="3" t="str">
        <f>CONCATENATE("44811097953")</f>
        <v>44811097953</v>
      </c>
      <c r="K1151" s="3" t="s">
        <v>33</v>
      </c>
      <c r="L1151" s="3" t="str">
        <f t="shared" si="69"/>
        <v/>
      </c>
      <c r="M1151" s="3" t="str">
        <f t="shared" si="71"/>
        <v>SRA29</v>
      </c>
      <c r="N1151" s="3" t="str">
        <f>CONCATENATE("PNZMHL82E30A475M")</f>
        <v>PNZMHL82E30A475M</v>
      </c>
      <c r="O1151" s="3" t="s">
        <v>1751</v>
      </c>
      <c r="P1151" s="3" t="s">
        <v>35</v>
      </c>
      <c r="Q1151" s="3" t="s">
        <v>1389</v>
      </c>
      <c r="R1151" s="4">
        <v>45916</v>
      </c>
      <c r="S1151" s="3" t="s">
        <v>37</v>
      </c>
      <c r="T1151" s="3" t="s">
        <v>38</v>
      </c>
      <c r="U1151" s="3" t="s">
        <v>39</v>
      </c>
      <c r="V1151" s="5">
        <v>3826.22</v>
      </c>
      <c r="W1151" s="5">
        <v>1932.24</v>
      </c>
      <c r="X1151" s="5">
        <v>1325.79</v>
      </c>
      <c r="Y1151" s="3">
        <v>568.19000000000005</v>
      </c>
    </row>
    <row r="1152" spans="1:25" ht="41.5" hidden="1" x14ac:dyDescent="0.35">
      <c r="A1152" s="3" t="s">
        <v>26</v>
      </c>
      <c r="B1152" s="3" t="s">
        <v>27</v>
      </c>
      <c r="C1152" s="3" t="s">
        <v>28</v>
      </c>
      <c r="D1152" s="3" t="s">
        <v>61</v>
      </c>
      <c r="E1152" s="3" t="s">
        <v>1752</v>
      </c>
      <c r="F1152" s="3" t="s">
        <v>63</v>
      </c>
      <c r="G1152" s="3" t="s">
        <v>1752</v>
      </c>
      <c r="H1152" s="3" t="s">
        <v>32</v>
      </c>
      <c r="I1152" s="3">
        <v>2024</v>
      </c>
      <c r="J1152" s="3" t="str">
        <f>CONCATENATE("44811153848")</f>
        <v>44811153848</v>
      </c>
      <c r="K1152" s="3" t="s">
        <v>33</v>
      </c>
      <c r="L1152" s="3" t="str">
        <f t="shared" si="69"/>
        <v/>
      </c>
      <c r="M1152" s="3" t="str">
        <f t="shared" si="71"/>
        <v>SRA29</v>
      </c>
      <c r="N1152" s="3" t="str">
        <f>CONCATENATE("RGGGPP47R06E397Z")</f>
        <v>RGGGPP47R06E397Z</v>
      </c>
      <c r="O1152" s="3" t="s">
        <v>1753</v>
      </c>
      <c r="P1152" s="3" t="s">
        <v>35</v>
      </c>
      <c r="Q1152" s="3" t="s">
        <v>1389</v>
      </c>
      <c r="R1152" s="4">
        <v>45916</v>
      </c>
      <c r="S1152" s="3" t="s">
        <v>37</v>
      </c>
      <c r="T1152" s="3" t="s">
        <v>38</v>
      </c>
      <c r="U1152" s="3" t="s">
        <v>39</v>
      </c>
      <c r="V1152" s="5">
        <v>1856.75</v>
      </c>
      <c r="W1152" s="3">
        <v>937.66</v>
      </c>
      <c r="X1152" s="3">
        <v>643.36</v>
      </c>
      <c r="Y1152" s="3">
        <v>275.73</v>
      </c>
    </row>
    <row r="1153" spans="1:25" ht="41.5" hidden="1" x14ac:dyDescent="0.35">
      <c r="A1153" s="3" t="s">
        <v>26</v>
      </c>
      <c r="B1153" s="3" t="s">
        <v>27</v>
      </c>
      <c r="C1153" s="3" t="s">
        <v>28</v>
      </c>
      <c r="D1153" s="3" t="s">
        <v>61</v>
      </c>
      <c r="E1153" s="3" t="s">
        <v>1396</v>
      </c>
      <c r="F1153" s="3" t="s">
        <v>63</v>
      </c>
      <c r="G1153" s="3" t="s">
        <v>1396</v>
      </c>
      <c r="H1153" s="3" t="s">
        <v>72</v>
      </c>
      <c r="I1153" s="3">
        <v>2024</v>
      </c>
      <c r="J1153" s="3" t="str">
        <f>CONCATENATE("44811252863")</f>
        <v>44811252863</v>
      </c>
      <c r="K1153" s="3" t="s">
        <v>33</v>
      </c>
      <c r="L1153" s="3" t="str">
        <f t="shared" si="69"/>
        <v/>
      </c>
      <c r="M1153" s="3" t="str">
        <f t="shared" si="71"/>
        <v>SRA29</v>
      </c>
      <c r="N1153" s="3" t="str">
        <f>CONCATENATE("SNNFNC71D22A893J")</f>
        <v>SNNFNC71D22A893J</v>
      </c>
      <c r="O1153" s="3" t="s">
        <v>1754</v>
      </c>
      <c r="P1153" s="3" t="s">
        <v>35</v>
      </c>
      <c r="Q1153" s="3" t="s">
        <v>1389</v>
      </c>
      <c r="R1153" s="4">
        <v>45916</v>
      </c>
      <c r="S1153" s="3" t="s">
        <v>37</v>
      </c>
      <c r="T1153" s="3" t="s">
        <v>38</v>
      </c>
      <c r="U1153" s="3" t="s">
        <v>39</v>
      </c>
      <c r="V1153" s="3">
        <v>626.4</v>
      </c>
      <c r="W1153" s="3">
        <v>316.33</v>
      </c>
      <c r="X1153" s="3">
        <v>217.05</v>
      </c>
      <c r="Y1153" s="3">
        <v>93.02</v>
      </c>
    </row>
    <row r="1154" spans="1:25" ht="49.5" hidden="1" x14ac:dyDescent="0.35">
      <c r="A1154" s="3" t="s">
        <v>26</v>
      </c>
      <c r="B1154" s="3" t="s">
        <v>27</v>
      </c>
      <c r="C1154" s="3" t="s">
        <v>28</v>
      </c>
      <c r="D1154" s="3" t="s">
        <v>69</v>
      </c>
      <c r="E1154" s="3" t="s">
        <v>70</v>
      </c>
      <c r="F1154" s="3" t="s">
        <v>71</v>
      </c>
      <c r="G1154" s="3" t="s">
        <v>70</v>
      </c>
      <c r="H1154" s="3" t="s">
        <v>72</v>
      </c>
      <c r="I1154" s="3">
        <v>2024</v>
      </c>
      <c r="J1154" s="3" t="str">
        <f>CONCATENATE("44811217650")</f>
        <v>44811217650</v>
      </c>
      <c r="K1154" s="3" t="s">
        <v>33</v>
      </c>
      <c r="L1154" s="3" t="str">
        <f t="shared" si="69"/>
        <v/>
      </c>
      <c r="M1154" s="3" t="str">
        <f t="shared" si="71"/>
        <v>SRA29</v>
      </c>
      <c r="N1154" s="3" t="str">
        <f>CONCATENATE("SCHSFN82R19A048U")</f>
        <v>SCHSFN82R19A048U</v>
      </c>
      <c r="O1154" s="3" t="s">
        <v>1755</v>
      </c>
      <c r="P1154" s="3" t="s">
        <v>35</v>
      </c>
      <c r="Q1154" s="3" t="s">
        <v>1389</v>
      </c>
      <c r="R1154" s="4">
        <v>45916</v>
      </c>
      <c r="S1154" s="3" t="s">
        <v>37</v>
      </c>
      <c r="T1154" s="3" t="s">
        <v>38</v>
      </c>
      <c r="U1154" s="3" t="s">
        <v>39</v>
      </c>
      <c r="V1154" s="3">
        <v>465.02</v>
      </c>
      <c r="W1154" s="3">
        <v>234.84</v>
      </c>
      <c r="X1154" s="3">
        <v>161.13</v>
      </c>
      <c r="Y1154" s="3">
        <v>69.05</v>
      </c>
    </row>
    <row r="1155" spans="1:25" ht="41.5" hidden="1" x14ac:dyDescent="0.35">
      <c r="A1155" s="3" t="s">
        <v>26</v>
      </c>
      <c r="B1155" s="3" t="s">
        <v>27</v>
      </c>
      <c r="C1155" s="3" t="s">
        <v>28</v>
      </c>
      <c r="D1155" s="3" t="s">
        <v>164</v>
      </c>
      <c r="E1155" s="3" t="s">
        <v>1617</v>
      </c>
      <c r="F1155" s="3" t="s">
        <v>166</v>
      </c>
      <c r="G1155" s="3" t="s">
        <v>1617</v>
      </c>
      <c r="H1155" s="3" t="s">
        <v>72</v>
      </c>
      <c r="I1155" s="3">
        <v>2024</v>
      </c>
      <c r="J1155" s="3" t="str">
        <f>CONCATENATE("44810650042")</f>
        <v>44810650042</v>
      </c>
      <c r="K1155" s="3" t="s">
        <v>33</v>
      </c>
      <c r="L1155" s="3" t="str">
        <f t="shared" si="69"/>
        <v/>
      </c>
      <c r="M1155" s="3" t="str">
        <f t="shared" si="71"/>
        <v>SRA29</v>
      </c>
      <c r="N1155" s="3" t="str">
        <f>CONCATENATE("STTGPP60S67I330I")</f>
        <v>STTGPP60S67I330I</v>
      </c>
      <c r="O1155" s="3" t="s">
        <v>1756</v>
      </c>
      <c r="P1155" s="3" t="s">
        <v>35</v>
      </c>
      <c r="Q1155" s="3" t="s">
        <v>1389</v>
      </c>
      <c r="R1155" s="4">
        <v>45916</v>
      </c>
      <c r="S1155" s="3" t="s">
        <v>37</v>
      </c>
      <c r="T1155" s="3" t="s">
        <v>38</v>
      </c>
      <c r="U1155" s="3" t="s">
        <v>39</v>
      </c>
      <c r="V1155" s="5">
        <v>1634.37</v>
      </c>
      <c r="W1155" s="3">
        <v>825.36</v>
      </c>
      <c r="X1155" s="3">
        <v>566.30999999999995</v>
      </c>
      <c r="Y1155" s="3">
        <v>242.7</v>
      </c>
    </row>
    <row r="1156" spans="1:25" ht="25.5" hidden="1" x14ac:dyDescent="0.35">
      <c r="A1156" s="3" t="s">
        <v>26</v>
      </c>
      <c r="B1156" s="3" t="s">
        <v>27</v>
      </c>
      <c r="C1156" s="3" t="s">
        <v>28</v>
      </c>
      <c r="D1156" s="3" t="s">
        <v>41</v>
      </c>
      <c r="E1156" s="3" t="s">
        <v>174</v>
      </c>
      <c r="F1156" s="3" t="s">
        <v>43</v>
      </c>
      <c r="G1156" s="3" t="s">
        <v>174</v>
      </c>
      <c r="H1156" s="3" t="s">
        <v>32</v>
      </c>
      <c r="I1156" s="3">
        <v>2024</v>
      </c>
      <c r="J1156" s="3" t="str">
        <f>CONCATENATE("44810893444")</f>
        <v>44810893444</v>
      </c>
      <c r="K1156" s="3" t="s">
        <v>33</v>
      </c>
      <c r="L1156" s="3" t="str">
        <f t="shared" ref="L1156:L1219" si="72">CONCATENATE("")</f>
        <v/>
      </c>
      <c r="M1156" s="3" t="str">
        <f t="shared" si="71"/>
        <v>SRA29</v>
      </c>
      <c r="N1156" s="3" t="str">
        <f>CONCATENATE("04376790715")</f>
        <v>04376790715</v>
      </c>
      <c r="O1156" s="3" t="s">
        <v>1757</v>
      </c>
      <c r="P1156" s="3" t="s">
        <v>35</v>
      </c>
      <c r="Q1156" s="3" t="s">
        <v>1389</v>
      </c>
      <c r="R1156" s="4">
        <v>45916</v>
      </c>
      <c r="S1156" s="3" t="s">
        <v>37</v>
      </c>
      <c r="T1156" s="3" t="s">
        <v>38</v>
      </c>
      <c r="U1156" s="3" t="s">
        <v>39</v>
      </c>
      <c r="V1156" s="5">
        <v>3092.02</v>
      </c>
      <c r="W1156" s="5">
        <v>1561.47</v>
      </c>
      <c r="X1156" s="5">
        <v>1071.3800000000001</v>
      </c>
      <c r="Y1156" s="3">
        <v>459.17</v>
      </c>
    </row>
    <row r="1157" spans="1:25" ht="25.5" hidden="1" x14ac:dyDescent="0.35">
      <c r="A1157" s="3" t="s">
        <v>26</v>
      </c>
      <c r="B1157" s="3" t="s">
        <v>27</v>
      </c>
      <c r="C1157" s="3" t="s">
        <v>28</v>
      </c>
      <c r="D1157" s="3" t="s">
        <v>29</v>
      </c>
      <c r="E1157" s="3" t="s">
        <v>155</v>
      </c>
      <c r="F1157" s="3" t="s">
        <v>31</v>
      </c>
      <c r="G1157" s="3" t="s">
        <v>155</v>
      </c>
      <c r="H1157" s="3" t="s">
        <v>156</v>
      </c>
      <c r="I1157" s="3">
        <v>2024</v>
      </c>
      <c r="J1157" s="3" t="str">
        <f>CONCATENATE("44810389310")</f>
        <v>44810389310</v>
      </c>
      <c r="K1157" s="3" t="s">
        <v>33</v>
      </c>
      <c r="L1157" s="3" t="str">
        <f t="shared" si="72"/>
        <v/>
      </c>
      <c r="M1157" s="3" t="str">
        <f t="shared" si="71"/>
        <v>SRA29</v>
      </c>
      <c r="N1157" s="3" t="str">
        <f>CONCATENATE("00091520742")</f>
        <v>00091520742</v>
      </c>
      <c r="O1157" s="3" t="s">
        <v>1758</v>
      </c>
      <c r="P1157" s="3" t="s">
        <v>35</v>
      </c>
      <c r="Q1157" s="3" t="s">
        <v>1389</v>
      </c>
      <c r="R1157" s="4">
        <v>45916</v>
      </c>
      <c r="S1157" s="3" t="s">
        <v>37</v>
      </c>
      <c r="T1157" s="3" t="s">
        <v>38</v>
      </c>
      <c r="U1157" s="3" t="s">
        <v>39</v>
      </c>
      <c r="V1157" s="3">
        <v>129.44999999999999</v>
      </c>
      <c r="W1157" s="3">
        <v>65.37</v>
      </c>
      <c r="X1157" s="3">
        <v>44.85</v>
      </c>
      <c r="Y1157" s="3">
        <v>19.23</v>
      </c>
    </row>
    <row r="1158" spans="1:25" ht="25.5" hidden="1" x14ac:dyDescent="0.35">
      <c r="A1158" s="3" t="s">
        <v>26</v>
      </c>
      <c r="B1158" s="3" t="s">
        <v>27</v>
      </c>
      <c r="C1158" s="3" t="s">
        <v>28</v>
      </c>
      <c r="D1158" s="3" t="s">
        <v>29</v>
      </c>
      <c r="E1158" s="3" t="s">
        <v>1579</v>
      </c>
      <c r="F1158" s="3" t="s">
        <v>31</v>
      </c>
      <c r="G1158" s="3" t="s">
        <v>1579</v>
      </c>
      <c r="H1158" s="3" t="s">
        <v>32</v>
      </c>
      <c r="I1158" s="3">
        <v>2024</v>
      </c>
      <c r="J1158" s="3" t="str">
        <f>CONCATENATE("44811635851")</f>
        <v>44811635851</v>
      </c>
      <c r="K1158" s="3" t="s">
        <v>33</v>
      </c>
      <c r="L1158" s="3" t="str">
        <f t="shared" si="72"/>
        <v/>
      </c>
      <c r="M1158" s="3" t="str">
        <f t="shared" si="71"/>
        <v>SRA29</v>
      </c>
      <c r="N1158" s="3" t="str">
        <f>CONCATENATE("04365640715")</f>
        <v>04365640715</v>
      </c>
      <c r="O1158" s="3" t="s">
        <v>1759</v>
      </c>
      <c r="P1158" s="3" t="s">
        <v>35</v>
      </c>
      <c r="Q1158" s="3" t="s">
        <v>1389</v>
      </c>
      <c r="R1158" s="4">
        <v>45916</v>
      </c>
      <c r="S1158" s="3" t="s">
        <v>37</v>
      </c>
      <c r="T1158" s="3" t="s">
        <v>38</v>
      </c>
      <c r="U1158" s="3" t="s">
        <v>39</v>
      </c>
      <c r="V1158" s="3">
        <v>42.61</v>
      </c>
      <c r="W1158" s="3">
        <v>21.52</v>
      </c>
      <c r="X1158" s="3">
        <v>14.76</v>
      </c>
      <c r="Y1158" s="3">
        <v>6.33</v>
      </c>
    </row>
    <row r="1159" spans="1:25" ht="25.5" hidden="1" x14ac:dyDescent="0.35">
      <c r="A1159" s="3" t="s">
        <v>26</v>
      </c>
      <c r="B1159" s="3" t="s">
        <v>27</v>
      </c>
      <c r="C1159" s="3" t="s">
        <v>28</v>
      </c>
      <c r="D1159" s="3" t="s">
        <v>51</v>
      </c>
      <c r="E1159" s="3" t="s">
        <v>1425</v>
      </c>
      <c r="F1159" s="3" t="s">
        <v>51</v>
      </c>
      <c r="G1159" s="3" t="s">
        <v>1425</v>
      </c>
      <c r="H1159" s="3" t="s">
        <v>1403</v>
      </c>
      <c r="I1159" s="3">
        <v>2024</v>
      </c>
      <c r="J1159" s="3" t="str">
        <f>CONCATENATE("44811292604")</f>
        <v>44811292604</v>
      </c>
      <c r="K1159" s="3" t="s">
        <v>33</v>
      </c>
      <c r="L1159" s="3" t="str">
        <f t="shared" si="72"/>
        <v/>
      </c>
      <c r="M1159" s="3" t="str">
        <f t="shared" si="71"/>
        <v>SRA29</v>
      </c>
      <c r="N1159" s="3" t="str">
        <f>CONCATENATE("03213220753")</f>
        <v>03213220753</v>
      </c>
      <c r="O1159" s="3" t="s">
        <v>1760</v>
      </c>
      <c r="P1159" s="3" t="s">
        <v>35</v>
      </c>
      <c r="Q1159" s="3" t="s">
        <v>1389</v>
      </c>
      <c r="R1159" s="4">
        <v>45916</v>
      </c>
      <c r="S1159" s="3" t="s">
        <v>37</v>
      </c>
      <c r="T1159" s="3" t="s">
        <v>38</v>
      </c>
      <c r="U1159" s="3" t="s">
        <v>39</v>
      </c>
      <c r="V1159" s="3">
        <v>495.89</v>
      </c>
      <c r="W1159" s="3">
        <v>250.42</v>
      </c>
      <c r="X1159" s="3">
        <v>171.83</v>
      </c>
      <c r="Y1159" s="3">
        <v>73.64</v>
      </c>
    </row>
    <row r="1160" spans="1:25" ht="25.5" hidden="1" x14ac:dyDescent="0.35">
      <c r="A1160" s="3" t="s">
        <v>26</v>
      </c>
      <c r="B1160" s="3" t="s">
        <v>27</v>
      </c>
      <c r="C1160" s="3" t="s">
        <v>28</v>
      </c>
      <c r="D1160" s="3" t="s">
        <v>228</v>
      </c>
      <c r="E1160" s="3" t="s">
        <v>1430</v>
      </c>
      <c r="F1160" s="3" t="s">
        <v>230</v>
      </c>
      <c r="G1160" s="3" t="s">
        <v>1430</v>
      </c>
      <c r="H1160" s="3" t="s">
        <v>72</v>
      </c>
      <c r="I1160" s="3">
        <v>2024</v>
      </c>
      <c r="J1160" s="3" t="str">
        <f>CONCATENATE("44811276847")</f>
        <v>44811276847</v>
      </c>
      <c r="K1160" s="3" t="s">
        <v>33</v>
      </c>
      <c r="L1160" s="3" t="str">
        <f t="shared" si="72"/>
        <v/>
      </c>
      <c r="M1160" s="3" t="str">
        <f t="shared" si="71"/>
        <v>SRA29</v>
      </c>
      <c r="N1160" s="3" t="str">
        <f>CONCATENATE("07959310728")</f>
        <v>07959310728</v>
      </c>
      <c r="O1160" s="3" t="s">
        <v>1761</v>
      </c>
      <c r="P1160" s="3" t="s">
        <v>35</v>
      </c>
      <c r="Q1160" s="3" t="s">
        <v>1389</v>
      </c>
      <c r="R1160" s="4">
        <v>45916</v>
      </c>
      <c r="S1160" s="3" t="s">
        <v>37</v>
      </c>
      <c r="T1160" s="3" t="s">
        <v>38</v>
      </c>
      <c r="U1160" s="3" t="s">
        <v>39</v>
      </c>
      <c r="V1160" s="3">
        <v>1.66</v>
      </c>
      <c r="W1160" s="3">
        <v>0.84</v>
      </c>
      <c r="X1160" s="3">
        <v>0.57999999999999996</v>
      </c>
      <c r="Y1160" s="3">
        <v>0.24</v>
      </c>
    </row>
    <row r="1161" spans="1:25" ht="49.5" hidden="1" x14ac:dyDescent="0.35">
      <c r="A1161" s="3" t="s">
        <v>26</v>
      </c>
      <c r="B1161" s="3" t="s">
        <v>27</v>
      </c>
      <c r="C1161" s="3" t="s">
        <v>478</v>
      </c>
      <c r="D1161" s="3" t="s">
        <v>164</v>
      </c>
      <c r="E1161" s="3" t="s">
        <v>1452</v>
      </c>
      <c r="F1161" s="3" t="s">
        <v>166</v>
      </c>
      <c r="G1161" s="3" t="s">
        <v>1452</v>
      </c>
      <c r="H1161" s="3" t="s">
        <v>614</v>
      </c>
      <c r="I1161" s="3">
        <v>2024</v>
      </c>
      <c r="J1161" s="3" t="str">
        <f>CONCATENATE("44810891364")</f>
        <v>44810891364</v>
      </c>
      <c r="K1161" s="3" t="s">
        <v>33</v>
      </c>
      <c r="L1161" s="3" t="str">
        <f t="shared" si="72"/>
        <v/>
      </c>
      <c r="M1161" s="3" t="str">
        <f>CONCATENATE("SRA30")</f>
        <v>SRA30</v>
      </c>
      <c r="N1161" s="3" t="str">
        <f>CONCATENATE("BRNGPP83M26A783U")</f>
        <v>BRNGPP83M26A783U</v>
      </c>
      <c r="O1161" s="3" t="s">
        <v>1453</v>
      </c>
      <c r="P1161" s="3" t="s">
        <v>35</v>
      </c>
      <c r="Q1161" s="3" t="s">
        <v>1762</v>
      </c>
      <c r="R1161" s="4">
        <v>45933</v>
      </c>
      <c r="S1161" s="3" t="s">
        <v>37</v>
      </c>
      <c r="T1161" s="3" t="s">
        <v>38</v>
      </c>
      <c r="U1161" s="3" t="s">
        <v>39</v>
      </c>
      <c r="V1161" s="5">
        <v>18512.419999999998</v>
      </c>
      <c r="W1161" s="5">
        <v>9348.77</v>
      </c>
      <c r="X1161" s="5">
        <v>6414.55</v>
      </c>
      <c r="Y1161" s="5">
        <v>2749.1</v>
      </c>
    </row>
    <row r="1162" spans="1:25" ht="41.5" hidden="1" x14ac:dyDescent="0.35">
      <c r="A1162" s="3" t="s">
        <v>26</v>
      </c>
      <c r="B1162" s="3" t="s">
        <v>27</v>
      </c>
      <c r="C1162" s="3" t="s">
        <v>478</v>
      </c>
      <c r="D1162" s="3" t="s">
        <v>75</v>
      </c>
      <c r="E1162" s="3" t="s">
        <v>1082</v>
      </c>
      <c r="F1162" s="3" t="s">
        <v>77</v>
      </c>
      <c r="G1162" s="3" t="s">
        <v>1082</v>
      </c>
      <c r="H1162" s="3" t="s">
        <v>614</v>
      </c>
      <c r="I1162" s="3">
        <v>2024</v>
      </c>
      <c r="J1162" s="3" t="str">
        <f>CONCATENATE("44811347267")</f>
        <v>44811347267</v>
      </c>
      <c r="K1162" s="3" t="s">
        <v>33</v>
      </c>
      <c r="L1162" s="3" t="str">
        <f t="shared" si="72"/>
        <v/>
      </c>
      <c r="M1162" s="3" t="str">
        <f>CONCATENATE("SRA30")</f>
        <v>SRA30</v>
      </c>
      <c r="N1162" s="3" t="str">
        <f>CONCATENATE("CRRGPP66C47B541P")</f>
        <v>CRRGPP66C47B541P</v>
      </c>
      <c r="O1162" s="3" t="s">
        <v>1223</v>
      </c>
      <c r="P1162" s="3" t="s">
        <v>35</v>
      </c>
      <c r="Q1162" s="3" t="s">
        <v>1762</v>
      </c>
      <c r="R1162" s="4">
        <v>45933</v>
      </c>
      <c r="S1162" s="3" t="s">
        <v>37</v>
      </c>
      <c r="T1162" s="3" t="s">
        <v>38</v>
      </c>
      <c r="U1162" s="3" t="s">
        <v>39</v>
      </c>
      <c r="V1162" s="5">
        <v>2160.56</v>
      </c>
      <c r="W1162" s="5">
        <v>1091.08</v>
      </c>
      <c r="X1162" s="3">
        <v>748.63</v>
      </c>
      <c r="Y1162" s="3">
        <v>320.85000000000002</v>
      </c>
    </row>
    <row r="1163" spans="1:25" ht="49.5" hidden="1" x14ac:dyDescent="0.35">
      <c r="A1163" s="3" t="s">
        <v>26</v>
      </c>
      <c r="B1163" s="3" t="s">
        <v>27</v>
      </c>
      <c r="C1163" s="3" t="s">
        <v>478</v>
      </c>
      <c r="D1163" s="3" t="s">
        <v>234</v>
      </c>
      <c r="E1163" s="3" t="s">
        <v>120</v>
      </c>
      <c r="F1163" s="3" t="s">
        <v>119</v>
      </c>
      <c r="G1163" s="3" t="s">
        <v>120</v>
      </c>
      <c r="H1163" s="3" t="s">
        <v>614</v>
      </c>
      <c r="I1163" s="3">
        <v>2024</v>
      </c>
      <c r="J1163" s="3" t="str">
        <f>CONCATENATE("44811871803")</f>
        <v>44811871803</v>
      </c>
      <c r="K1163" s="3" t="s">
        <v>33</v>
      </c>
      <c r="L1163" s="3" t="str">
        <f t="shared" si="72"/>
        <v/>
      </c>
      <c r="M1163" s="3" t="str">
        <f>CONCATENATE("SRA30")</f>
        <v>SRA30</v>
      </c>
      <c r="N1163" s="3" t="str">
        <f>CONCATENATE("CSNDNC70D09G626V")</f>
        <v>CSNDNC70D09G626V</v>
      </c>
      <c r="O1163" s="3" t="s">
        <v>1278</v>
      </c>
      <c r="P1163" s="3" t="s">
        <v>35</v>
      </c>
      <c r="Q1163" s="3" t="s">
        <v>1762</v>
      </c>
      <c r="R1163" s="4">
        <v>45933</v>
      </c>
      <c r="S1163" s="3" t="s">
        <v>37</v>
      </c>
      <c r="T1163" s="3" t="s">
        <v>38</v>
      </c>
      <c r="U1163" s="3" t="s">
        <v>39</v>
      </c>
      <c r="V1163" s="5">
        <v>7825.31</v>
      </c>
      <c r="W1163" s="5">
        <v>3951.78</v>
      </c>
      <c r="X1163" s="5">
        <v>2711.47</v>
      </c>
      <c r="Y1163" s="5">
        <v>1162.06</v>
      </c>
    </row>
    <row r="1164" spans="1:25" ht="41.5" hidden="1" x14ac:dyDescent="0.35">
      <c r="A1164" s="3" t="s">
        <v>26</v>
      </c>
      <c r="B1164" s="3" t="s">
        <v>27</v>
      </c>
      <c r="C1164" s="3" t="s">
        <v>90</v>
      </c>
      <c r="D1164" s="3" t="s">
        <v>107</v>
      </c>
      <c r="E1164" s="3" t="s">
        <v>242</v>
      </c>
      <c r="F1164" s="3" t="s">
        <v>115</v>
      </c>
      <c r="G1164" s="3" t="s">
        <v>242</v>
      </c>
      <c r="H1164" s="3" t="s">
        <v>1060</v>
      </c>
      <c r="I1164" s="3">
        <v>2024</v>
      </c>
      <c r="J1164" s="3" t="str">
        <f>CONCATENATE("44810311116")</f>
        <v>44810311116</v>
      </c>
      <c r="K1164" s="3" t="s">
        <v>33</v>
      </c>
      <c r="L1164" s="3" t="str">
        <f t="shared" si="72"/>
        <v/>
      </c>
      <c r="M1164" s="3" t="str">
        <f t="shared" ref="M1164:M1177" si="73">CONCATENATE("SRA29")</f>
        <v>SRA29</v>
      </c>
      <c r="N1164" s="3" t="str">
        <f>CONCATENATE("CNTLBA01A64C351X")</f>
        <v>CNTLBA01A64C351X</v>
      </c>
      <c r="O1164" s="3" t="s">
        <v>1061</v>
      </c>
      <c r="P1164" s="3" t="s">
        <v>35</v>
      </c>
      <c r="Q1164" s="3" t="s">
        <v>1763</v>
      </c>
      <c r="R1164" s="4">
        <v>45931</v>
      </c>
      <c r="S1164" s="3" t="s">
        <v>37</v>
      </c>
      <c r="T1164" s="3" t="s">
        <v>38</v>
      </c>
      <c r="U1164" s="3" t="s">
        <v>39</v>
      </c>
      <c r="V1164" s="3">
        <v>116.76</v>
      </c>
      <c r="W1164" s="3">
        <v>58.96</v>
      </c>
      <c r="X1164" s="3">
        <v>40.46</v>
      </c>
      <c r="Y1164" s="3">
        <v>17.34</v>
      </c>
    </row>
    <row r="1165" spans="1:25" ht="41.5" hidden="1" x14ac:dyDescent="0.35">
      <c r="A1165" s="3" t="s">
        <v>26</v>
      </c>
      <c r="B1165" s="3" t="s">
        <v>27</v>
      </c>
      <c r="C1165" s="3" t="s">
        <v>90</v>
      </c>
      <c r="D1165" s="3" t="s">
        <v>107</v>
      </c>
      <c r="E1165" s="3" t="s">
        <v>242</v>
      </c>
      <c r="F1165" s="3" t="s">
        <v>115</v>
      </c>
      <c r="G1165" s="3" t="s">
        <v>242</v>
      </c>
      <c r="H1165" s="3" t="s">
        <v>1060</v>
      </c>
      <c r="I1165" s="3">
        <v>2024</v>
      </c>
      <c r="J1165" s="3" t="str">
        <f>CONCATENATE("44810471019")</f>
        <v>44810471019</v>
      </c>
      <c r="K1165" s="3" t="s">
        <v>33</v>
      </c>
      <c r="L1165" s="3" t="str">
        <f t="shared" si="72"/>
        <v/>
      </c>
      <c r="M1165" s="3" t="str">
        <f t="shared" si="73"/>
        <v>SRA29</v>
      </c>
      <c r="N1165" s="3" t="str">
        <f>CONCATENATE("CNTGPP98M02B202P")</f>
        <v>CNTGPP98M02B202P</v>
      </c>
      <c r="O1165" s="3" t="s">
        <v>1269</v>
      </c>
      <c r="P1165" s="3" t="s">
        <v>35</v>
      </c>
      <c r="Q1165" s="3" t="s">
        <v>1763</v>
      </c>
      <c r="R1165" s="4">
        <v>45931</v>
      </c>
      <c r="S1165" s="3" t="s">
        <v>37</v>
      </c>
      <c r="T1165" s="3" t="s">
        <v>38</v>
      </c>
      <c r="U1165" s="3" t="s">
        <v>39</v>
      </c>
      <c r="V1165" s="3">
        <v>425.57</v>
      </c>
      <c r="W1165" s="3">
        <v>214.91</v>
      </c>
      <c r="X1165" s="3">
        <v>147.46</v>
      </c>
      <c r="Y1165" s="3">
        <v>63.2</v>
      </c>
    </row>
    <row r="1166" spans="1:25" ht="41.5" hidden="1" x14ac:dyDescent="0.35">
      <c r="A1166" s="3" t="s">
        <v>26</v>
      </c>
      <c r="B1166" s="3" t="s">
        <v>27</v>
      </c>
      <c r="C1166" s="3" t="s">
        <v>90</v>
      </c>
      <c r="D1166" s="3" t="s">
        <v>107</v>
      </c>
      <c r="E1166" s="3" t="s">
        <v>242</v>
      </c>
      <c r="F1166" s="3" t="s">
        <v>115</v>
      </c>
      <c r="G1166" s="3" t="s">
        <v>242</v>
      </c>
      <c r="H1166" s="3" t="s">
        <v>1060</v>
      </c>
      <c r="I1166" s="3">
        <v>2024</v>
      </c>
      <c r="J1166" s="3" t="str">
        <f>CONCATENATE("44810457976")</f>
        <v>44810457976</v>
      </c>
      <c r="K1166" s="3" t="s">
        <v>33</v>
      </c>
      <c r="L1166" s="3" t="str">
        <f t="shared" si="72"/>
        <v/>
      </c>
      <c r="M1166" s="3" t="str">
        <f t="shared" si="73"/>
        <v>SRA29</v>
      </c>
      <c r="N1166" s="3" t="str">
        <f>CONCATENATE("FLLGLG79L14B202R")</f>
        <v>FLLGLG79L14B202R</v>
      </c>
      <c r="O1166" s="3" t="s">
        <v>1764</v>
      </c>
      <c r="P1166" s="3" t="s">
        <v>35</v>
      </c>
      <c r="Q1166" s="3" t="s">
        <v>1763</v>
      </c>
      <c r="R1166" s="4">
        <v>45931</v>
      </c>
      <c r="S1166" s="3" t="s">
        <v>37</v>
      </c>
      <c r="T1166" s="3" t="s">
        <v>38</v>
      </c>
      <c r="U1166" s="3" t="s">
        <v>39</v>
      </c>
      <c r="V1166" s="5">
        <v>1479.15</v>
      </c>
      <c r="W1166" s="3">
        <v>746.97</v>
      </c>
      <c r="X1166" s="3">
        <v>512.53</v>
      </c>
      <c r="Y1166" s="3">
        <v>219.65</v>
      </c>
    </row>
    <row r="1167" spans="1:25" ht="25.5" hidden="1" x14ac:dyDescent="0.35">
      <c r="A1167" s="3" t="s">
        <v>26</v>
      </c>
      <c r="B1167" s="3" t="s">
        <v>27</v>
      </c>
      <c r="C1167" s="3" t="s">
        <v>28</v>
      </c>
      <c r="D1167" s="3" t="s">
        <v>29</v>
      </c>
      <c r="E1167" s="3" t="s">
        <v>30</v>
      </c>
      <c r="F1167" s="3" t="s">
        <v>31</v>
      </c>
      <c r="G1167" s="3" t="s">
        <v>30</v>
      </c>
      <c r="H1167" s="3" t="s">
        <v>32</v>
      </c>
      <c r="I1167" s="3">
        <v>2024</v>
      </c>
      <c r="J1167" s="3" t="str">
        <f>CONCATENATE("44811265758")</f>
        <v>44811265758</v>
      </c>
      <c r="K1167" s="3" t="s">
        <v>33</v>
      </c>
      <c r="L1167" s="3" t="str">
        <f t="shared" si="72"/>
        <v/>
      </c>
      <c r="M1167" s="3" t="str">
        <f t="shared" si="73"/>
        <v>SRA29</v>
      </c>
      <c r="N1167" s="3" t="str">
        <f>CONCATENATE("04088940715")</f>
        <v>04088940715</v>
      </c>
      <c r="O1167" s="3" t="s">
        <v>1765</v>
      </c>
      <c r="P1167" s="3" t="s">
        <v>35</v>
      </c>
      <c r="Q1167" s="3" t="s">
        <v>1389</v>
      </c>
      <c r="R1167" s="4">
        <v>45916</v>
      </c>
      <c r="S1167" s="3" t="s">
        <v>37</v>
      </c>
      <c r="T1167" s="3" t="s">
        <v>38</v>
      </c>
      <c r="U1167" s="3" t="s">
        <v>39</v>
      </c>
      <c r="V1167" s="5">
        <v>7227.17</v>
      </c>
      <c r="W1167" s="5">
        <v>3649.72</v>
      </c>
      <c r="X1167" s="5">
        <v>2504.21</v>
      </c>
      <c r="Y1167" s="5">
        <v>1073.24</v>
      </c>
    </row>
    <row r="1168" spans="1:25" ht="25.5" hidden="1" x14ac:dyDescent="0.35">
      <c r="A1168" s="3" t="s">
        <v>26</v>
      </c>
      <c r="B1168" s="3" t="s">
        <v>27</v>
      </c>
      <c r="C1168" s="3" t="s">
        <v>28</v>
      </c>
      <c r="D1168" s="3" t="s">
        <v>29</v>
      </c>
      <c r="E1168" s="3" t="s">
        <v>1410</v>
      </c>
      <c r="F1168" s="3" t="s">
        <v>31</v>
      </c>
      <c r="G1168" s="3" t="s">
        <v>1410</v>
      </c>
      <c r="H1168" s="3" t="s">
        <v>32</v>
      </c>
      <c r="I1168" s="3">
        <v>2024</v>
      </c>
      <c r="J1168" s="3" t="str">
        <f>CONCATENATE("44810463933")</f>
        <v>44810463933</v>
      </c>
      <c r="K1168" s="3" t="s">
        <v>33</v>
      </c>
      <c r="L1168" s="3" t="str">
        <f t="shared" si="72"/>
        <v/>
      </c>
      <c r="M1168" s="3" t="str">
        <f t="shared" si="73"/>
        <v>SRA29</v>
      </c>
      <c r="N1168" s="3" t="str">
        <f>CONCATENATE("03339050712")</f>
        <v>03339050712</v>
      </c>
      <c r="O1168" s="3" t="s">
        <v>1766</v>
      </c>
      <c r="P1168" s="3" t="s">
        <v>35</v>
      </c>
      <c r="Q1168" s="3" t="s">
        <v>1389</v>
      </c>
      <c r="R1168" s="4">
        <v>45916</v>
      </c>
      <c r="S1168" s="3" t="s">
        <v>37</v>
      </c>
      <c r="T1168" s="3" t="s">
        <v>38</v>
      </c>
      <c r="U1168" s="3" t="s">
        <v>39</v>
      </c>
      <c r="V1168" s="5">
        <v>31074.33</v>
      </c>
      <c r="W1168" s="5">
        <v>15692.54</v>
      </c>
      <c r="X1168" s="5">
        <v>10767.26</v>
      </c>
      <c r="Y1168" s="5">
        <v>4614.53</v>
      </c>
    </row>
    <row r="1169" spans="1:25" ht="41.5" hidden="1" x14ac:dyDescent="0.35">
      <c r="A1169" s="3" t="s">
        <v>26</v>
      </c>
      <c r="B1169" s="3" t="s">
        <v>27</v>
      </c>
      <c r="C1169" s="3" t="s">
        <v>28</v>
      </c>
      <c r="D1169" s="3" t="s">
        <v>41</v>
      </c>
      <c r="E1169" s="3" t="s">
        <v>1402</v>
      </c>
      <c r="F1169" s="3" t="s">
        <v>43</v>
      </c>
      <c r="G1169" s="3" t="s">
        <v>1402</v>
      </c>
      <c r="H1169" s="3" t="s">
        <v>1403</v>
      </c>
      <c r="I1169" s="3">
        <v>2024</v>
      </c>
      <c r="J1169" s="3" t="str">
        <f>CONCATENATE("44811165636")</f>
        <v>44811165636</v>
      </c>
      <c r="K1169" s="3" t="s">
        <v>33</v>
      </c>
      <c r="L1169" s="3" t="str">
        <f t="shared" si="72"/>
        <v/>
      </c>
      <c r="M1169" s="3" t="str">
        <f t="shared" si="73"/>
        <v>SRA29</v>
      </c>
      <c r="N1169" s="3" t="str">
        <f>CONCATENATE("SPCMRC90S23D862Z")</f>
        <v>SPCMRC90S23D862Z</v>
      </c>
      <c r="O1169" s="3" t="s">
        <v>1767</v>
      </c>
      <c r="P1169" s="3" t="s">
        <v>35</v>
      </c>
      <c r="Q1169" s="3" t="s">
        <v>1389</v>
      </c>
      <c r="R1169" s="4">
        <v>45916</v>
      </c>
      <c r="S1169" s="3" t="s">
        <v>37</v>
      </c>
      <c r="T1169" s="3" t="s">
        <v>38</v>
      </c>
      <c r="U1169" s="3" t="s">
        <v>39</v>
      </c>
      <c r="V1169" s="5">
        <v>2738.75</v>
      </c>
      <c r="W1169" s="5">
        <v>1383.07</v>
      </c>
      <c r="X1169" s="3">
        <v>948.98</v>
      </c>
      <c r="Y1169" s="3">
        <v>406.7</v>
      </c>
    </row>
    <row r="1170" spans="1:25" ht="49.5" hidden="1" x14ac:dyDescent="0.35">
      <c r="A1170" s="3" t="s">
        <v>26</v>
      </c>
      <c r="B1170" s="3" t="s">
        <v>27</v>
      </c>
      <c r="C1170" s="3" t="s">
        <v>28</v>
      </c>
      <c r="D1170" s="3" t="s">
        <v>75</v>
      </c>
      <c r="E1170" s="3" t="s">
        <v>1768</v>
      </c>
      <c r="F1170" s="3" t="s">
        <v>77</v>
      </c>
      <c r="G1170" s="3" t="s">
        <v>1768</v>
      </c>
      <c r="H1170" s="3" t="s">
        <v>1403</v>
      </c>
      <c r="I1170" s="3">
        <v>2024</v>
      </c>
      <c r="J1170" s="3" t="str">
        <f>CONCATENATE("44810499531")</f>
        <v>44810499531</v>
      </c>
      <c r="K1170" s="3" t="s">
        <v>33</v>
      </c>
      <c r="L1170" s="3" t="str">
        <f t="shared" si="72"/>
        <v/>
      </c>
      <c r="M1170" s="3" t="str">
        <f t="shared" si="73"/>
        <v>SRA29</v>
      </c>
      <c r="N1170" s="3" t="str">
        <f>CONCATENATE("STCNNL66M44D883N")</f>
        <v>STCNNL66M44D883N</v>
      </c>
      <c r="O1170" s="3" t="s">
        <v>1769</v>
      </c>
      <c r="P1170" s="3" t="s">
        <v>35</v>
      </c>
      <c r="Q1170" s="3" t="s">
        <v>1389</v>
      </c>
      <c r="R1170" s="4">
        <v>45916</v>
      </c>
      <c r="S1170" s="3" t="s">
        <v>37</v>
      </c>
      <c r="T1170" s="3" t="s">
        <v>38</v>
      </c>
      <c r="U1170" s="3" t="s">
        <v>39</v>
      </c>
      <c r="V1170" s="5">
        <v>3294.44</v>
      </c>
      <c r="W1170" s="5">
        <v>1663.69</v>
      </c>
      <c r="X1170" s="5">
        <v>1141.52</v>
      </c>
      <c r="Y1170" s="3">
        <v>489.23</v>
      </c>
    </row>
    <row r="1171" spans="1:25" ht="25.5" hidden="1" x14ac:dyDescent="0.35">
      <c r="A1171" s="3" t="s">
        <v>26</v>
      </c>
      <c r="B1171" s="3" t="s">
        <v>27</v>
      </c>
      <c r="C1171" s="3" t="s">
        <v>28</v>
      </c>
      <c r="D1171" s="3" t="s">
        <v>75</v>
      </c>
      <c r="E1171" s="3" t="s">
        <v>1645</v>
      </c>
      <c r="F1171" s="3" t="s">
        <v>77</v>
      </c>
      <c r="G1171" s="3" t="s">
        <v>1645</v>
      </c>
      <c r="H1171" s="3" t="s">
        <v>32</v>
      </c>
      <c r="I1171" s="3">
        <v>2024</v>
      </c>
      <c r="J1171" s="3" t="str">
        <f>CONCATENATE("44811035219")</f>
        <v>44811035219</v>
      </c>
      <c r="K1171" s="3" t="s">
        <v>33</v>
      </c>
      <c r="L1171" s="3" t="str">
        <f t="shared" si="72"/>
        <v/>
      </c>
      <c r="M1171" s="3" t="str">
        <f t="shared" si="73"/>
        <v>SRA29</v>
      </c>
      <c r="N1171" s="3" t="str">
        <f>CONCATENATE("06949140724")</f>
        <v>06949140724</v>
      </c>
      <c r="O1171" s="3" t="s">
        <v>1770</v>
      </c>
      <c r="P1171" s="3" t="s">
        <v>35</v>
      </c>
      <c r="Q1171" s="3" t="s">
        <v>1389</v>
      </c>
      <c r="R1171" s="4">
        <v>45916</v>
      </c>
      <c r="S1171" s="3" t="s">
        <v>37</v>
      </c>
      <c r="T1171" s="3" t="s">
        <v>38</v>
      </c>
      <c r="U1171" s="3" t="s">
        <v>39</v>
      </c>
      <c r="V1171" s="5">
        <v>27016.91</v>
      </c>
      <c r="W1171" s="5">
        <v>13643.54</v>
      </c>
      <c r="X1171" s="5">
        <v>9361.36</v>
      </c>
      <c r="Y1171" s="5">
        <v>4012.01</v>
      </c>
    </row>
    <row r="1172" spans="1:25" ht="25.5" hidden="1" x14ac:dyDescent="0.35">
      <c r="A1172" s="3" t="s">
        <v>26</v>
      </c>
      <c r="B1172" s="3" t="s">
        <v>27</v>
      </c>
      <c r="C1172" s="3" t="s">
        <v>28</v>
      </c>
      <c r="D1172" s="3" t="s">
        <v>61</v>
      </c>
      <c r="E1172" s="3" t="s">
        <v>1771</v>
      </c>
      <c r="F1172" s="3" t="s">
        <v>63</v>
      </c>
      <c r="G1172" s="3" t="s">
        <v>1771</v>
      </c>
      <c r="H1172" s="3" t="s">
        <v>72</v>
      </c>
      <c r="I1172" s="3">
        <v>2024</v>
      </c>
      <c r="J1172" s="3" t="str">
        <f>CONCATENATE("44810776565")</f>
        <v>44810776565</v>
      </c>
      <c r="K1172" s="3" t="s">
        <v>33</v>
      </c>
      <c r="L1172" s="3" t="str">
        <f t="shared" si="72"/>
        <v/>
      </c>
      <c r="M1172" s="3" t="str">
        <f t="shared" si="73"/>
        <v>SRA29</v>
      </c>
      <c r="N1172" s="3" t="str">
        <f>CONCATENATE("08638770720")</f>
        <v>08638770720</v>
      </c>
      <c r="O1172" s="3" t="s">
        <v>1772</v>
      </c>
      <c r="P1172" s="3" t="s">
        <v>35</v>
      </c>
      <c r="Q1172" s="3" t="s">
        <v>1389</v>
      </c>
      <c r="R1172" s="4">
        <v>45916</v>
      </c>
      <c r="S1172" s="3" t="s">
        <v>37</v>
      </c>
      <c r="T1172" s="3" t="s">
        <v>38</v>
      </c>
      <c r="U1172" s="3" t="s">
        <v>39</v>
      </c>
      <c r="V1172" s="3">
        <v>383.62</v>
      </c>
      <c r="W1172" s="3">
        <v>193.73</v>
      </c>
      <c r="X1172" s="3">
        <v>132.91999999999999</v>
      </c>
      <c r="Y1172" s="3">
        <v>56.97</v>
      </c>
    </row>
    <row r="1173" spans="1:25" ht="49.5" hidden="1" x14ac:dyDescent="0.35">
      <c r="A1173" s="3" t="s">
        <v>26</v>
      </c>
      <c r="B1173" s="3" t="s">
        <v>27</v>
      </c>
      <c r="C1173" s="3" t="s">
        <v>28</v>
      </c>
      <c r="D1173" s="3" t="s">
        <v>41</v>
      </c>
      <c r="E1173" s="3" t="s">
        <v>1525</v>
      </c>
      <c r="F1173" s="3" t="s">
        <v>43</v>
      </c>
      <c r="G1173" s="3" t="s">
        <v>1525</v>
      </c>
      <c r="H1173" s="3" t="s">
        <v>1403</v>
      </c>
      <c r="I1173" s="3">
        <v>2024</v>
      </c>
      <c r="J1173" s="3" t="str">
        <f>CONCATENATE("44810616464")</f>
        <v>44810616464</v>
      </c>
      <c r="K1173" s="3" t="s">
        <v>33</v>
      </c>
      <c r="L1173" s="3" t="str">
        <f t="shared" si="72"/>
        <v/>
      </c>
      <c r="M1173" s="3" t="str">
        <f t="shared" si="73"/>
        <v>SRA29</v>
      </c>
      <c r="N1173" s="3" t="str">
        <f>CONCATENATE("TNDDNC60M09M187U")</f>
        <v>TNDDNC60M09M187U</v>
      </c>
      <c r="O1173" s="3" t="s">
        <v>1773</v>
      </c>
      <c r="P1173" s="3" t="s">
        <v>35</v>
      </c>
      <c r="Q1173" s="3" t="s">
        <v>1389</v>
      </c>
      <c r="R1173" s="4">
        <v>45916</v>
      </c>
      <c r="S1173" s="3" t="s">
        <v>37</v>
      </c>
      <c r="T1173" s="3" t="s">
        <v>38</v>
      </c>
      <c r="U1173" s="3" t="s">
        <v>39</v>
      </c>
      <c r="V1173" s="5">
        <v>7588.09</v>
      </c>
      <c r="W1173" s="5">
        <v>3831.99</v>
      </c>
      <c r="X1173" s="5">
        <v>2629.27</v>
      </c>
      <c r="Y1173" s="5">
        <v>1126.83</v>
      </c>
    </row>
    <row r="1174" spans="1:25" ht="41.5" hidden="1" x14ac:dyDescent="0.35">
      <c r="A1174" s="3" t="s">
        <v>26</v>
      </c>
      <c r="B1174" s="3" t="s">
        <v>27</v>
      </c>
      <c r="C1174" s="3" t="s">
        <v>28</v>
      </c>
      <c r="D1174" s="3" t="s">
        <v>61</v>
      </c>
      <c r="E1174" s="3" t="s">
        <v>1396</v>
      </c>
      <c r="F1174" s="3" t="s">
        <v>63</v>
      </c>
      <c r="G1174" s="3" t="s">
        <v>1396</v>
      </c>
      <c r="H1174" s="3" t="s">
        <v>72</v>
      </c>
      <c r="I1174" s="3">
        <v>2024</v>
      </c>
      <c r="J1174" s="3" t="str">
        <f>CONCATENATE("44810839785")</f>
        <v>44810839785</v>
      </c>
      <c r="K1174" s="3" t="s">
        <v>33</v>
      </c>
      <c r="L1174" s="3" t="str">
        <f t="shared" si="72"/>
        <v/>
      </c>
      <c r="M1174" s="3" t="str">
        <f t="shared" si="73"/>
        <v>SRA29</v>
      </c>
      <c r="N1174" s="3" t="str">
        <f>CONCATENATE("TRTGTN93C21A893O")</f>
        <v>TRTGTN93C21A893O</v>
      </c>
      <c r="O1174" s="3" t="s">
        <v>1774</v>
      </c>
      <c r="P1174" s="3" t="s">
        <v>35</v>
      </c>
      <c r="Q1174" s="3" t="s">
        <v>1389</v>
      </c>
      <c r="R1174" s="4">
        <v>45916</v>
      </c>
      <c r="S1174" s="3" t="s">
        <v>37</v>
      </c>
      <c r="T1174" s="3" t="s">
        <v>38</v>
      </c>
      <c r="U1174" s="3" t="s">
        <v>39</v>
      </c>
      <c r="V1174" s="5">
        <v>5346.97</v>
      </c>
      <c r="W1174" s="5">
        <v>2700.22</v>
      </c>
      <c r="X1174" s="5">
        <v>1852.73</v>
      </c>
      <c r="Y1174" s="3">
        <v>794.02</v>
      </c>
    </row>
    <row r="1175" spans="1:25" ht="41.5" hidden="1" x14ac:dyDescent="0.35">
      <c r="A1175" s="3" t="s">
        <v>26</v>
      </c>
      <c r="B1175" s="3" t="s">
        <v>27</v>
      </c>
      <c r="C1175" s="3" t="s">
        <v>28</v>
      </c>
      <c r="D1175" s="3" t="s">
        <v>51</v>
      </c>
      <c r="E1175" s="3" t="s">
        <v>161</v>
      </c>
      <c r="F1175" s="3" t="s">
        <v>51</v>
      </c>
      <c r="G1175" s="3" t="s">
        <v>161</v>
      </c>
      <c r="H1175" s="3" t="s">
        <v>72</v>
      </c>
      <c r="I1175" s="3">
        <v>2024</v>
      </c>
      <c r="J1175" s="3" t="str">
        <f>CONCATENATE("44810856003")</f>
        <v>44810856003</v>
      </c>
      <c r="K1175" s="3" t="s">
        <v>33</v>
      </c>
      <c r="L1175" s="3" t="str">
        <f t="shared" si="72"/>
        <v/>
      </c>
      <c r="M1175" s="3" t="str">
        <f t="shared" si="73"/>
        <v>SRA29</v>
      </c>
      <c r="N1175" s="3" t="str">
        <f>CONCATENATE("TRGNCL91A07F262G")</f>
        <v>TRGNCL91A07F262G</v>
      </c>
      <c r="O1175" s="3" t="s">
        <v>1775</v>
      </c>
      <c r="P1175" s="3" t="s">
        <v>35</v>
      </c>
      <c r="Q1175" s="3" t="s">
        <v>1389</v>
      </c>
      <c r="R1175" s="4">
        <v>45916</v>
      </c>
      <c r="S1175" s="3" t="s">
        <v>37</v>
      </c>
      <c r="T1175" s="3" t="s">
        <v>38</v>
      </c>
      <c r="U1175" s="3" t="s">
        <v>39</v>
      </c>
      <c r="V1175" s="3">
        <v>243.23</v>
      </c>
      <c r="W1175" s="3">
        <v>122.83</v>
      </c>
      <c r="X1175" s="3">
        <v>84.28</v>
      </c>
      <c r="Y1175" s="3">
        <v>36.119999999999997</v>
      </c>
    </row>
    <row r="1176" spans="1:25" ht="41.5" hidden="1" x14ac:dyDescent="0.35">
      <c r="A1176" s="3" t="s">
        <v>26</v>
      </c>
      <c r="B1176" s="3" t="s">
        <v>27</v>
      </c>
      <c r="C1176" s="3" t="s">
        <v>28</v>
      </c>
      <c r="D1176" s="3" t="s">
        <v>41</v>
      </c>
      <c r="E1176" s="3" t="s">
        <v>1629</v>
      </c>
      <c r="F1176" s="3" t="s">
        <v>31</v>
      </c>
      <c r="G1176" s="3" t="s">
        <v>1579</v>
      </c>
      <c r="H1176" s="3" t="s">
        <v>72</v>
      </c>
      <c r="I1176" s="3">
        <v>2024</v>
      </c>
      <c r="J1176" s="3" t="str">
        <f>CONCATENATE("44810969384")</f>
        <v>44810969384</v>
      </c>
      <c r="K1176" s="3" t="s">
        <v>33</v>
      </c>
      <c r="L1176" s="3" t="str">
        <f t="shared" si="72"/>
        <v/>
      </c>
      <c r="M1176" s="3" t="str">
        <f t="shared" si="73"/>
        <v>SRA29</v>
      </c>
      <c r="N1176" s="3" t="str">
        <f>CONCATENATE("TRCNTN97B17E223K")</f>
        <v>TRCNTN97B17E223K</v>
      </c>
      <c r="O1176" s="3" t="s">
        <v>1776</v>
      </c>
      <c r="P1176" s="3" t="s">
        <v>35</v>
      </c>
      <c r="Q1176" s="3" t="s">
        <v>1389</v>
      </c>
      <c r="R1176" s="4">
        <v>45916</v>
      </c>
      <c r="S1176" s="3" t="s">
        <v>37</v>
      </c>
      <c r="T1176" s="3" t="s">
        <v>38</v>
      </c>
      <c r="U1176" s="3" t="s">
        <v>39</v>
      </c>
      <c r="V1176" s="5">
        <v>7703.63</v>
      </c>
      <c r="W1176" s="5">
        <v>3890.33</v>
      </c>
      <c r="X1176" s="5">
        <v>2669.31</v>
      </c>
      <c r="Y1176" s="5">
        <v>1143.99</v>
      </c>
    </row>
    <row r="1177" spans="1:25" ht="49.5" hidden="1" x14ac:dyDescent="0.35">
      <c r="A1177" s="3" t="s">
        <v>26</v>
      </c>
      <c r="B1177" s="3" t="s">
        <v>27</v>
      </c>
      <c r="C1177" s="3" t="s">
        <v>28</v>
      </c>
      <c r="D1177" s="3" t="s">
        <v>164</v>
      </c>
      <c r="E1177" s="3" t="s">
        <v>1777</v>
      </c>
      <c r="F1177" s="3" t="s">
        <v>166</v>
      </c>
      <c r="G1177" s="3" t="s">
        <v>1777</v>
      </c>
      <c r="H1177" s="3" t="s">
        <v>72</v>
      </c>
      <c r="I1177" s="3">
        <v>2024</v>
      </c>
      <c r="J1177" s="3" t="str">
        <f>CONCATENATE("44811287232")</f>
        <v>44811287232</v>
      </c>
      <c r="K1177" s="3" t="s">
        <v>33</v>
      </c>
      <c r="L1177" s="3" t="str">
        <f t="shared" si="72"/>
        <v/>
      </c>
      <c r="M1177" s="3" t="str">
        <f t="shared" si="73"/>
        <v>SRA29</v>
      </c>
      <c r="N1177" s="3" t="str">
        <f>CONCATENATE("TRCGCM95M19A662V")</f>
        <v>TRCGCM95M19A662V</v>
      </c>
      <c r="O1177" s="3" t="s">
        <v>1778</v>
      </c>
      <c r="P1177" s="3" t="s">
        <v>35</v>
      </c>
      <c r="Q1177" s="3" t="s">
        <v>1389</v>
      </c>
      <c r="R1177" s="4">
        <v>45916</v>
      </c>
      <c r="S1177" s="3" t="s">
        <v>37</v>
      </c>
      <c r="T1177" s="3" t="s">
        <v>38</v>
      </c>
      <c r="U1177" s="3" t="s">
        <v>39</v>
      </c>
      <c r="V1177" s="5">
        <v>2554.0700000000002</v>
      </c>
      <c r="W1177" s="5">
        <v>1289.81</v>
      </c>
      <c r="X1177" s="3">
        <v>884.99</v>
      </c>
      <c r="Y1177" s="3">
        <v>379.27</v>
      </c>
    </row>
    <row r="1178" spans="1:25" ht="25.5" hidden="1" x14ac:dyDescent="0.35">
      <c r="A1178" s="3" t="s">
        <v>26</v>
      </c>
      <c r="B1178" s="3" t="s">
        <v>27</v>
      </c>
      <c r="C1178" s="3" t="s">
        <v>80</v>
      </c>
      <c r="D1178" s="3" t="s">
        <v>41</v>
      </c>
      <c r="E1178" s="3" t="s">
        <v>81</v>
      </c>
      <c r="F1178" s="3" t="s">
        <v>43</v>
      </c>
      <c r="G1178" s="3" t="s">
        <v>81</v>
      </c>
      <c r="H1178" s="3" t="s">
        <v>82</v>
      </c>
      <c r="I1178" s="3">
        <v>2024</v>
      </c>
      <c r="J1178" s="3" t="str">
        <f>CONCATENATE("44810374601")</f>
        <v>44810374601</v>
      </c>
      <c r="K1178" s="3" t="s">
        <v>33</v>
      </c>
      <c r="L1178" s="3" t="str">
        <f t="shared" si="72"/>
        <v/>
      </c>
      <c r="M1178" s="3" t="str">
        <f>CONCATENATE("SRA21")</f>
        <v>SRA21</v>
      </c>
      <c r="N1178" s="3" t="str">
        <f>CONCATENATE("01362480087")</f>
        <v>01362480087</v>
      </c>
      <c r="O1178" s="3" t="s">
        <v>83</v>
      </c>
      <c r="P1178" s="3" t="s">
        <v>35</v>
      </c>
      <c r="Q1178" s="3" t="s">
        <v>1779</v>
      </c>
      <c r="R1178" s="4">
        <v>45932</v>
      </c>
      <c r="S1178" s="3" t="s">
        <v>37</v>
      </c>
      <c r="T1178" s="3" t="s">
        <v>38</v>
      </c>
      <c r="U1178" s="3" t="s">
        <v>39</v>
      </c>
      <c r="V1178" s="3">
        <v>861.5</v>
      </c>
      <c r="W1178" s="3">
        <v>350.63</v>
      </c>
      <c r="X1178" s="3">
        <v>357.61</v>
      </c>
      <c r="Y1178" s="3">
        <v>153.26</v>
      </c>
    </row>
    <row r="1179" spans="1:25" ht="49.5" hidden="1" x14ac:dyDescent="0.35">
      <c r="A1179" s="3" t="s">
        <v>26</v>
      </c>
      <c r="B1179" s="3" t="s">
        <v>27</v>
      </c>
      <c r="C1179" s="3" t="s">
        <v>478</v>
      </c>
      <c r="D1179" s="3" t="s">
        <v>75</v>
      </c>
      <c r="E1179" s="3" t="s">
        <v>582</v>
      </c>
      <c r="F1179" s="3" t="s">
        <v>77</v>
      </c>
      <c r="G1179" s="3" t="s">
        <v>582</v>
      </c>
      <c r="H1179" s="3" t="s">
        <v>614</v>
      </c>
      <c r="I1179" s="3">
        <v>2024</v>
      </c>
      <c r="J1179" s="3" t="str">
        <f>CONCATENATE("44811336781")</f>
        <v>44811336781</v>
      </c>
      <c r="K1179" s="3" t="s">
        <v>33</v>
      </c>
      <c r="L1179" s="3" t="str">
        <f t="shared" si="72"/>
        <v/>
      </c>
      <c r="M1179" s="3" t="str">
        <f>CONCATENATE("SRA30")</f>
        <v>SRA30</v>
      </c>
      <c r="N1179" s="3" t="str">
        <f>CONCATENATE("DPLDNT95R07A783V")</f>
        <v>DPLDNT95R07A783V</v>
      </c>
      <c r="O1179" s="3" t="s">
        <v>1471</v>
      </c>
      <c r="P1179" s="3" t="s">
        <v>35</v>
      </c>
      <c r="Q1179" s="3" t="s">
        <v>1762</v>
      </c>
      <c r="R1179" s="4">
        <v>45933</v>
      </c>
      <c r="S1179" s="3" t="s">
        <v>37</v>
      </c>
      <c r="T1179" s="3" t="s">
        <v>38</v>
      </c>
      <c r="U1179" s="3" t="s">
        <v>39</v>
      </c>
      <c r="V1179" s="5">
        <v>7039.44</v>
      </c>
      <c r="W1179" s="5">
        <v>3554.92</v>
      </c>
      <c r="X1179" s="5">
        <v>2439.17</v>
      </c>
      <c r="Y1179" s="5">
        <v>1045.3499999999999</v>
      </c>
    </row>
    <row r="1180" spans="1:25" ht="49.5" hidden="1" x14ac:dyDescent="0.35">
      <c r="A1180" s="3" t="s">
        <v>26</v>
      </c>
      <c r="B1180" s="3" t="s">
        <v>27</v>
      </c>
      <c r="C1180" s="3" t="s">
        <v>478</v>
      </c>
      <c r="D1180" s="3" t="s">
        <v>234</v>
      </c>
      <c r="E1180" s="3" t="s">
        <v>120</v>
      </c>
      <c r="F1180" s="3" t="s">
        <v>119</v>
      </c>
      <c r="G1180" s="3" t="s">
        <v>120</v>
      </c>
      <c r="H1180" s="3" t="s">
        <v>614</v>
      </c>
      <c r="I1180" s="3">
        <v>2024</v>
      </c>
      <c r="J1180" s="3" t="str">
        <f>CONCATENATE("44811027224")</f>
        <v>44811027224</v>
      </c>
      <c r="K1180" s="3" t="s">
        <v>33</v>
      </c>
      <c r="L1180" s="3" t="str">
        <f t="shared" si="72"/>
        <v/>
      </c>
      <c r="M1180" s="3" t="str">
        <f>CONCATENATE("SRA30")</f>
        <v>SRA30</v>
      </c>
      <c r="N1180" s="3" t="str">
        <f>CONCATENATE("DMRDNC71H11I179U")</f>
        <v>DMRDNC71H11I179U</v>
      </c>
      <c r="O1180" s="3" t="s">
        <v>1780</v>
      </c>
      <c r="P1180" s="3" t="s">
        <v>35</v>
      </c>
      <c r="Q1180" s="3" t="s">
        <v>1762</v>
      </c>
      <c r="R1180" s="4">
        <v>45933</v>
      </c>
      <c r="S1180" s="3" t="s">
        <v>37</v>
      </c>
      <c r="T1180" s="3" t="s">
        <v>38</v>
      </c>
      <c r="U1180" s="3" t="s">
        <v>39</v>
      </c>
      <c r="V1180" s="5">
        <v>38163.9</v>
      </c>
      <c r="W1180" s="5">
        <v>19272.77</v>
      </c>
      <c r="X1180" s="5">
        <v>13223.79</v>
      </c>
      <c r="Y1180" s="5">
        <v>5667.34</v>
      </c>
    </row>
    <row r="1181" spans="1:25" ht="41.5" hidden="1" x14ac:dyDescent="0.35">
      <c r="A1181" s="3" t="s">
        <v>26</v>
      </c>
      <c r="B1181" s="3" t="s">
        <v>27</v>
      </c>
      <c r="C1181" s="3" t="s">
        <v>28</v>
      </c>
      <c r="D1181" s="3" t="s">
        <v>29</v>
      </c>
      <c r="E1181" s="3" t="s">
        <v>1781</v>
      </c>
      <c r="F1181" s="3" t="s">
        <v>31</v>
      </c>
      <c r="G1181" s="3" t="s">
        <v>1781</v>
      </c>
      <c r="H1181" s="3" t="s">
        <v>866</v>
      </c>
      <c r="I1181" s="3">
        <v>2024</v>
      </c>
      <c r="J1181" s="3" t="str">
        <f>CONCATENATE("44820544797")</f>
        <v>44820544797</v>
      </c>
      <c r="K1181" s="3" t="s">
        <v>33</v>
      </c>
      <c r="L1181" s="3" t="str">
        <f t="shared" si="72"/>
        <v/>
      </c>
      <c r="M1181" s="3" t="str">
        <f>CONCATENATE("SRB02")</f>
        <v>SRB02</v>
      </c>
      <c r="N1181" s="3" t="str">
        <f>CONCATENATE("CSLPQL78B19E986Y")</f>
        <v>CSLPQL78B19E986Y</v>
      </c>
      <c r="O1181" s="3" t="s">
        <v>1782</v>
      </c>
      <c r="P1181" s="3" t="s">
        <v>35</v>
      </c>
      <c r="Q1181" s="3" t="s">
        <v>1783</v>
      </c>
      <c r="R1181" s="4">
        <v>45926</v>
      </c>
      <c r="S1181" s="3" t="s">
        <v>37</v>
      </c>
      <c r="T1181" s="3" t="s">
        <v>38</v>
      </c>
      <c r="U1181" s="3" t="s">
        <v>39</v>
      </c>
      <c r="V1181" s="5">
        <v>4759.03</v>
      </c>
      <c r="W1181" s="5">
        <v>2403.31</v>
      </c>
      <c r="X1181" s="5">
        <v>1649</v>
      </c>
      <c r="Y1181" s="3">
        <v>706.72</v>
      </c>
    </row>
    <row r="1182" spans="1:25" ht="41.5" hidden="1" x14ac:dyDescent="0.35">
      <c r="A1182" s="3" t="s">
        <v>26</v>
      </c>
      <c r="B1182" s="3" t="s">
        <v>27</v>
      </c>
      <c r="C1182" s="3" t="s">
        <v>478</v>
      </c>
      <c r="D1182" s="3" t="s">
        <v>41</v>
      </c>
      <c r="E1182" s="3" t="s">
        <v>1461</v>
      </c>
      <c r="F1182" s="3" t="s">
        <v>43</v>
      </c>
      <c r="G1182" s="3" t="s">
        <v>1461</v>
      </c>
      <c r="H1182" s="3" t="s">
        <v>614</v>
      </c>
      <c r="I1182" s="3">
        <v>2024</v>
      </c>
      <c r="J1182" s="3" t="str">
        <f>CONCATENATE("44810576841")</f>
        <v>44810576841</v>
      </c>
      <c r="K1182" s="3" t="s">
        <v>33</v>
      </c>
      <c r="L1182" s="3" t="str">
        <f t="shared" si="72"/>
        <v/>
      </c>
      <c r="M1182" s="3" t="str">
        <f t="shared" ref="M1182:M1192" si="74">CONCATENATE("SRA30")</f>
        <v>SRA30</v>
      </c>
      <c r="N1182" s="3" t="str">
        <f>CONCATENATE("FNTMRA76S54A064V")</f>
        <v>FNTMRA76S54A064V</v>
      </c>
      <c r="O1182" s="3" t="s">
        <v>1462</v>
      </c>
      <c r="P1182" s="3" t="s">
        <v>35</v>
      </c>
      <c r="Q1182" s="3" t="s">
        <v>1762</v>
      </c>
      <c r="R1182" s="4">
        <v>45933</v>
      </c>
      <c r="S1182" s="3" t="s">
        <v>37</v>
      </c>
      <c r="T1182" s="3" t="s">
        <v>38</v>
      </c>
      <c r="U1182" s="3" t="s">
        <v>39</v>
      </c>
      <c r="V1182" s="5">
        <v>7306.21</v>
      </c>
      <c r="W1182" s="5">
        <v>3689.64</v>
      </c>
      <c r="X1182" s="5">
        <v>2531.6</v>
      </c>
      <c r="Y1182" s="5">
        <v>1084.97</v>
      </c>
    </row>
    <row r="1183" spans="1:25" ht="49.5" hidden="1" x14ac:dyDescent="0.35">
      <c r="A1183" s="3" t="s">
        <v>26</v>
      </c>
      <c r="B1183" s="3" t="s">
        <v>27</v>
      </c>
      <c r="C1183" s="3" t="s">
        <v>478</v>
      </c>
      <c r="D1183" s="3" t="s">
        <v>75</v>
      </c>
      <c r="E1183" s="3" t="s">
        <v>582</v>
      </c>
      <c r="F1183" s="3" t="s">
        <v>77</v>
      </c>
      <c r="G1183" s="3" t="s">
        <v>582</v>
      </c>
      <c r="H1183" s="3" t="s">
        <v>614</v>
      </c>
      <c r="I1183" s="3">
        <v>2024</v>
      </c>
      <c r="J1183" s="3" t="str">
        <f>CONCATENATE("44811336914")</f>
        <v>44811336914</v>
      </c>
      <c r="K1183" s="3" t="s">
        <v>33</v>
      </c>
      <c r="L1183" s="3" t="str">
        <f t="shared" si="72"/>
        <v/>
      </c>
      <c r="M1183" s="3" t="str">
        <f t="shared" si="74"/>
        <v>SRA30</v>
      </c>
      <c r="N1183" s="3" t="str">
        <f>CONCATENATE("GLLGRG76B18H898R")</f>
        <v>GLLGRG76B18H898R</v>
      </c>
      <c r="O1183" s="3" t="s">
        <v>1338</v>
      </c>
      <c r="P1183" s="3" t="s">
        <v>35</v>
      </c>
      <c r="Q1183" s="3" t="s">
        <v>1762</v>
      </c>
      <c r="R1183" s="4">
        <v>45933</v>
      </c>
      <c r="S1183" s="3" t="s">
        <v>37</v>
      </c>
      <c r="T1183" s="3" t="s">
        <v>38</v>
      </c>
      <c r="U1183" s="3" t="s">
        <v>39</v>
      </c>
      <c r="V1183" s="5">
        <v>10920.93</v>
      </c>
      <c r="W1183" s="5">
        <v>5515.07</v>
      </c>
      <c r="X1183" s="5">
        <v>3784.1</v>
      </c>
      <c r="Y1183" s="5">
        <v>1621.76</v>
      </c>
    </row>
    <row r="1184" spans="1:25" ht="41.5" hidden="1" x14ac:dyDescent="0.35">
      <c r="A1184" s="3" t="s">
        <v>26</v>
      </c>
      <c r="B1184" s="3" t="s">
        <v>27</v>
      </c>
      <c r="C1184" s="3" t="s">
        <v>478</v>
      </c>
      <c r="D1184" s="3" t="s">
        <v>41</v>
      </c>
      <c r="E1184" s="3" t="s">
        <v>1339</v>
      </c>
      <c r="F1184" s="3" t="s">
        <v>43</v>
      </c>
      <c r="G1184" s="3" t="s">
        <v>1339</v>
      </c>
      <c r="H1184" s="3" t="s">
        <v>614</v>
      </c>
      <c r="I1184" s="3">
        <v>2024</v>
      </c>
      <c r="J1184" s="3" t="str">
        <f>CONCATENATE("44810441145")</f>
        <v>44810441145</v>
      </c>
      <c r="K1184" s="3" t="s">
        <v>33</v>
      </c>
      <c r="L1184" s="3" t="str">
        <f t="shared" si="72"/>
        <v/>
      </c>
      <c r="M1184" s="3" t="str">
        <f t="shared" si="74"/>
        <v>SRA30</v>
      </c>
      <c r="N1184" s="3" t="str">
        <f>CONCATENATE("GGNGZN98M08L086C")</f>
        <v>GGNGZN98M08L086C</v>
      </c>
      <c r="O1184" s="3" t="s">
        <v>1340</v>
      </c>
      <c r="P1184" s="3" t="s">
        <v>35</v>
      </c>
      <c r="Q1184" s="3" t="s">
        <v>1762</v>
      </c>
      <c r="R1184" s="4">
        <v>45933</v>
      </c>
      <c r="S1184" s="3" t="s">
        <v>37</v>
      </c>
      <c r="T1184" s="3" t="s">
        <v>38</v>
      </c>
      <c r="U1184" s="3" t="s">
        <v>39</v>
      </c>
      <c r="V1184" s="5">
        <v>13628.33</v>
      </c>
      <c r="W1184" s="5">
        <v>6882.31</v>
      </c>
      <c r="X1184" s="5">
        <v>4722.22</v>
      </c>
      <c r="Y1184" s="5">
        <v>2023.8</v>
      </c>
    </row>
    <row r="1185" spans="1:25" ht="41.5" hidden="1" x14ac:dyDescent="0.35">
      <c r="A1185" s="3" t="s">
        <v>26</v>
      </c>
      <c r="B1185" s="3" t="s">
        <v>27</v>
      </c>
      <c r="C1185" s="3" t="s">
        <v>478</v>
      </c>
      <c r="D1185" s="3" t="s">
        <v>234</v>
      </c>
      <c r="E1185" s="3" t="s">
        <v>120</v>
      </c>
      <c r="F1185" s="3" t="s">
        <v>119</v>
      </c>
      <c r="G1185" s="3" t="s">
        <v>120</v>
      </c>
      <c r="H1185" s="3" t="s">
        <v>614</v>
      </c>
      <c r="I1185" s="3">
        <v>2024</v>
      </c>
      <c r="J1185" s="3" t="str">
        <f>CONCATENATE("44811351871")</f>
        <v>44811351871</v>
      </c>
      <c r="K1185" s="3" t="s">
        <v>33</v>
      </c>
      <c r="L1185" s="3" t="str">
        <f t="shared" si="72"/>
        <v/>
      </c>
      <c r="M1185" s="3" t="str">
        <f t="shared" si="74"/>
        <v>SRA30</v>
      </c>
      <c r="N1185" s="3" t="str">
        <f>CONCATENATE("GRNVTI65L19C525P")</f>
        <v>GRNVTI65L19C525P</v>
      </c>
      <c r="O1185" s="3" t="s">
        <v>1279</v>
      </c>
      <c r="P1185" s="3" t="s">
        <v>35</v>
      </c>
      <c r="Q1185" s="3" t="s">
        <v>1762</v>
      </c>
      <c r="R1185" s="4">
        <v>45933</v>
      </c>
      <c r="S1185" s="3" t="s">
        <v>37</v>
      </c>
      <c r="T1185" s="3" t="s">
        <v>38</v>
      </c>
      <c r="U1185" s="3" t="s">
        <v>39</v>
      </c>
      <c r="V1185" s="5">
        <v>8682.8799999999992</v>
      </c>
      <c r="W1185" s="5">
        <v>4384.8500000000004</v>
      </c>
      <c r="X1185" s="5">
        <v>3008.62</v>
      </c>
      <c r="Y1185" s="5">
        <v>1289.4100000000001</v>
      </c>
    </row>
    <row r="1186" spans="1:25" ht="41.5" hidden="1" x14ac:dyDescent="0.35">
      <c r="A1186" s="3" t="s">
        <v>26</v>
      </c>
      <c r="B1186" s="3" t="s">
        <v>27</v>
      </c>
      <c r="C1186" s="3" t="s">
        <v>478</v>
      </c>
      <c r="D1186" s="3" t="s">
        <v>75</v>
      </c>
      <c r="E1186" s="3" t="s">
        <v>582</v>
      </c>
      <c r="F1186" s="3" t="s">
        <v>77</v>
      </c>
      <c r="G1186" s="3" t="s">
        <v>582</v>
      </c>
      <c r="H1186" s="3" t="s">
        <v>614</v>
      </c>
      <c r="I1186" s="3">
        <v>2024</v>
      </c>
      <c r="J1186" s="3" t="str">
        <f>CONCATENATE("44810493989")</f>
        <v>44810493989</v>
      </c>
      <c r="K1186" s="3" t="s">
        <v>33</v>
      </c>
      <c r="L1186" s="3" t="str">
        <f t="shared" si="72"/>
        <v/>
      </c>
      <c r="M1186" s="3" t="str">
        <f t="shared" si="74"/>
        <v>SRA30</v>
      </c>
      <c r="N1186" s="3" t="str">
        <f>CONCATENATE("LMBRND94H06A783P")</f>
        <v>LMBRND94H06A783P</v>
      </c>
      <c r="O1186" s="3" t="s">
        <v>1235</v>
      </c>
      <c r="P1186" s="3" t="s">
        <v>35</v>
      </c>
      <c r="Q1186" s="3" t="s">
        <v>1762</v>
      </c>
      <c r="R1186" s="4">
        <v>45933</v>
      </c>
      <c r="S1186" s="3" t="s">
        <v>37</v>
      </c>
      <c r="T1186" s="3" t="s">
        <v>38</v>
      </c>
      <c r="U1186" s="3" t="s">
        <v>39</v>
      </c>
      <c r="V1186" s="5">
        <v>10560.36</v>
      </c>
      <c r="W1186" s="5">
        <v>5332.98</v>
      </c>
      <c r="X1186" s="5">
        <v>3659.16</v>
      </c>
      <c r="Y1186" s="5">
        <v>1568.22</v>
      </c>
    </row>
    <row r="1187" spans="1:25" ht="41.5" hidden="1" x14ac:dyDescent="0.35">
      <c r="A1187" s="3" t="s">
        <v>26</v>
      </c>
      <c r="B1187" s="3" t="s">
        <v>27</v>
      </c>
      <c r="C1187" s="3" t="s">
        <v>478</v>
      </c>
      <c r="D1187" s="3" t="s">
        <v>234</v>
      </c>
      <c r="E1187" s="3" t="s">
        <v>120</v>
      </c>
      <c r="F1187" s="3" t="s">
        <v>119</v>
      </c>
      <c r="G1187" s="3" t="s">
        <v>120</v>
      </c>
      <c r="H1187" s="3" t="s">
        <v>614</v>
      </c>
      <c r="I1187" s="3">
        <v>2024</v>
      </c>
      <c r="J1187" s="3" t="str">
        <f>CONCATENATE("44811518230")</f>
        <v>44811518230</v>
      </c>
      <c r="K1187" s="3" t="s">
        <v>33</v>
      </c>
      <c r="L1187" s="3" t="str">
        <f t="shared" si="72"/>
        <v/>
      </c>
      <c r="M1187" s="3" t="str">
        <f t="shared" si="74"/>
        <v>SRA30</v>
      </c>
      <c r="N1187" s="3" t="str">
        <f>CONCATENATE("MTRGLN92M11C525K")</f>
        <v>MTRGLN92M11C525K</v>
      </c>
      <c r="O1187" s="3" t="s">
        <v>1199</v>
      </c>
      <c r="P1187" s="3" t="s">
        <v>35</v>
      </c>
      <c r="Q1187" s="3" t="s">
        <v>1762</v>
      </c>
      <c r="R1187" s="4">
        <v>45933</v>
      </c>
      <c r="S1187" s="3" t="s">
        <v>37</v>
      </c>
      <c r="T1187" s="3" t="s">
        <v>38</v>
      </c>
      <c r="U1187" s="3" t="s">
        <v>39</v>
      </c>
      <c r="V1187" s="5">
        <v>7006.86</v>
      </c>
      <c r="W1187" s="5">
        <v>3538.46</v>
      </c>
      <c r="X1187" s="5">
        <v>2427.88</v>
      </c>
      <c r="Y1187" s="5">
        <v>1040.52</v>
      </c>
    </row>
    <row r="1188" spans="1:25" ht="41.5" hidden="1" x14ac:dyDescent="0.35">
      <c r="A1188" s="3" t="s">
        <v>26</v>
      </c>
      <c r="B1188" s="3" t="s">
        <v>27</v>
      </c>
      <c r="C1188" s="3" t="s">
        <v>478</v>
      </c>
      <c r="D1188" s="3" t="s">
        <v>234</v>
      </c>
      <c r="E1188" s="3" t="s">
        <v>120</v>
      </c>
      <c r="F1188" s="3" t="s">
        <v>119</v>
      </c>
      <c r="G1188" s="3" t="s">
        <v>120</v>
      </c>
      <c r="H1188" s="3" t="s">
        <v>614</v>
      </c>
      <c r="I1188" s="3">
        <v>2024</v>
      </c>
      <c r="J1188" s="3" t="str">
        <f>CONCATENATE("44811437936")</f>
        <v>44811437936</v>
      </c>
      <c r="K1188" s="3" t="s">
        <v>33</v>
      </c>
      <c r="L1188" s="3" t="str">
        <f t="shared" si="72"/>
        <v/>
      </c>
      <c r="M1188" s="3" t="str">
        <f t="shared" si="74"/>
        <v>SRA30</v>
      </c>
      <c r="N1188" s="3" t="str">
        <f>CONCATENATE("MTRGPP64C45D230S")</f>
        <v>MTRGPP64C45D230S</v>
      </c>
      <c r="O1188" s="3" t="s">
        <v>1784</v>
      </c>
      <c r="P1188" s="3" t="s">
        <v>35</v>
      </c>
      <c r="Q1188" s="3" t="s">
        <v>1762</v>
      </c>
      <c r="R1188" s="4">
        <v>45933</v>
      </c>
      <c r="S1188" s="3" t="s">
        <v>37</v>
      </c>
      <c r="T1188" s="3" t="s">
        <v>38</v>
      </c>
      <c r="U1188" s="3" t="s">
        <v>39</v>
      </c>
      <c r="V1188" s="5">
        <v>2058.16</v>
      </c>
      <c r="W1188" s="5">
        <v>1039.3699999999999</v>
      </c>
      <c r="X1188" s="3">
        <v>713.15</v>
      </c>
      <c r="Y1188" s="3">
        <v>305.64</v>
      </c>
    </row>
    <row r="1189" spans="1:25" ht="41.5" hidden="1" x14ac:dyDescent="0.35">
      <c r="A1189" s="3" t="s">
        <v>26</v>
      </c>
      <c r="B1189" s="3" t="s">
        <v>27</v>
      </c>
      <c r="C1189" s="3" t="s">
        <v>478</v>
      </c>
      <c r="D1189" s="3" t="s">
        <v>41</v>
      </c>
      <c r="E1189" s="3" t="s">
        <v>1457</v>
      </c>
      <c r="F1189" s="3" t="s">
        <v>43</v>
      </c>
      <c r="G1189" s="3" t="s">
        <v>1457</v>
      </c>
      <c r="H1189" s="3" t="s">
        <v>614</v>
      </c>
      <c r="I1189" s="3">
        <v>2024</v>
      </c>
      <c r="J1189" s="3" t="str">
        <f>CONCATENATE("44810522365")</f>
        <v>44810522365</v>
      </c>
      <c r="K1189" s="3" t="s">
        <v>33</v>
      </c>
      <c r="L1189" s="3" t="str">
        <f t="shared" si="72"/>
        <v/>
      </c>
      <c r="M1189" s="3" t="str">
        <f t="shared" si="74"/>
        <v>SRA30</v>
      </c>
      <c r="N1189" s="3" t="str">
        <f>CONCATENATE("PLLPRZ61B68L086M")</f>
        <v>PLLPRZ61B68L086M</v>
      </c>
      <c r="O1189" s="3" t="s">
        <v>1458</v>
      </c>
      <c r="P1189" s="3" t="s">
        <v>35</v>
      </c>
      <c r="Q1189" s="3" t="s">
        <v>1762</v>
      </c>
      <c r="R1189" s="4">
        <v>45933</v>
      </c>
      <c r="S1189" s="3" t="s">
        <v>37</v>
      </c>
      <c r="T1189" s="3" t="s">
        <v>38</v>
      </c>
      <c r="U1189" s="3" t="s">
        <v>39</v>
      </c>
      <c r="V1189" s="5">
        <v>11087.72</v>
      </c>
      <c r="W1189" s="5">
        <v>5599.3</v>
      </c>
      <c r="X1189" s="5">
        <v>3841.89</v>
      </c>
      <c r="Y1189" s="5">
        <v>1646.53</v>
      </c>
    </row>
    <row r="1190" spans="1:25" ht="25.5" hidden="1" x14ac:dyDescent="0.35">
      <c r="A1190" s="3" t="s">
        <v>26</v>
      </c>
      <c r="B1190" s="3" t="s">
        <v>27</v>
      </c>
      <c r="C1190" s="3" t="s">
        <v>478</v>
      </c>
      <c r="D1190" s="3" t="s">
        <v>75</v>
      </c>
      <c r="E1190" s="3" t="s">
        <v>582</v>
      </c>
      <c r="F1190" s="3" t="s">
        <v>77</v>
      </c>
      <c r="G1190" s="3" t="s">
        <v>582</v>
      </c>
      <c r="H1190" s="3" t="s">
        <v>614</v>
      </c>
      <c r="I1190" s="3">
        <v>2024</v>
      </c>
      <c r="J1190" s="3" t="str">
        <f>CONCATENATE("44811454873")</f>
        <v>44811454873</v>
      </c>
      <c r="K1190" s="3" t="s">
        <v>33</v>
      </c>
      <c r="L1190" s="3" t="str">
        <f t="shared" si="72"/>
        <v/>
      </c>
      <c r="M1190" s="3" t="str">
        <f t="shared" si="74"/>
        <v>SRA30</v>
      </c>
      <c r="N1190" s="3" t="str">
        <f>CONCATENATE("01824140626")</f>
        <v>01824140626</v>
      </c>
      <c r="O1190" s="3" t="s">
        <v>1477</v>
      </c>
      <c r="P1190" s="3" t="s">
        <v>35</v>
      </c>
      <c r="Q1190" s="3" t="s">
        <v>1762</v>
      </c>
      <c r="R1190" s="4">
        <v>45933</v>
      </c>
      <c r="S1190" s="3" t="s">
        <v>37</v>
      </c>
      <c r="T1190" s="3" t="s">
        <v>38</v>
      </c>
      <c r="U1190" s="3" t="s">
        <v>39</v>
      </c>
      <c r="V1190" s="5">
        <v>9299.01</v>
      </c>
      <c r="W1190" s="5">
        <v>4696</v>
      </c>
      <c r="X1190" s="5">
        <v>3222.11</v>
      </c>
      <c r="Y1190" s="5">
        <v>1380.9</v>
      </c>
    </row>
    <row r="1191" spans="1:25" ht="25.5" hidden="1" x14ac:dyDescent="0.35">
      <c r="A1191" s="3" t="s">
        <v>26</v>
      </c>
      <c r="B1191" s="3" t="s">
        <v>27</v>
      </c>
      <c r="C1191" s="3" t="s">
        <v>478</v>
      </c>
      <c r="D1191" s="3" t="s">
        <v>234</v>
      </c>
      <c r="E1191" s="3" t="s">
        <v>120</v>
      </c>
      <c r="F1191" s="3" t="s">
        <v>119</v>
      </c>
      <c r="G1191" s="3" t="s">
        <v>120</v>
      </c>
      <c r="H1191" s="3" t="s">
        <v>614</v>
      </c>
      <c r="I1191" s="3">
        <v>2024</v>
      </c>
      <c r="J1191" s="3" t="str">
        <f>CONCATENATE("44811025186")</f>
        <v>44811025186</v>
      </c>
      <c r="K1191" s="3" t="s">
        <v>33</v>
      </c>
      <c r="L1191" s="3" t="str">
        <f t="shared" si="72"/>
        <v/>
      </c>
      <c r="M1191" s="3" t="str">
        <f t="shared" si="74"/>
        <v>SRA30</v>
      </c>
      <c r="N1191" s="3" t="str">
        <f>CONCATENATE("01707350623")</f>
        <v>01707350623</v>
      </c>
      <c r="O1191" s="3" t="s">
        <v>1203</v>
      </c>
      <c r="P1191" s="3" t="s">
        <v>35</v>
      </c>
      <c r="Q1191" s="3" t="s">
        <v>1762</v>
      </c>
      <c r="R1191" s="4">
        <v>45933</v>
      </c>
      <c r="S1191" s="3" t="s">
        <v>37</v>
      </c>
      <c r="T1191" s="3" t="s">
        <v>38</v>
      </c>
      <c r="U1191" s="3" t="s">
        <v>39</v>
      </c>
      <c r="V1191" s="5">
        <v>40000</v>
      </c>
      <c r="W1191" s="5">
        <v>20200</v>
      </c>
      <c r="X1191" s="5">
        <v>13860</v>
      </c>
      <c r="Y1191" s="5">
        <v>5940</v>
      </c>
    </row>
    <row r="1192" spans="1:25" ht="41.5" hidden="1" x14ac:dyDescent="0.35">
      <c r="A1192" s="3" t="s">
        <v>26</v>
      </c>
      <c r="B1192" s="3" t="s">
        <v>27</v>
      </c>
      <c r="C1192" s="3" t="s">
        <v>478</v>
      </c>
      <c r="D1192" s="3" t="s">
        <v>75</v>
      </c>
      <c r="E1192" s="3" t="s">
        <v>582</v>
      </c>
      <c r="F1192" s="3" t="s">
        <v>77</v>
      </c>
      <c r="G1192" s="3" t="s">
        <v>582</v>
      </c>
      <c r="H1192" s="3" t="s">
        <v>614</v>
      </c>
      <c r="I1192" s="3">
        <v>2024</v>
      </c>
      <c r="J1192" s="3" t="str">
        <f>CONCATENATE("44811454543")</f>
        <v>44811454543</v>
      </c>
      <c r="K1192" s="3" t="s">
        <v>33</v>
      </c>
      <c r="L1192" s="3" t="str">
        <f t="shared" si="72"/>
        <v/>
      </c>
      <c r="M1192" s="3" t="str">
        <f t="shared" si="74"/>
        <v>SRA30</v>
      </c>
      <c r="N1192" s="3" t="str">
        <f>CONCATENATE("VTTGRZ72M62H898C")</f>
        <v>VTTGRZ72M62H898C</v>
      </c>
      <c r="O1192" s="3" t="s">
        <v>734</v>
      </c>
      <c r="P1192" s="3" t="s">
        <v>35</v>
      </c>
      <c r="Q1192" s="3" t="s">
        <v>1762</v>
      </c>
      <c r="R1192" s="4">
        <v>45933</v>
      </c>
      <c r="S1192" s="3" t="s">
        <v>37</v>
      </c>
      <c r="T1192" s="3" t="s">
        <v>38</v>
      </c>
      <c r="U1192" s="3" t="s">
        <v>39</v>
      </c>
      <c r="V1192" s="5">
        <v>4124.37</v>
      </c>
      <c r="W1192" s="5">
        <v>2082.81</v>
      </c>
      <c r="X1192" s="5">
        <v>1429.09</v>
      </c>
      <c r="Y1192" s="3">
        <v>612.47</v>
      </c>
    </row>
    <row r="1193" spans="1:25" ht="25.5" hidden="1" x14ac:dyDescent="0.35">
      <c r="A1193" s="3" t="s">
        <v>26</v>
      </c>
      <c r="B1193" s="3" t="s">
        <v>27</v>
      </c>
      <c r="C1193" s="3" t="s">
        <v>658</v>
      </c>
      <c r="D1193" s="3" t="s">
        <v>61</v>
      </c>
      <c r="E1193" s="3" t="s">
        <v>1378</v>
      </c>
      <c r="F1193" s="3" t="s">
        <v>63</v>
      </c>
      <c r="G1193" s="3" t="s">
        <v>1378</v>
      </c>
      <c r="H1193" s="3" t="s">
        <v>660</v>
      </c>
      <c r="I1193" s="3">
        <v>2024</v>
      </c>
      <c r="J1193" s="3" t="str">
        <f>CONCATENATE("44810841724")</f>
        <v>44810841724</v>
      </c>
      <c r="K1193" s="3" t="s">
        <v>33</v>
      </c>
      <c r="L1193" s="3" t="str">
        <f t="shared" si="72"/>
        <v/>
      </c>
      <c r="M1193" s="3" t="str">
        <f t="shared" ref="M1193:M1207" si="75">CONCATENATE("SRA29")</f>
        <v>SRA29</v>
      </c>
      <c r="N1193" s="3" t="str">
        <f>CONCATENATE("01253770075")</f>
        <v>01253770075</v>
      </c>
      <c r="O1193" s="3" t="s">
        <v>1785</v>
      </c>
      <c r="P1193" s="3" t="s">
        <v>35</v>
      </c>
      <c r="Q1193" s="3" t="s">
        <v>1786</v>
      </c>
      <c r="R1193" s="4">
        <v>45926</v>
      </c>
      <c r="S1193" s="3" t="s">
        <v>37</v>
      </c>
      <c r="T1193" s="3" t="s">
        <v>38</v>
      </c>
      <c r="U1193" s="3" t="s">
        <v>39</v>
      </c>
      <c r="V1193" s="5">
        <v>4886.1400000000003</v>
      </c>
      <c r="W1193" s="5">
        <v>1988.66</v>
      </c>
      <c r="X1193" s="5">
        <v>2028.24</v>
      </c>
      <c r="Y1193" s="3">
        <v>869.24</v>
      </c>
    </row>
    <row r="1194" spans="1:25" ht="49.5" hidden="1" x14ac:dyDescent="0.35">
      <c r="A1194" s="3" t="s">
        <v>26</v>
      </c>
      <c r="B1194" s="3" t="s">
        <v>27</v>
      </c>
      <c r="C1194" s="3" t="s">
        <v>658</v>
      </c>
      <c r="D1194" s="3" t="s">
        <v>61</v>
      </c>
      <c r="E1194" s="3" t="s">
        <v>1378</v>
      </c>
      <c r="F1194" s="3" t="s">
        <v>63</v>
      </c>
      <c r="G1194" s="3" t="s">
        <v>1378</v>
      </c>
      <c r="H1194" s="3" t="s">
        <v>660</v>
      </c>
      <c r="I1194" s="3">
        <v>2024</v>
      </c>
      <c r="J1194" s="3" t="str">
        <f>CONCATENATE("44810689743")</f>
        <v>44810689743</v>
      </c>
      <c r="K1194" s="3" t="s">
        <v>33</v>
      </c>
      <c r="L1194" s="3" t="str">
        <f t="shared" si="72"/>
        <v/>
      </c>
      <c r="M1194" s="3" t="str">
        <f t="shared" si="75"/>
        <v>SRA29</v>
      </c>
      <c r="N1194" s="3" t="str">
        <f>CONCATENATE("GRMPRC83D13A326G")</f>
        <v>GRMPRC83D13A326G</v>
      </c>
      <c r="O1194" s="3" t="s">
        <v>1787</v>
      </c>
      <c r="P1194" s="3" t="s">
        <v>35</v>
      </c>
      <c r="Q1194" s="3" t="s">
        <v>1786</v>
      </c>
      <c r="R1194" s="4">
        <v>45926</v>
      </c>
      <c r="S1194" s="3" t="s">
        <v>37</v>
      </c>
      <c r="T1194" s="3" t="s">
        <v>38</v>
      </c>
      <c r="U1194" s="3" t="s">
        <v>39</v>
      </c>
      <c r="V1194" s="5">
        <v>2757.42</v>
      </c>
      <c r="W1194" s="5">
        <v>1122.27</v>
      </c>
      <c r="X1194" s="5">
        <v>1144.6099999999999</v>
      </c>
      <c r="Y1194" s="3">
        <v>490.54</v>
      </c>
    </row>
    <row r="1195" spans="1:25" ht="41.5" hidden="1" x14ac:dyDescent="0.35">
      <c r="A1195" s="3" t="s">
        <v>26</v>
      </c>
      <c r="B1195" s="3" t="s">
        <v>27</v>
      </c>
      <c r="C1195" s="3" t="s">
        <v>658</v>
      </c>
      <c r="D1195" s="3" t="s">
        <v>41</v>
      </c>
      <c r="E1195" s="3" t="s">
        <v>659</v>
      </c>
      <c r="F1195" s="3" t="s">
        <v>43</v>
      </c>
      <c r="G1195" s="3" t="s">
        <v>659</v>
      </c>
      <c r="H1195" s="3" t="s">
        <v>660</v>
      </c>
      <c r="I1195" s="3">
        <v>2024</v>
      </c>
      <c r="J1195" s="3" t="str">
        <f>CONCATENATE("44810882587")</f>
        <v>44810882587</v>
      </c>
      <c r="K1195" s="3" t="s">
        <v>33</v>
      </c>
      <c r="L1195" s="3" t="str">
        <f t="shared" si="72"/>
        <v/>
      </c>
      <c r="M1195" s="3" t="str">
        <f t="shared" si="75"/>
        <v>SRA29</v>
      </c>
      <c r="N1195" s="3" t="str">
        <f>CONCATENATE("JCQFBA89E12A326X")</f>
        <v>JCQFBA89E12A326X</v>
      </c>
      <c r="O1195" s="3" t="s">
        <v>1788</v>
      </c>
      <c r="P1195" s="3" t="s">
        <v>35</v>
      </c>
      <c r="Q1195" s="3" t="s">
        <v>1786</v>
      </c>
      <c r="R1195" s="4">
        <v>45926</v>
      </c>
      <c r="S1195" s="3" t="s">
        <v>37</v>
      </c>
      <c r="T1195" s="3" t="s">
        <v>38</v>
      </c>
      <c r="U1195" s="3" t="s">
        <v>39</v>
      </c>
      <c r="V1195" s="5">
        <v>3941.29</v>
      </c>
      <c r="W1195" s="5">
        <v>1604.11</v>
      </c>
      <c r="X1195" s="5">
        <v>1636.03</v>
      </c>
      <c r="Y1195" s="3">
        <v>701.15</v>
      </c>
    </row>
    <row r="1196" spans="1:25" ht="41.5" hidden="1" x14ac:dyDescent="0.35">
      <c r="A1196" s="3" t="s">
        <v>26</v>
      </c>
      <c r="B1196" s="3" t="s">
        <v>27</v>
      </c>
      <c r="C1196" s="3" t="s">
        <v>90</v>
      </c>
      <c r="D1196" s="3" t="s">
        <v>107</v>
      </c>
      <c r="E1196" s="3" t="s">
        <v>242</v>
      </c>
      <c r="F1196" s="3" t="s">
        <v>115</v>
      </c>
      <c r="G1196" s="3" t="s">
        <v>242</v>
      </c>
      <c r="H1196" s="3" t="s">
        <v>212</v>
      </c>
      <c r="I1196" s="3">
        <v>2024</v>
      </c>
      <c r="J1196" s="3" t="str">
        <f>CONCATENATE("44810444990")</f>
        <v>44810444990</v>
      </c>
      <c r="K1196" s="3" t="s">
        <v>33</v>
      </c>
      <c r="L1196" s="3" t="str">
        <f t="shared" si="72"/>
        <v/>
      </c>
      <c r="M1196" s="3" t="str">
        <f t="shared" si="75"/>
        <v>SRA29</v>
      </c>
      <c r="N1196" s="3" t="str">
        <f>CONCATENATE("CRNNNN87B01B428P")</f>
        <v>CRNNNN87B01B428P</v>
      </c>
      <c r="O1196" s="3" t="s">
        <v>1789</v>
      </c>
      <c r="P1196" s="3" t="s">
        <v>35</v>
      </c>
      <c r="Q1196" s="3" t="s">
        <v>1790</v>
      </c>
      <c r="R1196" s="4">
        <v>45932</v>
      </c>
      <c r="S1196" s="3" t="s">
        <v>37</v>
      </c>
      <c r="T1196" s="3" t="s">
        <v>38</v>
      </c>
      <c r="U1196" s="3" t="s">
        <v>39</v>
      </c>
      <c r="V1196" s="5">
        <v>1855.81</v>
      </c>
      <c r="W1196" s="3">
        <v>937.18</v>
      </c>
      <c r="X1196" s="3">
        <v>643.04</v>
      </c>
      <c r="Y1196" s="3">
        <v>275.58999999999997</v>
      </c>
    </row>
    <row r="1197" spans="1:25" ht="25.5" hidden="1" x14ac:dyDescent="0.35">
      <c r="A1197" s="3" t="s">
        <v>26</v>
      </c>
      <c r="B1197" s="3" t="s">
        <v>27</v>
      </c>
      <c r="C1197" s="3" t="s">
        <v>90</v>
      </c>
      <c r="D1197" s="3" t="s">
        <v>41</v>
      </c>
      <c r="E1197" s="3" t="s">
        <v>1791</v>
      </c>
      <c r="F1197" s="3" t="s">
        <v>43</v>
      </c>
      <c r="G1197" s="3" t="s">
        <v>1791</v>
      </c>
      <c r="H1197" s="3" t="s">
        <v>212</v>
      </c>
      <c r="I1197" s="3">
        <v>2023</v>
      </c>
      <c r="J1197" s="3" t="str">
        <f>CONCATENATE("34811258424")</f>
        <v>34811258424</v>
      </c>
      <c r="K1197" s="3" t="s">
        <v>33</v>
      </c>
      <c r="L1197" s="3" t="str">
        <f t="shared" si="72"/>
        <v/>
      </c>
      <c r="M1197" s="3" t="str">
        <f t="shared" si="75"/>
        <v>SRA29</v>
      </c>
      <c r="N1197" s="3" t="str">
        <f>CONCATENATE("02080220854")</f>
        <v>02080220854</v>
      </c>
      <c r="O1197" s="3" t="s">
        <v>1792</v>
      </c>
      <c r="P1197" s="3" t="s">
        <v>35</v>
      </c>
      <c r="Q1197" s="3" t="s">
        <v>1790</v>
      </c>
      <c r="R1197" s="4">
        <v>45932</v>
      </c>
      <c r="S1197" s="3" t="s">
        <v>37</v>
      </c>
      <c r="T1197" s="3" t="s">
        <v>38</v>
      </c>
      <c r="U1197" s="3" t="s">
        <v>39</v>
      </c>
      <c r="V1197" s="5">
        <v>12138.69</v>
      </c>
      <c r="W1197" s="5">
        <v>6130.04</v>
      </c>
      <c r="X1197" s="5">
        <v>4206.0600000000004</v>
      </c>
      <c r="Y1197" s="5">
        <v>1802.59</v>
      </c>
    </row>
    <row r="1198" spans="1:25" ht="41.5" hidden="1" x14ac:dyDescent="0.35">
      <c r="A1198" s="3" t="s">
        <v>26</v>
      </c>
      <c r="B1198" s="3" t="s">
        <v>27</v>
      </c>
      <c r="C1198" s="3" t="s">
        <v>470</v>
      </c>
      <c r="D1198" s="3" t="s">
        <v>99</v>
      </c>
      <c r="E1198" s="3" t="s">
        <v>1599</v>
      </c>
      <c r="F1198" s="3" t="s">
        <v>101</v>
      </c>
      <c r="G1198" s="3" t="s">
        <v>1599</v>
      </c>
      <c r="H1198" s="3" t="s">
        <v>472</v>
      </c>
      <c r="I1198" s="3">
        <v>2024</v>
      </c>
      <c r="J1198" s="3" t="str">
        <f>CONCATENATE("44811508686")</f>
        <v>44811508686</v>
      </c>
      <c r="K1198" s="3" t="s">
        <v>33</v>
      </c>
      <c r="L1198" s="3" t="str">
        <f t="shared" si="72"/>
        <v/>
      </c>
      <c r="M1198" s="3" t="str">
        <f t="shared" si="75"/>
        <v>SRA29</v>
      </c>
      <c r="N1198" s="3" t="str">
        <f>CONCATENATE("CRNGPP57T52F817W")</f>
        <v>CRNGPP57T52F817W</v>
      </c>
      <c r="O1198" s="3" t="s">
        <v>1600</v>
      </c>
      <c r="P1198" s="3" t="s">
        <v>35</v>
      </c>
      <c r="Q1198" s="3" t="s">
        <v>1793</v>
      </c>
      <c r="R1198" s="4">
        <v>45916</v>
      </c>
      <c r="S1198" s="3" t="s">
        <v>37</v>
      </c>
      <c r="T1198" s="3" t="s">
        <v>38</v>
      </c>
      <c r="U1198" s="3" t="s">
        <v>39</v>
      </c>
      <c r="V1198" s="3">
        <v>118.18</v>
      </c>
      <c r="W1198" s="3">
        <v>59.68</v>
      </c>
      <c r="X1198" s="3">
        <v>40.950000000000003</v>
      </c>
      <c r="Y1198" s="3">
        <v>17.55</v>
      </c>
    </row>
    <row r="1199" spans="1:25" ht="41.5" hidden="1" x14ac:dyDescent="0.35">
      <c r="A1199" s="3" t="s">
        <v>26</v>
      </c>
      <c r="B1199" s="3" t="s">
        <v>27</v>
      </c>
      <c r="C1199" s="3" t="s">
        <v>470</v>
      </c>
      <c r="D1199" s="3" t="s">
        <v>41</v>
      </c>
      <c r="E1199" s="3" t="s">
        <v>1501</v>
      </c>
      <c r="F1199" s="3" t="s">
        <v>43</v>
      </c>
      <c r="G1199" s="3" t="s">
        <v>1501</v>
      </c>
      <c r="H1199" s="3" t="s">
        <v>472</v>
      </c>
      <c r="I1199" s="3">
        <v>2024</v>
      </c>
      <c r="J1199" s="3" t="str">
        <f>CONCATENATE("44810427581")</f>
        <v>44810427581</v>
      </c>
      <c r="K1199" s="3" t="s">
        <v>33</v>
      </c>
      <c r="L1199" s="3" t="str">
        <f t="shared" si="72"/>
        <v/>
      </c>
      <c r="M1199" s="3" t="str">
        <f t="shared" si="75"/>
        <v>SRA29</v>
      </c>
      <c r="N1199" s="3" t="str">
        <f>CONCATENATE("GCNRCC87B01G942T")</f>
        <v>GCNRCC87B01G942T</v>
      </c>
      <c r="O1199" s="3" t="s">
        <v>1794</v>
      </c>
      <c r="P1199" s="3" t="s">
        <v>35</v>
      </c>
      <c r="Q1199" s="3" t="s">
        <v>1793</v>
      </c>
      <c r="R1199" s="4">
        <v>45916</v>
      </c>
      <c r="S1199" s="3" t="s">
        <v>37</v>
      </c>
      <c r="T1199" s="3" t="s">
        <v>38</v>
      </c>
      <c r="U1199" s="3" t="s">
        <v>39</v>
      </c>
      <c r="V1199" s="3">
        <v>370.11</v>
      </c>
      <c r="W1199" s="3">
        <v>186.91</v>
      </c>
      <c r="X1199" s="3">
        <v>128.24</v>
      </c>
      <c r="Y1199" s="3">
        <v>54.96</v>
      </c>
    </row>
    <row r="1200" spans="1:25" ht="41.5" hidden="1" x14ac:dyDescent="0.35">
      <c r="A1200" s="3" t="s">
        <v>26</v>
      </c>
      <c r="B1200" s="3" t="s">
        <v>27</v>
      </c>
      <c r="C1200" s="3" t="s">
        <v>28</v>
      </c>
      <c r="D1200" s="3" t="s">
        <v>41</v>
      </c>
      <c r="E1200" s="3" t="s">
        <v>1577</v>
      </c>
      <c r="F1200" s="3" t="s">
        <v>43</v>
      </c>
      <c r="G1200" s="3" t="s">
        <v>1577</v>
      </c>
      <c r="H1200" s="3" t="s">
        <v>72</v>
      </c>
      <c r="I1200" s="3">
        <v>2024</v>
      </c>
      <c r="J1200" s="3" t="str">
        <f>CONCATENATE("44810953248")</f>
        <v>44810953248</v>
      </c>
      <c r="K1200" s="3" t="s">
        <v>33</v>
      </c>
      <c r="L1200" s="3" t="str">
        <f t="shared" si="72"/>
        <v/>
      </c>
      <c r="M1200" s="3" t="str">
        <f t="shared" si="75"/>
        <v>SRA29</v>
      </c>
      <c r="N1200" s="3" t="str">
        <f>CONCATENATE("GRNGRG72P07A149G")</f>
        <v>GRNGRG72P07A149G</v>
      </c>
      <c r="O1200" s="3" t="s">
        <v>1795</v>
      </c>
      <c r="P1200" s="3" t="s">
        <v>35</v>
      </c>
      <c r="Q1200" s="3" t="s">
        <v>1389</v>
      </c>
      <c r="R1200" s="4">
        <v>45916</v>
      </c>
      <c r="S1200" s="3" t="s">
        <v>37</v>
      </c>
      <c r="T1200" s="3" t="s">
        <v>38</v>
      </c>
      <c r="U1200" s="3" t="s">
        <v>39</v>
      </c>
      <c r="V1200" s="3">
        <v>6.28</v>
      </c>
      <c r="W1200" s="3">
        <v>3.17</v>
      </c>
      <c r="X1200" s="3">
        <v>2.1800000000000002</v>
      </c>
      <c r="Y1200" s="3">
        <v>0.93</v>
      </c>
    </row>
    <row r="1201" spans="1:25" ht="41.5" hidden="1" x14ac:dyDescent="0.35">
      <c r="A1201" s="3" t="s">
        <v>26</v>
      </c>
      <c r="B1201" s="3" t="s">
        <v>27</v>
      </c>
      <c r="C1201" s="3" t="s">
        <v>28</v>
      </c>
      <c r="D1201" s="3" t="s">
        <v>61</v>
      </c>
      <c r="E1201" s="3" t="s">
        <v>1531</v>
      </c>
      <c r="F1201" s="3" t="s">
        <v>63</v>
      </c>
      <c r="G1201" s="3" t="s">
        <v>1531</v>
      </c>
      <c r="H1201" s="3" t="s">
        <v>1403</v>
      </c>
      <c r="I1201" s="3">
        <v>2024</v>
      </c>
      <c r="J1201" s="3" t="str">
        <f>CONCATENATE("44811269297")</f>
        <v>44811269297</v>
      </c>
      <c r="K1201" s="3" t="s">
        <v>33</v>
      </c>
      <c r="L1201" s="3" t="str">
        <f t="shared" si="72"/>
        <v/>
      </c>
      <c r="M1201" s="3" t="str">
        <f t="shared" si="75"/>
        <v>SRA29</v>
      </c>
      <c r="N1201" s="3" t="str">
        <f>CONCATENATE("MRTGTN87D22D862Z")</f>
        <v>MRTGTN87D22D862Z</v>
      </c>
      <c r="O1201" s="3" t="s">
        <v>1796</v>
      </c>
      <c r="P1201" s="3" t="s">
        <v>35</v>
      </c>
      <c r="Q1201" s="3" t="s">
        <v>1389</v>
      </c>
      <c r="R1201" s="4">
        <v>45916</v>
      </c>
      <c r="S1201" s="3" t="s">
        <v>37</v>
      </c>
      <c r="T1201" s="3" t="s">
        <v>38</v>
      </c>
      <c r="U1201" s="3" t="s">
        <v>39</v>
      </c>
      <c r="V1201" s="5">
        <v>5504.39</v>
      </c>
      <c r="W1201" s="5">
        <v>2779.72</v>
      </c>
      <c r="X1201" s="5">
        <v>1907.27</v>
      </c>
      <c r="Y1201" s="3">
        <v>817.4</v>
      </c>
    </row>
    <row r="1202" spans="1:25" ht="41.5" hidden="1" x14ac:dyDescent="0.35">
      <c r="A1202" s="3" t="s">
        <v>26</v>
      </c>
      <c r="B1202" s="3" t="s">
        <v>27</v>
      </c>
      <c r="C1202" s="3" t="s">
        <v>28</v>
      </c>
      <c r="D1202" s="3" t="s">
        <v>61</v>
      </c>
      <c r="E1202" s="3" t="s">
        <v>1771</v>
      </c>
      <c r="F1202" s="3" t="s">
        <v>63</v>
      </c>
      <c r="G1202" s="3" t="s">
        <v>1771</v>
      </c>
      <c r="H1202" s="3" t="s">
        <v>72</v>
      </c>
      <c r="I1202" s="3">
        <v>2024</v>
      </c>
      <c r="J1202" s="3" t="str">
        <f>CONCATENATE("44810324903")</f>
        <v>44810324903</v>
      </c>
      <c r="K1202" s="3" t="s">
        <v>33</v>
      </c>
      <c r="L1202" s="3" t="str">
        <f t="shared" si="72"/>
        <v/>
      </c>
      <c r="M1202" s="3" t="str">
        <f t="shared" si="75"/>
        <v>SRA29</v>
      </c>
      <c r="N1202" s="3" t="str">
        <f>CONCATENATE("MSTPQL62L13A893Q")</f>
        <v>MSTPQL62L13A893Q</v>
      </c>
      <c r="O1202" s="3" t="s">
        <v>1797</v>
      </c>
      <c r="P1202" s="3" t="s">
        <v>35</v>
      </c>
      <c r="Q1202" s="3" t="s">
        <v>1389</v>
      </c>
      <c r="R1202" s="4">
        <v>45916</v>
      </c>
      <c r="S1202" s="3" t="s">
        <v>37</v>
      </c>
      <c r="T1202" s="3" t="s">
        <v>38</v>
      </c>
      <c r="U1202" s="3" t="s">
        <v>39</v>
      </c>
      <c r="V1202" s="3">
        <v>621.85</v>
      </c>
      <c r="W1202" s="3">
        <v>314.02999999999997</v>
      </c>
      <c r="X1202" s="3">
        <v>215.47</v>
      </c>
      <c r="Y1202" s="3">
        <v>92.35</v>
      </c>
    </row>
    <row r="1203" spans="1:25" ht="49.5" hidden="1" x14ac:dyDescent="0.35">
      <c r="A1203" s="3" t="s">
        <v>26</v>
      </c>
      <c r="B1203" s="3" t="s">
        <v>27</v>
      </c>
      <c r="C1203" s="3" t="s">
        <v>28</v>
      </c>
      <c r="D1203" s="3" t="s">
        <v>51</v>
      </c>
      <c r="E1203" s="3" t="s">
        <v>1517</v>
      </c>
      <c r="F1203" s="3" t="s">
        <v>77</v>
      </c>
      <c r="G1203" s="3" t="s">
        <v>1518</v>
      </c>
      <c r="H1203" s="3" t="s">
        <v>32</v>
      </c>
      <c r="I1203" s="3">
        <v>2024</v>
      </c>
      <c r="J1203" s="3" t="str">
        <f>CONCATENATE("44810306587")</f>
        <v>44810306587</v>
      </c>
      <c r="K1203" s="3" t="s">
        <v>33</v>
      </c>
      <c r="L1203" s="3" t="str">
        <f t="shared" si="72"/>
        <v/>
      </c>
      <c r="M1203" s="3" t="str">
        <f t="shared" si="75"/>
        <v>SRA29</v>
      </c>
      <c r="N1203" s="3" t="str">
        <f>CONCATENATE("MNNFNC94C31H926A")</f>
        <v>MNNFNC94C31H926A</v>
      </c>
      <c r="O1203" s="3" t="s">
        <v>1798</v>
      </c>
      <c r="P1203" s="3" t="s">
        <v>35</v>
      </c>
      <c r="Q1203" s="3" t="s">
        <v>1389</v>
      </c>
      <c r="R1203" s="4">
        <v>45916</v>
      </c>
      <c r="S1203" s="3" t="s">
        <v>37</v>
      </c>
      <c r="T1203" s="3" t="s">
        <v>38</v>
      </c>
      <c r="U1203" s="3" t="s">
        <v>39</v>
      </c>
      <c r="V1203" s="3">
        <v>902.92</v>
      </c>
      <c r="W1203" s="3">
        <v>455.97</v>
      </c>
      <c r="X1203" s="3">
        <v>312.86</v>
      </c>
      <c r="Y1203" s="3">
        <v>134.09</v>
      </c>
    </row>
    <row r="1204" spans="1:25" ht="41.5" hidden="1" x14ac:dyDescent="0.35">
      <c r="A1204" s="3" t="s">
        <v>26</v>
      </c>
      <c r="B1204" s="3" t="s">
        <v>27</v>
      </c>
      <c r="C1204" s="3" t="s">
        <v>28</v>
      </c>
      <c r="D1204" s="3" t="s">
        <v>61</v>
      </c>
      <c r="E1204" s="3" t="s">
        <v>1529</v>
      </c>
      <c r="F1204" s="3" t="s">
        <v>63</v>
      </c>
      <c r="G1204" s="3" t="s">
        <v>1529</v>
      </c>
      <c r="H1204" s="3" t="s">
        <v>72</v>
      </c>
      <c r="I1204" s="3">
        <v>2024</v>
      </c>
      <c r="J1204" s="3" t="str">
        <f>CONCATENATE("44810408623")</f>
        <v>44810408623</v>
      </c>
      <c r="K1204" s="3" t="s">
        <v>33</v>
      </c>
      <c r="L1204" s="3" t="str">
        <f t="shared" si="72"/>
        <v/>
      </c>
      <c r="M1204" s="3" t="str">
        <f t="shared" si="75"/>
        <v>SRA29</v>
      </c>
      <c r="N1204" s="3" t="str">
        <f>CONCATENATE("PNZNGL72R47E223O")</f>
        <v>PNZNGL72R47E223O</v>
      </c>
      <c r="O1204" s="3" t="s">
        <v>1799</v>
      </c>
      <c r="P1204" s="3" t="s">
        <v>35</v>
      </c>
      <c r="Q1204" s="3" t="s">
        <v>1389</v>
      </c>
      <c r="R1204" s="4">
        <v>45916</v>
      </c>
      <c r="S1204" s="3" t="s">
        <v>37</v>
      </c>
      <c r="T1204" s="3" t="s">
        <v>38</v>
      </c>
      <c r="U1204" s="3" t="s">
        <v>39</v>
      </c>
      <c r="V1204" s="3">
        <v>18.309999999999999</v>
      </c>
      <c r="W1204" s="3">
        <v>9.25</v>
      </c>
      <c r="X1204" s="3">
        <v>6.34</v>
      </c>
      <c r="Y1204" s="3">
        <v>2.72</v>
      </c>
    </row>
    <row r="1205" spans="1:25" ht="25.5" hidden="1" x14ac:dyDescent="0.35">
      <c r="A1205" s="3" t="s">
        <v>26</v>
      </c>
      <c r="B1205" s="3" t="s">
        <v>27</v>
      </c>
      <c r="C1205" s="3" t="s">
        <v>28</v>
      </c>
      <c r="D1205" s="3" t="s">
        <v>61</v>
      </c>
      <c r="E1205" s="3" t="s">
        <v>1531</v>
      </c>
      <c r="F1205" s="3" t="s">
        <v>63</v>
      </c>
      <c r="G1205" s="3" t="s">
        <v>1531</v>
      </c>
      <c r="H1205" s="3" t="s">
        <v>1403</v>
      </c>
      <c r="I1205" s="3">
        <v>2024</v>
      </c>
      <c r="J1205" s="3" t="str">
        <f>CONCATENATE("44810947885")</f>
        <v>44810947885</v>
      </c>
      <c r="K1205" s="3" t="s">
        <v>33</v>
      </c>
      <c r="L1205" s="3" t="str">
        <f t="shared" si="72"/>
        <v/>
      </c>
      <c r="M1205" s="3" t="str">
        <f t="shared" si="75"/>
        <v>SRA29</v>
      </c>
      <c r="N1205" s="3" t="str">
        <f>CONCATENATE("04874930755")</f>
        <v>04874930755</v>
      </c>
      <c r="O1205" s="3" t="s">
        <v>1800</v>
      </c>
      <c r="P1205" s="3" t="s">
        <v>35</v>
      </c>
      <c r="Q1205" s="3" t="s">
        <v>1389</v>
      </c>
      <c r="R1205" s="4">
        <v>45916</v>
      </c>
      <c r="S1205" s="3" t="s">
        <v>37</v>
      </c>
      <c r="T1205" s="3" t="s">
        <v>38</v>
      </c>
      <c r="U1205" s="3" t="s">
        <v>39</v>
      </c>
      <c r="V1205" s="3">
        <v>626.41999999999996</v>
      </c>
      <c r="W1205" s="3">
        <v>316.33999999999997</v>
      </c>
      <c r="X1205" s="3">
        <v>217.05</v>
      </c>
      <c r="Y1205" s="3">
        <v>93.03</v>
      </c>
    </row>
    <row r="1206" spans="1:25" ht="41.5" hidden="1" x14ac:dyDescent="0.35">
      <c r="A1206" s="3" t="s">
        <v>26</v>
      </c>
      <c r="B1206" s="3" t="s">
        <v>27</v>
      </c>
      <c r="C1206" s="3" t="s">
        <v>28</v>
      </c>
      <c r="D1206" s="3" t="s">
        <v>41</v>
      </c>
      <c r="E1206" s="3" t="s">
        <v>1561</v>
      </c>
      <c r="F1206" s="3" t="s">
        <v>43</v>
      </c>
      <c r="G1206" s="3" t="s">
        <v>1561</v>
      </c>
      <c r="H1206" s="3" t="s">
        <v>72</v>
      </c>
      <c r="I1206" s="3">
        <v>2024</v>
      </c>
      <c r="J1206" s="3" t="str">
        <f>CONCATENATE("44810730711")</f>
        <v>44810730711</v>
      </c>
      <c r="K1206" s="3" t="s">
        <v>33</v>
      </c>
      <c r="L1206" s="3" t="str">
        <f t="shared" si="72"/>
        <v/>
      </c>
      <c r="M1206" s="3" t="str">
        <f t="shared" si="75"/>
        <v>SRA29</v>
      </c>
      <c r="N1206" s="3" t="str">
        <f>CONCATENATE("NCCGPP54E16I330I")</f>
        <v>NCCGPP54E16I330I</v>
      </c>
      <c r="O1206" s="3" t="s">
        <v>1801</v>
      </c>
      <c r="P1206" s="3" t="s">
        <v>35</v>
      </c>
      <c r="Q1206" s="3" t="s">
        <v>1389</v>
      </c>
      <c r="R1206" s="4">
        <v>45916</v>
      </c>
      <c r="S1206" s="3" t="s">
        <v>37</v>
      </c>
      <c r="T1206" s="3" t="s">
        <v>38</v>
      </c>
      <c r="U1206" s="3" t="s">
        <v>39</v>
      </c>
      <c r="V1206" s="3">
        <v>291.3</v>
      </c>
      <c r="W1206" s="3">
        <v>147.11000000000001</v>
      </c>
      <c r="X1206" s="3">
        <v>100.94</v>
      </c>
      <c r="Y1206" s="3">
        <v>43.25</v>
      </c>
    </row>
    <row r="1207" spans="1:25" ht="41.5" hidden="1" x14ac:dyDescent="0.35">
      <c r="A1207" s="3" t="s">
        <v>26</v>
      </c>
      <c r="B1207" s="3" t="s">
        <v>27</v>
      </c>
      <c r="C1207" s="3" t="s">
        <v>90</v>
      </c>
      <c r="D1207" s="3" t="s">
        <v>41</v>
      </c>
      <c r="E1207" s="3" t="s">
        <v>260</v>
      </c>
      <c r="F1207" s="3" t="s">
        <v>43</v>
      </c>
      <c r="G1207" s="3" t="s">
        <v>260</v>
      </c>
      <c r="H1207" s="3" t="s">
        <v>96</v>
      </c>
      <c r="I1207" s="3">
        <v>2024</v>
      </c>
      <c r="J1207" s="3" t="str">
        <f>CONCATENATE("44810485092")</f>
        <v>44810485092</v>
      </c>
      <c r="K1207" s="3" t="s">
        <v>33</v>
      </c>
      <c r="L1207" s="3" t="str">
        <f t="shared" si="72"/>
        <v/>
      </c>
      <c r="M1207" s="3" t="str">
        <f t="shared" si="75"/>
        <v>SRA29</v>
      </c>
      <c r="N1207" s="3" t="str">
        <f>CONCATENATE("RSSGPP63B64C654W")</f>
        <v>RSSGPP63B64C654W</v>
      </c>
      <c r="O1207" s="3" t="s">
        <v>1802</v>
      </c>
      <c r="P1207" s="3" t="s">
        <v>35</v>
      </c>
      <c r="Q1207" s="3" t="s">
        <v>1384</v>
      </c>
      <c r="R1207" s="4">
        <v>45931</v>
      </c>
      <c r="S1207" s="3" t="s">
        <v>37</v>
      </c>
      <c r="T1207" s="3" t="s">
        <v>38</v>
      </c>
      <c r="U1207" s="3" t="s">
        <v>39</v>
      </c>
      <c r="V1207" s="5">
        <v>2477.1999999999998</v>
      </c>
      <c r="W1207" s="5">
        <v>1250.99</v>
      </c>
      <c r="X1207" s="3">
        <v>858.35</v>
      </c>
      <c r="Y1207" s="3">
        <v>367.86</v>
      </c>
    </row>
    <row r="1208" spans="1:25" ht="25.5" hidden="1" x14ac:dyDescent="0.35">
      <c r="A1208" s="3" t="s">
        <v>26</v>
      </c>
      <c r="B1208" s="3" t="s">
        <v>27</v>
      </c>
      <c r="C1208" s="3" t="s">
        <v>90</v>
      </c>
      <c r="D1208" s="3" t="s">
        <v>41</v>
      </c>
      <c r="E1208" s="3" t="s">
        <v>863</v>
      </c>
      <c r="F1208" s="3" t="s">
        <v>43</v>
      </c>
      <c r="G1208" s="3" t="s">
        <v>863</v>
      </c>
      <c r="H1208" s="3" t="s">
        <v>102</v>
      </c>
      <c r="I1208" s="3">
        <v>2024</v>
      </c>
      <c r="J1208" s="3" t="str">
        <f>CONCATENATE("44811841277")</f>
        <v>44811841277</v>
      </c>
      <c r="K1208" s="3" t="s">
        <v>33</v>
      </c>
      <c r="L1208" s="3" t="str">
        <f t="shared" si="72"/>
        <v/>
      </c>
      <c r="M1208" s="3" t="str">
        <f t="shared" ref="M1208:M1217" si="76">CONCATENATE("SRA30")</f>
        <v>SRA30</v>
      </c>
      <c r="N1208" s="3" t="str">
        <f>CONCATENATE("01489220887")</f>
        <v>01489220887</v>
      </c>
      <c r="O1208" s="3" t="s">
        <v>1803</v>
      </c>
      <c r="P1208" s="3" t="s">
        <v>35</v>
      </c>
      <c r="Q1208" s="3" t="s">
        <v>1568</v>
      </c>
      <c r="R1208" s="4">
        <v>45931</v>
      </c>
      <c r="S1208" s="3" t="s">
        <v>37</v>
      </c>
      <c r="T1208" s="3" t="s">
        <v>38</v>
      </c>
      <c r="U1208" s="3" t="s">
        <v>39</v>
      </c>
      <c r="V1208" s="5">
        <v>3943.76</v>
      </c>
      <c r="W1208" s="5">
        <v>1991.6</v>
      </c>
      <c r="X1208" s="5">
        <v>1366.51</v>
      </c>
      <c r="Y1208" s="3">
        <v>585.65</v>
      </c>
    </row>
    <row r="1209" spans="1:25" ht="41.5" hidden="1" x14ac:dyDescent="0.35">
      <c r="A1209" s="3" t="s">
        <v>26</v>
      </c>
      <c r="B1209" s="3" t="s">
        <v>27</v>
      </c>
      <c r="C1209" s="3" t="s">
        <v>465</v>
      </c>
      <c r="D1209" s="3" t="s">
        <v>41</v>
      </c>
      <c r="E1209" s="3" t="s">
        <v>671</v>
      </c>
      <c r="F1209" s="3" t="s">
        <v>43</v>
      </c>
      <c r="G1209" s="3" t="s">
        <v>671</v>
      </c>
      <c r="H1209" s="3" t="s">
        <v>467</v>
      </c>
      <c r="I1209" s="3">
        <v>2024</v>
      </c>
      <c r="J1209" s="3" t="str">
        <f>CONCATENATE("44811409752")</f>
        <v>44811409752</v>
      </c>
      <c r="K1209" s="3" t="s">
        <v>33</v>
      </c>
      <c r="L1209" s="3" t="str">
        <f t="shared" si="72"/>
        <v/>
      </c>
      <c r="M1209" s="3" t="str">
        <f t="shared" si="76"/>
        <v>SRA30</v>
      </c>
      <c r="N1209" s="3" t="str">
        <f>CONCATENATE("BNLNZR81P07A515H")</f>
        <v>BNLNZR81P07A515H</v>
      </c>
      <c r="O1209" s="3" t="s">
        <v>1804</v>
      </c>
      <c r="P1209" s="3" t="s">
        <v>35</v>
      </c>
      <c r="Q1209" s="3" t="s">
        <v>1572</v>
      </c>
      <c r="R1209" s="4">
        <v>45926</v>
      </c>
      <c r="S1209" s="3" t="s">
        <v>37</v>
      </c>
      <c r="T1209" s="3" t="s">
        <v>38</v>
      </c>
      <c r="U1209" s="3" t="s">
        <v>39</v>
      </c>
      <c r="V1209" s="5">
        <v>4062.78</v>
      </c>
      <c r="W1209" s="5">
        <v>1726.68</v>
      </c>
      <c r="X1209" s="5">
        <v>1635.27</v>
      </c>
      <c r="Y1209" s="3">
        <v>700.83</v>
      </c>
    </row>
    <row r="1210" spans="1:25" ht="41.5" hidden="1" x14ac:dyDescent="0.35">
      <c r="A1210" s="3" t="s">
        <v>26</v>
      </c>
      <c r="B1210" s="3" t="s">
        <v>27</v>
      </c>
      <c r="C1210" s="3" t="s">
        <v>465</v>
      </c>
      <c r="D1210" s="3" t="s">
        <v>41</v>
      </c>
      <c r="E1210" s="3" t="s">
        <v>1805</v>
      </c>
      <c r="F1210" s="3" t="s">
        <v>43</v>
      </c>
      <c r="G1210" s="3" t="s">
        <v>1805</v>
      </c>
      <c r="H1210" s="3" t="s">
        <v>467</v>
      </c>
      <c r="I1210" s="3">
        <v>2024</v>
      </c>
      <c r="J1210" s="3" t="str">
        <f>CONCATENATE("44810740314")</f>
        <v>44810740314</v>
      </c>
      <c r="K1210" s="3" t="s">
        <v>33</v>
      </c>
      <c r="L1210" s="3" t="str">
        <f t="shared" si="72"/>
        <v/>
      </c>
      <c r="M1210" s="3" t="str">
        <f t="shared" si="76"/>
        <v>SRA30</v>
      </c>
      <c r="N1210" s="3" t="str">
        <f>CONCATENATE("CNTDNL81T22A488N")</f>
        <v>CNTDNL81T22A488N</v>
      </c>
      <c r="O1210" s="3" t="s">
        <v>1806</v>
      </c>
      <c r="P1210" s="3" t="s">
        <v>35</v>
      </c>
      <c r="Q1210" s="3" t="s">
        <v>1572</v>
      </c>
      <c r="R1210" s="4">
        <v>45926</v>
      </c>
      <c r="S1210" s="3" t="s">
        <v>37</v>
      </c>
      <c r="T1210" s="3" t="s">
        <v>38</v>
      </c>
      <c r="U1210" s="3" t="s">
        <v>39</v>
      </c>
      <c r="V1210" s="5">
        <v>7163</v>
      </c>
      <c r="W1210" s="5">
        <v>3044.28</v>
      </c>
      <c r="X1210" s="5">
        <v>2883.11</v>
      </c>
      <c r="Y1210" s="5">
        <v>1235.6099999999999</v>
      </c>
    </row>
    <row r="1211" spans="1:25" ht="41.5" hidden="1" x14ac:dyDescent="0.35">
      <c r="A1211" s="3" t="s">
        <v>26</v>
      </c>
      <c r="B1211" s="3" t="s">
        <v>27</v>
      </c>
      <c r="C1211" s="3" t="s">
        <v>465</v>
      </c>
      <c r="D1211" s="3" t="s">
        <v>234</v>
      </c>
      <c r="E1211" s="3" t="s">
        <v>1707</v>
      </c>
      <c r="F1211" s="3" t="s">
        <v>119</v>
      </c>
      <c r="G1211" s="3" t="s">
        <v>1707</v>
      </c>
      <c r="H1211" s="3" t="s">
        <v>467</v>
      </c>
      <c r="I1211" s="3">
        <v>2024</v>
      </c>
      <c r="J1211" s="3" t="str">
        <f>CONCATENATE("44811314044")</f>
        <v>44811314044</v>
      </c>
      <c r="K1211" s="3" t="s">
        <v>33</v>
      </c>
      <c r="L1211" s="3" t="str">
        <f t="shared" si="72"/>
        <v/>
      </c>
      <c r="M1211" s="3" t="str">
        <f t="shared" si="76"/>
        <v>SRA30</v>
      </c>
      <c r="N1211" s="3" t="str">
        <f>CONCATENATE("CRDLSS82B09G482K")</f>
        <v>CRDLSS82B09G482K</v>
      </c>
      <c r="O1211" s="3" t="s">
        <v>1807</v>
      </c>
      <c r="P1211" s="3" t="s">
        <v>35</v>
      </c>
      <c r="Q1211" s="3" t="s">
        <v>1572</v>
      </c>
      <c r="R1211" s="4">
        <v>45926</v>
      </c>
      <c r="S1211" s="3" t="s">
        <v>37</v>
      </c>
      <c r="T1211" s="3" t="s">
        <v>38</v>
      </c>
      <c r="U1211" s="3" t="s">
        <v>39</v>
      </c>
      <c r="V1211" s="5">
        <v>3983.44</v>
      </c>
      <c r="W1211" s="5">
        <v>1692.96</v>
      </c>
      <c r="X1211" s="5">
        <v>1603.33</v>
      </c>
      <c r="Y1211" s="3">
        <v>687.15</v>
      </c>
    </row>
    <row r="1212" spans="1:25" ht="41.5" hidden="1" x14ac:dyDescent="0.35">
      <c r="A1212" s="3" t="s">
        <v>26</v>
      </c>
      <c r="B1212" s="3" t="s">
        <v>27</v>
      </c>
      <c r="C1212" s="3" t="s">
        <v>465</v>
      </c>
      <c r="D1212" s="3" t="s">
        <v>41</v>
      </c>
      <c r="E1212" s="3" t="s">
        <v>1717</v>
      </c>
      <c r="F1212" s="3" t="s">
        <v>43</v>
      </c>
      <c r="G1212" s="3" t="s">
        <v>1717</v>
      </c>
      <c r="H1212" s="3" t="s">
        <v>467</v>
      </c>
      <c r="I1212" s="3">
        <v>2024</v>
      </c>
      <c r="J1212" s="3" t="str">
        <f>CONCATENATE("44811015013")</f>
        <v>44811015013</v>
      </c>
      <c r="K1212" s="3" t="s">
        <v>33</v>
      </c>
      <c r="L1212" s="3" t="str">
        <f t="shared" si="72"/>
        <v/>
      </c>
      <c r="M1212" s="3" t="str">
        <f t="shared" si="76"/>
        <v>SRA30</v>
      </c>
      <c r="N1212" s="3" t="str">
        <f>CONCATENATE("CLLSMN88D07A488A")</f>
        <v>CLLSMN88D07A488A</v>
      </c>
      <c r="O1212" s="3" t="s">
        <v>1808</v>
      </c>
      <c r="P1212" s="3" t="s">
        <v>35</v>
      </c>
      <c r="Q1212" s="3" t="s">
        <v>1572</v>
      </c>
      <c r="R1212" s="4">
        <v>45926</v>
      </c>
      <c r="S1212" s="3" t="s">
        <v>37</v>
      </c>
      <c r="T1212" s="3" t="s">
        <v>38</v>
      </c>
      <c r="U1212" s="3" t="s">
        <v>39</v>
      </c>
      <c r="V1212" s="5">
        <v>1252.47</v>
      </c>
      <c r="W1212" s="3">
        <v>532.29999999999995</v>
      </c>
      <c r="X1212" s="3">
        <v>504.12</v>
      </c>
      <c r="Y1212" s="3">
        <v>216.05</v>
      </c>
    </row>
    <row r="1213" spans="1:25" ht="41.5" hidden="1" x14ac:dyDescent="0.35">
      <c r="A1213" s="3" t="s">
        <v>26</v>
      </c>
      <c r="B1213" s="3" t="s">
        <v>27</v>
      </c>
      <c r="C1213" s="3" t="s">
        <v>465</v>
      </c>
      <c r="D1213" s="3" t="s">
        <v>29</v>
      </c>
      <c r="E1213" s="3" t="s">
        <v>466</v>
      </c>
      <c r="F1213" s="3" t="s">
        <v>31</v>
      </c>
      <c r="G1213" s="3" t="s">
        <v>466</v>
      </c>
      <c r="H1213" s="3" t="s">
        <v>467</v>
      </c>
      <c r="I1213" s="3">
        <v>2024</v>
      </c>
      <c r="J1213" s="3" t="str">
        <f>CONCATENATE("44811452869")</f>
        <v>44811452869</v>
      </c>
      <c r="K1213" s="3" t="s">
        <v>33</v>
      </c>
      <c r="L1213" s="3" t="str">
        <f t="shared" si="72"/>
        <v/>
      </c>
      <c r="M1213" s="3" t="str">
        <f t="shared" si="76"/>
        <v>SRA30</v>
      </c>
      <c r="N1213" s="3" t="str">
        <f>CONCATENATE("CVSMRA68M06A345I")</f>
        <v>CVSMRA68M06A345I</v>
      </c>
      <c r="O1213" s="3" t="s">
        <v>1809</v>
      </c>
      <c r="P1213" s="3" t="s">
        <v>35</v>
      </c>
      <c r="Q1213" s="3" t="s">
        <v>1572</v>
      </c>
      <c r="R1213" s="4">
        <v>45926</v>
      </c>
      <c r="S1213" s="3" t="s">
        <v>37</v>
      </c>
      <c r="T1213" s="3" t="s">
        <v>38</v>
      </c>
      <c r="U1213" s="3" t="s">
        <v>39</v>
      </c>
      <c r="V1213" s="5">
        <v>5584.75</v>
      </c>
      <c r="W1213" s="5">
        <v>2373.52</v>
      </c>
      <c r="X1213" s="5">
        <v>2247.86</v>
      </c>
      <c r="Y1213" s="3">
        <v>963.37</v>
      </c>
    </row>
    <row r="1214" spans="1:25" ht="25.5" hidden="1" x14ac:dyDescent="0.35">
      <c r="A1214" s="3" t="s">
        <v>26</v>
      </c>
      <c r="B1214" s="3" t="s">
        <v>27</v>
      </c>
      <c r="C1214" s="3" t="s">
        <v>465</v>
      </c>
      <c r="D1214" s="3" t="s">
        <v>41</v>
      </c>
      <c r="E1214" s="3" t="s">
        <v>671</v>
      </c>
      <c r="F1214" s="3" t="s">
        <v>43</v>
      </c>
      <c r="G1214" s="3" t="s">
        <v>671</v>
      </c>
      <c r="H1214" s="3" t="s">
        <v>467</v>
      </c>
      <c r="I1214" s="3">
        <v>2024</v>
      </c>
      <c r="J1214" s="3" t="str">
        <f>CONCATENATE("44810698850")</f>
        <v>44810698850</v>
      </c>
      <c r="K1214" s="3" t="s">
        <v>33</v>
      </c>
      <c r="L1214" s="3" t="str">
        <f t="shared" si="72"/>
        <v/>
      </c>
      <c r="M1214" s="3" t="str">
        <f t="shared" si="76"/>
        <v>SRA30</v>
      </c>
      <c r="N1214" s="3" t="str">
        <f>CONCATENATE("02021330663")</f>
        <v>02021330663</v>
      </c>
      <c r="O1214" s="3" t="s">
        <v>1810</v>
      </c>
      <c r="P1214" s="3" t="s">
        <v>35</v>
      </c>
      <c r="Q1214" s="3" t="s">
        <v>1572</v>
      </c>
      <c r="R1214" s="4">
        <v>45926</v>
      </c>
      <c r="S1214" s="3" t="s">
        <v>37</v>
      </c>
      <c r="T1214" s="3" t="s">
        <v>38</v>
      </c>
      <c r="U1214" s="3" t="s">
        <v>39</v>
      </c>
      <c r="V1214" s="5">
        <v>13022.56</v>
      </c>
      <c r="W1214" s="5">
        <v>5534.59</v>
      </c>
      <c r="X1214" s="5">
        <v>5241.58</v>
      </c>
      <c r="Y1214" s="5">
        <v>2246.39</v>
      </c>
    </row>
    <row r="1215" spans="1:25" ht="41.5" hidden="1" x14ac:dyDescent="0.35">
      <c r="A1215" s="3" t="s">
        <v>26</v>
      </c>
      <c r="B1215" s="3" t="s">
        <v>27</v>
      </c>
      <c r="C1215" s="3" t="s">
        <v>465</v>
      </c>
      <c r="D1215" s="3" t="s">
        <v>41</v>
      </c>
      <c r="E1215" s="3" t="s">
        <v>567</v>
      </c>
      <c r="F1215" s="3" t="s">
        <v>43</v>
      </c>
      <c r="G1215" s="3" t="s">
        <v>567</v>
      </c>
      <c r="H1215" s="3" t="s">
        <v>467</v>
      </c>
      <c r="I1215" s="3">
        <v>2024</v>
      </c>
      <c r="J1215" s="3" t="str">
        <f>CONCATENATE("44811919941")</f>
        <v>44811919941</v>
      </c>
      <c r="K1215" s="3" t="s">
        <v>33</v>
      </c>
      <c r="L1215" s="3" t="str">
        <f t="shared" si="72"/>
        <v/>
      </c>
      <c r="M1215" s="3" t="str">
        <f t="shared" si="76"/>
        <v>SRA30</v>
      </c>
      <c r="N1215" s="3" t="str">
        <f>CONCATENATE("LNCPTR70E28A345J")</f>
        <v>LNCPTR70E28A345J</v>
      </c>
      <c r="O1215" s="3" t="s">
        <v>1811</v>
      </c>
      <c r="P1215" s="3" t="s">
        <v>35</v>
      </c>
      <c r="Q1215" s="3" t="s">
        <v>1572</v>
      </c>
      <c r="R1215" s="4">
        <v>45926</v>
      </c>
      <c r="S1215" s="3" t="s">
        <v>37</v>
      </c>
      <c r="T1215" s="3" t="s">
        <v>38</v>
      </c>
      <c r="U1215" s="3" t="s">
        <v>39</v>
      </c>
      <c r="V1215" s="5">
        <v>1147.24</v>
      </c>
      <c r="W1215" s="3">
        <v>487.58</v>
      </c>
      <c r="X1215" s="3">
        <v>461.76</v>
      </c>
      <c r="Y1215" s="3">
        <v>197.9</v>
      </c>
    </row>
    <row r="1216" spans="1:25" ht="41.5" hidden="1" x14ac:dyDescent="0.35">
      <c r="A1216" s="3" t="s">
        <v>26</v>
      </c>
      <c r="B1216" s="3" t="s">
        <v>27</v>
      </c>
      <c r="C1216" s="3" t="s">
        <v>465</v>
      </c>
      <c r="D1216" s="3" t="s">
        <v>41</v>
      </c>
      <c r="E1216" s="3" t="s">
        <v>1812</v>
      </c>
      <c r="F1216" s="3" t="s">
        <v>43</v>
      </c>
      <c r="G1216" s="3" t="s">
        <v>1812</v>
      </c>
      <c r="H1216" s="3" t="s">
        <v>467</v>
      </c>
      <c r="I1216" s="3">
        <v>2024</v>
      </c>
      <c r="J1216" s="3" t="str">
        <f>CONCATENATE("44811124872")</f>
        <v>44811124872</v>
      </c>
      <c r="K1216" s="3" t="s">
        <v>33</v>
      </c>
      <c r="L1216" s="3" t="str">
        <f t="shared" si="72"/>
        <v/>
      </c>
      <c r="M1216" s="3" t="str">
        <f t="shared" si="76"/>
        <v>SRA30</v>
      </c>
      <c r="N1216" s="3" t="str">
        <f>CONCATENATE("MRRSML97L01G482U")</f>
        <v>MRRSML97L01G482U</v>
      </c>
      <c r="O1216" s="3" t="s">
        <v>1813</v>
      </c>
      <c r="P1216" s="3" t="s">
        <v>35</v>
      </c>
      <c r="Q1216" s="3" t="s">
        <v>1572</v>
      </c>
      <c r="R1216" s="4">
        <v>45926</v>
      </c>
      <c r="S1216" s="3" t="s">
        <v>37</v>
      </c>
      <c r="T1216" s="3" t="s">
        <v>38</v>
      </c>
      <c r="U1216" s="3" t="s">
        <v>39</v>
      </c>
      <c r="V1216" s="5">
        <v>13520</v>
      </c>
      <c r="W1216" s="5">
        <v>5746</v>
      </c>
      <c r="X1216" s="5">
        <v>5441.8</v>
      </c>
      <c r="Y1216" s="5">
        <v>2332.1999999999998</v>
      </c>
    </row>
    <row r="1217" spans="1:25" ht="49.5" hidden="1" x14ac:dyDescent="0.35">
      <c r="A1217" s="3" t="s">
        <v>26</v>
      </c>
      <c r="B1217" s="3" t="s">
        <v>27</v>
      </c>
      <c r="C1217" s="3" t="s">
        <v>465</v>
      </c>
      <c r="D1217" s="3" t="s">
        <v>41</v>
      </c>
      <c r="E1217" s="3" t="s">
        <v>130</v>
      </c>
      <c r="F1217" s="3" t="s">
        <v>43</v>
      </c>
      <c r="G1217" s="3" t="s">
        <v>130</v>
      </c>
      <c r="H1217" s="3" t="s">
        <v>467</v>
      </c>
      <c r="I1217" s="3">
        <v>2024</v>
      </c>
      <c r="J1217" s="3" t="str">
        <f>CONCATENATE("44810596542")</f>
        <v>44810596542</v>
      </c>
      <c r="K1217" s="3" t="s">
        <v>33</v>
      </c>
      <c r="L1217" s="3" t="str">
        <f t="shared" si="72"/>
        <v/>
      </c>
      <c r="M1217" s="3" t="str">
        <f t="shared" si="76"/>
        <v>SRA30</v>
      </c>
      <c r="N1217" s="3" t="str">
        <f>CONCATENATE("LVRMRN55A11L103A")</f>
        <v>LVRMRN55A11L103A</v>
      </c>
      <c r="O1217" s="3" t="s">
        <v>1814</v>
      </c>
      <c r="P1217" s="3" t="s">
        <v>35</v>
      </c>
      <c r="Q1217" s="3" t="s">
        <v>1572</v>
      </c>
      <c r="R1217" s="4">
        <v>45926</v>
      </c>
      <c r="S1217" s="3" t="s">
        <v>37</v>
      </c>
      <c r="T1217" s="3" t="s">
        <v>38</v>
      </c>
      <c r="U1217" s="3" t="s">
        <v>39</v>
      </c>
      <c r="V1217" s="5">
        <v>8464</v>
      </c>
      <c r="W1217" s="5">
        <v>3597.2</v>
      </c>
      <c r="X1217" s="5">
        <v>3406.76</v>
      </c>
      <c r="Y1217" s="5">
        <v>1460.04</v>
      </c>
    </row>
    <row r="1218" spans="1:25" ht="49.5" hidden="1" x14ac:dyDescent="0.35">
      <c r="A1218" s="3" t="s">
        <v>26</v>
      </c>
      <c r="B1218" s="3" t="s">
        <v>27</v>
      </c>
      <c r="C1218" s="3" t="s">
        <v>478</v>
      </c>
      <c r="D1218" s="3" t="s">
        <v>180</v>
      </c>
      <c r="E1218" s="3" t="s">
        <v>1134</v>
      </c>
      <c r="F1218" s="3" t="s">
        <v>85</v>
      </c>
      <c r="G1218" s="3" t="s">
        <v>1134</v>
      </c>
      <c r="H1218" s="3" t="s">
        <v>604</v>
      </c>
      <c r="I1218" s="3">
        <v>2024</v>
      </c>
      <c r="J1218" s="3" t="str">
        <f>CONCATENATE("44811259546")</f>
        <v>44811259546</v>
      </c>
      <c r="K1218" s="3" t="s">
        <v>33</v>
      </c>
      <c r="L1218" s="3" t="str">
        <f t="shared" si="72"/>
        <v/>
      </c>
      <c r="M1218" s="3" t="str">
        <f t="shared" ref="M1218:M1236" si="77">CONCATENATE("SRA29")</f>
        <v>SRA29</v>
      </c>
      <c r="N1218" s="3" t="str">
        <f>CONCATENATE("BCCFNC80H57A509W")</f>
        <v>BCCFNC80H57A509W</v>
      </c>
      <c r="O1218" s="3" t="s">
        <v>1815</v>
      </c>
      <c r="P1218" s="3" t="s">
        <v>35</v>
      </c>
      <c r="Q1218" s="3" t="s">
        <v>1573</v>
      </c>
      <c r="R1218" s="4">
        <v>45915</v>
      </c>
      <c r="S1218" s="3" t="s">
        <v>37</v>
      </c>
      <c r="T1218" s="3" t="s">
        <v>38</v>
      </c>
      <c r="U1218" s="3" t="s">
        <v>39</v>
      </c>
      <c r="V1218" s="5">
        <v>1659.2</v>
      </c>
      <c r="W1218" s="3">
        <v>837.9</v>
      </c>
      <c r="X1218" s="3">
        <v>574.91</v>
      </c>
      <c r="Y1218" s="3">
        <v>246.39</v>
      </c>
    </row>
    <row r="1219" spans="1:25" ht="41.5" hidden="1" x14ac:dyDescent="0.35">
      <c r="A1219" s="3" t="s">
        <v>26</v>
      </c>
      <c r="B1219" s="3" t="s">
        <v>27</v>
      </c>
      <c r="C1219" s="3" t="s">
        <v>478</v>
      </c>
      <c r="D1219" s="3" t="s">
        <v>29</v>
      </c>
      <c r="E1219" s="3" t="s">
        <v>1285</v>
      </c>
      <c r="F1219" s="3" t="s">
        <v>31</v>
      </c>
      <c r="G1219" s="3" t="s">
        <v>1285</v>
      </c>
      <c r="H1219" s="3" t="s">
        <v>604</v>
      </c>
      <c r="I1219" s="3">
        <v>2024</v>
      </c>
      <c r="J1219" s="3" t="str">
        <f>CONCATENATE("44811246659")</f>
        <v>44811246659</v>
      </c>
      <c r="K1219" s="3" t="s">
        <v>33</v>
      </c>
      <c r="L1219" s="3" t="str">
        <f t="shared" si="72"/>
        <v/>
      </c>
      <c r="M1219" s="3" t="str">
        <f t="shared" si="77"/>
        <v>SRA29</v>
      </c>
      <c r="N1219" s="3" t="str">
        <f>CONCATENATE("CCCNGL80C27A509Y")</f>
        <v>CCCNGL80C27A509Y</v>
      </c>
      <c r="O1219" s="3" t="s">
        <v>1816</v>
      </c>
      <c r="P1219" s="3" t="s">
        <v>35</v>
      </c>
      <c r="Q1219" s="3" t="s">
        <v>1573</v>
      </c>
      <c r="R1219" s="4">
        <v>45915</v>
      </c>
      <c r="S1219" s="3" t="s">
        <v>37</v>
      </c>
      <c r="T1219" s="3" t="s">
        <v>38</v>
      </c>
      <c r="U1219" s="3" t="s">
        <v>39</v>
      </c>
      <c r="V1219" s="5">
        <v>5358.89</v>
      </c>
      <c r="W1219" s="5">
        <v>2706.24</v>
      </c>
      <c r="X1219" s="5">
        <v>1856.86</v>
      </c>
      <c r="Y1219" s="3">
        <v>795.79</v>
      </c>
    </row>
    <row r="1220" spans="1:25" ht="41.5" hidden="1" x14ac:dyDescent="0.35">
      <c r="A1220" s="3" t="s">
        <v>26</v>
      </c>
      <c r="B1220" s="3" t="s">
        <v>27</v>
      </c>
      <c r="C1220" s="3" t="s">
        <v>478</v>
      </c>
      <c r="D1220" s="3" t="s">
        <v>51</v>
      </c>
      <c r="E1220" s="3" t="s">
        <v>1730</v>
      </c>
      <c r="F1220" s="3" t="s">
        <v>51</v>
      </c>
      <c r="G1220" s="3" t="s">
        <v>1730</v>
      </c>
      <c r="H1220" s="3" t="s">
        <v>604</v>
      </c>
      <c r="I1220" s="3">
        <v>2024</v>
      </c>
      <c r="J1220" s="3" t="str">
        <f>CONCATENATE("44811304243")</f>
        <v>44811304243</v>
      </c>
      <c r="K1220" s="3" t="s">
        <v>33</v>
      </c>
      <c r="L1220" s="3" t="str">
        <f t="shared" ref="L1220:L1283" si="78">CONCATENATE("")</f>
        <v/>
      </c>
      <c r="M1220" s="3" t="str">
        <f t="shared" si="77"/>
        <v>SRA29</v>
      </c>
      <c r="N1220" s="3" t="str">
        <f>CONCATENATE("SRGMDR58L48E206W")</f>
        <v>SRGMDR58L48E206W</v>
      </c>
      <c r="O1220" s="3" t="s">
        <v>1817</v>
      </c>
      <c r="P1220" s="3" t="s">
        <v>35</v>
      </c>
      <c r="Q1220" s="3" t="s">
        <v>1573</v>
      </c>
      <c r="R1220" s="4">
        <v>45915</v>
      </c>
      <c r="S1220" s="3" t="s">
        <v>37</v>
      </c>
      <c r="T1220" s="3" t="s">
        <v>38</v>
      </c>
      <c r="U1220" s="3" t="s">
        <v>39</v>
      </c>
      <c r="V1220" s="3">
        <v>827.28</v>
      </c>
      <c r="W1220" s="3">
        <v>417.78</v>
      </c>
      <c r="X1220" s="3">
        <v>286.64999999999998</v>
      </c>
      <c r="Y1220" s="3">
        <v>122.85</v>
      </c>
    </row>
    <row r="1221" spans="1:25" ht="41.5" hidden="1" x14ac:dyDescent="0.35">
      <c r="A1221" s="3" t="s">
        <v>26</v>
      </c>
      <c r="B1221" s="3" t="s">
        <v>27</v>
      </c>
      <c r="C1221" s="3" t="s">
        <v>478</v>
      </c>
      <c r="D1221" s="3" t="s">
        <v>41</v>
      </c>
      <c r="E1221" s="3" t="s">
        <v>667</v>
      </c>
      <c r="F1221" s="3" t="s">
        <v>43</v>
      </c>
      <c r="G1221" s="3" t="s">
        <v>667</v>
      </c>
      <c r="H1221" s="3" t="s">
        <v>604</v>
      </c>
      <c r="I1221" s="3">
        <v>2024</v>
      </c>
      <c r="J1221" s="3" t="str">
        <f>CONCATENATE("44810448447")</f>
        <v>44810448447</v>
      </c>
      <c r="K1221" s="3" t="s">
        <v>33</v>
      </c>
      <c r="L1221" s="3" t="str">
        <f t="shared" si="78"/>
        <v/>
      </c>
      <c r="M1221" s="3" t="str">
        <f t="shared" si="77"/>
        <v>SRA29</v>
      </c>
      <c r="N1221" s="3" t="str">
        <f>CONCATENATE("CRFGDE56B20F546H")</f>
        <v>CRFGDE56B20F546H</v>
      </c>
      <c r="O1221" s="3" t="s">
        <v>1818</v>
      </c>
      <c r="P1221" s="3" t="s">
        <v>35</v>
      </c>
      <c r="Q1221" s="3" t="s">
        <v>1573</v>
      </c>
      <c r="R1221" s="4">
        <v>45915</v>
      </c>
      <c r="S1221" s="3" t="s">
        <v>37</v>
      </c>
      <c r="T1221" s="3" t="s">
        <v>38</v>
      </c>
      <c r="U1221" s="3" t="s">
        <v>39</v>
      </c>
      <c r="V1221" s="5">
        <v>3888.99</v>
      </c>
      <c r="W1221" s="5">
        <v>1963.94</v>
      </c>
      <c r="X1221" s="5">
        <v>1347.54</v>
      </c>
      <c r="Y1221" s="3">
        <v>577.51</v>
      </c>
    </row>
    <row r="1222" spans="1:25" ht="41.5" hidden="1" x14ac:dyDescent="0.35">
      <c r="A1222" s="3" t="s">
        <v>26</v>
      </c>
      <c r="B1222" s="3" t="s">
        <v>27</v>
      </c>
      <c r="C1222" s="3" t="s">
        <v>478</v>
      </c>
      <c r="D1222" s="3" t="s">
        <v>137</v>
      </c>
      <c r="E1222" s="3" t="s">
        <v>590</v>
      </c>
      <c r="F1222" s="3" t="s">
        <v>139</v>
      </c>
      <c r="G1222" s="3" t="s">
        <v>590</v>
      </c>
      <c r="H1222" s="3" t="s">
        <v>604</v>
      </c>
      <c r="I1222" s="3">
        <v>2024</v>
      </c>
      <c r="J1222" s="3" t="str">
        <f>CONCATENATE("44810860542")</f>
        <v>44810860542</v>
      </c>
      <c r="K1222" s="3" t="s">
        <v>33</v>
      </c>
      <c r="L1222" s="3" t="str">
        <f t="shared" si="78"/>
        <v/>
      </c>
      <c r="M1222" s="3" t="str">
        <f t="shared" si="77"/>
        <v>SRA29</v>
      </c>
      <c r="N1222" s="3" t="str">
        <f>CONCATENATE("CLCMHL91R05A509I")</f>
        <v>CLCMHL91R05A509I</v>
      </c>
      <c r="O1222" s="3" t="s">
        <v>1819</v>
      </c>
      <c r="P1222" s="3" t="s">
        <v>35</v>
      </c>
      <c r="Q1222" s="3" t="s">
        <v>1573</v>
      </c>
      <c r="R1222" s="4">
        <v>45915</v>
      </c>
      <c r="S1222" s="3" t="s">
        <v>37</v>
      </c>
      <c r="T1222" s="3" t="s">
        <v>38</v>
      </c>
      <c r="U1222" s="3" t="s">
        <v>39</v>
      </c>
      <c r="V1222" s="5">
        <v>4185.8100000000004</v>
      </c>
      <c r="W1222" s="5">
        <v>2113.83</v>
      </c>
      <c r="X1222" s="5">
        <v>1450.38</v>
      </c>
      <c r="Y1222" s="3">
        <v>621.6</v>
      </c>
    </row>
    <row r="1223" spans="1:25" ht="41.5" hidden="1" x14ac:dyDescent="0.35">
      <c r="A1223" s="3" t="s">
        <v>26</v>
      </c>
      <c r="B1223" s="3" t="s">
        <v>27</v>
      </c>
      <c r="C1223" s="3" t="s">
        <v>478</v>
      </c>
      <c r="D1223" s="3" t="s">
        <v>41</v>
      </c>
      <c r="E1223" s="3" t="s">
        <v>1820</v>
      </c>
      <c r="F1223" s="3" t="s">
        <v>43</v>
      </c>
      <c r="G1223" s="3" t="s">
        <v>1820</v>
      </c>
      <c r="H1223" s="3" t="s">
        <v>604</v>
      </c>
      <c r="I1223" s="3">
        <v>2024</v>
      </c>
      <c r="J1223" s="3" t="str">
        <f>CONCATENATE("44810888493")</f>
        <v>44810888493</v>
      </c>
      <c r="K1223" s="3" t="s">
        <v>33</v>
      </c>
      <c r="L1223" s="3" t="str">
        <f t="shared" si="78"/>
        <v/>
      </c>
      <c r="M1223" s="3" t="str">
        <f t="shared" si="77"/>
        <v>SRA29</v>
      </c>
      <c r="N1223" s="3" t="str">
        <f>CONCATENATE("CSNGNI74C45A399B")</f>
        <v>CSNGNI74C45A399B</v>
      </c>
      <c r="O1223" s="3" t="s">
        <v>1821</v>
      </c>
      <c r="P1223" s="3" t="s">
        <v>35</v>
      </c>
      <c r="Q1223" s="3" t="s">
        <v>1573</v>
      </c>
      <c r="R1223" s="4">
        <v>45915</v>
      </c>
      <c r="S1223" s="3" t="s">
        <v>37</v>
      </c>
      <c r="T1223" s="3" t="s">
        <v>38</v>
      </c>
      <c r="U1223" s="3" t="s">
        <v>39</v>
      </c>
      <c r="V1223" s="3">
        <v>467.91</v>
      </c>
      <c r="W1223" s="3">
        <v>236.29</v>
      </c>
      <c r="X1223" s="3">
        <v>162.13</v>
      </c>
      <c r="Y1223" s="3">
        <v>69.489999999999995</v>
      </c>
    </row>
    <row r="1224" spans="1:25" ht="41.5" hidden="1" x14ac:dyDescent="0.35">
      <c r="A1224" s="3" t="s">
        <v>26</v>
      </c>
      <c r="B1224" s="3" t="s">
        <v>27</v>
      </c>
      <c r="C1224" s="3" t="s">
        <v>478</v>
      </c>
      <c r="D1224" s="3" t="s">
        <v>61</v>
      </c>
      <c r="E1224" s="3" t="s">
        <v>820</v>
      </c>
      <c r="F1224" s="3" t="s">
        <v>63</v>
      </c>
      <c r="G1224" s="3" t="s">
        <v>820</v>
      </c>
      <c r="H1224" s="3" t="s">
        <v>604</v>
      </c>
      <c r="I1224" s="3">
        <v>2024</v>
      </c>
      <c r="J1224" s="3" t="str">
        <f>CONCATENATE("44810718112")</f>
        <v>44810718112</v>
      </c>
      <c r="K1224" s="3" t="s">
        <v>33</v>
      </c>
      <c r="L1224" s="3" t="str">
        <f t="shared" si="78"/>
        <v/>
      </c>
      <c r="M1224" s="3" t="str">
        <f t="shared" si="77"/>
        <v>SRA29</v>
      </c>
      <c r="N1224" s="3" t="str">
        <f>CONCATENATE("DPRRHL51E56G370J")</f>
        <v>DPRRHL51E56G370J</v>
      </c>
      <c r="O1224" s="3" t="s">
        <v>1822</v>
      </c>
      <c r="P1224" s="3" t="s">
        <v>35</v>
      </c>
      <c r="Q1224" s="3" t="s">
        <v>1573</v>
      </c>
      <c r="R1224" s="4">
        <v>45915</v>
      </c>
      <c r="S1224" s="3" t="s">
        <v>37</v>
      </c>
      <c r="T1224" s="3" t="s">
        <v>38</v>
      </c>
      <c r="U1224" s="3" t="s">
        <v>39</v>
      </c>
      <c r="V1224" s="5">
        <v>2155.7600000000002</v>
      </c>
      <c r="W1224" s="5">
        <v>1088.6600000000001</v>
      </c>
      <c r="X1224" s="3">
        <v>746.97</v>
      </c>
      <c r="Y1224" s="3">
        <v>320.13</v>
      </c>
    </row>
    <row r="1225" spans="1:25" ht="41.5" hidden="1" x14ac:dyDescent="0.35">
      <c r="A1225" s="3" t="s">
        <v>26</v>
      </c>
      <c r="B1225" s="3" t="s">
        <v>27</v>
      </c>
      <c r="C1225" s="3" t="s">
        <v>478</v>
      </c>
      <c r="D1225" s="3" t="s">
        <v>234</v>
      </c>
      <c r="E1225" s="3" t="s">
        <v>1138</v>
      </c>
      <c r="F1225" s="3" t="s">
        <v>119</v>
      </c>
      <c r="G1225" s="3" t="s">
        <v>1138</v>
      </c>
      <c r="H1225" s="3" t="s">
        <v>604</v>
      </c>
      <c r="I1225" s="3">
        <v>2024</v>
      </c>
      <c r="J1225" s="3" t="str">
        <f>CONCATENATE("44810167104")</f>
        <v>44810167104</v>
      </c>
      <c r="K1225" s="3" t="s">
        <v>33</v>
      </c>
      <c r="L1225" s="3" t="str">
        <f t="shared" si="78"/>
        <v/>
      </c>
      <c r="M1225" s="3" t="str">
        <f t="shared" si="77"/>
        <v>SRA29</v>
      </c>
      <c r="N1225" s="3" t="str">
        <f>CONCATENATE("RDOGPP49L06I630G")</f>
        <v>RDOGPP49L06I630G</v>
      </c>
      <c r="O1225" s="3" t="s">
        <v>1823</v>
      </c>
      <c r="P1225" s="3" t="s">
        <v>35</v>
      </c>
      <c r="Q1225" s="3" t="s">
        <v>1573</v>
      </c>
      <c r="R1225" s="4">
        <v>45915</v>
      </c>
      <c r="S1225" s="3" t="s">
        <v>37</v>
      </c>
      <c r="T1225" s="3" t="s">
        <v>38</v>
      </c>
      <c r="U1225" s="3" t="s">
        <v>39</v>
      </c>
      <c r="V1225" s="5">
        <v>3129.66</v>
      </c>
      <c r="W1225" s="5">
        <v>1580.48</v>
      </c>
      <c r="X1225" s="5">
        <v>1084.43</v>
      </c>
      <c r="Y1225" s="3">
        <v>464.75</v>
      </c>
    </row>
    <row r="1226" spans="1:25" ht="41.5" hidden="1" x14ac:dyDescent="0.35">
      <c r="A1226" s="3" t="s">
        <v>26</v>
      </c>
      <c r="B1226" s="3" t="s">
        <v>27</v>
      </c>
      <c r="C1226" s="3" t="s">
        <v>28</v>
      </c>
      <c r="D1226" s="3" t="s">
        <v>164</v>
      </c>
      <c r="E1226" s="3" t="s">
        <v>1617</v>
      </c>
      <c r="F1226" s="3" t="s">
        <v>166</v>
      </c>
      <c r="G1226" s="3" t="s">
        <v>1617</v>
      </c>
      <c r="H1226" s="3" t="s">
        <v>72</v>
      </c>
      <c r="I1226" s="3">
        <v>2024</v>
      </c>
      <c r="J1226" s="3" t="str">
        <f>CONCATENATE("44811060258")</f>
        <v>44811060258</v>
      </c>
      <c r="K1226" s="3" t="s">
        <v>33</v>
      </c>
      <c r="L1226" s="3" t="str">
        <f t="shared" si="78"/>
        <v/>
      </c>
      <c r="M1226" s="3" t="str">
        <f t="shared" si="77"/>
        <v>SRA29</v>
      </c>
      <c r="N1226" s="3" t="str">
        <f>CONCATENATE("NZZMRZ76S09Z133W")</f>
        <v>NZZMRZ76S09Z133W</v>
      </c>
      <c r="O1226" s="3" t="s">
        <v>1824</v>
      </c>
      <c r="P1226" s="3" t="s">
        <v>35</v>
      </c>
      <c r="Q1226" s="3" t="s">
        <v>1389</v>
      </c>
      <c r="R1226" s="4">
        <v>45916</v>
      </c>
      <c r="S1226" s="3" t="s">
        <v>37</v>
      </c>
      <c r="T1226" s="3" t="s">
        <v>38</v>
      </c>
      <c r="U1226" s="3" t="s">
        <v>39</v>
      </c>
      <c r="V1226" s="3">
        <v>1.98</v>
      </c>
      <c r="W1226" s="3">
        <v>1</v>
      </c>
      <c r="X1226" s="3">
        <v>0.69</v>
      </c>
      <c r="Y1226" s="3">
        <v>0.28999999999999998</v>
      </c>
    </row>
    <row r="1227" spans="1:25" ht="41.5" hidden="1" x14ac:dyDescent="0.35">
      <c r="A1227" s="3" t="s">
        <v>26</v>
      </c>
      <c r="B1227" s="3" t="s">
        <v>27</v>
      </c>
      <c r="C1227" s="3" t="s">
        <v>28</v>
      </c>
      <c r="D1227" s="3" t="s">
        <v>61</v>
      </c>
      <c r="E1227" s="3" t="s">
        <v>1520</v>
      </c>
      <c r="F1227" s="3" t="s">
        <v>63</v>
      </c>
      <c r="G1227" s="3" t="s">
        <v>1520</v>
      </c>
      <c r="H1227" s="3" t="s">
        <v>1403</v>
      </c>
      <c r="I1227" s="3">
        <v>2024</v>
      </c>
      <c r="J1227" s="3" t="str">
        <f>CONCATENATE("44810703601")</f>
        <v>44810703601</v>
      </c>
      <c r="K1227" s="3" t="s">
        <v>33</v>
      </c>
      <c r="L1227" s="3" t="str">
        <f t="shared" si="78"/>
        <v/>
      </c>
      <c r="M1227" s="3" t="str">
        <f t="shared" si="77"/>
        <v>SRA29</v>
      </c>
      <c r="N1227" s="3" t="str">
        <f>CONCATENATE("PNAGPR73M03E053B")</f>
        <v>PNAGPR73M03E053B</v>
      </c>
      <c r="O1227" s="3" t="s">
        <v>1825</v>
      </c>
      <c r="P1227" s="3" t="s">
        <v>35</v>
      </c>
      <c r="Q1227" s="3" t="s">
        <v>1389</v>
      </c>
      <c r="R1227" s="4">
        <v>45916</v>
      </c>
      <c r="S1227" s="3" t="s">
        <v>37</v>
      </c>
      <c r="T1227" s="3" t="s">
        <v>38</v>
      </c>
      <c r="U1227" s="3" t="s">
        <v>39</v>
      </c>
      <c r="V1227" s="3">
        <v>39.42</v>
      </c>
      <c r="W1227" s="3">
        <v>19.91</v>
      </c>
      <c r="X1227" s="3">
        <v>13.66</v>
      </c>
      <c r="Y1227" s="3">
        <v>5.85</v>
      </c>
    </row>
    <row r="1228" spans="1:25" ht="41.5" hidden="1" x14ac:dyDescent="0.35">
      <c r="A1228" s="3" t="s">
        <v>26</v>
      </c>
      <c r="B1228" s="3" t="s">
        <v>27</v>
      </c>
      <c r="C1228" s="3" t="s">
        <v>28</v>
      </c>
      <c r="D1228" s="3" t="s">
        <v>254</v>
      </c>
      <c r="E1228" s="3" t="s">
        <v>1666</v>
      </c>
      <c r="F1228" s="3" t="s">
        <v>256</v>
      </c>
      <c r="G1228" s="3" t="s">
        <v>1666</v>
      </c>
      <c r="H1228" s="3" t="s">
        <v>72</v>
      </c>
      <c r="I1228" s="3">
        <v>2024</v>
      </c>
      <c r="J1228" s="3" t="str">
        <f>CONCATENATE("44811264322")</f>
        <v>44811264322</v>
      </c>
      <c r="K1228" s="3" t="s">
        <v>33</v>
      </c>
      <c r="L1228" s="3" t="str">
        <f t="shared" si="78"/>
        <v/>
      </c>
      <c r="M1228" s="3" t="str">
        <f t="shared" si="77"/>
        <v>SRA29</v>
      </c>
      <c r="N1228" s="3" t="str">
        <f>CONCATENATE("PSSLGU86L48L109H")</f>
        <v>PSSLGU86L48L109H</v>
      </c>
      <c r="O1228" s="3" t="s">
        <v>1826</v>
      </c>
      <c r="P1228" s="3" t="s">
        <v>35</v>
      </c>
      <c r="Q1228" s="3" t="s">
        <v>1389</v>
      </c>
      <c r="R1228" s="4">
        <v>45916</v>
      </c>
      <c r="S1228" s="3" t="s">
        <v>37</v>
      </c>
      <c r="T1228" s="3" t="s">
        <v>38</v>
      </c>
      <c r="U1228" s="3" t="s">
        <v>39</v>
      </c>
      <c r="V1228" s="3">
        <v>449.69</v>
      </c>
      <c r="W1228" s="3">
        <v>227.09</v>
      </c>
      <c r="X1228" s="3">
        <v>155.82</v>
      </c>
      <c r="Y1228" s="3">
        <v>66.78</v>
      </c>
    </row>
    <row r="1229" spans="1:25" ht="41.5" hidden="1" x14ac:dyDescent="0.35">
      <c r="A1229" s="3" t="s">
        <v>26</v>
      </c>
      <c r="B1229" s="3" t="s">
        <v>27</v>
      </c>
      <c r="C1229" s="3" t="s">
        <v>28</v>
      </c>
      <c r="D1229" s="3" t="s">
        <v>29</v>
      </c>
      <c r="E1229" s="3" t="s">
        <v>1827</v>
      </c>
      <c r="F1229" s="3" t="s">
        <v>31</v>
      </c>
      <c r="G1229" s="3" t="s">
        <v>1827</v>
      </c>
      <c r="H1229" s="3" t="s">
        <v>1403</v>
      </c>
      <c r="I1229" s="3">
        <v>2024</v>
      </c>
      <c r="J1229" s="3" t="str">
        <f>CONCATENATE("44811012853")</f>
        <v>44811012853</v>
      </c>
      <c r="K1229" s="3" t="s">
        <v>33</v>
      </c>
      <c r="L1229" s="3" t="str">
        <f t="shared" si="78"/>
        <v/>
      </c>
      <c r="M1229" s="3" t="str">
        <f t="shared" si="77"/>
        <v>SRA29</v>
      </c>
      <c r="N1229" s="3" t="str">
        <f>CONCATENATE("SNTGNN85E25F152L")</f>
        <v>SNTGNN85E25F152L</v>
      </c>
      <c r="O1229" s="3" t="s">
        <v>1828</v>
      </c>
      <c r="P1229" s="3" t="s">
        <v>35</v>
      </c>
      <c r="Q1229" s="3" t="s">
        <v>1389</v>
      </c>
      <c r="R1229" s="4">
        <v>45916</v>
      </c>
      <c r="S1229" s="3" t="s">
        <v>37</v>
      </c>
      <c r="T1229" s="3" t="s">
        <v>38</v>
      </c>
      <c r="U1229" s="3" t="s">
        <v>39</v>
      </c>
      <c r="V1229" s="5">
        <v>6862.11</v>
      </c>
      <c r="W1229" s="5">
        <v>3465.37</v>
      </c>
      <c r="X1229" s="5">
        <v>2377.7199999999998</v>
      </c>
      <c r="Y1229" s="5">
        <v>1019.02</v>
      </c>
    </row>
    <row r="1230" spans="1:25" ht="41.5" hidden="1" x14ac:dyDescent="0.35">
      <c r="A1230" s="3" t="s">
        <v>26</v>
      </c>
      <c r="B1230" s="3" t="s">
        <v>27</v>
      </c>
      <c r="C1230" s="3" t="s">
        <v>28</v>
      </c>
      <c r="D1230" s="3" t="s">
        <v>55</v>
      </c>
      <c r="E1230" s="3" t="s">
        <v>1441</v>
      </c>
      <c r="F1230" s="3" t="s">
        <v>57</v>
      </c>
      <c r="G1230" s="3" t="s">
        <v>1441</v>
      </c>
      <c r="H1230" s="3" t="s">
        <v>72</v>
      </c>
      <c r="I1230" s="3">
        <v>2024</v>
      </c>
      <c r="J1230" s="3" t="str">
        <f>CONCATENATE("44810526390")</f>
        <v>44810526390</v>
      </c>
      <c r="K1230" s="3" t="s">
        <v>33</v>
      </c>
      <c r="L1230" s="3" t="str">
        <f t="shared" si="78"/>
        <v/>
      </c>
      <c r="M1230" s="3" t="str">
        <f t="shared" si="77"/>
        <v>SRA29</v>
      </c>
      <c r="N1230" s="3" t="str">
        <f>CONCATENATE("SVNTMS91S05A662Z")</f>
        <v>SVNTMS91S05A662Z</v>
      </c>
      <c r="O1230" s="3" t="s">
        <v>1829</v>
      </c>
      <c r="P1230" s="3" t="s">
        <v>35</v>
      </c>
      <c r="Q1230" s="3" t="s">
        <v>1389</v>
      </c>
      <c r="R1230" s="4">
        <v>45916</v>
      </c>
      <c r="S1230" s="3" t="s">
        <v>37</v>
      </c>
      <c r="T1230" s="3" t="s">
        <v>38</v>
      </c>
      <c r="U1230" s="3" t="s">
        <v>39</v>
      </c>
      <c r="V1230" s="3">
        <v>684.68</v>
      </c>
      <c r="W1230" s="3">
        <v>345.76</v>
      </c>
      <c r="X1230" s="3">
        <v>237.24</v>
      </c>
      <c r="Y1230" s="3">
        <v>101.68</v>
      </c>
    </row>
    <row r="1231" spans="1:25" ht="41.5" hidden="1" x14ac:dyDescent="0.35">
      <c r="A1231" s="3" t="s">
        <v>26</v>
      </c>
      <c r="B1231" s="3" t="s">
        <v>27</v>
      </c>
      <c r="C1231" s="3" t="s">
        <v>28</v>
      </c>
      <c r="D1231" s="3" t="s">
        <v>61</v>
      </c>
      <c r="E1231" s="3" t="s">
        <v>322</v>
      </c>
      <c r="F1231" s="3" t="s">
        <v>63</v>
      </c>
      <c r="G1231" s="3" t="s">
        <v>322</v>
      </c>
      <c r="H1231" s="3" t="s">
        <v>72</v>
      </c>
      <c r="I1231" s="3">
        <v>2024</v>
      </c>
      <c r="J1231" s="3" t="str">
        <f>CONCATENATE("44811454881")</f>
        <v>44811454881</v>
      </c>
      <c r="K1231" s="3" t="s">
        <v>33</v>
      </c>
      <c r="L1231" s="3" t="str">
        <f t="shared" si="78"/>
        <v/>
      </c>
      <c r="M1231" s="3" t="str">
        <f t="shared" si="77"/>
        <v>SRA29</v>
      </c>
      <c r="N1231" s="3" t="str">
        <f>CONCATENATE("SCLVNC66R29A225D")</f>
        <v>SCLVNC66R29A225D</v>
      </c>
      <c r="O1231" s="3" t="s">
        <v>1830</v>
      </c>
      <c r="P1231" s="3" t="s">
        <v>35</v>
      </c>
      <c r="Q1231" s="3" t="s">
        <v>1389</v>
      </c>
      <c r="R1231" s="4">
        <v>45916</v>
      </c>
      <c r="S1231" s="3" t="s">
        <v>37</v>
      </c>
      <c r="T1231" s="3" t="s">
        <v>38</v>
      </c>
      <c r="U1231" s="3" t="s">
        <v>39</v>
      </c>
      <c r="V1231" s="3">
        <v>78.94</v>
      </c>
      <c r="W1231" s="3">
        <v>39.86</v>
      </c>
      <c r="X1231" s="3">
        <v>27.35</v>
      </c>
      <c r="Y1231" s="3">
        <v>11.73</v>
      </c>
    </row>
    <row r="1232" spans="1:25" ht="49.5" hidden="1" x14ac:dyDescent="0.35">
      <c r="A1232" s="3" t="s">
        <v>26</v>
      </c>
      <c r="B1232" s="3" t="s">
        <v>27</v>
      </c>
      <c r="C1232" s="3" t="s">
        <v>28</v>
      </c>
      <c r="D1232" s="3" t="s">
        <v>29</v>
      </c>
      <c r="E1232" s="3" t="s">
        <v>1831</v>
      </c>
      <c r="F1232" s="3" t="s">
        <v>31</v>
      </c>
      <c r="G1232" s="3" t="s">
        <v>1831</v>
      </c>
      <c r="H1232" s="3" t="s">
        <v>72</v>
      </c>
      <c r="I1232" s="3">
        <v>2024</v>
      </c>
      <c r="J1232" s="3" t="str">
        <f>CONCATENATE("44811062296")</f>
        <v>44811062296</v>
      </c>
      <c r="K1232" s="3" t="s">
        <v>33</v>
      </c>
      <c r="L1232" s="3" t="str">
        <f t="shared" si="78"/>
        <v/>
      </c>
      <c r="M1232" s="3" t="str">
        <f t="shared" si="77"/>
        <v>SRA29</v>
      </c>
      <c r="N1232" s="3" t="str">
        <f>CONCATENATE("SCRGPP74B22A285W")</f>
        <v>SCRGPP74B22A285W</v>
      </c>
      <c r="O1232" s="3" t="s">
        <v>1832</v>
      </c>
      <c r="P1232" s="3" t="s">
        <v>35</v>
      </c>
      <c r="Q1232" s="3" t="s">
        <v>1389</v>
      </c>
      <c r="R1232" s="4">
        <v>45916</v>
      </c>
      <c r="S1232" s="3" t="s">
        <v>37</v>
      </c>
      <c r="T1232" s="3" t="s">
        <v>38</v>
      </c>
      <c r="U1232" s="3" t="s">
        <v>39</v>
      </c>
      <c r="V1232" s="3">
        <v>44.05</v>
      </c>
      <c r="W1232" s="3">
        <v>22.25</v>
      </c>
      <c r="X1232" s="3">
        <v>15.26</v>
      </c>
      <c r="Y1232" s="3">
        <v>6.54</v>
      </c>
    </row>
    <row r="1233" spans="1:25" ht="41.5" hidden="1" x14ac:dyDescent="0.35">
      <c r="A1233" s="3" t="s">
        <v>26</v>
      </c>
      <c r="B1233" s="3" t="s">
        <v>27</v>
      </c>
      <c r="C1233" s="3" t="s">
        <v>28</v>
      </c>
      <c r="D1233" s="3" t="s">
        <v>99</v>
      </c>
      <c r="E1233" s="3" t="s">
        <v>1392</v>
      </c>
      <c r="F1233" s="3" t="s">
        <v>101</v>
      </c>
      <c r="G1233" s="3" t="s">
        <v>1392</v>
      </c>
      <c r="H1233" s="3" t="s">
        <v>72</v>
      </c>
      <c r="I1233" s="3">
        <v>2024</v>
      </c>
      <c r="J1233" s="3" t="str">
        <f>CONCATENATE("44811067972")</f>
        <v>44811067972</v>
      </c>
      <c r="K1233" s="3" t="s">
        <v>33</v>
      </c>
      <c r="L1233" s="3" t="str">
        <f t="shared" si="78"/>
        <v/>
      </c>
      <c r="M1233" s="3" t="str">
        <f t="shared" si="77"/>
        <v>SRA29</v>
      </c>
      <c r="N1233" s="3" t="str">
        <f>CONCATENATE("SCHMHL39P25B923G")</f>
        <v>SCHMHL39P25B923G</v>
      </c>
      <c r="O1233" s="3" t="s">
        <v>1833</v>
      </c>
      <c r="P1233" s="3" t="s">
        <v>35</v>
      </c>
      <c r="Q1233" s="3" t="s">
        <v>1389</v>
      </c>
      <c r="R1233" s="4">
        <v>45916</v>
      </c>
      <c r="S1233" s="3" t="s">
        <v>37</v>
      </c>
      <c r="T1233" s="3" t="s">
        <v>38</v>
      </c>
      <c r="U1233" s="3" t="s">
        <v>39</v>
      </c>
      <c r="V1233" s="3">
        <v>918.85</v>
      </c>
      <c r="W1233" s="3">
        <v>464.02</v>
      </c>
      <c r="X1233" s="3">
        <v>318.38</v>
      </c>
      <c r="Y1233" s="3">
        <v>136.44999999999999</v>
      </c>
    </row>
    <row r="1234" spans="1:25" ht="41.5" hidden="1" x14ac:dyDescent="0.35">
      <c r="A1234" s="3" t="s">
        <v>26</v>
      </c>
      <c r="B1234" s="3" t="s">
        <v>27</v>
      </c>
      <c r="C1234" s="3" t="s">
        <v>28</v>
      </c>
      <c r="D1234" s="3" t="s">
        <v>51</v>
      </c>
      <c r="E1234" s="3" t="s">
        <v>1425</v>
      </c>
      <c r="F1234" s="3" t="s">
        <v>51</v>
      </c>
      <c r="G1234" s="3" t="s">
        <v>1425</v>
      </c>
      <c r="H1234" s="3" t="s">
        <v>1403</v>
      </c>
      <c r="I1234" s="3">
        <v>2024</v>
      </c>
      <c r="J1234" s="3" t="str">
        <f>CONCATENATE("44810804979")</f>
        <v>44810804979</v>
      </c>
      <c r="K1234" s="3" t="s">
        <v>33</v>
      </c>
      <c r="L1234" s="3" t="str">
        <f t="shared" si="78"/>
        <v/>
      </c>
      <c r="M1234" s="3" t="str">
        <f t="shared" si="77"/>
        <v>SRA29</v>
      </c>
      <c r="N1234" s="3" t="str">
        <f>CONCATENATE("SCLNNZ63E16L776N")</f>
        <v>SCLNNZ63E16L776N</v>
      </c>
      <c r="O1234" s="3" t="s">
        <v>1834</v>
      </c>
      <c r="P1234" s="3" t="s">
        <v>35</v>
      </c>
      <c r="Q1234" s="3" t="s">
        <v>1389</v>
      </c>
      <c r="R1234" s="4">
        <v>45916</v>
      </c>
      <c r="S1234" s="3" t="s">
        <v>37</v>
      </c>
      <c r="T1234" s="3" t="s">
        <v>38</v>
      </c>
      <c r="U1234" s="3" t="s">
        <v>39</v>
      </c>
      <c r="V1234" s="5">
        <v>1917.9</v>
      </c>
      <c r="W1234" s="3">
        <v>968.54</v>
      </c>
      <c r="X1234" s="3">
        <v>664.55</v>
      </c>
      <c r="Y1234" s="3">
        <v>284.81</v>
      </c>
    </row>
    <row r="1235" spans="1:25" ht="41.5" hidden="1" x14ac:dyDescent="0.35">
      <c r="A1235" s="3" t="s">
        <v>26</v>
      </c>
      <c r="B1235" s="3" t="s">
        <v>27</v>
      </c>
      <c r="C1235" s="3" t="s">
        <v>28</v>
      </c>
      <c r="D1235" s="3" t="s">
        <v>69</v>
      </c>
      <c r="E1235" s="3" t="s">
        <v>177</v>
      </c>
      <c r="F1235" s="3" t="s">
        <v>71</v>
      </c>
      <c r="G1235" s="3" t="s">
        <v>177</v>
      </c>
      <c r="H1235" s="3" t="s">
        <v>72</v>
      </c>
      <c r="I1235" s="3">
        <v>2024</v>
      </c>
      <c r="J1235" s="3" t="str">
        <f>CONCATENATE("44810589596")</f>
        <v>44810589596</v>
      </c>
      <c r="K1235" s="3" t="s">
        <v>33</v>
      </c>
      <c r="L1235" s="3" t="str">
        <f t="shared" si="78"/>
        <v/>
      </c>
      <c r="M1235" s="3" t="str">
        <f t="shared" si="77"/>
        <v>SRA29</v>
      </c>
      <c r="N1235" s="3" t="str">
        <f>CONCATENATE("SCLLCU95M25A893S")</f>
        <v>SCLLCU95M25A893S</v>
      </c>
      <c r="O1235" s="3" t="s">
        <v>1835</v>
      </c>
      <c r="P1235" s="3" t="s">
        <v>35</v>
      </c>
      <c r="Q1235" s="3" t="s">
        <v>1389</v>
      </c>
      <c r="R1235" s="4">
        <v>45916</v>
      </c>
      <c r="S1235" s="3" t="s">
        <v>37</v>
      </c>
      <c r="T1235" s="3" t="s">
        <v>38</v>
      </c>
      <c r="U1235" s="3" t="s">
        <v>39</v>
      </c>
      <c r="V1235" s="3">
        <v>622.47</v>
      </c>
      <c r="W1235" s="3">
        <v>314.35000000000002</v>
      </c>
      <c r="X1235" s="3">
        <v>215.69</v>
      </c>
      <c r="Y1235" s="3">
        <v>92.43</v>
      </c>
    </row>
    <row r="1236" spans="1:25" ht="25.5" hidden="1" x14ac:dyDescent="0.35">
      <c r="A1236" s="3" t="s">
        <v>26</v>
      </c>
      <c r="B1236" s="3" t="s">
        <v>27</v>
      </c>
      <c r="C1236" s="3" t="s">
        <v>28</v>
      </c>
      <c r="D1236" s="3" t="s">
        <v>41</v>
      </c>
      <c r="E1236" s="3" t="s">
        <v>195</v>
      </c>
      <c r="F1236" s="3" t="s">
        <v>43</v>
      </c>
      <c r="G1236" s="3" t="s">
        <v>195</v>
      </c>
      <c r="H1236" s="3" t="s">
        <v>72</v>
      </c>
      <c r="I1236" s="3">
        <v>2024</v>
      </c>
      <c r="J1236" s="3" t="str">
        <f>CONCATENATE("44810693042")</f>
        <v>44810693042</v>
      </c>
      <c r="K1236" s="3" t="s">
        <v>33</v>
      </c>
      <c r="L1236" s="3" t="str">
        <f t="shared" si="78"/>
        <v/>
      </c>
      <c r="M1236" s="3" t="str">
        <f t="shared" si="77"/>
        <v>SRA29</v>
      </c>
      <c r="N1236" s="3" t="str">
        <f>CONCATENATE("91123050725")</f>
        <v>91123050725</v>
      </c>
      <c r="O1236" s="3" t="s">
        <v>1836</v>
      </c>
      <c r="P1236" s="3" t="s">
        <v>35</v>
      </c>
      <c r="Q1236" s="3" t="s">
        <v>1389</v>
      </c>
      <c r="R1236" s="4">
        <v>45916</v>
      </c>
      <c r="S1236" s="3" t="s">
        <v>37</v>
      </c>
      <c r="T1236" s="3" t="s">
        <v>38</v>
      </c>
      <c r="U1236" s="3" t="s">
        <v>39</v>
      </c>
      <c r="V1236" s="3">
        <v>458.78</v>
      </c>
      <c r="W1236" s="3">
        <v>231.68</v>
      </c>
      <c r="X1236" s="3">
        <v>158.97</v>
      </c>
      <c r="Y1236" s="3">
        <v>68.13</v>
      </c>
    </row>
    <row r="1237" spans="1:25" ht="25.5" hidden="1" x14ac:dyDescent="0.35">
      <c r="A1237" s="3" t="s">
        <v>26</v>
      </c>
      <c r="B1237" s="3" t="s">
        <v>27</v>
      </c>
      <c r="C1237" s="3" t="s">
        <v>478</v>
      </c>
      <c r="D1237" s="3" t="s">
        <v>75</v>
      </c>
      <c r="E1237" s="3" t="s">
        <v>582</v>
      </c>
      <c r="F1237" s="3" t="s">
        <v>77</v>
      </c>
      <c r="G1237" s="3" t="s">
        <v>582</v>
      </c>
      <c r="H1237" s="3" t="s">
        <v>614</v>
      </c>
      <c r="I1237" s="3">
        <v>2024</v>
      </c>
      <c r="J1237" s="3" t="str">
        <f>CONCATENATE("44811332053")</f>
        <v>44811332053</v>
      </c>
      <c r="K1237" s="3" t="s">
        <v>33</v>
      </c>
      <c r="L1237" s="3" t="str">
        <f t="shared" si="78"/>
        <v/>
      </c>
      <c r="M1237" s="3" t="str">
        <f t="shared" ref="M1237:M1242" si="79">CONCATENATE("SRA30")</f>
        <v>SRA30</v>
      </c>
      <c r="N1237" s="3" t="str">
        <f>CONCATENATE("00793440629")</f>
        <v>00793440629</v>
      </c>
      <c r="O1237" s="3" t="s">
        <v>1837</v>
      </c>
      <c r="P1237" s="3" t="s">
        <v>35</v>
      </c>
      <c r="Q1237" s="3" t="s">
        <v>1762</v>
      </c>
      <c r="R1237" s="4">
        <v>45933</v>
      </c>
      <c r="S1237" s="3" t="s">
        <v>37</v>
      </c>
      <c r="T1237" s="3" t="s">
        <v>38</v>
      </c>
      <c r="U1237" s="3" t="s">
        <v>39</v>
      </c>
      <c r="V1237" s="5">
        <v>40000</v>
      </c>
      <c r="W1237" s="5">
        <v>20200</v>
      </c>
      <c r="X1237" s="5">
        <v>13860</v>
      </c>
      <c r="Y1237" s="5">
        <v>5940</v>
      </c>
    </row>
    <row r="1238" spans="1:25" ht="25.5" hidden="1" x14ac:dyDescent="0.35">
      <c r="A1238" s="3" t="s">
        <v>26</v>
      </c>
      <c r="B1238" s="3" t="s">
        <v>27</v>
      </c>
      <c r="C1238" s="3" t="s">
        <v>478</v>
      </c>
      <c r="D1238" s="3" t="s">
        <v>41</v>
      </c>
      <c r="E1238" s="3" t="s">
        <v>1457</v>
      </c>
      <c r="F1238" s="3" t="s">
        <v>43</v>
      </c>
      <c r="G1238" s="3" t="s">
        <v>1457</v>
      </c>
      <c r="H1238" s="3" t="s">
        <v>614</v>
      </c>
      <c r="I1238" s="3">
        <v>2024</v>
      </c>
      <c r="J1238" s="3" t="str">
        <f>CONCATENATE("44810511004")</f>
        <v>44810511004</v>
      </c>
      <c r="K1238" s="3" t="s">
        <v>33</v>
      </c>
      <c r="L1238" s="3" t="str">
        <f t="shared" si="78"/>
        <v/>
      </c>
      <c r="M1238" s="3" t="str">
        <f t="shared" si="79"/>
        <v>SRA30</v>
      </c>
      <c r="N1238" s="3" t="str">
        <f>CONCATENATE("01139720625")</f>
        <v>01139720625</v>
      </c>
      <c r="O1238" s="3" t="s">
        <v>1838</v>
      </c>
      <c r="P1238" s="3" t="s">
        <v>35</v>
      </c>
      <c r="Q1238" s="3" t="s">
        <v>1762</v>
      </c>
      <c r="R1238" s="4">
        <v>45933</v>
      </c>
      <c r="S1238" s="3" t="s">
        <v>37</v>
      </c>
      <c r="T1238" s="3" t="s">
        <v>38</v>
      </c>
      <c r="U1238" s="3" t="s">
        <v>39</v>
      </c>
      <c r="V1238" s="5">
        <v>36413.160000000003</v>
      </c>
      <c r="W1238" s="5">
        <v>18388.650000000001</v>
      </c>
      <c r="X1238" s="5">
        <v>12617.16</v>
      </c>
      <c r="Y1238" s="5">
        <v>5407.35</v>
      </c>
    </row>
    <row r="1239" spans="1:25" ht="41.5" hidden="1" x14ac:dyDescent="0.35">
      <c r="A1239" s="3" t="s">
        <v>26</v>
      </c>
      <c r="B1239" s="3" t="s">
        <v>27</v>
      </c>
      <c r="C1239" s="3" t="s">
        <v>478</v>
      </c>
      <c r="D1239" s="3" t="s">
        <v>234</v>
      </c>
      <c r="E1239" s="3" t="s">
        <v>120</v>
      </c>
      <c r="F1239" s="3" t="s">
        <v>119</v>
      </c>
      <c r="G1239" s="3" t="s">
        <v>120</v>
      </c>
      <c r="H1239" s="3" t="s">
        <v>614</v>
      </c>
      <c r="I1239" s="3">
        <v>2024</v>
      </c>
      <c r="J1239" s="3" t="str">
        <f>CONCATENATE("44810997435")</f>
        <v>44810997435</v>
      </c>
      <c r="K1239" s="3" t="s">
        <v>33</v>
      </c>
      <c r="L1239" s="3" t="str">
        <f t="shared" si="78"/>
        <v/>
      </c>
      <c r="M1239" s="3" t="str">
        <f t="shared" si="79"/>
        <v>SRA30</v>
      </c>
      <c r="N1239" s="3" t="str">
        <f>CONCATENATE("FSCGPP66C68A783N")</f>
        <v>FSCGPP66C68A783N</v>
      </c>
      <c r="O1239" s="3" t="s">
        <v>1839</v>
      </c>
      <c r="P1239" s="3" t="s">
        <v>35</v>
      </c>
      <c r="Q1239" s="3" t="s">
        <v>1762</v>
      </c>
      <c r="R1239" s="4">
        <v>45933</v>
      </c>
      <c r="S1239" s="3" t="s">
        <v>37</v>
      </c>
      <c r="T1239" s="3" t="s">
        <v>38</v>
      </c>
      <c r="U1239" s="3" t="s">
        <v>39</v>
      </c>
      <c r="V1239" s="5">
        <v>14526.53</v>
      </c>
      <c r="W1239" s="5">
        <v>7335.9</v>
      </c>
      <c r="X1239" s="5">
        <v>5033.4399999999996</v>
      </c>
      <c r="Y1239" s="5">
        <v>2157.19</v>
      </c>
    </row>
    <row r="1240" spans="1:25" ht="41.5" hidden="1" x14ac:dyDescent="0.35">
      <c r="A1240" s="3" t="s">
        <v>26</v>
      </c>
      <c r="B1240" s="3" t="s">
        <v>27</v>
      </c>
      <c r="C1240" s="3" t="s">
        <v>478</v>
      </c>
      <c r="D1240" s="3" t="s">
        <v>234</v>
      </c>
      <c r="E1240" s="3" t="s">
        <v>120</v>
      </c>
      <c r="F1240" s="3" t="s">
        <v>119</v>
      </c>
      <c r="G1240" s="3" t="s">
        <v>120</v>
      </c>
      <c r="H1240" s="3" t="s">
        <v>614</v>
      </c>
      <c r="I1240" s="3">
        <v>2024</v>
      </c>
      <c r="J1240" s="3" t="str">
        <f>CONCATENATE("44811357779")</f>
        <v>44811357779</v>
      </c>
      <c r="K1240" s="3" t="s">
        <v>33</v>
      </c>
      <c r="L1240" s="3" t="str">
        <f t="shared" si="78"/>
        <v/>
      </c>
      <c r="M1240" s="3" t="str">
        <f t="shared" si="79"/>
        <v>SRA30</v>
      </c>
      <c r="N1240" s="3" t="str">
        <f>CONCATENATE("LCCNGL91B14A783K")</f>
        <v>LCCNGL91B14A783K</v>
      </c>
      <c r="O1240" s="3" t="s">
        <v>1840</v>
      </c>
      <c r="P1240" s="3" t="s">
        <v>35</v>
      </c>
      <c r="Q1240" s="3" t="s">
        <v>1762</v>
      </c>
      <c r="R1240" s="4">
        <v>45933</v>
      </c>
      <c r="S1240" s="3" t="s">
        <v>37</v>
      </c>
      <c r="T1240" s="3" t="s">
        <v>38</v>
      </c>
      <c r="U1240" s="3" t="s">
        <v>39</v>
      </c>
      <c r="V1240" s="5">
        <v>7986.1</v>
      </c>
      <c r="W1240" s="5">
        <v>4032.98</v>
      </c>
      <c r="X1240" s="5">
        <v>2767.18</v>
      </c>
      <c r="Y1240" s="5">
        <v>1185.94</v>
      </c>
    </row>
    <row r="1241" spans="1:25" ht="49.5" hidden="1" x14ac:dyDescent="0.35">
      <c r="A1241" s="3" t="s">
        <v>26</v>
      </c>
      <c r="B1241" s="3" t="s">
        <v>27</v>
      </c>
      <c r="C1241" s="3" t="s">
        <v>478</v>
      </c>
      <c r="D1241" s="3" t="s">
        <v>61</v>
      </c>
      <c r="E1241" s="3" t="s">
        <v>1316</v>
      </c>
      <c r="F1241" s="3" t="s">
        <v>63</v>
      </c>
      <c r="G1241" s="3" t="s">
        <v>1316</v>
      </c>
      <c r="H1241" s="3" t="s">
        <v>614</v>
      </c>
      <c r="I1241" s="3">
        <v>2024</v>
      </c>
      <c r="J1241" s="3" t="str">
        <f>CONCATENATE("44810115434")</f>
        <v>44810115434</v>
      </c>
      <c r="K1241" s="3" t="s">
        <v>33</v>
      </c>
      <c r="L1241" s="3" t="str">
        <f t="shared" si="78"/>
        <v/>
      </c>
      <c r="M1241" s="3" t="str">
        <f t="shared" si="79"/>
        <v>SRA30</v>
      </c>
      <c r="N1241" s="3" t="str">
        <f>CONCATENATE("CSMDGI76R18A783U")</f>
        <v>CSMDGI76R18A783U</v>
      </c>
      <c r="O1241" s="3" t="s">
        <v>1841</v>
      </c>
      <c r="P1241" s="3" t="s">
        <v>35</v>
      </c>
      <c r="Q1241" s="3" t="s">
        <v>1762</v>
      </c>
      <c r="R1241" s="4">
        <v>45933</v>
      </c>
      <c r="S1241" s="3" t="s">
        <v>37</v>
      </c>
      <c r="T1241" s="3" t="s">
        <v>38</v>
      </c>
      <c r="U1241" s="3" t="s">
        <v>39</v>
      </c>
      <c r="V1241" s="5">
        <v>6383.84</v>
      </c>
      <c r="W1241" s="5">
        <v>3223.84</v>
      </c>
      <c r="X1241" s="5">
        <v>2212</v>
      </c>
      <c r="Y1241" s="3">
        <v>948</v>
      </c>
    </row>
    <row r="1242" spans="1:25" ht="41.5" hidden="1" x14ac:dyDescent="0.35">
      <c r="A1242" s="3" t="s">
        <v>26</v>
      </c>
      <c r="B1242" s="3" t="s">
        <v>27</v>
      </c>
      <c r="C1242" s="3" t="s">
        <v>478</v>
      </c>
      <c r="D1242" s="3" t="s">
        <v>234</v>
      </c>
      <c r="E1242" s="3" t="s">
        <v>120</v>
      </c>
      <c r="F1242" s="3" t="s">
        <v>119</v>
      </c>
      <c r="G1242" s="3" t="s">
        <v>120</v>
      </c>
      <c r="H1242" s="3" t="s">
        <v>614</v>
      </c>
      <c r="I1242" s="3">
        <v>2024</v>
      </c>
      <c r="J1242" s="3" t="str">
        <f>CONCATENATE("44811432705")</f>
        <v>44811432705</v>
      </c>
      <c r="K1242" s="3" t="s">
        <v>33</v>
      </c>
      <c r="L1242" s="3" t="str">
        <f t="shared" si="78"/>
        <v/>
      </c>
      <c r="M1242" s="3" t="str">
        <f t="shared" si="79"/>
        <v>SRA30</v>
      </c>
      <c r="N1242" s="3" t="str">
        <f>CONCATENATE("CSNMCR68S41G626Y")</f>
        <v>CSNMCR68S41G626Y</v>
      </c>
      <c r="O1242" s="3" t="s">
        <v>1842</v>
      </c>
      <c r="P1242" s="3" t="s">
        <v>35</v>
      </c>
      <c r="Q1242" s="3" t="s">
        <v>1762</v>
      </c>
      <c r="R1242" s="4">
        <v>45933</v>
      </c>
      <c r="S1242" s="3" t="s">
        <v>37</v>
      </c>
      <c r="T1242" s="3" t="s">
        <v>38</v>
      </c>
      <c r="U1242" s="3" t="s">
        <v>39</v>
      </c>
      <c r="V1242" s="5">
        <v>13507.2</v>
      </c>
      <c r="W1242" s="5">
        <v>6821.14</v>
      </c>
      <c r="X1242" s="5">
        <v>4680.24</v>
      </c>
      <c r="Y1242" s="5">
        <v>2005.82</v>
      </c>
    </row>
    <row r="1243" spans="1:25" ht="41.5" hidden="1" x14ac:dyDescent="0.35">
      <c r="A1243" s="3" t="s">
        <v>26</v>
      </c>
      <c r="B1243" s="3" t="s">
        <v>27</v>
      </c>
      <c r="C1243" s="3" t="s">
        <v>90</v>
      </c>
      <c r="D1243" s="3" t="s">
        <v>99</v>
      </c>
      <c r="E1243" s="3" t="s">
        <v>1843</v>
      </c>
      <c r="F1243" s="3" t="s">
        <v>101</v>
      </c>
      <c r="G1243" s="3" t="s">
        <v>1843</v>
      </c>
      <c r="H1243" s="3" t="s">
        <v>1060</v>
      </c>
      <c r="I1243" s="3">
        <v>2024</v>
      </c>
      <c r="J1243" s="3" t="str">
        <f>CONCATENATE("44810227619")</f>
        <v>44810227619</v>
      </c>
      <c r="K1243" s="3" t="s">
        <v>33</v>
      </c>
      <c r="L1243" s="3" t="str">
        <f t="shared" si="78"/>
        <v/>
      </c>
      <c r="M1243" s="3" t="str">
        <f t="shared" ref="M1243:M1265" si="80">CONCATENATE("SRA29")</f>
        <v>SRA29</v>
      </c>
      <c r="N1243" s="3" t="str">
        <f>CONCATENATE("ZZRMRT56A51M088E")</f>
        <v>ZZRMRT56A51M088E</v>
      </c>
      <c r="O1243" s="3" t="s">
        <v>1844</v>
      </c>
      <c r="P1243" s="3" t="s">
        <v>35</v>
      </c>
      <c r="Q1243" s="3" t="s">
        <v>1763</v>
      </c>
      <c r="R1243" s="4">
        <v>45931</v>
      </c>
      <c r="S1243" s="3" t="s">
        <v>37</v>
      </c>
      <c r="T1243" s="3" t="s">
        <v>38</v>
      </c>
      <c r="U1243" s="3" t="s">
        <v>39</v>
      </c>
      <c r="V1243" s="5">
        <v>5119.8</v>
      </c>
      <c r="W1243" s="5">
        <v>2585.5</v>
      </c>
      <c r="X1243" s="5">
        <v>1774.01</v>
      </c>
      <c r="Y1243" s="3">
        <v>760.29</v>
      </c>
    </row>
    <row r="1244" spans="1:25" ht="25.5" hidden="1" x14ac:dyDescent="0.35">
      <c r="A1244" s="3" t="s">
        <v>26</v>
      </c>
      <c r="B1244" s="3" t="s">
        <v>27</v>
      </c>
      <c r="C1244" s="3" t="s">
        <v>90</v>
      </c>
      <c r="D1244" s="3" t="s">
        <v>51</v>
      </c>
      <c r="E1244" s="3" t="s">
        <v>1845</v>
      </c>
      <c r="F1244" s="3" t="s">
        <v>51</v>
      </c>
      <c r="G1244" s="3" t="s">
        <v>1845</v>
      </c>
      <c r="H1244" s="3" t="s">
        <v>1060</v>
      </c>
      <c r="I1244" s="3">
        <v>2024</v>
      </c>
      <c r="J1244" s="3" t="str">
        <f>CONCATENATE("44811052719")</f>
        <v>44811052719</v>
      </c>
      <c r="K1244" s="3" t="s">
        <v>33</v>
      </c>
      <c r="L1244" s="3" t="str">
        <f t="shared" si="78"/>
        <v/>
      </c>
      <c r="M1244" s="3" t="str">
        <f t="shared" si="80"/>
        <v>SRA29</v>
      </c>
      <c r="N1244" s="3" t="str">
        <f>CONCATENATE("04897960870")</f>
        <v>04897960870</v>
      </c>
      <c r="O1244" s="3" t="s">
        <v>1846</v>
      </c>
      <c r="P1244" s="3" t="s">
        <v>35</v>
      </c>
      <c r="Q1244" s="3" t="s">
        <v>1763</v>
      </c>
      <c r="R1244" s="4">
        <v>45931</v>
      </c>
      <c r="S1244" s="3" t="s">
        <v>37</v>
      </c>
      <c r="T1244" s="3" t="s">
        <v>38</v>
      </c>
      <c r="U1244" s="3" t="s">
        <v>39</v>
      </c>
      <c r="V1244" s="5">
        <v>8593.56</v>
      </c>
      <c r="W1244" s="5">
        <v>4339.75</v>
      </c>
      <c r="X1244" s="5">
        <v>2977.67</v>
      </c>
      <c r="Y1244" s="5">
        <v>1276.1400000000001</v>
      </c>
    </row>
    <row r="1245" spans="1:25" ht="41.5" hidden="1" x14ac:dyDescent="0.35">
      <c r="A1245" s="3" t="s">
        <v>26</v>
      </c>
      <c r="B1245" s="3" t="s">
        <v>27</v>
      </c>
      <c r="C1245" s="3" t="s">
        <v>90</v>
      </c>
      <c r="D1245" s="3" t="s">
        <v>29</v>
      </c>
      <c r="E1245" s="3" t="s">
        <v>1847</v>
      </c>
      <c r="F1245" s="3" t="s">
        <v>31</v>
      </c>
      <c r="G1245" s="3" t="s">
        <v>1847</v>
      </c>
      <c r="H1245" s="3" t="s">
        <v>1060</v>
      </c>
      <c r="I1245" s="3">
        <v>2024</v>
      </c>
      <c r="J1245" s="3" t="str">
        <f>CONCATENATE("44811094075")</f>
        <v>44811094075</v>
      </c>
      <c r="K1245" s="3" t="s">
        <v>33</v>
      </c>
      <c r="L1245" s="3" t="str">
        <f t="shared" si="78"/>
        <v/>
      </c>
      <c r="M1245" s="3" t="str">
        <f t="shared" si="80"/>
        <v>SRA29</v>
      </c>
      <c r="N1245" s="3" t="str">
        <f>CONCATENATE("CSTNNA05M42C351N")</f>
        <v>CSTNNA05M42C351N</v>
      </c>
      <c r="O1245" s="3" t="s">
        <v>1848</v>
      </c>
      <c r="P1245" s="3" t="s">
        <v>35</v>
      </c>
      <c r="Q1245" s="3" t="s">
        <v>1763</v>
      </c>
      <c r="R1245" s="4">
        <v>45931</v>
      </c>
      <c r="S1245" s="3" t="s">
        <v>37</v>
      </c>
      <c r="T1245" s="3" t="s">
        <v>38</v>
      </c>
      <c r="U1245" s="3" t="s">
        <v>39</v>
      </c>
      <c r="V1245" s="5">
        <v>3495.82</v>
      </c>
      <c r="W1245" s="5">
        <v>1765.39</v>
      </c>
      <c r="X1245" s="5">
        <v>1211.3</v>
      </c>
      <c r="Y1245" s="3">
        <v>519.13</v>
      </c>
    </row>
    <row r="1246" spans="1:25" ht="25.5" hidden="1" x14ac:dyDescent="0.35">
      <c r="A1246" s="3" t="s">
        <v>26</v>
      </c>
      <c r="B1246" s="3" t="s">
        <v>27</v>
      </c>
      <c r="C1246" s="3" t="s">
        <v>90</v>
      </c>
      <c r="D1246" s="3" t="s">
        <v>75</v>
      </c>
      <c r="E1246" s="3" t="s">
        <v>375</v>
      </c>
      <c r="F1246" s="3" t="s">
        <v>77</v>
      </c>
      <c r="G1246" s="3" t="s">
        <v>375</v>
      </c>
      <c r="H1246" s="3" t="s">
        <v>1060</v>
      </c>
      <c r="I1246" s="3">
        <v>2024</v>
      </c>
      <c r="J1246" s="3" t="str">
        <f>CONCATENATE("44810943520")</f>
        <v>44810943520</v>
      </c>
      <c r="K1246" s="3" t="s">
        <v>33</v>
      </c>
      <c r="L1246" s="3" t="str">
        <f t="shared" si="78"/>
        <v/>
      </c>
      <c r="M1246" s="3" t="str">
        <f t="shared" si="80"/>
        <v>SRA29</v>
      </c>
      <c r="N1246" s="3" t="str">
        <f>CONCATENATE("02442520876")</f>
        <v>02442520876</v>
      </c>
      <c r="O1246" s="3" t="s">
        <v>1849</v>
      </c>
      <c r="P1246" s="3" t="s">
        <v>35</v>
      </c>
      <c r="Q1246" s="3" t="s">
        <v>1763</v>
      </c>
      <c r="R1246" s="4">
        <v>45931</v>
      </c>
      <c r="S1246" s="3" t="s">
        <v>37</v>
      </c>
      <c r="T1246" s="3" t="s">
        <v>38</v>
      </c>
      <c r="U1246" s="3" t="s">
        <v>39</v>
      </c>
      <c r="V1246" s="5">
        <v>1938.6</v>
      </c>
      <c r="W1246" s="3">
        <v>978.99</v>
      </c>
      <c r="X1246" s="3">
        <v>671.72</v>
      </c>
      <c r="Y1246" s="3">
        <v>287.89</v>
      </c>
    </row>
    <row r="1247" spans="1:25" ht="41.5" hidden="1" x14ac:dyDescent="0.35">
      <c r="A1247" s="3" t="s">
        <v>26</v>
      </c>
      <c r="B1247" s="3" t="s">
        <v>27</v>
      </c>
      <c r="C1247" s="3" t="s">
        <v>90</v>
      </c>
      <c r="D1247" s="3" t="s">
        <v>51</v>
      </c>
      <c r="E1247" s="3" t="s">
        <v>901</v>
      </c>
      <c r="F1247" s="3" t="s">
        <v>51</v>
      </c>
      <c r="G1247" s="3" t="s">
        <v>901</v>
      </c>
      <c r="H1247" s="3" t="s">
        <v>1060</v>
      </c>
      <c r="I1247" s="3">
        <v>2024</v>
      </c>
      <c r="J1247" s="3" t="str">
        <f>CONCATENATE("44810162816")</f>
        <v>44810162816</v>
      </c>
      <c r="K1247" s="3" t="s">
        <v>33</v>
      </c>
      <c r="L1247" s="3" t="str">
        <f t="shared" si="78"/>
        <v/>
      </c>
      <c r="M1247" s="3" t="str">
        <f t="shared" si="80"/>
        <v>SRA29</v>
      </c>
      <c r="N1247" s="3" t="str">
        <f>CONCATENATE("FLLGRT92H57C351H")</f>
        <v>FLLGRT92H57C351H</v>
      </c>
      <c r="O1247" s="3" t="s">
        <v>1850</v>
      </c>
      <c r="P1247" s="3" t="s">
        <v>35</v>
      </c>
      <c r="Q1247" s="3" t="s">
        <v>1763</v>
      </c>
      <c r="R1247" s="4">
        <v>45931</v>
      </c>
      <c r="S1247" s="3" t="s">
        <v>37</v>
      </c>
      <c r="T1247" s="3" t="s">
        <v>38</v>
      </c>
      <c r="U1247" s="3" t="s">
        <v>39</v>
      </c>
      <c r="V1247" s="5">
        <v>4169.75</v>
      </c>
      <c r="W1247" s="5">
        <v>2105.7199999999998</v>
      </c>
      <c r="X1247" s="5">
        <v>1444.82</v>
      </c>
      <c r="Y1247" s="3">
        <v>619.21</v>
      </c>
    </row>
    <row r="1248" spans="1:25" ht="41.5" hidden="1" x14ac:dyDescent="0.35">
      <c r="A1248" s="3" t="s">
        <v>26</v>
      </c>
      <c r="B1248" s="3" t="s">
        <v>27</v>
      </c>
      <c r="C1248" s="3" t="s">
        <v>90</v>
      </c>
      <c r="D1248" s="3" t="s">
        <v>215</v>
      </c>
      <c r="E1248" s="3" t="s">
        <v>216</v>
      </c>
      <c r="F1248" s="3" t="s">
        <v>217</v>
      </c>
      <c r="G1248" s="3" t="s">
        <v>216</v>
      </c>
      <c r="H1248" s="3" t="s">
        <v>1060</v>
      </c>
      <c r="I1248" s="3">
        <v>2024</v>
      </c>
      <c r="J1248" s="3" t="str">
        <f>CONCATENATE("44811426061")</f>
        <v>44811426061</v>
      </c>
      <c r="K1248" s="3" t="s">
        <v>33</v>
      </c>
      <c r="L1248" s="3" t="str">
        <f t="shared" si="78"/>
        <v/>
      </c>
      <c r="M1248" s="3" t="str">
        <f t="shared" si="80"/>
        <v>SRA29</v>
      </c>
      <c r="N1248" s="3" t="str">
        <f>CONCATENATE("MNTRRT77C24B202K")</f>
        <v>MNTRRT77C24B202K</v>
      </c>
      <c r="O1248" s="3" t="s">
        <v>1851</v>
      </c>
      <c r="P1248" s="3" t="s">
        <v>35</v>
      </c>
      <c r="Q1248" s="3" t="s">
        <v>1763</v>
      </c>
      <c r="R1248" s="4">
        <v>45931</v>
      </c>
      <c r="S1248" s="3" t="s">
        <v>37</v>
      </c>
      <c r="T1248" s="3" t="s">
        <v>38</v>
      </c>
      <c r="U1248" s="3" t="s">
        <v>39</v>
      </c>
      <c r="V1248" s="3">
        <v>927.54</v>
      </c>
      <c r="W1248" s="3">
        <v>468.41</v>
      </c>
      <c r="X1248" s="3">
        <v>321.39</v>
      </c>
      <c r="Y1248" s="3">
        <v>137.74</v>
      </c>
    </row>
    <row r="1249" spans="1:25" ht="41.5" hidden="1" x14ac:dyDescent="0.35">
      <c r="A1249" s="3" t="s">
        <v>26</v>
      </c>
      <c r="B1249" s="3" t="s">
        <v>27</v>
      </c>
      <c r="C1249" s="3" t="s">
        <v>90</v>
      </c>
      <c r="D1249" s="3" t="s">
        <v>228</v>
      </c>
      <c r="E1249" s="3" t="s">
        <v>427</v>
      </c>
      <c r="F1249" s="3" t="s">
        <v>230</v>
      </c>
      <c r="G1249" s="3" t="s">
        <v>427</v>
      </c>
      <c r="H1249" s="3" t="s">
        <v>1060</v>
      </c>
      <c r="I1249" s="3">
        <v>2024</v>
      </c>
      <c r="J1249" s="3" t="str">
        <f>CONCATENATE("44810171312")</f>
        <v>44810171312</v>
      </c>
      <c r="K1249" s="3" t="s">
        <v>33</v>
      </c>
      <c r="L1249" s="3" t="str">
        <f t="shared" si="78"/>
        <v/>
      </c>
      <c r="M1249" s="3" t="str">
        <f t="shared" si="80"/>
        <v>SRA29</v>
      </c>
      <c r="N1249" s="3" t="str">
        <f>CONCATENATE("MTTSVT82L04G371W")</f>
        <v>MTTSVT82L04G371W</v>
      </c>
      <c r="O1249" s="3" t="s">
        <v>1852</v>
      </c>
      <c r="P1249" s="3" t="s">
        <v>35</v>
      </c>
      <c r="Q1249" s="3" t="s">
        <v>1763</v>
      </c>
      <c r="R1249" s="4">
        <v>45931</v>
      </c>
      <c r="S1249" s="3" t="s">
        <v>37</v>
      </c>
      <c r="T1249" s="3" t="s">
        <v>38</v>
      </c>
      <c r="U1249" s="3" t="s">
        <v>39</v>
      </c>
      <c r="V1249" s="5">
        <v>4047.28</v>
      </c>
      <c r="W1249" s="5">
        <v>2043.88</v>
      </c>
      <c r="X1249" s="5">
        <v>1402.38</v>
      </c>
      <c r="Y1249" s="3">
        <v>601.02</v>
      </c>
    </row>
    <row r="1250" spans="1:25" ht="25.5" hidden="1" x14ac:dyDescent="0.35">
      <c r="A1250" s="3" t="s">
        <v>26</v>
      </c>
      <c r="B1250" s="3" t="s">
        <v>27</v>
      </c>
      <c r="C1250" s="3" t="s">
        <v>90</v>
      </c>
      <c r="D1250" s="3" t="s">
        <v>29</v>
      </c>
      <c r="E1250" s="3" t="s">
        <v>91</v>
      </c>
      <c r="F1250" s="3" t="s">
        <v>31</v>
      </c>
      <c r="G1250" s="3" t="s">
        <v>91</v>
      </c>
      <c r="H1250" s="3" t="s">
        <v>1060</v>
      </c>
      <c r="I1250" s="3">
        <v>2024</v>
      </c>
      <c r="J1250" s="3" t="str">
        <f>CONCATENATE("44810612562")</f>
        <v>44810612562</v>
      </c>
      <c r="K1250" s="3" t="s">
        <v>33</v>
      </c>
      <c r="L1250" s="3" t="str">
        <f t="shared" si="78"/>
        <v/>
      </c>
      <c r="M1250" s="3" t="str">
        <f t="shared" si="80"/>
        <v>SRA29</v>
      </c>
      <c r="N1250" s="3" t="str">
        <f>CONCATENATE("05480510873")</f>
        <v>05480510873</v>
      </c>
      <c r="O1250" s="3" t="s">
        <v>1853</v>
      </c>
      <c r="P1250" s="3" t="s">
        <v>35</v>
      </c>
      <c r="Q1250" s="3" t="s">
        <v>1763</v>
      </c>
      <c r="R1250" s="4">
        <v>45931</v>
      </c>
      <c r="S1250" s="3" t="s">
        <v>37</v>
      </c>
      <c r="T1250" s="3" t="s">
        <v>38</v>
      </c>
      <c r="U1250" s="3" t="s">
        <v>39</v>
      </c>
      <c r="V1250" s="5">
        <v>8099.18</v>
      </c>
      <c r="W1250" s="5">
        <v>4090.09</v>
      </c>
      <c r="X1250" s="5">
        <v>2806.37</v>
      </c>
      <c r="Y1250" s="5">
        <v>1202.72</v>
      </c>
    </row>
    <row r="1251" spans="1:25" ht="41.5" hidden="1" x14ac:dyDescent="0.35">
      <c r="A1251" s="3" t="s">
        <v>26</v>
      </c>
      <c r="B1251" s="3" t="s">
        <v>27</v>
      </c>
      <c r="C1251" s="3" t="s">
        <v>90</v>
      </c>
      <c r="D1251" s="3" t="s">
        <v>51</v>
      </c>
      <c r="E1251" s="3" t="s">
        <v>1482</v>
      </c>
      <c r="F1251" s="3" t="s">
        <v>51</v>
      </c>
      <c r="G1251" s="3" t="s">
        <v>1482</v>
      </c>
      <c r="H1251" s="3" t="s">
        <v>1060</v>
      </c>
      <c r="I1251" s="3">
        <v>2024</v>
      </c>
      <c r="J1251" s="3" t="str">
        <f>CONCATENATE("44810055721")</f>
        <v>44810055721</v>
      </c>
      <c r="K1251" s="3" t="s">
        <v>33</v>
      </c>
      <c r="L1251" s="3" t="str">
        <f t="shared" si="78"/>
        <v/>
      </c>
      <c r="M1251" s="3" t="str">
        <f t="shared" si="80"/>
        <v>SRA29</v>
      </c>
      <c r="N1251" s="3" t="str">
        <f>CONCATENATE("FCHFNC62P13C351X")</f>
        <v>FCHFNC62P13C351X</v>
      </c>
      <c r="O1251" s="3" t="s">
        <v>1854</v>
      </c>
      <c r="P1251" s="3" t="s">
        <v>35</v>
      </c>
      <c r="Q1251" s="3" t="s">
        <v>1763</v>
      </c>
      <c r="R1251" s="4">
        <v>45931</v>
      </c>
      <c r="S1251" s="3" t="s">
        <v>37</v>
      </c>
      <c r="T1251" s="3" t="s">
        <v>38</v>
      </c>
      <c r="U1251" s="3" t="s">
        <v>39</v>
      </c>
      <c r="V1251" s="5">
        <v>1675.37</v>
      </c>
      <c r="W1251" s="3">
        <v>846.06</v>
      </c>
      <c r="X1251" s="3">
        <v>580.52</v>
      </c>
      <c r="Y1251" s="3">
        <v>248.79</v>
      </c>
    </row>
    <row r="1252" spans="1:25" ht="41.5" hidden="1" x14ac:dyDescent="0.35">
      <c r="A1252" s="3" t="s">
        <v>26</v>
      </c>
      <c r="B1252" s="3" t="s">
        <v>27</v>
      </c>
      <c r="C1252" s="3" t="s">
        <v>90</v>
      </c>
      <c r="D1252" s="3" t="s">
        <v>29</v>
      </c>
      <c r="E1252" s="3" t="s">
        <v>91</v>
      </c>
      <c r="F1252" s="3" t="s">
        <v>31</v>
      </c>
      <c r="G1252" s="3" t="s">
        <v>91</v>
      </c>
      <c r="H1252" s="3" t="s">
        <v>1060</v>
      </c>
      <c r="I1252" s="3">
        <v>2024</v>
      </c>
      <c r="J1252" s="3" t="str">
        <f>CONCATENATE("44810990737")</f>
        <v>44810990737</v>
      </c>
      <c r="K1252" s="3" t="s">
        <v>33</v>
      </c>
      <c r="L1252" s="3" t="str">
        <f t="shared" si="78"/>
        <v/>
      </c>
      <c r="M1252" s="3" t="str">
        <f t="shared" si="80"/>
        <v>SRA29</v>
      </c>
      <c r="N1252" s="3" t="str">
        <f>CONCATENATE("MNTGPP84R15H163E")</f>
        <v>MNTGPP84R15H163E</v>
      </c>
      <c r="O1252" s="3" t="s">
        <v>1855</v>
      </c>
      <c r="P1252" s="3" t="s">
        <v>35</v>
      </c>
      <c r="Q1252" s="3" t="s">
        <v>1763</v>
      </c>
      <c r="R1252" s="4">
        <v>45931</v>
      </c>
      <c r="S1252" s="3" t="s">
        <v>37</v>
      </c>
      <c r="T1252" s="3" t="s">
        <v>38</v>
      </c>
      <c r="U1252" s="3" t="s">
        <v>39</v>
      </c>
      <c r="V1252" s="5">
        <v>6771.07</v>
      </c>
      <c r="W1252" s="5">
        <v>3419.39</v>
      </c>
      <c r="X1252" s="5">
        <v>2346.1799999999998</v>
      </c>
      <c r="Y1252" s="5">
        <v>1005.5</v>
      </c>
    </row>
    <row r="1253" spans="1:25" ht="41.5" hidden="1" x14ac:dyDescent="0.35">
      <c r="A1253" s="3" t="s">
        <v>26</v>
      </c>
      <c r="B1253" s="3" t="s">
        <v>27</v>
      </c>
      <c r="C1253" s="3" t="s">
        <v>90</v>
      </c>
      <c r="D1253" s="3" t="s">
        <v>234</v>
      </c>
      <c r="E1253" s="3" t="s">
        <v>1490</v>
      </c>
      <c r="F1253" s="3" t="s">
        <v>119</v>
      </c>
      <c r="G1253" s="3" t="s">
        <v>1490</v>
      </c>
      <c r="H1253" s="3" t="s">
        <v>1060</v>
      </c>
      <c r="I1253" s="3">
        <v>2024</v>
      </c>
      <c r="J1253" s="3" t="str">
        <f>CONCATENATE("44810391423")</f>
        <v>44810391423</v>
      </c>
      <c r="K1253" s="3" t="s">
        <v>33</v>
      </c>
      <c r="L1253" s="3" t="str">
        <f t="shared" si="78"/>
        <v/>
      </c>
      <c r="M1253" s="3" t="str">
        <f t="shared" si="80"/>
        <v>SRA29</v>
      </c>
      <c r="N1253" s="3" t="str">
        <f>CONCATENATE("SCRGPP92P43E532E")</f>
        <v>SCRGPP92P43E532E</v>
      </c>
      <c r="O1253" s="3" t="s">
        <v>1856</v>
      </c>
      <c r="P1253" s="3" t="s">
        <v>35</v>
      </c>
      <c r="Q1253" s="3" t="s">
        <v>1763</v>
      </c>
      <c r="R1253" s="4">
        <v>45931</v>
      </c>
      <c r="S1253" s="3" t="s">
        <v>37</v>
      </c>
      <c r="T1253" s="3" t="s">
        <v>38</v>
      </c>
      <c r="U1253" s="3" t="s">
        <v>39</v>
      </c>
      <c r="V1253" s="5">
        <v>2165.6799999999998</v>
      </c>
      <c r="W1253" s="5">
        <v>1093.67</v>
      </c>
      <c r="X1253" s="3">
        <v>750.41</v>
      </c>
      <c r="Y1253" s="3">
        <v>321.60000000000002</v>
      </c>
    </row>
    <row r="1254" spans="1:25" ht="41.5" hidden="1" x14ac:dyDescent="0.35">
      <c r="A1254" s="3" t="s">
        <v>26</v>
      </c>
      <c r="B1254" s="3" t="s">
        <v>27</v>
      </c>
      <c r="C1254" s="3" t="s">
        <v>90</v>
      </c>
      <c r="D1254" s="3" t="s">
        <v>51</v>
      </c>
      <c r="E1254" s="3" t="s">
        <v>901</v>
      </c>
      <c r="F1254" s="3" t="s">
        <v>51</v>
      </c>
      <c r="G1254" s="3" t="s">
        <v>901</v>
      </c>
      <c r="H1254" s="3" t="s">
        <v>1060</v>
      </c>
      <c r="I1254" s="3">
        <v>2024</v>
      </c>
      <c r="J1254" s="3" t="str">
        <f>CONCATENATE("44810030997")</f>
        <v>44810030997</v>
      </c>
      <c r="K1254" s="3" t="s">
        <v>33</v>
      </c>
      <c r="L1254" s="3" t="str">
        <f t="shared" si="78"/>
        <v/>
      </c>
      <c r="M1254" s="3" t="str">
        <f t="shared" si="80"/>
        <v>SRA29</v>
      </c>
      <c r="N1254" s="3" t="str">
        <f>CONCATENATE("TRRGPP50C24H154J")</f>
        <v>TRRGPP50C24H154J</v>
      </c>
      <c r="O1254" s="3" t="s">
        <v>1857</v>
      </c>
      <c r="P1254" s="3" t="s">
        <v>35</v>
      </c>
      <c r="Q1254" s="3" t="s">
        <v>1763</v>
      </c>
      <c r="R1254" s="4">
        <v>45931</v>
      </c>
      <c r="S1254" s="3" t="s">
        <v>37</v>
      </c>
      <c r="T1254" s="3" t="s">
        <v>38</v>
      </c>
      <c r="U1254" s="3" t="s">
        <v>39</v>
      </c>
      <c r="V1254" s="5">
        <v>3516.55</v>
      </c>
      <c r="W1254" s="5">
        <v>1775.86</v>
      </c>
      <c r="X1254" s="5">
        <v>1218.48</v>
      </c>
      <c r="Y1254" s="3">
        <v>522.21</v>
      </c>
    </row>
    <row r="1255" spans="1:25" ht="41.5" hidden="1" x14ac:dyDescent="0.35">
      <c r="A1255" s="3" t="s">
        <v>26</v>
      </c>
      <c r="B1255" s="3" t="s">
        <v>27</v>
      </c>
      <c r="C1255" s="3" t="s">
        <v>28</v>
      </c>
      <c r="D1255" s="3" t="s">
        <v>41</v>
      </c>
      <c r="E1255" s="3" t="s">
        <v>183</v>
      </c>
      <c r="F1255" s="3" t="s">
        <v>43</v>
      </c>
      <c r="G1255" s="3" t="s">
        <v>183</v>
      </c>
      <c r="H1255" s="3" t="s">
        <v>72</v>
      </c>
      <c r="I1255" s="3">
        <v>2024</v>
      </c>
      <c r="J1255" s="3" t="str">
        <f>CONCATENATE("44810833036")</f>
        <v>44810833036</v>
      </c>
      <c r="K1255" s="3" t="s">
        <v>33</v>
      </c>
      <c r="L1255" s="3" t="str">
        <f t="shared" si="78"/>
        <v/>
      </c>
      <c r="M1255" s="3" t="str">
        <f t="shared" si="80"/>
        <v>SRA29</v>
      </c>
      <c r="N1255" s="3" t="str">
        <f>CONCATENATE("SLLGNN72C42A225P")</f>
        <v>SLLGNN72C42A225P</v>
      </c>
      <c r="O1255" s="3" t="s">
        <v>1858</v>
      </c>
      <c r="P1255" s="3" t="s">
        <v>35</v>
      </c>
      <c r="Q1255" s="3" t="s">
        <v>1389</v>
      </c>
      <c r="R1255" s="4">
        <v>45916</v>
      </c>
      <c r="S1255" s="3" t="s">
        <v>37</v>
      </c>
      <c r="T1255" s="3" t="s">
        <v>38</v>
      </c>
      <c r="U1255" s="3" t="s">
        <v>39</v>
      </c>
      <c r="V1255" s="5">
        <v>3889.2</v>
      </c>
      <c r="W1255" s="5">
        <v>1964.05</v>
      </c>
      <c r="X1255" s="5">
        <v>1347.61</v>
      </c>
      <c r="Y1255" s="3">
        <v>577.54</v>
      </c>
    </row>
    <row r="1256" spans="1:25" ht="49.5" hidden="1" x14ac:dyDescent="0.35">
      <c r="A1256" s="3" t="s">
        <v>26</v>
      </c>
      <c r="B1256" s="3" t="s">
        <v>27</v>
      </c>
      <c r="C1256" s="3" t="s">
        <v>28</v>
      </c>
      <c r="D1256" s="3" t="s">
        <v>164</v>
      </c>
      <c r="E1256" s="3" t="s">
        <v>1777</v>
      </c>
      <c r="F1256" s="3" t="s">
        <v>166</v>
      </c>
      <c r="G1256" s="3" t="s">
        <v>1777</v>
      </c>
      <c r="H1256" s="3" t="s">
        <v>72</v>
      </c>
      <c r="I1256" s="3">
        <v>2024</v>
      </c>
      <c r="J1256" s="3" t="str">
        <f>CONCATENATE("44811065166")</f>
        <v>44811065166</v>
      </c>
      <c r="K1256" s="3" t="s">
        <v>33</v>
      </c>
      <c r="L1256" s="3" t="str">
        <f t="shared" si="78"/>
        <v/>
      </c>
      <c r="M1256" s="3" t="str">
        <f t="shared" si="80"/>
        <v>SRA29</v>
      </c>
      <c r="N1256" s="3" t="str">
        <f>CONCATENATE("SRNMHL67A24A892A")</f>
        <v>SRNMHL67A24A892A</v>
      </c>
      <c r="O1256" s="3" t="s">
        <v>1859</v>
      </c>
      <c r="P1256" s="3" t="s">
        <v>35</v>
      </c>
      <c r="Q1256" s="3" t="s">
        <v>1389</v>
      </c>
      <c r="R1256" s="4">
        <v>45916</v>
      </c>
      <c r="S1256" s="3" t="s">
        <v>37</v>
      </c>
      <c r="T1256" s="3" t="s">
        <v>38</v>
      </c>
      <c r="U1256" s="3" t="s">
        <v>39</v>
      </c>
      <c r="V1256" s="3">
        <v>1.86</v>
      </c>
      <c r="W1256" s="3">
        <v>0.94</v>
      </c>
      <c r="X1256" s="3">
        <v>0.64</v>
      </c>
      <c r="Y1256" s="3">
        <v>0.28000000000000003</v>
      </c>
    </row>
    <row r="1257" spans="1:25" ht="41.5" hidden="1" x14ac:dyDescent="0.35">
      <c r="A1257" s="3" t="s">
        <v>26</v>
      </c>
      <c r="B1257" s="3" t="s">
        <v>27</v>
      </c>
      <c r="C1257" s="3" t="s">
        <v>28</v>
      </c>
      <c r="D1257" s="3" t="s">
        <v>61</v>
      </c>
      <c r="E1257" s="3" t="s">
        <v>1523</v>
      </c>
      <c r="F1257" s="3" t="s">
        <v>63</v>
      </c>
      <c r="G1257" s="3" t="s">
        <v>1523</v>
      </c>
      <c r="H1257" s="3" t="s">
        <v>32</v>
      </c>
      <c r="I1257" s="3">
        <v>2024</v>
      </c>
      <c r="J1257" s="3" t="str">
        <f>CONCATENATE("44811123692")</f>
        <v>44811123692</v>
      </c>
      <c r="K1257" s="3" t="s">
        <v>33</v>
      </c>
      <c r="L1257" s="3" t="str">
        <f t="shared" si="78"/>
        <v/>
      </c>
      <c r="M1257" s="3" t="str">
        <f t="shared" si="80"/>
        <v>SRA29</v>
      </c>
      <c r="N1257" s="3" t="str">
        <f>CONCATENATE("TTRBRD59C15F631N")</f>
        <v>TTRBRD59C15F631N</v>
      </c>
      <c r="O1257" s="3" t="s">
        <v>1860</v>
      </c>
      <c r="P1257" s="3" t="s">
        <v>35</v>
      </c>
      <c r="Q1257" s="3" t="s">
        <v>1389</v>
      </c>
      <c r="R1257" s="4">
        <v>45916</v>
      </c>
      <c r="S1257" s="3" t="s">
        <v>37</v>
      </c>
      <c r="T1257" s="3" t="s">
        <v>38</v>
      </c>
      <c r="U1257" s="3" t="s">
        <v>39</v>
      </c>
      <c r="V1257" s="3">
        <v>4.09</v>
      </c>
      <c r="W1257" s="3">
        <v>2.0699999999999998</v>
      </c>
      <c r="X1257" s="3">
        <v>1.42</v>
      </c>
      <c r="Y1257" s="3">
        <v>0.6</v>
      </c>
    </row>
    <row r="1258" spans="1:25" ht="41.5" hidden="1" x14ac:dyDescent="0.35">
      <c r="A1258" s="3" t="s">
        <v>26</v>
      </c>
      <c r="B1258" s="3" t="s">
        <v>27</v>
      </c>
      <c r="C1258" s="3" t="s">
        <v>28</v>
      </c>
      <c r="D1258" s="3" t="s">
        <v>41</v>
      </c>
      <c r="E1258" s="3" t="s">
        <v>1036</v>
      </c>
      <c r="F1258" s="3" t="s">
        <v>43</v>
      </c>
      <c r="G1258" s="3" t="s">
        <v>1036</v>
      </c>
      <c r="H1258" s="3" t="s">
        <v>32</v>
      </c>
      <c r="I1258" s="3">
        <v>2024</v>
      </c>
      <c r="J1258" s="3" t="str">
        <f>CONCATENATE("44810757177")</f>
        <v>44810757177</v>
      </c>
      <c r="K1258" s="3" t="s">
        <v>33</v>
      </c>
      <c r="L1258" s="3" t="str">
        <f t="shared" si="78"/>
        <v/>
      </c>
      <c r="M1258" s="3" t="str">
        <f t="shared" si="80"/>
        <v>SRA29</v>
      </c>
      <c r="N1258" s="3" t="str">
        <f>CONCATENATE("TRGPQL60D29E332M")</f>
        <v>TRGPQL60D29E332M</v>
      </c>
      <c r="O1258" s="3" t="s">
        <v>1861</v>
      </c>
      <c r="P1258" s="3" t="s">
        <v>35</v>
      </c>
      <c r="Q1258" s="3" t="s">
        <v>1389</v>
      </c>
      <c r="R1258" s="4">
        <v>45916</v>
      </c>
      <c r="S1258" s="3" t="s">
        <v>37</v>
      </c>
      <c r="T1258" s="3" t="s">
        <v>38</v>
      </c>
      <c r="U1258" s="3" t="s">
        <v>39</v>
      </c>
      <c r="V1258" s="5">
        <v>1669.75</v>
      </c>
      <c r="W1258" s="3">
        <v>843.22</v>
      </c>
      <c r="X1258" s="3">
        <v>578.57000000000005</v>
      </c>
      <c r="Y1258" s="3">
        <v>247.96</v>
      </c>
    </row>
    <row r="1259" spans="1:25" ht="41.5" hidden="1" x14ac:dyDescent="0.35">
      <c r="A1259" s="3" t="s">
        <v>26</v>
      </c>
      <c r="B1259" s="3" t="s">
        <v>27</v>
      </c>
      <c r="C1259" s="3" t="s">
        <v>28</v>
      </c>
      <c r="D1259" s="3" t="s">
        <v>61</v>
      </c>
      <c r="E1259" s="3" t="s">
        <v>1523</v>
      </c>
      <c r="F1259" s="3" t="s">
        <v>63</v>
      </c>
      <c r="G1259" s="3" t="s">
        <v>1523</v>
      </c>
      <c r="H1259" s="3" t="s">
        <v>32</v>
      </c>
      <c r="I1259" s="3">
        <v>2024</v>
      </c>
      <c r="J1259" s="3" t="str">
        <f>CONCATENATE("44811124013")</f>
        <v>44811124013</v>
      </c>
      <c r="K1259" s="3" t="s">
        <v>33</v>
      </c>
      <c r="L1259" s="3" t="str">
        <f t="shared" si="78"/>
        <v/>
      </c>
      <c r="M1259" s="3" t="str">
        <f t="shared" si="80"/>
        <v>SRA29</v>
      </c>
      <c r="N1259" s="3" t="str">
        <f>CONCATENATE("VRAMHL62R30F631Q")</f>
        <v>VRAMHL62R30F631Q</v>
      </c>
      <c r="O1259" s="3" t="s">
        <v>1862</v>
      </c>
      <c r="P1259" s="3" t="s">
        <v>35</v>
      </c>
      <c r="Q1259" s="3" t="s">
        <v>1389</v>
      </c>
      <c r="R1259" s="4">
        <v>45916</v>
      </c>
      <c r="S1259" s="3" t="s">
        <v>37</v>
      </c>
      <c r="T1259" s="3" t="s">
        <v>38</v>
      </c>
      <c r="U1259" s="3" t="s">
        <v>39</v>
      </c>
      <c r="V1259" s="3">
        <v>408.16</v>
      </c>
      <c r="W1259" s="3">
        <v>206.12</v>
      </c>
      <c r="X1259" s="3">
        <v>141.43</v>
      </c>
      <c r="Y1259" s="3">
        <v>60.61</v>
      </c>
    </row>
    <row r="1260" spans="1:25" ht="41.5" hidden="1" x14ac:dyDescent="0.35">
      <c r="A1260" s="3" t="s">
        <v>26</v>
      </c>
      <c r="B1260" s="3" t="s">
        <v>27</v>
      </c>
      <c r="C1260" s="3" t="s">
        <v>28</v>
      </c>
      <c r="D1260" s="3" t="s">
        <v>29</v>
      </c>
      <c r="E1260" s="3" t="s">
        <v>203</v>
      </c>
      <c r="F1260" s="3" t="s">
        <v>31</v>
      </c>
      <c r="G1260" s="3" t="s">
        <v>203</v>
      </c>
      <c r="H1260" s="3" t="s">
        <v>32</v>
      </c>
      <c r="I1260" s="3">
        <v>2024</v>
      </c>
      <c r="J1260" s="3" t="str">
        <f>CONCATENATE("44811070059")</f>
        <v>44811070059</v>
      </c>
      <c r="K1260" s="3" t="s">
        <v>33</v>
      </c>
      <c r="L1260" s="3" t="str">
        <f t="shared" si="78"/>
        <v/>
      </c>
      <c r="M1260" s="3" t="str">
        <f t="shared" si="80"/>
        <v>SRA29</v>
      </c>
      <c r="N1260" s="3" t="str">
        <f>CONCATENATE("VRAVCN64P19H926A")</f>
        <v>VRAVCN64P19H926A</v>
      </c>
      <c r="O1260" s="3" t="s">
        <v>1863</v>
      </c>
      <c r="P1260" s="3" t="s">
        <v>35</v>
      </c>
      <c r="Q1260" s="3" t="s">
        <v>1389</v>
      </c>
      <c r="R1260" s="4">
        <v>45916</v>
      </c>
      <c r="S1260" s="3" t="s">
        <v>37</v>
      </c>
      <c r="T1260" s="3" t="s">
        <v>38</v>
      </c>
      <c r="U1260" s="3" t="s">
        <v>39</v>
      </c>
      <c r="V1260" s="3">
        <v>306</v>
      </c>
      <c r="W1260" s="3">
        <v>154.53</v>
      </c>
      <c r="X1260" s="3">
        <v>106.03</v>
      </c>
      <c r="Y1260" s="3">
        <v>45.44</v>
      </c>
    </row>
    <row r="1261" spans="1:25" ht="25.5" hidden="1" x14ac:dyDescent="0.35">
      <c r="A1261" s="3" t="s">
        <v>26</v>
      </c>
      <c r="B1261" s="3" t="s">
        <v>27</v>
      </c>
      <c r="C1261" s="3" t="s">
        <v>28</v>
      </c>
      <c r="D1261" s="3" t="s">
        <v>99</v>
      </c>
      <c r="E1261" s="3" t="s">
        <v>1864</v>
      </c>
      <c r="F1261" s="3" t="s">
        <v>31</v>
      </c>
      <c r="G1261" s="3" t="s">
        <v>1545</v>
      </c>
      <c r="H1261" s="3" t="s">
        <v>32</v>
      </c>
      <c r="I1261" s="3">
        <v>2024</v>
      </c>
      <c r="J1261" s="3" t="str">
        <f>CONCATENATE("44811308780")</f>
        <v>44811308780</v>
      </c>
      <c r="K1261" s="3" t="s">
        <v>33</v>
      </c>
      <c r="L1261" s="3" t="str">
        <f t="shared" si="78"/>
        <v/>
      </c>
      <c r="M1261" s="3" t="str">
        <f t="shared" si="80"/>
        <v>SRA29</v>
      </c>
      <c r="N1261" s="3" t="str">
        <f>CONCATENATE("04382300715")</f>
        <v>04382300715</v>
      </c>
      <c r="O1261" s="3" t="s">
        <v>1865</v>
      </c>
      <c r="P1261" s="3" t="s">
        <v>35</v>
      </c>
      <c r="Q1261" s="3" t="s">
        <v>1389</v>
      </c>
      <c r="R1261" s="4">
        <v>45916</v>
      </c>
      <c r="S1261" s="3" t="s">
        <v>37</v>
      </c>
      <c r="T1261" s="3" t="s">
        <v>38</v>
      </c>
      <c r="U1261" s="3" t="s">
        <v>39</v>
      </c>
      <c r="V1261" s="5">
        <v>8601.2099999999991</v>
      </c>
      <c r="W1261" s="5">
        <v>4343.6099999999997</v>
      </c>
      <c r="X1261" s="5">
        <v>2980.32</v>
      </c>
      <c r="Y1261" s="5">
        <v>1277.28</v>
      </c>
    </row>
    <row r="1262" spans="1:25" ht="49.5" hidden="1" x14ac:dyDescent="0.35">
      <c r="A1262" s="3" t="s">
        <v>26</v>
      </c>
      <c r="B1262" s="3" t="s">
        <v>27</v>
      </c>
      <c r="C1262" s="3" t="s">
        <v>28</v>
      </c>
      <c r="D1262" s="3" t="s">
        <v>69</v>
      </c>
      <c r="E1262" s="3" t="s">
        <v>1866</v>
      </c>
      <c r="F1262" s="3" t="s">
        <v>71</v>
      </c>
      <c r="G1262" s="3" t="s">
        <v>1866</v>
      </c>
      <c r="H1262" s="3" t="s">
        <v>72</v>
      </c>
      <c r="I1262" s="3">
        <v>2024</v>
      </c>
      <c r="J1262" s="3" t="str">
        <f>CONCATENATE("44811456845")</f>
        <v>44811456845</v>
      </c>
      <c r="K1262" s="3" t="s">
        <v>33</v>
      </c>
      <c r="L1262" s="3" t="str">
        <f t="shared" si="78"/>
        <v/>
      </c>
      <c r="M1262" s="3" t="str">
        <f t="shared" si="80"/>
        <v>SRA29</v>
      </c>
      <c r="N1262" s="3" t="str">
        <f>CONCATENATE("VLLMHL58R05A285D")</f>
        <v>VLLMHL58R05A285D</v>
      </c>
      <c r="O1262" s="3" t="s">
        <v>1867</v>
      </c>
      <c r="P1262" s="3" t="s">
        <v>35</v>
      </c>
      <c r="Q1262" s="3" t="s">
        <v>1389</v>
      </c>
      <c r="R1262" s="4">
        <v>45916</v>
      </c>
      <c r="S1262" s="3" t="s">
        <v>37</v>
      </c>
      <c r="T1262" s="3" t="s">
        <v>38</v>
      </c>
      <c r="U1262" s="3" t="s">
        <v>39</v>
      </c>
      <c r="V1262" s="5">
        <v>1140.83</v>
      </c>
      <c r="W1262" s="3">
        <v>576.12</v>
      </c>
      <c r="X1262" s="3">
        <v>395.3</v>
      </c>
      <c r="Y1262" s="3">
        <v>169.41</v>
      </c>
    </row>
    <row r="1263" spans="1:25" ht="41.5" hidden="1" x14ac:dyDescent="0.35">
      <c r="A1263" s="3" t="s">
        <v>26</v>
      </c>
      <c r="B1263" s="3" t="s">
        <v>27</v>
      </c>
      <c r="C1263" s="3" t="s">
        <v>28</v>
      </c>
      <c r="D1263" s="3" t="s">
        <v>69</v>
      </c>
      <c r="E1263" s="3" t="s">
        <v>177</v>
      </c>
      <c r="F1263" s="3" t="s">
        <v>71</v>
      </c>
      <c r="G1263" s="3" t="s">
        <v>177</v>
      </c>
      <c r="H1263" s="3" t="s">
        <v>72</v>
      </c>
      <c r="I1263" s="3">
        <v>2024</v>
      </c>
      <c r="J1263" s="3" t="str">
        <f>CONCATENATE("44810930311")</f>
        <v>44810930311</v>
      </c>
      <c r="K1263" s="3" t="s">
        <v>33</v>
      </c>
      <c r="L1263" s="3" t="str">
        <f t="shared" si="78"/>
        <v/>
      </c>
      <c r="M1263" s="3" t="str">
        <f t="shared" si="80"/>
        <v>SRA29</v>
      </c>
      <c r="N1263" s="3" t="str">
        <f>CONCATENATE("VNDRNN80S67L109K")</f>
        <v>VNDRNN80S67L109K</v>
      </c>
      <c r="O1263" s="3" t="s">
        <v>1868</v>
      </c>
      <c r="P1263" s="3" t="s">
        <v>35</v>
      </c>
      <c r="Q1263" s="3" t="s">
        <v>1389</v>
      </c>
      <c r="R1263" s="4">
        <v>45916</v>
      </c>
      <c r="S1263" s="3" t="s">
        <v>37</v>
      </c>
      <c r="T1263" s="3" t="s">
        <v>38</v>
      </c>
      <c r="U1263" s="3" t="s">
        <v>39</v>
      </c>
      <c r="V1263" s="3">
        <v>195.21</v>
      </c>
      <c r="W1263" s="3">
        <v>98.58</v>
      </c>
      <c r="X1263" s="3">
        <v>67.64</v>
      </c>
      <c r="Y1263" s="3">
        <v>28.99</v>
      </c>
    </row>
    <row r="1264" spans="1:25" ht="49.5" hidden="1" x14ac:dyDescent="0.35">
      <c r="A1264" s="3" t="s">
        <v>26</v>
      </c>
      <c r="B1264" s="3" t="s">
        <v>27</v>
      </c>
      <c r="C1264" s="3" t="s">
        <v>28</v>
      </c>
      <c r="D1264" s="3" t="s">
        <v>51</v>
      </c>
      <c r="E1264" s="3" t="s">
        <v>1517</v>
      </c>
      <c r="F1264" s="3" t="s">
        <v>77</v>
      </c>
      <c r="G1264" s="3" t="s">
        <v>1518</v>
      </c>
      <c r="H1264" s="3" t="s">
        <v>32</v>
      </c>
      <c r="I1264" s="3">
        <v>2024</v>
      </c>
      <c r="J1264" s="3" t="str">
        <f>CONCATENATE("44811052511")</f>
        <v>44811052511</v>
      </c>
      <c r="K1264" s="3" t="s">
        <v>33</v>
      </c>
      <c r="L1264" s="3" t="str">
        <f t="shared" si="78"/>
        <v/>
      </c>
      <c r="M1264" s="3" t="str">
        <f t="shared" si="80"/>
        <v>SRA29</v>
      </c>
      <c r="N1264" s="3" t="str">
        <f>CONCATENATE("VVLFRC89D59H926A")</f>
        <v>VVLFRC89D59H926A</v>
      </c>
      <c r="O1264" s="3" t="s">
        <v>1869</v>
      </c>
      <c r="P1264" s="3" t="s">
        <v>35</v>
      </c>
      <c r="Q1264" s="3" t="s">
        <v>1389</v>
      </c>
      <c r="R1264" s="4">
        <v>45916</v>
      </c>
      <c r="S1264" s="3" t="s">
        <v>37</v>
      </c>
      <c r="T1264" s="3" t="s">
        <v>38</v>
      </c>
      <c r="U1264" s="3" t="s">
        <v>39</v>
      </c>
      <c r="V1264" s="3">
        <v>704.03</v>
      </c>
      <c r="W1264" s="3">
        <v>355.54</v>
      </c>
      <c r="X1264" s="3">
        <v>243.95</v>
      </c>
      <c r="Y1264" s="3">
        <v>104.54</v>
      </c>
    </row>
    <row r="1265" spans="1:25" ht="49.5" hidden="1" x14ac:dyDescent="0.35">
      <c r="A1265" s="3" t="s">
        <v>26</v>
      </c>
      <c r="B1265" s="3" t="s">
        <v>27</v>
      </c>
      <c r="C1265" s="3" t="s">
        <v>28</v>
      </c>
      <c r="D1265" s="3" t="s">
        <v>29</v>
      </c>
      <c r="E1265" s="3" t="s">
        <v>155</v>
      </c>
      <c r="F1265" s="3" t="s">
        <v>31</v>
      </c>
      <c r="G1265" s="3" t="s">
        <v>155</v>
      </c>
      <c r="H1265" s="3" t="s">
        <v>156</v>
      </c>
      <c r="I1265" s="3">
        <v>2024</v>
      </c>
      <c r="J1265" s="3" t="str">
        <f>CONCATENATE("44810413383")</f>
        <v>44810413383</v>
      </c>
      <c r="K1265" s="3" t="s">
        <v>33</v>
      </c>
      <c r="L1265" s="3" t="str">
        <f t="shared" si="78"/>
        <v/>
      </c>
      <c r="M1265" s="3" t="str">
        <f t="shared" si="80"/>
        <v>SRA29</v>
      </c>
      <c r="N1265" s="3" t="str">
        <f>CONCATENATE("VLPGNN76B41B180W")</f>
        <v>VLPGNN76B41B180W</v>
      </c>
      <c r="O1265" s="3" t="s">
        <v>1870</v>
      </c>
      <c r="P1265" s="3" t="s">
        <v>35</v>
      </c>
      <c r="Q1265" s="3" t="s">
        <v>1389</v>
      </c>
      <c r="R1265" s="4">
        <v>45916</v>
      </c>
      <c r="S1265" s="3" t="s">
        <v>37</v>
      </c>
      <c r="T1265" s="3" t="s">
        <v>38</v>
      </c>
      <c r="U1265" s="3" t="s">
        <v>39</v>
      </c>
      <c r="V1265" s="3">
        <v>259.08999999999997</v>
      </c>
      <c r="W1265" s="3">
        <v>130.84</v>
      </c>
      <c r="X1265" s="3">
        <v>89.77</v>
      </c>
      <c r="Y1265" s="3">
        <v>38.479999999999997</v>
      </c>
    </row>
    <row r="1266" spans="1:25" ht="41.5" hidden="1" x14ac:dyDescent="0.35">
      <c r="A1266" s="3" t="s">
        <v>26</v>
      </c>
      <c r="B1266" s="3" t="s">
        <v>27</v>
      </c>
      <c r="C1266" s="3" t="s">
        <v>80</v>
      </c>
      <c r="D1266" s="3" t="s">
        <v>41</v>
      </c>
      <c r="E1266" s="3" t="s">
        <v>145</v>
      </c>
      <c r="F1266" s="3" t="s">
        <v>43</v>
      </c>
      <c r="G1266" s="3" t="s">
        <v>145</v>
      </c>
      <c r="H1266" s="3" t="s">
        <v>82</v>
      </c>
      <c r="I1266" s="3">
        <v>2024</v>
      </c>
      <c r="J1266" s="3" t="str">
        <f>CONCATENATE("44810005130")</f>
        <v>44810005130</v>
      </c>
      <c r="K1266" s="3" t="s">
        <v>33</v>
      </c>
      <c r="L1266" s="3" t="str">
        <f t="shared" si="78"/>
        <v/>
      </c>
      <c r="M1266" s="3" t="str">
        <f>CONCATENATE("SRA21")</f>
        <v>SRA21</v>
      </c>
      <c r="N1266" s="3" t="str">
        <f>CONCATENATE("SPLMRZ80T26E290P")</f>
        <v>SPLMRZ80T26E290P</v>
      </c>
      <c r="O1266" s="3" t="s">
        <v>1871</v>
      </c>
      <c r="P1266" s="3" t="s">
        <v>35</v>
      </c>
      <c r="Q1266" s="3" t="s">
        <v>1779</v>
      </c>
      <c r="R1266" s="4">
        <v>45932</v>
      </c>
      <c r="S1266" s="3" t="s">
        <v>37</v>
      </c>
      <c r="T1266" s="3" t="s">
        <v>38</v>
      </c>
      <c r="U1266" s="3" t="s">
        <v>39</v>
      </c>
      <c r="V1266" s="3">
        <v>745.48</v>
      </c>
      <c r="W1266" s="3">
        <v>303.41000000000003</v>
      </c>
      <c r="X1266" s="3">
        <v>309.45</v>
      </c>
      <c r="Y1266" s="3">
        <v>132.62</v>
      </c>
    </row>
    <row r="1267" spans="1:25" ht="41.5" hidden="1" x14ac:dyDescent="0.35">
      <c r="A1267" s="3" t="s">
        <v>26</v>
      </c>
      <c r="B1267" s="3" t="s">
        <v>27</v>
      </c>
      <c r="C1267" s="3" t="s">
        <v>80</v>
      </c>
      <c r="D1267" s="3" t="s">
        <v>41</v>
      </c>
      <c r="E1267" s="3" t="s">
        <v>1872</v>
      </c>
      <c r="F1267" s="3" t="s">
        <v>43</v>
      </c>
      <c r="G1267" s="3" t="s">
        <v>1872</v>
      </c>
      <c r="H1267" s="3" t="s">
        <v>82</v>
      </c>
      <c r="I1267" s="3">
        <v>2024</v>
      </c>
      <c r="J1267" s="3" t="str">
        <f>CONCATENATE("44810428423")</f>
        <v>44810428423</v>
      </c>
      <c r="K1267" s="3" t="s">
        <v>33</v>
      </c>
      <c r="L1267" s="3" t="str">
        <f t="shared" si="78"/>
        <v/>
      </c>
      <c r="M1267" s="3" t="str">
        <f>CONCATENATE("SRA21")</f>
        <v>SRA21</v>
      </c>
      <c r="N1267" s="3" t="str">
        <f>CONCATENATE("TRRNZE67C03E463J")</f>
        <v>TRRNZE67C03E463J</v>
      </c>
      <c r="O1267" s="3" t="s">
        <v>1873</v>
      </c>
      <c r="P1267" s="3" t="s">
        <v>35</v>
      </c>
      <c r="Q1267" s="3" t="s">
        <v>1779</v>
      </c>
      <c r="R1267" s="4">
        <v>45932</v>
      </c>
      <c r="S1267" s="3" t="s">
        <v>37</v>
      </c>
      <c r="T1267" s="3" t="s">
        <v>38</v>
      </c>
      <c r="U1267" s="3" t="s">
        <v>39</v>
      </c>
      <c r="V1267" s="3">
        <v>333.13</v>
      </c>
      <c r="W1267" s="3">
        <v>135.58000000000001</v>
      </c>
      <c r="X1267" s="3">
        <v>138.28</v>
      </c>
      <c r="Y1267" s="3">
        <v>59.27</v>
      </c>
    </row>
    <row r="1268" spans="1:25" ht="41.5" hidden="1" x14ac:dyDescent="0.35">
      <c r="A1268" s="3" t="s">
        <v>26</v>
      </c>
      <c r="B1268" s="3" t="s">
        <v>27</v>
      </c>
      <c r="C1268" s="3" t="s">
        <v>478</v>
      </c>
      <c r="D1268" s="3" t="s">
        <v>75</v>
      </c>
      <c r="E1268" s="3" t="s">
        <v>582</v>
      </c>
      <c r="F1268" s="3" t="s">
        <v>77</v>
      </c>
      <c r="G1268" s="3" t="s">
        <v>582</v>
      </c>
      <c r="H1268" s="3" t="s">
        <v>614</v>
      </c>
      <c r="I1268" s="3">
        <v>2024</v>
      </c>
      <c r="J1268" s="3" t="str">
        <f>CONCATENATE("44811065752")</f>
        <v>44811065752</v>
      </c>
      <c r="K1268" s="3" t="s">
        <v>33</v>
      </c>
      <c r="L1268" s="3" t="str">
        <f t="shared" si="78"/>
        <v/>
      </c>
      <c r="M1268" s="3" t="str">
        <f>CONCATENATE("SRA30")</f>
        <v>SRA30</v>
      </c>
      <c r="N1268" s="3" t="str">
        <f>CONCATENATE("DNGMRA89P08A783H")</f>
        <v>DNGMRA89P08A783H</v>
      </c>
      <c r="O1268" s="3" t="s">
        <v>1874</v>
      </c>
      <c r="P1268" s="3" t="s">
        <v>35</v>
      </c>
      <c r="Q1268" s="3" t="s">
        <v>1762</v>
      </c>
      <c r="R1268" s="4">
        <v>45933</v>
      </c>
      <c r="S1268" s="3" t="s">
        <v>37</v>
      </c>
      <c r="T1268" s="3" t="s">
        <v>38</v>
      </c>
      <c r="U1268" s="3" t="s">
        <v>39</v>
      </c>
      <c r="V1268" s="5">
        <v>9683.16</v>
      </c>
      <c r="W1268" s="5">
        <v>4890</v>
      </c>
      <c r="X1268" s="5">
        <v>3355.21</v>
      </c>
      <c r="Y1268" s="5">
        <v>1437.95</v>
      </c>
    </row>
    <row r="1269" spans="1:25" ht="41.5" hidden="1" x14ac:dyDescent="0.35">
      <c r="A1269" s="3" t="s">
        <v>26</v>
      </c>
      <c r="B1269" s="3" t="s">
        <v>27</v>
      </c>
      <c r="C1269" s="3" t="s">
        <v>478</v>
      </c>
      <c r="D1269" s="3" t="s">
        <v>61</v>
      </c>
      <c r="E1269" s="3" t="s">
        <v>1316</v>
      </c>
      <c r="F1269" s="3" t="s">
        <v>63</v>
      </c>
      <c r="G1269" s="3" t="s">
        <v>1316</v>
      </c>
      <c r="H1269" s="3" t="s">
        <v>614</v>
      </c>
      <c r="I1269" s="3">
        <v>2024</v>
      </c>
      <c r="J1269" s="3" t="str">
        <f>CONCATENATE("44811312022")</f>
        <v>44811312022</v>
      </c>
      <c r="K1269" s="3" t="s">
        <v>33</v>
      </c>
      <c r="L1269" s="3" t="str">
        <f t="shared" si="78"/>
        <v/>
      </c>
      <c r="M1269" s="3" t="str">
        <f>CONCATENATE("SRA30")</f>
        <v>SRA30</v>
      </c>
      <c r="N1269" s="3" t="str">
        <f>CONCATENATE("DPLSMN91T20A783Q")</f>
        <v>DPLSMN91T20A783Q</v>
      </c>
      <c r="O1269" s="3" t="s">
        <v>1875</v>
      </c>
      <c r="P1269" s="3" t="s">
        <v>35</v>
      </c>
      <c r="Q1269" s="3" t="s">
        <v>1762</v>
      </c>
      <c r="R1269" s="4">
        <v>45933</v>
      </c>
      <c r="S1269" s="3" t="s">
        <v>37</v>
      </c>
      <c r="T1269" s="3" t="s">
        <v>38</v>
      </c>
      <c r="U1269" s="3" t="s">
        <v>39</v>
      </c>
      <c r="V1269" s="5">
        <v>3274.84</v>
      </c>
      <c r="W1269" s="5">
        <v>1653.79</v>
      </c>
      <c r="X1269" s="5">
        <v>1134.73</v>
      </c>
      <c r="Y1269" s="3">
        <v>486.32</v>
      </c>
    </row>
    <row r="1270" spans="1:25" ht="41.5" hidden="1" x14ac:dyDescent="0.35">
      <c r="A1270" s="3" t="s">
        <v>26</v>
      </c>
      <c r="B1270" s="3" t="s">
        <v>27</v>
      </c>
      <c r="C1270" s="3" t="s">
        <v>478</v>
      </c>
      <c r="D1270" s="3" t="s">
        <v>41</v>
      </c>
      <c r="E1270" s="3" t="s">
        <v>1339</v>
      </c>
      <c r="F1270" s="3" t="s">
        <v>43</v>
      </c>
      <c r="G1270" s="3" t="s">
        <v>1339</v>
      </c>
      <c r="H1270" s="3" t="s">
        <v>614</v>
      </c>
      <c r="I1270" s="3">
        <v>2024</v>
      </c>
      <c r="J1270" s="3" t="str">
        <f>CONCATENATE("44810203388")</f>
        <v>44810203388</v>
      </c>
      <c r="K1270" s="3" t="s">
        <v>33</v>
      </c>
      <c r="L1270" s="3" t="str">
        <f t="shared" si="78"/>
        <v/>
      </c>
      <c r="M1270" s="3" t="str">
        <f>CONCATENATE("SRA30")</f>
        <v>SRA30</v>
      </c>
      <c r="N1270" s="3" t="str">
        <f>CONCATENATE("DMRFNC68S62I179G")</f>
        <v>DMRFNC68S62I179G</v>
      </c>
      <c r="O1270" s="3" t="s">
        <v>1876</v>
      </c>
      <c r="P1270" s="3" t="s">
        <v>35</v>
      </c>
      <c r="Q1270" s="3" t="s">
        <v>1762</v>
      </c>
      <c r="R1270" s="4">
        <v>45933</v>
      </c>
      <c r="S1270" s="3" t="s">
        <v>37</v>
      </c>
      <c r="T1270" s="3" t="s">
        <v>38</v>
      </c>
      <c r="U1270" s="3" t="s">
        <v>39</v>
      </c>
      <c r="V1270" s="5">
        <v>15087.29</v>
      </c>
      <c r="W1270" s="5">
        <v>7619.08</v>
      </c>
      <c r="X1270" s="5">
        <v>5227.75</v>
      </c>
      <c r="Y1270" s="5">
        <v>2240.46</v>
      </c>
    </row>
    <row r="1271" spans="1:25" ht="49.5" hidden="1" x14ac:dyDescent="0.35">
      <c r="A1271" s="3" t="s">
        <v>26</v>
      </c>
      <c r="B1271" s="3" t="s">
        <v>27</v>
      </c>
      <c r="C1271" s="3" t="s">
        <v>478</v>
      </c>
      <c r="D1271" s="3" t="s">
        <v>234</v>
      </c>
      <c r="E1271" s="3" t="s">
        <v>120</v>
      </c>
      <c r="F1271" s="3" t="s">
        <v>119</v>
      </c>
      <c r="G1271" s="3" t="s">
        <v>120</v>
      </c>
      <c r="H1271" s="3" t="s">
        <v>614</v>
      </c>
      <c r="I1271" s="3">
        <v>2024</v>
      </c>
      <c r="J1271" s="3" t="str">
        <f>CONCATENATE("44811335379")</f>
        <v>44811335379</v>
      </c>
      <c r="K1271" s="3" t="s">
        <v>33</v>
      </c>
      <c r="L1271" s="3" t="str">
        <f t="shared" si="78"/>
        <v/>
      </c>
      <c r="M1271" s="3" t="str">
        <f>CONCATENATE("SRA30")</f>
        <v>SRA30</v>
      </c>
      <c r="N1271" s="3" t="str">
        <f>CONCATENATE("DPLNNL89B66G596G")</f>
        <v>DPLNNL89B66G596G</v>
      </c>
      <c r="O1271" s="3" t="s">
        <v>1877</v>
      </c>
      <c r="P1271" s="3" t="s">
        <v>35</v>
      </c>
      <c r="Q1271" s="3" t="s">
        <v>1762</v>
      </c>
      <c r="R1271" s="4">
        <v>45933</v>
      </c>
      <c r="S1271" s="3" t="s">
        <v>37</v>
      </c>
      <c r="T1271" s="3" t="s">
        <v>38</v>
      </c>
      <c r="U1271" s="3" t="s">
        <v>39</v>
      </c>
      <c r="V1271" s="5">
        <v>11649.96</v>
      </c>
      <c r="W1271" s="5">
        <v>5883.23</v>
      </c>
      <c r="X1271" s="5">
        <v>4036.71</v>
      </c>
      <c r="Y1271" s="5">
        <v>1730.02</v>
      </c>
    </row>
    <row r="1272" spans="1:25" ht="25.5" hidden="1" x14ac:dyDescent="0.35">
      <c r="A1272" s="3" t="s">
        <v>26</v>
      </c>
      <c r="B1272" s="3" t="s">
        <v>27</v>
      </c>
      <c r="C1272" s="3" t="s">
        <v>28</v>
      </c>
      <c r="D1272" s="3" t="s">
        <v>29</v>
      </c>
      <c r="E1272" s="3" t="s">
        <v>1410</v>
      </c>
      <c r="F1272" s="3" t="s">
        <v>31</v>
      </c>
      <c r="G1272" s="3" t="s">
        <v>1410</v>
      </c>
      <c r="H1272" s="3" t="s">
        <v>866</v>
      </c>
      <c r="I1272" s="3">
        <v>2024</v>
      </c>
      <c r="J1272" s="3" t="str">
        <f>CONCATENATE("44810734010")</f>
        <v>44810734010</v>
      </c>
      <c r="K1272" s="3" t="s">
        <v>33</v>
      </c>
      <c r="L1272" s="3" t="str">
        <f t="shared" si="78"/>
        <v/>
      </c>
      <c r="M1272" s="3" t="str">
        <f>CONCATENATE("SRA24")</f>
        <v>SRA24</v>
      </c>
      <c r="N1272" s="3" t="str">
        <f>CONCATENATE("07749700725")</f>
        <v>07749700725</v>
      </c>
      <c r="O1272" s="3" t="s">
        <v>1878</v>
      </c>
      <c r="P1272" s="3" t="s">
        <v>35</v>
      </c>
      <c r="Q1272" s="3" t="s">
        <v>1879</v>
      </c>
      <c r="R1272" s="4">
        <v>45926</v>
      </c>
      <c r="S1272" s="3" t="s">
        <v>37</v>
      </c>
      <c r="T1272" s="3" t="s">
        <v>38</v>
      </c>
      <c r="U1272" s="3" t="s">
        <v>39</v>
      </c>
      <c r="V1272" s="5">
        <v>49926.94</v>
      </c>
      <c r="W1272" s="5">
        <v>25213.1</v>
      </c>
      <c r="X1272" s="5">
        <v>17299.68</v>
      </c>
      <c r="Y1272" s="5">
        <v>7414.16</v>
      </c>
    </row>
    <row r="1273" spans="1:25" ht="41.5" hidden="1" x14ac:dyDescent="0.35">
      <c r="A1273" s="3" t="s">
        <v>26</v>
      </c>
      <c r="B1273" s="3" t="s">
        <v>27</v>
      </c>
      <c r="C1273" s="3" t="s">
        <v>478</v>
      </c>
      <c r="D1273" s="3" t="s">
        <v>75</v>
      </c>
      <c r="E1273" s="3" t="s">
        <v>1082</v>
      </c>
      <c r="F1273" s="3" t="s">
        <v>77</v>
      </c>
      <c r="G1273" s="3" t="s">
        <v>1082</v>
      </c>
      <c r="H1273" s="3" t="s">
        <v>614</v>
      </c>
      <c r="I1273" s="3">
        <v>2024</v>
      </c>
      <c r="J1273" s="3" t="str">
        <f>CONCATENATE("44810685493")</f>
        <v>44810685493</v>
      </c>
      <c r="K1273" s="3" t="s">
        <v>33</v>
      </c>
      <c r="L1273" s="3" t="str">
        <f t="shared" si="78"/>
        <v/>
      </c>
      <c r="M1273" s="3" t="str">
        <f t="shared" ref="M1273:M1292" si="81">CONCATENATE("SRA30")</f>
        <v>SRA30</v>
      </c>
      <c r="N1273" s="3" t="str">
        <f>CONCATENATE("FRTDNC92E18A783X")</f>
        <v>FRTDNC92E18A783X</v>
      </c>
      <c r="O1273" s="3" t="s">
        <v>1880</v>
      </c>
      <c r="P1273" s="3" t="s">
        <v>35</v>
      </c>
      <c r="Q1273" s="3" t="s">
        <v>1762</v>
      </c>
      <c r="R1273" s="4">
        <v>45933</v>
      </c>
      <c r="S1273" s="3" t="s">
        <v>37</v>
      </c>
      <c r="T1273" s="3" t="s">
        <v>38</v>
      </c>
      <c r="U1273" s="3" t="s">
        <v>39</v>
      </c>
      <c r="V1273" s="5">
        <v>5356.04</v>
      </c>
      <c r="W1273" s="5">
        <v>2704.8</v>
      </c>
      <c r="X1273" s="5">
        <v>1855.87</v>
      </c>
      <c r="Y1273" s="3">
        <v>795.37</v>
      </c>
    </row>
    <row r="1274" spans="1:25" ht="41.5" hidden="1" x14ac:dyDescent="0.35">
      <c r="A1274" s="3" t="s">
        <v>26</v>
      </c>
      <c r="B1274" s="3" t="s">
        <v>27</v>
      </c>
      <c r="C1274" s="3" t="s">
        <v>478</v>
      </c>
      <c r="D1274" s="3" t="s">
        <v>180</v>
      </c>
      <c r="E1274" s="3" t="s">
        <v>1881</v>
      </c>
      <c r="F1274" s="3" t="s">
        <v>85</v>
      </c>
      <c r="G1274" s="3" t="s">
        <v>1881</v>
      </c>
      <c r="H1274" s="3" t="s">
        <v>614</v>
      </c>
      <c r="I1274" s="3">
        <v>2024</v>
      </c>
      <c r="J1274" s="3" t="str">
        <f>CONCATENATE("44810816635")</f>
        <v>44810816635</v>
      </c>
      <c r="K1274" s="3" t="s">
        <v>33</v>
      </c>
      <c r="L1274" s="3" t="str">
        <f t="shared" si="78"/>
        <v/>
      </c>
      <c r="M1274" s="3" t="str">
        <f t="shared" si="81"/>
        <v>SRA30</v>
      </c>
      <c r="N1274" s="3" t="str">
        <f>CONCATENATE("FRTGNN83H24A783J")</f>
        <v>FRTGNN83H24A783J</v>
      </c>
      <c r="O1274" s="3" t="s">
        <v>1882</v>
      </c>
      <c r="P1274" s="3" t="s">
        <v>35</v>
      </c>
      <c r="Q1274" s="3" t="s">
        <v>1762</v>
      </c>
      <c r="R1274" s="4">
        <v>45933</v>
      </c>
      <c r="S1274" s="3" t="s">
        <v>37</v>
      </c>
      <c r="T1274" s="3" t="s">
        <v>38</v>
      </c>
      <c r="U1274" s="3" t="s">
        <v>39</v>
      </c>
      <c r="V1274" s="5">
        <v>10559.34</v>
      </c>
      <c r="W1274" s="5">
        <v>5332.47</v>
      </c>
      <c r="X1274" s="5">
        <v>3658.81</v>
      </c>
      <c r="Y1274" s="5">
        <v>1568.06</v>
      </c>
    </row>
    <row r="1275" spans="1:25" ht="25.5" hidden="1" x14ac:dyDescent="0.35">
      <c r="A1275" s="3" t="s">
        <v>26</v>
      </c>
      <c r="B1275" s="3" t="s">
        <v>27</v>
      </c>
      <c r="C1275" s="3" t="s">
        <v>478</v>
      </c>
      <c r="D1275" s="3" t="s">
        <v>29</v>
      </c>
      <c r="E1275" s="3" t="s">
        <v>479</v>
      </c>
      <c r="F1275" s="3" t="s">
        <v>31</v>
      </c>
      <c r="G1275" s="3" t="s">
        <v>479</v>
      </c>
      <c r="H1275" s="3" t="s">
        <v>614</v>
      </c>
      <c r="I1275" s="3">
        <v>2024</v>
      </c>
      <c r="J1275" s="3" t="str">
        <f>CONCATENATE("44810850733")</f>
        <v>44810850733</v>
      </c>
      <c r="K1275" s="3" t="s">
        <v>33</v>
      </c>
      <c r="L1275" s="3" t="str">
        <f t="shared" si="78"/>
        <v/>
      </c>
      <c r="M1275" s="3" t="str">
        <f t="shared" si="81"/>
        <v>SRA30</v>
      </c>
      <c r="N1275" s="3" t="str">
        <f>CONCATENATE("01537500629")</f>
        <v>01537500629</v>
      </c>
      <c r="O1275" s="3" t="s">
        <v>1883</v>
      </c>
      <c r="P1275" s="3" t="s">
        <v>35</v>
      </c>
      <c r="Q1275" s="3" t="s">
        <v>1762</v>
      </c>
      <c r="R1275" s="4">
        <v>45933</v>
      </c>
      <c r="S1275" s="3" t="s">
        <v>37</v>
      </c>
      <c r="T1275" s="3" t="s">
        <v>38</v>
      </c>
      <c r="U1275" s="3" t="s">
        <v>39</v>
      </c>
      <c r="V1275" s="5">
        <v>13524.68</v>
      </c>
      <c r="W1275" s="5">
        <v>6829.96</v>
      </c>
      <c r="X1275" s="5">
        <v>4686.3</v>
      </c>
      <c r="Y1275" s="5">
        <v>2008.42</v>
      </c>
    </row>
    <row r="1276" spans="1:25" ht="41.5" hidden="1" x14ac:dyDescent="0.35">
      <c r="A1276" s="3" t="s">
        <v>26</v>
      </c>
      <c r="B1276" s="3" t="s">
        <v>27</v>
      </c>
      <c r="C1276" s="3" t="s">
        <v>478</v>
      </c>
      <c r="D1276" s="3" t="s">
        <v>41</v>
      </c>
      <c r="E1276" s="3" t="s">
        <v>1339</v>
      </c>
      <c r="F1276" s="3" t="s">
        <v>43</v>
      </c>
      <c r="G1276" s="3" t="s">
        <v>1339</v>
      </c>
      <c r="H1276" s="3" t="s">
        <v>614</v>
      </c>
      <c r="I1276" s="3">
        <v>2024</v>
      </c>
      <c r="J1276" s="3" t="str">
        <f>CONCATENATE("44811408846")</f>
        <v>44811408846</v>
      </c>
      <c r="K1276" s="3" t="s">
        <v>33</v>
      </c>
      <c r="L1276" s="3" t="str">
        <f t="shared" si="78"/>
        <v/>
      </c>
      <c r="M1276" s="3" t="str">
        <f t="shared" si="81"/>
        <v>SRA30</v>
      </c>
      <c r="N1276" s="3" t="str">
        <f>CONCATENATE("FSCDNC51T22F717G")</f>
        <v>FSCDNC51T22F717G</v>
      </c>
      <c r="O1276" s="3" t="s">
        <v>1884</v>
      </c>
      <c r="P1276" s="3" t="s">
        <v>35</v>
      </c>
      <c r="Q1276" s="3" t="s">
        <v>1762</v>
      </c>
      <c r="R1276" s="4">
        <v>45933</v>
      </c>
      <c r="S1276" s="3" t="s">
        <v>37</v>
      </c>
      <c r="T1276" s="3" t="s">
        <v>38</v>
      </c>
      <c r="U1276" s="3" t="s">
        <v>39</v>
      </c>
      <c r="V1276" s="5">
        <v>4625.97</v>
      </c>
      <c r="W1276" s="5">
        <v>2336.11</v>
      </c>
      <c r="X1276" s="5">
        <v>1602.9</v>
      </c>
      <c r="Y1276" s="3">
        <v>686.96</v>
      </c>
    </row>
    <row r="1277" spans="1:25" ht="41.5" hidden="1" x14ac:dyDescent="0.35">
      <c r="A1277" s="3" t="s">
        <v>26</v>
      </c>
      <c r="B1277" s="3" t="s">
        <v>27</v>
      </c>
      <c r="C1277" s="3" t="s">
        <v>478</v>
      </c>
      <c r="D1277" s="3" t="s">
        <v>75</v>
      </c>
      <c r="E1277" s="3" t="s">
        <v>582</v>
      </c>
      <c r="F1277" s="3" t="s">
        <v>77</v>
      </c>
      <c r="G1277" s="3" t="s">
        <v>582</v>
      </c>
      <c r="H1277" s="3" t="s">
        <v>614</v>
      </c>
      <c r="I1277" s="3">
        <v>2024</v>
      </c>
      <c r="J1277" s="3" t="str">
        <f>CONCATENATE("44811449360")</f>
        <v>44811449360</v>
      </c>
      <c r="K1277" s="3" t="s">
        <v>33</v>
      </c>
      <c r="L1277" s="3" t="str">
        <f t="shared" si="78"/>
        <v/>
      </c>
      <c r="M1277" s="3" t="str">
        <f t="shared" si="81"/>
        <v>SRA30</v>
      </c>
      <c r="N1277" s="3" t="str">
        <f>CONCATENATE("GNTLNS70E30A783X")</f>
        <v>GNTLNS70E30A783X</v>
      </c>
      <c r="O1277" s="3" t="s">
        <v>1885</v>
      </c>
      <c r="P1277" s="3" t="s">
        <v>35</v>
      </c>
      <c r="Q1277" s="3" t="s">
        <v>1762</v>
      </c>
      <c r="R1277" s="4">
        <v>45933</v>
      </c>
      <c r="S1277" s="3" t="s">
        <v>37</v>
      </c>
      <c r="T1277" s="3" t="s">
        <v>38</v>
      </c>
      <c r="U1277" s="3" t="s">
        <v>39</v>
      </c>
      <c r="V1277" s="5">
        <v>8683.18</v>
      </c>
      <c r="W1277" s="5">
        <v>4385.01</v>
      </c>
      <c r="X1277" s="5">
        <v>3008.72</v>
      </c>
      <c r="Y1277" s="5">
        <v>1289.45</v>
      </c>
    </row>
    <row r="1278" spans="1:25" ht="49.5" hidden="1" x14ac:dyDescent="0.35">
      <c r="A1278" s="3" t="s">
        <v>26</v>
      </c>
      <c r="B1278" s="3" t="s">
        <v>27</v>
      </c>
      <c r="C1278" s="3" t="s">
        <v>478</v>
      </c>
      <c r="D1278" s="3" t="s">
        <v>75</v>
      </c>
      <c r="E1278" s="3" t="s">
        <v>582</v>
      </c>
      <c r="F1278" s="3" t="s">
        <v>77</v>
      </c>
      <c r="G1278" s="3" t="s">
        <v>582</v>
      </c>
      <c r="H1278" s="3" t="s">
        <v>614</v>
      </c>
      <c r="I1278" s="3">
        <v>2024</v>
      </c>
      <c r="J1278" s="3" t="str">
        <f>CONCATENATE("44811336716")</f>
        <v>44811336716</v>
      </c>
      <c r="K1278" s="3" t="s">
        <v>33</v>
      </c>
      <c r="L1278" s="3" t="str">
        <f t="shared" si="78"/>
        <v/>
      </c>
      <c r="M1278" s="3" t="str">
        <f t="shared" si="81"/>
        <v>SRA30</v>
      </c>
      <c r="N1278" s="3" t="str">
        <f>CONCATENATE("GRNMHL73D41H087A")</f>
        <v>GRNMHL73D41H087A</v>
      </c>
      <c r="O1278" s="3" t="s">
        <v>1886</v>
      </c>
      <c r="P1278" s="3" t="s">
        <v>35</v>
      </c>
      <c r="Q1278" s="3" t="s">
        <v>1762</v>
      </c>
      <c r="R1278" s="4">
        <v>45933</v>
      </c>
      <c r="S1278" s="3" t="s">
        <v>37</v>
      </c>
      <c r="T1278" s="3" t="s">
        <v>38</v>
      </c>
      <c r="U1278" s="3" t="s">
        <v>39</v>
      </c>
      <c r="V1278" s="5">
        <v>2138.56</v>
      </c>
      <c r="W1278" s="5">
        <v>1079.97</v>
      </c>
      <c r="X1278" s="3">
        <v>741.01</v>
      </c>
      <c r="Y1278" s="3">
        <v>317.58</v>
      </c>
    </row>
    <row r="1279" spans="1:25" ht="49.5" hidden="1" x14ac:dyDescent="0.35">
      <c r="A1279" s="3" t="s">
        <v>26</v>
      </c>
      <c r="B1279" s="3" t="s">
        <v>27</v>
      </c>
      <c r="C1279" s="3" t="s">
        <v>478</v>
      </c>
      <c r="D1279" s="3" t="s">
        <v>75</v>
      </c>
      <c r="E1279" s="3" t="s">
        <v>582</v>
      </c>
      <c r="F1279" s="3" t="s">
        <v>77</v>
      </c>
      <c r="G1279" s="3" t="s">
        <v>582</v>
      </c>
      <c r="H1279" s="3" t="s">
        <v>614</v>
      </c>
      <c r="I1279" s="3">
        <v>2024</v>
      </c>
      <c r="J1279" s="3" t="str">
        <f>CONCATENATE("44811923604")</f>
        <v>44811923604</v>
      </c>
      <c r="K1279" s="3" t="s">
        <v>33</v>
      </c>
      <c r="L1279" s="3" t="str">
        <f t="shared" si="78"/>
        <v/>
      </c>
      <c r="M1279" s="3" t="str">
        <f t="shared" si="81"/>
        <v>SRA30</v>
      </c>
      <c r="N1279" s="3" t="str">
        <f>CONCATENATE("GRRMHL70R14G848H")</f>
        <v>GRRMHL70R14G848H</v>
      </c>
      <c r="O1279" s="3" t="s">
        <v>1887</v>
      </c>
      <c r="P1279" s="3" t="s">
        <v>35</v>
      </c>
      <c r="Q1279" s="3" t="s">
        <v>1762</v>
      </c>
      <c r="R1279" s="4">
        <v>45933</v>
      </c>
      <c r="S1279" s="3" t="s">
        <v>37</v>
      </c>
      <c r="T1279" s="3" t="s">
        <v>38</v>
      </c>
      <c r="U1279" s="3" t="s">
        <v>39</v>
      </c>
      <c r="V1279" s="5">
        <v>3087.36</v>
      </c>
      <c r="W1279" s="5">
        <v>1559.12</v>
      </c>
      <c r="X1279" s="5">
        <v>1069.77</v>
      </c>
      <c r="Y1279" s="3">
        <v>458.47</v>
      </c>
    </row>
    <row r="1280" spans="1:25" ht="41.5" hidden="1" x14ac:dyDescent="0.35">
      <c r="A1280" s="3" t="s">
        <v>26</v>
      </c>
      <c r="B1280" s="3" t="s">
        <v>27</v>
      </c>
      <c r="C1280" s="3" t="s">
        <v>478</v>
      </c>
      <c r="D1280" s="3" t="s">
        <v>61</v>
      </c>
      <c r="E1280" s="3" t="s">
        <v>1888</v>
      </c>
      <c r="F1280" s="3" t="s">
        <v>63</v>
      </c>
      <c r="G1280" s="3" t="s">
        <v>1888</v>
      </c>
      <c r="H1280" s="3" t="s">
        <v>614</v>
      </c>
      <c r="I1280" s="3">
        <v>2024</v>
      </c>
      <c r="J1280" s="3" t="str">
        <f>CONCATENATE("44810775682")</f>
        <v>44810775682</v>
      </c>
      <c r="K1280" s="3" t="s">
        <v>33</v>
      </c>
      <c r="L1280" s="3" t="str">
        <f t="shared" si="78"/>
        <v/>
      </c>
      <c r="M1280" s="3" t="str">
        <f t="shared" si="81"/>
        <v>SRA30</v>
      </c>
      <c r="N1280" s="3" t="str">
        <f>CONCATENATE("QNTDNC48L06F274Q")</f>
        <v>QNTDNC48L06F274Q</v>
      </c>
      <c r="O1280" s="3" t="s">
        <v>1889</v>
      </c>
      <c r="P1280" s="3" t="s">
        <v>35</v>
      </c>
      <c r="Q1280" s="3" t="s">
        <v>1762</v>
      </c>
      <c r="R1280" s="4">
        <v>45933</v>
      </c>
      <c r="S1280" s="3" t="s">
        <v>37</v>
      </c>
      <c r="T1280" s="3" t="s">
        <v>38</v>
      </c>
      <c r="U1280" s="3" t="s">
        <v>39</v>
      </c>
      <c r="V1280" s="5">
        <v>15273.71</v>
      </c>
      <c r="W1280" s="5">
        <v>7713.22</v>
      </c>
      <c r="X1280" s="5">
        <v>5292.34</v>
      </c>
      <c r="Y1280" s="5">
        <v>2268.15</v>
      </c>
    </row>
    <row r="1281" spans="1:25" ht="25.5" hidden="1" x14ac:dyDescent="0.35">
      <c r="A1281" s="3" t="s">
        <v>26</v>
      </c>
      <c r="B1281" s="3" t="s">
        <v>27</v>
      </c>
      <c r="C1281" s="3" t="s">
        <v>478</v>
      </c>
      <c r="D1281" s="3" t="s">
        <v>180</v>
      </c>
      <c r="E1281" s="3" t="s">
        <v>1890</v>
      </c>
      <c r="F1281" s="3" t="s">
        <v>85</v>
      </c>
      <c r="G1281" s="3" t="s">
        <v>1890</v>
      </c>
      <c r="H1281" s="3" t="s">
        <v>614</v>
      </c>
      <c r="I1281" s="3">
        <v>2024</v>
      </c>
      <c r="J1281" s="3" t="str">
        <f>CONCATENATE("44811331717")</f>
        <v>44811331717</v>
      </c>
      <c r="K1281" s="3" t="s">
        <v>33</v>
      </c>
      <c r="L1281" s="3" t="str">
        <f t="shared" si="78"/>
        <v/>
      </c>
      <c r="M1281" s="3" t="str">
        <f t="shared" si="81"/>
        <v>SRA30</v>
      </c>
      <c r="N1281" s="3" t="str">
        <f>CONCATENATE("01843720622")</f>
        <v>01843720622</v>
      </c>
      <c r="O1281" s="3" t="s">
        <v>1891</v>
      </c>
      <c r="P1281" s="3" t="s">
        <v>35</v>
      </c>
      <c r="Q1281" s="3" t="s">
        <v>1762</v>
      </c>
      <c r="R1281" s="4">
        <v>45933</v>
      </c>
      <c r="S1281" s="3" t="s">
        <v>37</v>
      </c>
      <c r="T1281" s="3" t="s">
        <v>38</v>
      </c>
      <c r="U1281" s="3" t="s">
        <v>39</v>
      </c>
      <c r="V1281" s="5">
        <v>40000</v>
      </c>
      <c r="W1281" s="5">
        <v>20200</v>
      </c>
      <c r="X1281" s="5">
        <v>13860</v>
      </c>
      <c r="Y1281" s="5">
        <v>5940</v>
      </c>
    </row>
    <row r="1282" spans="1:25" ht="49.5" hidden="1" x14ac:dyDescent="0.35">
      <c r="A1282" s="3" t="s">
        <v>26</v>
      </c>
      <c r="B1282" s="3" t="s">
        <v>27</v>
      </c>
      <c r="C1282" s="3" t="s">
        <v>478</v>
      </c>
      <c r="D1282" s="3" t="s">
        <v>41</v>
      </c>
      <c r="E1282" s="3" t="s">
        <v>1892</v>
      </c>
      <c r="F1282" s="3" t="s">
        <v>43</v>
      </c>
      <c r="G1282" s="3" t="s">
        <v>1892</v>
      </c>
      <c r="H1282" s="3" t="s">
        <v>614</v>
      </c>
      <c r="I1282" s="3">
        <v>2024</v>
      </c>
      <c r="J1282" s="3" t="str">
        <f>CONCATENATE("44810289130")</f>
        <v>44810289130</v>
      </c>
      <c r="K1282" s="3" t="s">
        <v>33</v>
      </c>
      <c r="L1282" s="3" t="str">
        <f t="shared" si="78"/>
        <v/>
      </c>
      <c r="M1282" s="3" t="str">
        <f t="shared" si="81"/>
        <v>SRA30</v>
      </c>
      <c r="N1282" s="3" t="str">
        <f>CONCATENATE("MGVNRC70T22B444O")</f>
        <v>MGVNRC70T22B444O</v>
      </c>
      <c r="O1282" s="3" t="s">
        <v>1893</v>
      </c>
      <c r="P1282" s="3" t="s">
        <v>35</v>
      </c>
      <c r="Q1282" s="3" t="s">
        <v>1762</v>
      </c>
      <c r="R1282" s="4">
        <v>45933</v>
      </c>
      <c r="S1282" s="3" t="s">
        <v>37</v>
      </c>
      <c r="T1282" s="3" t="s">
        <v>38</v>
      </c>
      <c r="U1282" s="3" t="s">
        <v>39</v>
      </c>
      <c r="V1282" s="5">
        <v>9265.58</v>
      </c>
      <c r="W1282" s="5">
        <v>4679.12</v>
      </c>
      <c r="X1282" s="5">
        <v>3210.52</v>
      </c>
      <c r="Y1282" s="5">
        <v>1375.94</v>
      </c>
    </row>
    <row r="1283" spans="1:25" ht="41.5" hidden="1" x14ac:dyDescent="0.35">
      <c r="A1283" s="3" t="s">
        <v>26</v>
      </c>
      <c r="B1283" s="3" t="s">
        <v>27</v>
      </c>
      <c r="C1283" s="3" t="s">
        <v>478</v>
      </c>
      <c r="D1283" s="3" t="s">
        <v>75</v>
      </c>
      <c r="E1283" s="3" t="s">
        <v>582</v>
      </c>
      <c r="F1283" s="3" t="s">
        <v>77</v>
      </c>
      <c r="G1283" s="3" t="s">
        <v>582</v>
      </c>
      <c r="H1283" s="3" t="s">
        <v>614</v>
      </c>
      <c r="I1283" s="3">
        <v>2024</v>
      </c>
      <c r="J1283" s="3" t="str">
        <f>CONCATENATE("44811923547")</f>
        <v>44811923547</v>
      </c>
      <c r="K1283" s="3" t="s">
        <v>33</v>
      </c>
      <c r="L1283" s="3" t="str">
        <f t="shared" si="78"/>
        <v/>
      </c>
      <c r="M1283" s="3" t="str">
        <f t="shared" si="81"/>
        <v>SRA30</v>
      </c>
      <c r="N1283" s="3" t="str">
        <f>CONCATENATE("PPCMVL81C51Z129E")</f>
        <v>PPCMVL81C51Z129E</v>
      </c>
      <c r="O1283" s="3" t="s">
        <v>1894</v>
      </c>
      <c r="P1283" s="3" t="s">
        <v>35</v>
      </c>
      <c r="Q1283" s="3" t="s">
        <v>1762</v>
      </c>
      <c r="R1283" s="4">
        <v>45933</v>
      </c>
      <c r="S1283" s="3" t="s">
        <v>37</v>
      </c>
      <c r="T1283" s="3" t="s">
        <v>38</v>
      </c>
      <c r="U1283" s="3" t="s">
        <v>39</v>
      </c>
      <c r="V1283" s="5">
        <v>17545.57</v>
      </c>
      <c r="W1283" s="5">
        <v>8860.51</v>
      </c>
      <c r="X1283" s="5">
        <v>6079.54</v>
      </c>
      <c r="Y1283" s="5">
        <v>2605.52</v>
      </c>
    </row>
    <row r="1284" spans="1:25" ht="41.5" hidden="1" x14ac:dyDescent="0.35">
      <c r="A1284" s="3" t="s">
        <v>26</v>
      </c>
      <c r="B1284" s="3" t="s">
        <v>27</v>
      </c>
      <c r="C1284" s="3" t="s">
        <v>478</v>
      </c>
      <c r="D1284" s="3" t="s">
        <v>234</v>
      </c>
      <c r="E1284" s="3" t="s">
        <v>120</v>
      </c>
      <c r="F1284" s="3" t="s">
        <v>119</v>
      </c>
      <c r="G1284" s="3" t="s">
        <v>120</v>
      </c>
      <c r="H1284" s="3" t="s">
        <v>614</v>
      </c>
      <c r="I1284" s="3">
        <v>2024</v>
      </c>
      <c r="J1284" s="3" t="str">
        <f>CONCATENATE("44811336005")</f>
        <v>44811336005</v>
      </c>
      <c r="K1284" s="3" t="s">
        <v>33</v>
      </c>
      <c r="L1284" s="3" t="str">
        <f t="shared" ref="L1284:L1347" si="82">CONCATENATE("")</f>
        <v/>
      </c>
      <c r="M1284" s="3" t="str">
        <f t="shared" si="81"/>
        <v>SRA30</v>
      </c>
      <c r="N1284" s="3" t="str">
        <f>CONCATENATE("PRNGNN00D05C525A")</f>
        <v>PRNGNN00D05C525A</v>
      </c>
      <c r="O1284" s="3" t="s">
        <v>1895</v>
      </c>
      <c r="P1284" s="3" t="s">
        <v>35</v>
      </c>
      <c r="Q1284" s="3" t="s">
        <v>1762</v>
      </c>
      <c r="R1284" s="4">
        <v>45933</v>
      </c>
      <c r="S1284" s="3" t="s">
        <v>37</v>
      </c>
      <c r="T1284" s="3" t="s">
        <v>38</v>
      </c>
      <c r="U1284" s="3" t="s">
        <v>39</v>
      </c>
      <c r="V1284" s="5">
        <v>10987.59</v>
      </c>
      <c r="W1284" s="5">
        <v>5548.73</v>
      </c>
      <c r="X1284" s="5">
        <v>3807.2</v>
      </c>
      <c r="Y1284" s="5">
        <v>1631.66</v>
      </c>
    </row>
    <row r="1285" spans="1:25" ht="41.5" hidden="1" x14ac:dyDescent="0.35">
      <c r="A1285" s="3" t="s">
        <v>26</v>
      </c>
      <c r="B1285" s="3" t="s">
        <v>27</v>
      </c>
      <c r="C1285" s="3" t="s">
        <v>478</v>
      </c>
      <c r="D1285" s="3" t="s">
        <v>41</v>
      </c>
      <c r="E1285" s="3" t="s">
        <v>1457</v>
      </c>
      <c r="F1285" s="3" t="s">
        <v>43</v>
      </c>
      <c r="G1285" s="3" t="s">
        <v>1457</v>
      </c>
      <c r="H1285" s="3" t="s">
        <v>614</v>
      </c>
      <c r="I1285" s="3">
        <v>2024</v>
      </c>
      <c r="J1285" s="3" t="str">
        <f>CONCATENATE("44810660249")</f>
        <v>44810660249</v>
      </c>
      <c r="K1285" s="3" t="s">
        <v>33</v>
      </c>
      <c r="L1285" s="3" t="str">
        <f t="shared" si="82"/>
        <v/>
      </c>
      <c r="M1285" s="3" t="str">
        <f t="shared" si="81"/>
        <v>SRA30</v>
      </c>
      <c r="N1285" s="3" t="str">
        <f>CONCATENATE("PRNRNN81B66G596S")</f>
        <v>PRNRNN81B66G596S</v>
      </c>
      <c r="O1285" s="3" t="s">
        <v>1896</v>
      </c>
      <c r="P1285" s="3" t="s">
        <v>35</v>
      </c>
      <c r="Q1285" s="3" t="s">
        <v>1762</v>
      </c>
      <c r="R1285" s="4">
        <v>45933</v>
      </c>
      <c r="S1285" s="3" t="s">
        <v>37</v>
      </c>
      <c r="T1285" s="3" t="s">
        <v>38</v>
      </c>
      <c r="U1285" s="3" t="s">
        <v>39</v>
      </c>
      <c r="V1285" s="5">
        <v>12425.89</v>
      </c>
      <c r="W1285" s="5">
        <v>6275.07</v>
      </c>
      <c r="X1285" s="5">
        <v>4305.57</v>
      </c>
      <c r="Y1285" s="5">
        <v>1845.25</v>
      </c>
    </row>
    <row r="1286" spans="1:25" ht="41.5" hidden="1" x14ac:dyDescent="0.35">
      <c r="A1286" s="3" t="s">
        <v>26</v>
      </c>
      <c r="B1286" s="3" t="s">
        <v>27</v>
      </c>
      <c r="C1286" s="3" t="s">
        <v>478</v>
      </c>
      <c r="D1286" s="3" t="s">
        <v>75</v>
      </c>
      <c r="E1286" s="3" t="s">
        <v>1082</v>
      </c>
      <c r="F1286" s="3" t="s">
        <v>77</v>
      </c>
      <c r="G1286" s="3" t="s">
        <v>1082</v>
      </c>
      <c r="H1286" s="3" t="s">
        <v>614</v>
      </c>
      <c r="I1286" s="3">
        <v>2024</v>
      </c>
      <c r="J1286" s="3" t="str">
        <f>CONCATENATE("44810678902")</f>
        <v>44810678902</v>
      </c>
      <c r="K1286" s="3" t="s">
        <v>33</v>
      </c>
      <c r="L1286" s="3" t="str">
        <f t="shared" si="82"/>
        <v/>
      </c>
      <c r="M1286" s="3" t="str">
        <f t="shared" si="81"/>
        <v>SRA30</v>
      </c>
      <c r="N1286" s="3" t="str">
        <f>CONCATENATE("PSQNTN65R10C284R")</f>
        <v>PSQNTN65R10C284R</v>
      </c>
      <c r="O1286" s="3" t="s">
        <v>1897</v>
      </c>
      <c r="P1286" s="3" t="s">
        <v>35</v>
      </c>
      <c r="Q1286" s="3" t="s">
        <v>1762</v>
      </c>
      <c r="R1286" s="4">
        <v>45933</v>
      </c>
      <c r="S1286" s="3" t="s">
        <v>37</v>
      </c>
      <c r="T1286" s="3" t="s">
        <v>38</v>
      </c>
      <c r="U1286" s="3" t="s">
        <v>39</v>
      </c>
      <c r="V1286" s="3">
        <v>259.49</v>
      </c>
      <c r="W1286" s="3">
        <v>131.04</v>
      </c>
      <c r="X1286" s="3">
        <v>89.91</v>
      </c>
      <c r="Y1286" s="3">
        <v>38.54</v>
      </c>
    </row>
    <row r="1287" spans="1:25" ht="41.5" hidden="1" x14ac:dyDescent="0.35">
      <c r="A1287" s="3" t="s">
        <v>26</v>
      </c>
      <c r="B1287" s="3" t="s">
        <v>27</v>
      </c>
      <c r="C1287" s="3" t="s">
        <v>478</v>
      </c>
      <c r="D1287" s="3" t="s">
        <v>234</v>
      </c>
      <c r="E1287" s="3" t="s">
        <v>120</v>
      </c>
      <c r="F1287" s="3" t="s">
        <v>119</v>
      </c>
      <c r="G1287" s="3" t="s">
        <v>120</v>
      </c>
      <c r="H1287" s="3" t="s">
        <v>614</v>
      </c>
      <c r="I1287" s="3">
        <v>2024</v>
      </c>
      <c r="J1287" s="3" t="str">
        <f>CONCATENATE("44811110954")</f>
        <v>44811110954</v>
      </c>
      <c r="K1287" s="3" t="s">
        <v>33</v>
      </c>
      <c r="L1287" s="3" t="str">
        <f t="shared" si="82"/>
        <v/>
      </c>
      <c r="M1287" s="3" t="str">
        <f t="shared" si="81"/>
        <v>SRA30</v>
      </c>
      <c r="N1287" s="3" t="str">
        <f>CONCATENATE("RSSMLB55A67C719I")</f>
        <v>RSSMLB55A67C719I</v>
      </c>
      <c r="O1287" s="3" t="s">
        <v>1898</v>
      </c>
      <c r="P1287" s="3" t="s">
        <v>35</v>
      </c>
      <c r="Q1287" s="3" t="s">
        <v>1762</v>
      </c>
      <c r="R1287" s="4">
        <v>45933</v>
      </c>
      <c r="S1287" s="3" t="s">
        <v>37</v>
      </c>
      <c r="T1287" s="3" t="s">
        <v>38</v>
      </c>
      <c r="U1287" s="3" t="s">
        <v>39</v>
      </c>
      <c r="V1287" s="5">
        <v>3081.65</v>
      </c>
      <c r="W1287" s="5">
        <v>1556.23</v>
      </c>
      <c r="X1287" s="5">
        <v>1067.79</v>
      </c>
      <c r="Y1287" s="3">
        <v>457.63</v>
      </c>
    </row>
    <row r="1288" spans="1:25" ht="41.5" hidden="1" x14ac:dyDescent="0.35">
      <c r="A1288" s="3" t="s">
        <v>26</v>
      </c>
      <c r="B1288" s="3" t="s">
        <v>27</v>
      </c>
      <c r="C1288" s="3" t="s">
        <v>478</v>
      </c>
      <c r="D1288" s="3" t="s">
        <v>41</v>
      </c>
      <c r="E1288" s="3" t="s">
        <v>1899</v>
      </c>
      <c r="F1288" s="3" t="s">
        <v>43</v>
      </c>
      <c r="G1288" s="3" t="s">
        <v>1899</v>
      </c>
      <c r="H1288" s="3" t="s">
        <v>614</v>
      </c>
      <c r="I1288" s="3">
        <v>2024</v>
      </c>
      <c r="J1288" s="3" t="str">
        <f>CONCATENATE("44810396778")</f>
        <v>44810396778</v>
      </c>
      <c r="K1288" s="3" t="s">
        <v>33</v>
      </c>
      <c r="L1288" s="3" t="str">
        <f t="shared" si="82"/>
        <v/>
      </c>
      <c r="M1288" s="3" t="str">
        <f t="shared" si="81"/>
        <v>SRA30</v>
      </c>
      <c r="N1288" s="3" t="str">
        <f>CONCATENATE("RBRNCL69A27C284K")</f>
        <v>RBRNCL69A27C284K</v>
      </c>
      <c r="O1288" s="3" t="s">
        <v>1900</v>
      </c>
      <c r="P1288" s="3" t="s">
        <v>35</v>
      </c>
      <c r="Q1288" s="3" t="s">
        <v>1762</v>
      </c>
      <c r="R1288" s="4">
        <v>45933</v>
      </c>
      <c r="S1288" s="3" t="s">
        <v>37</v>
      </c>
      <c r="T1288" s="3" t="s">
        <v>38</v>
      </c>
      <c r="U1288" s="3" t="s">
        <v>39</v>
      </c>
      <c r="V1288" s="5">
        <v>6090.9</v>
      </c>
      <c r="W1288" s="5">
        <v>3075.9</v>
      </c>
      <c r="X1288" s="5">
        <v>2110.5</v>
      </c>
      <c r="Y1288" s="3">
        <v>904.5</v>
      </c>
    </row>
    <row r="1289" spans="1:25" ht="41.5" hidden="1" x14ac:dyDescent="0.35">
      <c r="A1289" s="3" t="s">
        <v>26</v>
      </c>
      <c r="B1289" s="3" t="s">
        <v>27</v>
      </c>
      <c r="C1289" s="3" t="s">
        <v>478</v>
      </c>
      <c r="D1289" s="3" t="s">
        <v>180</v>
      </c>
      <c r="E1289" s="3" t="s">
        <v>1890</v>
      </c>
      <c r="F1289" s="3" t="s">
        <v>85</v>
      </c>
      <c r="G1289" s="3" t="s">
        <v>1890</v>
      </c>
      <c r="H1289" s="3" t="s">
        <v>614</v>
      </c>
      <c r="I1289" s="3">
        <v>2024</v>
      </c>
      <c r="J1289" s="3" t="str">
        <f>CONCATENATE("44811095015")</f>
        <v>44811095015</v>
      </c>
      <c r="K1289" s="3" t="s">
        <v>33</v>
      </c>
      <c r="L1289" s="3" t="str">
        <f t="shared" si="82"/>
        <v/>
      </c>
      <c r="M1289" s="3" t="str">
        <f t="shared" si="81"/>
        <v>SRA30</v>
      </c>
      <c r="N1289" s="3" t="str">
        <f>CONCATENATE("SPNNTN92E23E456F")</f>
        <v>SPNNTN92E23E456F</v>
      </c>
      <c r="O1289" s="3" t="s">
        <v>1901</v>
      </c>
      <c r="P1289" s="3" t="s">
        <v>35</v>
      </c>
      <c r="Q1289" s="3" t="s">
        <v>1762</v>
      </c>
      <c r="R1289" s="4">
        <v>45933</v>
      </c>
      <c r="S1289" s="3" t="s">
        <v>37</v>
      </c>
      <c r="T1289" s="3" t="s">
        <v>38</v>
      </c>
      <c r="U1289" s="3" t="s">
        <v>39</v>
      </c>
      <c r="V1289" s="5">
        <v>3093.9</v>
      </c>
      <c r="W1289" s="5">
        <v>1562.42</v>
      </c>
      <c r="X1289" s="5">
        <v>1072.04</v>
      </c>
      <c r="Y1289" s="3">
        <v>459.44</v>
      </c>
    </row>
    <row r="1290" spans="1:25" ht="41.5" hidden="1" x14ac:dyDescent="0.35">
      <c r="A1290" s="3" t="s">
        <v>26</v>
      </c>
      <c r="B1290" s="3" t="s">
        <v>27</v>
      </c>
      <c r="C1290" s="3" t="s">
        <v>478</v>
      </c>
      <c r="D1290" s="3" t="s">
        <v>234</v>
      </c>
      <c r="E1290" s="3" t="s">
        <v>120</v>
      </c>
      <c r="F1290" s="3" t="s">
        <v>119</v>
      </c>
      <c r="G1290" s="3" t="s">
        <v>120</v>
      </c>
      <c r="H1290" s="3" t="s">
        <v>614</v>
      </c>
      <c r="I1290" s="3">
        <v>2024</v>
      </c>
      <c r="J1290" s="3" t="str">
        <f>CONCATENATE("44811479276")</f>
        <v>44811479276</v>
      </c>
      <c r="K1290" s="3" t="s">
        <v>33</v>
      </c>
      <c r="L1290" s="3" t="str">
        <f t="shared" si="82"/>
        <v/>
      </c>
      <c r="M1290" s="3" t="str">
        <f t="shared" si="81"/>
        <v>SRA30</v>
      </c>
      <c r="N1290" s="3" t="str">
        <f>CONCATENATE("TRRGRL67T14L086P")</f>
        <v>TRRGRL67T14L086P</v>
      </c>
      <c r="O1290" s="3" t="s">
        <v>1902</v>
      </c>
      <c r="P1290" s="3" t="s">
        <v>35</v>
      </c>
      <c r="Q1290" s="3" t="s">
        <v>1762</v>
      </c>
      <c r="R1290" s="4">
        <v>45933</v>
      </c>
      <c r="S1290" s="3" t="s">
        <v>37</v>
      </c>
      <c r="T1290" s="3" t="s">
        <v>38</v>
      </c>
      <c r="U1290" s="3" t="s">
        <v>39</v>
      </c>
      <c r="V1290" s="5">
        <v>9594.0400000000009</v>
      </c>
      <c r="W1290" s="5">
        <v>4844.99</v>
      </c>
      <c r="X1290" s="5">
        <v>3324.33</v>
      </c>
      <c r="Y1290" s="5">
        <v>1424.72</v>
      </c>
    </row>
    <row r="1291" spans="1:25" ht="49.5" hidden="1" x14ac:dyDescent="0.35">
      <c r="A1291" s="3" t="s">
        <v>26</v>
      </c>
      <c r="B1291" s="3" t="s">
        <v>27</v>
      </c>
      <c r="C1291" s="3" t="s">
        <v>478</v>
      </c>
      <c r="D1291" s="3" t="s">
        <v>75</v>
      </c>
      <c r="E1291" s="3" t="s">
        <v>582</v>
      </c>
      <c r="F1291" s="3" t="s">
        <v>77</v>
      </c>
      <c r="G1291" s="3" t="s">
        <v>582</v>
      </c>
      <c r="H1291" s="3" t="s">
        <v>614</v>
      </c>
      <c r="I1291" s="3">
        <v>2024</v>
      </c>
      <c r="J1291" s="3" t="str">
        <f>CONCATENATE("44811108560")</f>
        <v>44811108560</v>
      </c>
      <c r="K1291" s="3" t="s">
        <v>33</v>
      </c>
      <c r="L1291" s="3" t="str">
        <f t="shared" si="82"/>
        <v/>
      </c>
      <c r="M1291" s="3" t="str">
        <f t="shared" si="81"/>
        <v>SRA30</v>
      </c>
      <c r="N1291" s="3" t="str">
        <f>CONCATENATE("TRNMLE99H01A783U")</f>
        <v>TRNMLE99H01A783U</v>
      </c>
      <c r="O1291" s="3" t="s">
        <v>1903</v>
      </c>
      <c r="P1291" s="3" t="s">
        <v>35</v>
      </c>
      <c r="Q1291" s="3" t="s">
        <v>1762</v>
      </c>
      <c r="R1291" s="4">
        <v>45933</v>
      </c>
      <c r="S1291" s="3" t="s">
        <v>37</v>
      </c>
      <c r="T1291" s="3" t="s">
        <v>38</v>
      </c>
      <c r="U1291" s="3" t="s">
        <v>39</v>
      </c>
      <c r="V1291" s="5">
        <v>10076.42</v>
      </c>
      <c r="W1291" s="5">
        <v>5088.59</v>
      </c>
      <c r="X1291" s="5">
        <v>3491.48</v>
      </c>
      <c r="Y1291" s="5">
        <v>1496.35</v>
      </c>
    </row>
    <row r="1292" spans="1:25" ht="49.5" hidden="1" x14ac:dyDescent="0.35">
      <c r="A1292" s="3" t="s">
        <v>26</v>
      </c>
      <c r="B1292" s="3" t="s">
        <v>27</v>
      </c>
      <c r="C1292" s="3" t="s">
        <v>478</v>
      </c>
      <c r="D1292" s="3" t="s">
        <v>75</v>
      </c>
      <c r="E1292" s="3" t="s">
        <v>582</v>
      </c>
      <c r="F1292" s="3" t="s">
        <v>77</v>
      </c>
      <c r="G1292" s="3" t="s">
        <v>582</v>
      </c>
      <c r="H1292" s="3" t="s">
        <v>614</v>
      </c>
      <c r="I1292" s="3">
        <v>2024</v>
      </c>
      <c r="J1292" s="3" t="str">
        <f>CONCATENATE("44811517752")</f>
        <v>44811517752</v>
      </c>
      <c r="K1292" s="3" t="s">
        <v>33</v>
      </c>
      <c r="L1292" s="3" t="str">
        <f t="shared" si="82"/>
        <v/>
      </c>
      <c r="M1292" s="3" t="str">
        <f t="shared" si="81"/>
        <v>SRA30</v>
      </c>
      <c r="N1292" s="3" t="str">
        <f>CONCATENATE("TRTTZN85B63A783N")</f>
        <v>TRTTZN85B63A783N</v>
      </c>
      <c r="O1292" s="3" t="s">
        <v>1904</v>
      </c>
      <c r="P1292" s="3" t="s">
        <v>35</v>
      </c>
      <c r="Q1292" s="3" t="s">
        <v>1762</v>
      </c>
      <c r="R1292" s="4">
        <v>45933</v>
      </c>
      <c r="S1292" s="3" t="s">
        <v>37</v>
      </c>
      <c r="T1292" s="3" t="s">
        <v>38</v>
      </c>
      <c r="U1292" s="3" t="s">
        <v>39</v>
      </c>
      <c r="V1292" s="5">
        <v>4426.3900000000003</v>
      </c>
      <c r="W1292" s="5">
        <v>2235.33</v>
      </c>
      <c r="X1292" s="5">
        <v>1533.74</v>
      </c>
      <c r="Y1292" s="3">
        <v>657.32</v>
      </c>
    </row>
    <row r="1293" spans="1:25" ht="41.5" hidden="1" x14ac:dyDescent="0.35">
      <c r="A1293" s="3" t="s">
        <v>26</v>
      </c>
      <c r="B1293" s="3" t="s">
        <v>27</v>
      </c>
      <c r="C1293" s="3" t="s">
        <v>658</v>
      </c>
      <c r="D1293" s="3" t="s">
        <v>61</v>
      </c>
      <c r="E1293" s="3" t="s">
        <v>1378</v>
      </c>
      <c r="F1293" s="3" t="s">
        <v>63</v>
      </c>
      <c r="G1293" s="3" t="s">
        <v>1378</v>
      </c>
      <c r="H1293" s="3" t="s">
        <v>660</v>
      </c>
      <c r="I1293" s="3">
        <v>2024</v>
      </c>
      <c r="J1293" s="3" t="str">
        <f>CONCATENATE("44810877967")</f>
        <v>44810877967</v>
      </c>
      <c r="K1293" s="3" t="s">
        <v>33</v>
      </c>
      <c r="L1293" s="3" t="str">
        <f t="shared" si="82"/>
        <v/>
      </c>
      <c r="M1293" s="3" t="str">
        <f>CONCATENATE("SRA29")</f>
        <v>SRA29</v>
      </c>
      <c r="N1293" s="3" t="str">
        <f>CONCATENATE("CHMGNN78B07A326F")</f>
        <v>CHMGNN78B07A326F</v>
      </c>
      <c r="O1293" s="3" t="s">
        <v>1905</v>
      </c>
      <c r="P1293" s="3" t="s">
        <v>35</v>
      </c>
      <c r="Q1293" s="3" t="s">
        <v>1786</v>
      </c>
      <c r="R1293" s="4">
        <v>45926</v>
      </c>
      <c r="S1293" s="3" t="s">
        <v>37</v>
      </c>
      <c r="T1293" s="3" t="s">
        <v>38</v>
      </c>
      <c r="U1293" s="3" t="s">
        <v>39</v>
      </c>
      <c r="V1293" s="5">
        <v>10040.02</v>
      </c>
      <c r="W1293" s="5">
        <v>4086.29</v>
      </c>
      <c r="X1293" s="5">
        <v>4167.6099999999997</v>
      </c>
      <c r="Y1293" s="5">
        <v>1786.12</v>
      </c>
    </row>
    <row r="1294" spans="1:25" ht="49.5" hidden="1" x14ac:dyDescent="0.35">
      <c r="A1294" s="3" t="s">
        <v>26</v>
      </c>
      <c r="B1294" s="3" t="s">
        <v>27</v>
      </c>
      <c r="C1294" s="3" t="s">
        <v>658</v>
      </c>
      <c r="D1294" s="3" t="s">
        <v>41</v>
      </c>
      <c r="E1294" s="3" t="s">
        <v>659</v>
      </c>
      <c r="F1294" s="3" t="s">
        <v>43</v>
      </c>
      <c r="G1294" s="3" t="s">
        <v>659</v>
      </c>
      <c r="H1294" s="3" t="s">
        <v>660</v>
      </c>
      <c r="I1294" s="3">
        <v>2024</v>
      </c>
      <c r="J1294" s="3" t="str">
        <f>CONCATENATE("44811320413")</f>
        <v>44811320413</v>
      </c>
      <c r="K1294" s="3" t="s">
        <v>33</v>
      </c>
      <c r="L1294" s="3" t="str">
        <f t="shared" si="82"/>
        <v/>
      </c>
      <c r="M1294" s="3" t="str">
        <f>CONCATENATE("SRA29")</f>
        <v>SRA29</v>
      </c>
      <c r="N1294" s="3" t="str">
        <f>CONCATENATE("GSPMND69E44A326L")</f>
        <v>GSPMND69E44A326L</v>
      </c>
      <c r="O1294" s="3" t="s">
        <v>1906</v>
      </c>
      <c r="P1294" s="3" t="s">
        <v>35</v>
      </c>
      <c r="Q1294" s="3" t="s">
        <v>1786</v>
      </c>
      <c r="R1294" s="4">
        <v>45926</v>
      </c>
      <c r="S1294" s="3" t="s">
        <v>37</v>
      </c>
      <c r="T1294" s="3" t="s">
        <v>38</v>
      </c>
      <c r="U1294" s="3" t="s">
        <v>39</v>
      </c>
      <c r="V1294" s="5">
        <v>2943.5</v>
      </c>
      <c r="W1294" s="5">
        <v>1198</v>
      </c>
      <c r="X1294" s="5">
        <v>1221.8499999999999</v>
      </c>
      <c r="Y1294" s="3">
        <v>523.65</v>
      </c>
    </row>
    <row r="1295" spans="1:25" ht="41.5" hidden="1" x14ac:dyDescent="0.35">
      <c r="A1295" s="3" t="s">
        <v>26</v>
      </c>
      <c r="B1295" s="3" t="s">
        <v>27</v>
      </c>
      <c r="C1295" s="3" t="s">
        <v>658</v>
      </c>
      <c r="D1295" s="3" t="s">
        <v>29</v>
      </c>
      <c r="E1295" s="3" t="s">
        <v>965</v>
      </c>
      <c r="F1295" s="3" t="s">
        <v>31</v>
      </c>
      <c r="G1295" s="3" t="s">
        <v>965</v>
      </c>
      <c r="H1295" s="3" t="s">
        <v>660</v>
      </c>
      <c r="I1295" s="3">
        <v>2024</v>
      </c>
      <c r="J1295" s="3" t="str">
        <f>CONCATENATE("44810917698")</f>
        <v>44810917698</v>
      </c>
      <c r="K1295" s="3" t="s">
        <v>33</v>
      </c>
      <c r="L1295" s="3" t="str">
        <f t="shared" si="82"/>
        <v/>
      </c>
      <c r="M1295" s="3" t="str">
        <f>CONCATENATE("SRA29")</f>
        <v>SRA29</v>
      </c>
      <c r="N1295" s="3" t="str">
        <f>CONCATENATE("JNTBRN62P25C821Y")</f>
        <v>JNTBRN62P25C821Y</v>
      </c>
      <c r="O1295" s="3" t="s">
        <v>1907</v>
      </c>
      <c r="P1295" s="3" t="s">
        <v>35</v>
      </c>
      <c r="Q1295" s="3" t="s">
        <v>1786</v>
      </c>
      <c r="R1295" s="4">
        <v>45926</v>
      </c>
      <c r="S1295" s="3" t="s">
        <v>37</v>
      </c>
      <c r="T1295" s="3" t="s">
        <v>38</v>
      </c>
      <c r="U1295" s="3" t="s">
        <v>39</v>
      </c>
      <c r="V1295" s="5">
        <v>12153.6</v>
      </c>
      <c r="W1295" s="5">
        <v>4946.5200000000004</v>
      </c>
      <c r="X1295" s="5">
        <v>5044.96</v>
      </c>
      <c r="Y1295" s="5">
        <v>2162.12</v>
      </c>
    </row>
    <row r="1296" spans="1:25" ht="41.5" hidden="1" x14ac:dyDescent="0.35">
      <c r="A1296" s="3" t="s">
        <v>26</v>
      </c>
      <c r="B1296" s="3" t="s">
        <v>27</v>
      </c>
      <c r="C1296" s="3" t="s">
        <v>451</v>
      </c>
      <c r="D1296" s="3" t="s">
        <v>41</v>
      </c>
      <c r="E1296" s="3" t="s">
        <v>785</v>
      </c>
      <c r="F1296" s="3" t="s">
        <v>43</v>
      </c>
      <c r="G1296" s="3" t="s">
        <v>785</v>
      </c>
      <c r="H1296" s="3" t="s">
        <v>453</v>
      </c>
      <c r="I1296" s="3">
        <v>2023</v>
      </c>
      <c r="J1296" s="3" t="str">
        <f>CONCATENATE("34810558949")</f>
        <v>34810558949</v>
      </c>
      <c r="K1296" s="3" t="s">
        <v>33</v>
      </c>
      <c r="L1296" s="3" t="str">
        <f t="shared" si="82"/>
        <v/>
      </c>
      <c r="M1296" s="3" t="str">
        <f>CONCATENATE("SRA01")</f>
        <v>SRA01</v>
      </c>
      <c r="N1296" s="3" t="str">
        <f>CONCATENATE("BCCFBA66B19G478S")</f>
        <v>BCCFBA66B19G478S</v>
      </c>
      <c r="O1296" s="3" t="s">
        <v>1908</v>
      </c>
      <c r="P1296" s="3" t="s">
        <v>35</v>
      </c>
      <c r="Q1296" s="3" t="s">
        <v>1909</v>
      </c>
      <c r="R1296" s="4">
        <v>45917</v>
      </c>
      <c r="S1296" s="3" t="s">
        <v>37</v>
      </c>
      <c r="T1296" s="3" t="s">
        <v>38</v>
      </c>
      <c r="U1296" s="3" t="s">
        <v>39</v>
      </c>
      <c r="V1296" s="5">
        <v>1565.63</v>
      </c>
      <c r="W1296" s="3">
        <v>665.39</v>
      </c>
      <c r="X1296" s="3">
        <v>630.16999999999996</v>
      </c>
      <c r="Y1296" s="3">
        <v>270.07</v>
      </c>
    </row>
    <row r="1297" spans="1:25" ht="25.5" hidden="1" x14ac:dyDescent="0.35">
      <c r="A1297" s="3" t="s">
        <v>26</v>
      </c>
      <c r="B1297" s="3" t="s">
        <v>27</v>
      </c>
      <c r="C1297" s="3" t="s">
        <v>90</v>
      </c>
      <c r="D1297" s="3" t="s">
        <v>29</v>
      </c>
      <c r="E1297" s="3" t="s">
        <v>292</v>
      </c>
      <c r="F1297" s="3" t="s">
        <v>31</v>
      </c>
      <c r="G1297" s="3" t="s">
        <v>292</v>
      </c>
      <c r="H1297" s="3" t="s">
        <v>212</v>
      </c>
      <c r="I1297" s="3">
        <v>2024</v>
      </c>
      <c r="J1297" s="3" t="str">
        <f>CONCATENATE("44810789550")</f>
        <v>44810789550</v>
      </c>
      <c r="K1297" s="3" t="s">
        <v>33</v>
      </c>
      <c r="L1297" s="3" t="str">
        <f t="shared" si="82"/>
        <v/>
      </c>
      <c r="M1297" s="3" t="str">
        <f>CONCATENATE("SRA29")</f>
        <v>SRA29</v>
      </c>
      <c r="N1297" s="3" t="str">
        <f>CONCATENATE("02095310856")</f>
        <v>02095310856</v>
      </c>
      <c r="O1297" s="3" t="s">
        <v>1910</v>
      </c>
      <c r="P1297" s="3" t="s">
        <v>35</v>
      </c>
      <c r="Q1297" s="3" t="s">
        <v>1790</v>
      </c>
      <c r="R1297" s="4">
        <v>45932</v>
      </c>
      <c r="S1297" s="3" t="s">
        <v>37</v>
      </c>
      <c r="T1297" s="3" t="s">
        <v>38</v>
      </c>
      <c r="U1297" s="3" t="s">
        <v>39</v>
      </c>
      <c r="V1297" s="5">
        <v>2545.9299999999998</v>
      </c>
      <c r="W1297" s="5">
        <v>1285.69</v>
      </c>
      <c r="X1297" s="3">
        <v>882.16</v>
      </c>
      <c r="Y1297" s="3">
        <v>378.08</v>
      </c>
    </row>
    <row r="1298" spans="1:25" ht="25.5" hidden="1" x14ac:dyDescent="0.35">
      <c r="A1298" s="3" t="s">
        <v>26</v>
      </c>
      <c r="B1298" s="3" t="s">
        <v>27</v>
      </c>
      <c r="C1298" s="3" t="s">
        <v>90</v>
      </c>
      <c r="D1298" s="3" t="s">
        <v>29</v>
      </c>
      <c r="E1298" s="3" t="s">
        <v>292</v>
      </c>
      <c r="F1298" s="3" t="s">
        <v>31</v>
      </c>
      <c r="G1298" s="3" t="s">
        <v>292</v>
      </c>
      <c r="H1298" s="3" t="s">
        <v>212</v>
      </c>
      <c r="I1298" s="3">
        <v>2024</v>
      </c>
      <c r="J1298" s="3" t="str">
        <f>CONCATENATE("44811196771")</f>
        <v>44811196771</v>
      </c>
      <c r="K1298" s="3" t="s">
        <v>33</v>
      </c>
      <c r="L1298" s="3" t="str">
        <f t="shared" si="82"/>
        <v/>
      </c>
      <c r="M1298" s="3" t="str">
        <f>CONCATENATE("SRA29")</f>
        <v>SRA29</v>
      </c>
      <c r="N1298" s="3" t="str">
        <f>CONCATENATE("01996910855")</f>
        <v>01996910855</v>
      </c>
      <c r="O1298" s="3" t="s">
        <v>1911</v>
      </c>
      <c r="P1298" s="3" t="s">
        <v>35</v>
      </c>
      <c r="Q1298" s="3" t="s">
        <v>1790</v>
      </c>
      <c r="R1298" s="4">
        <v>45932</v>
      </c>
      <c r="S1298" s="3" t="s">
        <v>37</v>
      </c>
      <c r="T1298" s="3" t="s">
        <v>38</v>
      </c>
      <c r="U1298" s="3" t="s">
        <v>39</v>
      </c>
      <c r="V1298" s="5">
        <v>11833.86</v>
      </c>
      <c r="W1298" s="5">
        <v>5976.1</v>
      </c>
      <c r="X1298" s="5">
        <v>4100.43</v>
      </c>
      <c r="Y1298" s="5">
        <v>1757.33</v>
      </c>
    </row>
    <row r="1299" spans="1:25" ht="41.5" hidden="1" x14ac:dyDescent="0.35">
      <c r="A1299" s="3" t="s">
        <v>26</v>
      </c>
      <c r="B1299" s="3" t="s">
        <v>27</v>
      </c>
      <c r="C1299" s="3" t="s">
        <v>478</v>
      </c>
      <c r="D1299" s="3" t="s">
        <v>75</v>
      </c>
      <c r="E1299" s="3" t="s">
        <v>582</v>
      </c>
      <c r="F1299" s="3" t="s">
        <v>77</v>
      </c>
      <c r="G1299" s="3" t="s">
        <v>582</v>
      </c>
      <c r="H1299" s="3" t="s">
        <v>484</v>
      </c>
      <c r="I1299" s="3">
        <v>2024</v>
      </c>
      <c r="J1299" s="3" t="str">
        <f>CONCATENATE("44811106135")</f>
        <v>44811106135</v>
      </c>
      <c r="K1299" s="3" t="s">
        <v>33</v>
      </c>
      <c r="L1299" s="3" t="str">
        <f t="shared" si="82"/>
        <v/>
      </c>
      <c r="M1299" s="3" t="str">
        <f>CONCATENATE("SRA03")</f>
        <v>SRA03</v>
      </c>
      <c r="N1299" s="3" t="str">
        <f>CONCATENATE("CSRCML79T53I197S")</f>
        <v>CSRCML79T53I197S</v>
      </c>
      <c r="O1299" s="3" t="s">
        <v>1912</v>
      </c>
      <c r="P1299" s="3" t="s">
        <v>35</v>
      </c>
      <c r="Q1299" s="3" t="s">
        <v>1913</v>
      </c>
      <c r="R1299" s="4">
        <v>45917</v>
      </c>
      <c r="S1299" s="3" t="s">
        <v>37</v>
      </c>
      <c r="T1299" s="3" t="s">
        <v>38</v>
      </c>
      <c r="U1299" s="3" t="s">
        <v>39</v>
      </c>
      <c r="V1299" s="5">
        <v>3116.44</v>
      </c>
      <c r="W1299" s="5">
        <v>1573.8</v>
      </c>
      <c r="X1299" s="5">
        <v>1079.8499999999999</v>
      </c>
      <c r="Y1299" s="3">
        <v>462.79</v>
      </c>
    </row>
    <row r="1300" spans="1:25" ht="41.5" hidden="1" x14ac:dyDescent="0.35">
      <c r="A1300" s="3" t="s">
        <v>26</v>
      </c>
      <c r="B1300" s="3" t="s">
        <v>27</v>
      </c>
      <c r="C1300" s="3" t="s">
        <v>470</v>
      </c>
      <c r="D1300" s="3" t="s">
        <v>41</v>
      </c>
      <c r="E1300" s="3" t="s">
        <v>1914</v>
      </c>
      <c r="F1300" s="3" t="s">
        <v>43</v>
      </c>
      <c r="G1300" s="3" t="s">
        <v>1914</v>
      </c>
      <c r="H1300" s="3" t="s">
        <v>472</v>
      </c>
      <c r="I1300" s="3">
        <v>2024</v>
      </c>
      <c r="J1300" s="3" t="str">
        <f>CONCATENATE("44810602290")</f>
        <v>44810602290</v>
      </c>
      <c r="K1300" s="3" t="s">
        <v>33</v>
      </c>
      <c r="L1300" s="3" t="str">
        <f t="shared" si="82"/>
        <v/>
      </c>
      <c r="M1300" s="3" t="str">
        <f t="shared" ref="M1300:M1307" si="83">CONCATENATE("SRA29")</f>
        <v>SRA29</v>
      </c>
      <c r="N1300" s="3" t="str">
        <f>CONCATENATE("BSSNTN68D04F104T")</f>
        <v>BSSNTN68D04F104T</v>
      </c>
      <c r="O1300" s="3" t="s">
        <v>1915</v>
      </c>
      <c r="P1300" s="3" t="s">
        <v>35</v>
      </c>
      <c r="Q1300" s="3" t="s">
        <v>1793</v>
      </c>
      <c r="R1300" s="4">
        <v>45916</v>
      </c>
      <c r="S1300" s="3" t="s">
        <v>37</v>
      </c>
      <c r="T1300" s="3" t="s">
        <v>38</v>
      </c>
      <c r="U1300" s="3" t="s">
        <v>39</v>
      </c>
      <c r="V1300" s="5">
        <v>1182.45</v>
      </c>
      <c r="W1300" s="3">
        <v>597.14</v>
      </c>
      <c r="X1300" s="3">
        <v>409.72</v>
      </c>
      <c r="Y1300" s="3">
        <v>175.59</v>
      </c>
    </row>
    <row r="1301" spans="1:25" ht="41.5" hidden="1" x14ac:dyDescent="0.35">
      <c r="A1301" s="3" t="s">
        <v>26</v>
      </c>
      <c r="B1301" s="3" t="s">
        <v>27</v>
      </c>
      <c r="C1301" s="3" t="s">
        <v>470</v>
      </c>
      <c r="D1301" s="3" t="s">
        <v>41</v>
      </c>
      <c r="E1301" s="3" t="s">
        <v>1501</v>
      </c>
      <c r="F1301" s="3" t="s">
        <v>43</v>
      </c>
      <c r="G1301" s="3" t="s">
        <v>1501</v>
      </c>
      <c r="H1301" s="3" t="s">
        <v>472</v>
      </c>
      <c r="I1301" s="3">
        <v>2024</v>
      </c>
      <c r="J1301" s="3" t="str">
        <f>CONCATENATE("44810498954")</f>
        <v>44810498954</v>
      </c>
      <c r="K1301" s="3" t="s">
        <v>33</v>
      </c>
      <c r="L1301" s="3" t="str">
        <f t="shared" si="82"/>
        <v/>
      </c>
      <c r="M1301" s="3" t="str">
        <f t="shared" si="83"/>
        <v>SRA29</v>
      </c>
      <c r="N1301" s="3" t="str">
        <f>CONCATENATE("BLLMRA57D69H186P")</f>
        <v>BLLMRA57D69H186P</v>
      </c>
      <c r="O1301" s="3" t="s">
        <v>1916</v>
      </c>
      <c r="P1301" s="3" t="s">
        <v>35</v>
      </c>
      <c r="Q1301" s="3" t="s">
        <v>1793</v>
      </c>
      <c r="R1301" s="4">
        <v>45916</v>
      </c>
      <c r="S1301" s="3" t="s">
        <v>37</v>
      </c>
      <c r="T1301" s="3" t="s">
        <v>38</v>
      </c>
      <c r="U1301" s="3" t="s">
        <v>39</v>
      </c>
      <c r="V1301" s="3">
        <v>13.78</v>
      </c>
      <c r="W1301" s="3">
        <v>6.96</v>
      </c>
      <c r="X1301" s="3">
        <v>4.7699999999999996</v>
      </c>
      <c r="Y1301" s="3">
        <v>2.0499999999999998</v>
      </c>
    </row>
    <row r="1302" spans="1:25" ht="41.5" hidden="1" x14ac:dyDescent="0.35">
      <c r="A1302" s="3" t="s">
        <v>26</v>
      </c>
      <c r="B1302" s="3" t="s">
        <v>27</v>
      </c>
      <c r="C1302" s="3" t="s">
        <v>470</v>
      </c>
      <c r="D1302" s="3" t="s">
        <v>41</v>
      </c>
      <c r="E1302" s="3" t="s">
        <v>1412</v>
      </c>
      <c r="F1302" s="3" t="s">
        <v>43</v>
      </c>
      <c r="G1302" s="3" t="s">
        <v>1412</v>
      </c>
      <c r="H1302" s="3" t="s">
        <v>472</v>
      </c>
      <c r="I1302" s="3">
        <v>2024</v>
      </c>
      <c r="J1302" s="3" t="str">
        <f>CONCATENATE("44811440633")</f>
        <v>44811440633</v>
      </c>
      <c r="K1302" s="3" t="s">
        <v>33</v>
      </c>
      <c r="L1302" s="3" t="str">
        <f t="shared" si="82"/>
        <v/>
      </c>
      <c r="M1302" s="3" t="str">
        <f t="shared" si="83"/>
        <v>SRA29</v>
      </c>
      <c r="N1302" s="3" t="str">
        <f>CONCATENATE("CNSMHL85R62A662J")</f>
        <v>CNSMHL85R62A662J</v>
      </c>
      <c r="O1302" s="3" t="s">
        <v>1413</v>
      </c>
      <c r="P1302" s="3" t="s">
        <v>35</v>
      </c>
      <c r="Q1302" s="3" t="s">
        <v>1793</v>
      </c>
      <c r="R1302" s="4">
        <v>45916</v>
      </c>
      <c r="S1302" s="3" t="s">
        <v>37</v>
      </c>
      <c r="T1302" s="3" t="s">
        <v>38</v>
      </c>
      <c r="U1302" s="3" t="s">
        <v>39</v>
      </c>
      <c r="V1302" s="5">
        <v>9665.4</v>
      </c>
      <c r="W1302" s="5">
        <v>4881.03</v>
      </c>
      <c r="X1302" s="5">
        <v>3349.06</v>
      </c>
      <c r="Y1302" s="5">
        <v>1435.31</v>
      </c>
    </row>
    <row r="1303" spans="1:25" ht="41.5" hidden="1" x14ac:dyDescent="0.35">
      <c r="A1303" s="3" t="s">
        <v>26</v>
      </c>
      <c r="B1303" s="3" t="s">
        <v>27</v>
      </c>
      <c r="C1303" s="3" t="s">
        <v>470</v>
      </c>
      <c r="D1303" s="3" t="s">
        <v>41</v>
      </c>
      <c r="E1303" s="3" t="s">
        <v>678</v>
      </c>
      <c r="F1303" s="3" t="s">
        <v>43</v>
      </c>
      <c r="G1303" s="3" t="s">
        <v>678</v>
      </c>
      <c r="H1303" s="3" t="s">
        <v>472</v>
      </c>
      <c r="I1303" s="3">
        <v>2024</v>
      </c>
      <c r="J1303" s="3" t="str">
        <f>CONCATENATE("44810047652")</f>
        <v>44810047652</v>
      </c>
      <c r="K1303" s="3" t="s">
        <v>33</v>
      </c>
      <c r="L1303" s="3" t="str">
        <f t="shared" si="82"/>
        <v/>
      </c>
      <c r="M1303" s="3" t="str">
        <f t="shared" si="83"/>
        <v>SRA29</v>
      </c>
      <c r="N1303" s="3" t="str">
        <f>CONCATENATE("CRDMLN76T54F104T")</f>
        <v>CRDMLN76T54F104T</v>
      </c>
      <c r="O1303" s="3" t="s">
        <v>1917</v>
      </c>
      <c r="P1303" s="3" t="s">
        <v>35</v>
      </c>
      <c r="Q1303" s="3" t="s">
        <v>1793</v>
      </c>
      <c r="R1303" s="4">
        <v>45916</v>
      </c>
      <c r="S1303" s="3" t="s">
        <v>37</v>
      </c>
      <c r="T1303" s="3" t="s">
        <v>38</v>
      </c>
      <c r="U1303" s="3" t="s">
        <v>39</v>
      </c>
      <c r="V1303" s="5">
        <v>4027.64</v>
      </c>
      <c r="W1303" s="5">
        <v>2033.96</v>
      </c>
      <c r="X1303" s="5">
        <v>1395.58</v>
      </c>
      <c r="Y1303" s="3">
        <v>598.1</v>
      </c>
    </row>
    <row r="1304" spans="1:25" ht="41.5" hidden="1" x14ac:dyDescent="0.35">
      <c r="A1304" s="3" t="s">
        <v>26</v>
      </c>
      <c r="B1304" s="3" t="s">
        <v>27</v>
      </c>
      <c r="C1304" s="3" t="s">
        <v>470</v>
      </c>
      <c r="D1304" s="3" t="s">
        <v>41</v>
      </c>
      <c r="E1304" s="3" t="s">
        <v>675</v>
      </c>
      <c r="F1304" s="3" t="s">
        <v>43</v>
      </c>
      <c r="G1304" s="3" t="s">
        <v>675</v>
      </c>
      <c r="H1304" s="3" t="s">
        <v>472</v>
      </c>
      <c r="I1304" s="3">
        <v>2024</v>
      </c>
      <c r="J1304" s="3" t="str">
        <f>CONCATENATE("44810071033")</f>
        <v>44810071033</v>
      </c>
      <c r="K1304" s="3" t="s">
        <v>33</v>
      </c>
      <c r="L1304" s="3" t="str">
        <f t="shared" si="82"/>
        <v/>
      </c>
      <c r="M1304" s="3" t="str">
        <f t="shared" si="83"/>
        <v>SRA29</v>
      </c>
      <c r="N1304" s="3" t="str">
        <f>CONCATENATE("DCRRCC97M16G942J")</f>
        <v>DCRRCC97M16G942J</v>
      </c>
      <c r="O1304" s="3" t="s">
        <v>1918</v>
      </c>
      <c r="P1304" s="3" t="s">
        <v>35</v>
      </c>
      <c r="Q1304" s="3" t="s">
        <v>1793</v>
      </c>
      <c r="R1304" s="4">
        <v>45916</v>
      </c>
      <c r="S1304" s="3" t="s">
        <v>37</v>
      </c>
      <c r="T1304" s="3" t="s">
        <v>38</v>
      </c>
      <c r="U1304" s="3" t="s">
        <v>39</v>
      </c>
      <c r="V1304" s="5">
        <v>1160.3499999999999</v>
      </c>
      <c r="W1304" s="3">
        <v>585.98</v>
      </c>
      <c r="X1304" s="3">
        <v>402.06</v>
      </c>
      <c r="Y1304" s="3">
        <v>172.31</v>
      </c>
    </row>
    <row r="1305" spans="1:25" ht="41.5" hidden="1" x14ac:dyDescent="0.35">
      <c r="A1305" s="3" t="s">
        <v>26</v>
      </c>
      <c r="B1305" s="3" t="s">
        <v>27</v>
      </c>
      <c r="C1305" s="3" t="s">
        <v>470</v>
      </c>
      <c r="D1305" s="3" t="s">
        <v>234</v>
      </c>
      <c r="E1305" s="3" t="s">
        <v>1919</v>
      </c>
      <c r="F1305" s="3" t="s">
        <v>119</v>
      </c>
      <c r="G1305" s="3" t="s">
        <v>1919</v>
      </c>
      <c r="H1305" s="3" t="s">
        <v>472</v>
      </c>
      <c r="I1305" s="3">
        <v>2024</v>
      </c>
      <c r="J1305" s="3" t="str">
        <f>CONCATENATE("44810858975")</f>
        <v>44810858975</v>
      </c>
      <c r="K1305" s="3" t="s">
        <v>33</v>
      </c>
      <c r="L1305" s="3" t="str">
        <f t="shared" si="82"/>
        <v/>
      </c>
      <c r="M1305" s="3" t="str">
        <f t="shared" si="83"/>
        <v>SRA29</v>
      </c>
      <c r="N1305" s="3" t="str">
        <f>CONCATENATE("DDMLNZ39C03H426P")</f>
        <v>DDMLNZ39C03H426P</v>
      </c>
      <c r="O1305" s="3" t="s">
        <v>1920</v>
      </c>
      <c r="P1305" s="3" t="s">
        <v>35</v>
      </c>
      <c r="Q1305" s="3" t="s">
        <v>1793</v>
      </c>
      <c r="R1305" s="4">
        <v>45916</v>
      </c>
      <c r="S1305" s="3" t="s">
        <v>37</v>
      </c>
      <c r="T1305" s="3" t="s">
        <v>38</v>
      </c>
      <c r="U1305" s="3" t="s">
        <v>39</v>
      </c>
      <c r="V1305" s="5">
        <v>1466.9</v>
      </c>
      <c r="W1305" s="3">
        <v>740.78</v>
      </c>
      <c r="X1305" s="3">
        <v>508.28</v>
      </c>
      <c r="Y1305" s="3">
        <v>217.84</v>
      </c>
    </row>
    <row r="1306" spans="1:25" ht="25.5" hidden="1" x14ac:dyDescent="0.35">
      <c r="A1306" s="3" t="s">
        <v>26</v>
      </c>
      <c r="B1306" s="3" t="s">
        <v>27</v>
      </c>
      <c r="C1306" s="3" t="s">
        <v>658</v>
      </c>
      <c r="D1306" s="3" t="s">
        <v>254</v>
      </c>
      <c r="E1306" s="3" t="s">
        <v>962</v>
      </c>
      <c r="F1306" s="3" t="s">
        <v>256</v>
      </c>
      <c r="G1306" s="3" t="s">
        <v>962</v>
      </c>
      <c r="H1306" s="3" t="s">
        <v>660</v>
      </c>
      <c r="I1306" s="3">
        <v>2024</v>
      </c>
      <c r="J1306" s="3" t="str">
        <f>CONCATENATE("44810888303")</f>
        <v>44810888303</v>
      </c>
      <c r="K1306" s="3" t="s">
        <v>33</v>
      </c>
      <c r="L1306" s="3" t="str">
        <f t="shared" si="82"/>
        <v/>
      </c>
      <c r="M1306" s="3" t="str">
        <f t="shared" si="83"/>
        <v>SRA29</v>
      </c>
      <c r="N1306" s="3" t="str">
        <f>CONCATENATE("01226880076")</f>
        <v>01226880076</v>
      </c>
      <c r="O1306" s="3" t="s">
        <v>1921</v>
      </c>
      <c r="P1306" s="3" t="s">
        <v>35</v>
      </c>
      <c r="Q1306" s="3" t="s">
        <v>1786</v>
      </c>
      <c r="R1306" s="4">
        <v>45926</v>
      </c>
      <c r="S1306" s="3" t="s">
        <v>37</v>
      </c>
      <c r="T1306" s="3" t="s">
        <v>38</v>
      </c>
      <c r="U1306" s="3" t="s">
        <v>39</v>
      </c>
      <c r="V1306" s="3">
        <v>71.010000000000005</v>
      </c>
      <c r="W1306" s="3">
        <v>28.9</v>
      </c>
      <c r="X1306" s="3">
        <v>29.48</v>
      </c>
      <c r="Y1306" s="3">
        <v>12.63</v>
      </c>
    </row>
    <row r="1307" spans="1:25" ht="41.5" hidden="1" x14ac:dyDescent="0.35">
      <c r="A1307" s="3" t="s">
        <v>26</v>
      </c>
      <c r="B1307" s="3" t="s">
        <v>27</v>
      </c>
      <c r="C1307" s="3" t="s">
        <v>470</v>
      </c>
      <c r="D1307" s="3" t="s">
        <v>234</v>
      </c>
      <c r="E1307" s="3" t="s">
        <v>1597</v>
      </c>
      <c r="F1307" s="3" t="s">
        <v>119</v>
      </c>
      <c r="G1307" s="3" t="s">
        <v>1597</v>
      </c>
      <c r="H1307" s="3" t="s">
        <v>472</v>
      </c>
      <c r="I1307" s="3">
        <v>2024</v>
      </c>
      <c r="J1307" s="3" t="str">
        <f>CONCATENATE("44811047396")</f>
        <v>44811047396</v>
      </c>
      <c r="K1307" s="3" t="s">
        <v>33</v>
      </c>
      <c r="L1307" s="3" t="str">
        <f t="shared" si="82"/>
        <v/>
      </c>
      <c r="M1307" s="3" t="str">
        <f t="shared" si="83"/>
        <v>SRA29</v>
      </c>
      <c r="N1307" s="3" t="str">
        <f>CONCATENATE("SRLGPP95E10G942A")</f>
        <v>SRLGPP95E10G942A</v>
      </c>
      <c r="O1307" s="3" t="s">
        <v>1608</v>
      </c>
      <c r="P1307" s="3" t="s">
        <v>35</v>
      </c>
      <c r="Q1307" s="3" t="s">
        <v>1793</v>
      </c>
      <c r="R1307" s="4">
        <v>45916</v>
      </c>
      <c r="S1307" s="3" t="s">
        <v>37</v>
      </c>
      <c r="T1307" s="3" t="s">
        <v>38</v>
      </c>
      <c r="U1307" s="3" t="s">
        <v>39</v>
      </c>
      <c r="V1307" s="5">
        <v>7171.64</v>
      </c>
      <c r="W1307" s="5">
        <v>3621.68</v>
      </c>
      <c r="X1307" s="5">
        <v>2484.9699999999998</v>
      </c>
      <c r="Y1307" s="5">
        <v>1064.99</v>
      </c>
    </row>
    <row r="1308" spans="1:25" ht="41.5" hidden="1" x14ac:dyDescent="0.35">
      <c r="A1308" s="3" t="s">
        <v>26</v>
      </c>
      <c r="B1308" s="3" t="s">
        <v>27</v>
      </c>
      <c r="C1308" s="3" t="s">
        <v>451</v>
      </c>
      <c r="D1308" s="3" t="s">
        <v>29</v>
      </c>
      <c r="E1308" s="3" t="s">
        <v>646</v>
      </c>
      <c r="F1308" s="3" t="s">
        <v>31</v>
      </c>
      <c r="G1308" s="3" t="s">
        <v>646</v>
      </c>
      <c r="H1308" s="3" t="s">
        <v>453</v>
      </c>
      <c r="I1308" s="3">
        <v>2024</v>
      </c>
      <c r="J1308" s="3" t="str">
        <f>CONCATENATE("44811082211")</f>
        <v>44811082211</v>
      </c>
      <c r="K1308" s="3" t="s">
        <v>33</v>
      </c>
      <c r="L1308" s="3" t="str">
        <f t="shared" si="82"/>
        <v/>
      </c>
      <c r="M1308" s="3" t="str">
        <f>CONCATENATE("SRA12")</f>
        <v>SRA12</v>
      </c>
      <c r="N1308" s="3" t="str">
        <f>CONCATENATE("RDLDNI60B19F492H")</f>
        <v>RDLDNI60B19F492H</v>
      </c>
      <c r="O1308" s="3" t="s">
        <v>1922</v>
      </c>
      <c r="P1308" s="3" t="s">
        <v>35</v>
      </c>
      <c r="Q1308" s="3" t="s">
        <v>1923</v>
      </c>
      <c r="R1308" s="4">
        <v>45917</v>
      </c>
      <c r="S1308" s="3" t="s">
        <v>37</v>
      </c>
      <c r="T1308" s="3" t="s">
        <v>38</v>
      </c>
      <c r="U1308" s="3" t="s">
        <v>39</v>
      </c>
      <c r="V1308" s="5">
        <v>1246.32</v>
      </c>
      <c r="W1308" s="3">
        <v>529.69000000000005</v>
      </c>
      <c r="X1308" s="3">
        <v>501.64</v>
      </c>
      <c r="Y1308" s="3">
        <v>214.99</v>
      </c>
    </row>
    <row r="1309" spans="1:25" ht="41.5" hidden="1" x14ac:dyDescent="0.35">
      <c r="A1309" s="3" t="s">
        <v>26</v>
      </c>
      <c r="B1309" s="3" t="s">
        <v>27</v>
      </c>
      <c r="C1309" s="3" t="s">
        <v>658</v>
      </c>
      <c r="D1309" s="3" t="s">
        <v>254</v>
      </c>
      <c r="E1309" s="3" t="s">
        <v>962</v>
      </c>
      <c r="F1309" s="3" t="s">
        <v>256</v>
      </c>
      <c r="G1309" s="3" t="s">
        <v>962</v>
      </c>
      <c r="H1309" s="3" t="s">
        <v>660</v>
      </c>
      <c r="I1309" s="3">
        <v>2024</v>
      </c>
      <c r="J1309" s="3" t="str">
        <f>CONCATENATE("44820442950")</f>
        <v>44820442950</v>
      </c>
      <c r="K1309" s="3" t="s">
        <v>33</v>
      </c>
      <c r="L1309" s="3" t="str">
        <f t="shared" si="82"/>
        <v/>
      </c>
      <c r="M1309" s="3" t="str">
        <f>CONCATENATE("SRB01")</f>
        <v>SRB01</v>
      </c>
      <c r="N1309" s="3" t="str">
        <f>CONCATENATE("NDRDNL86T04A326H")</f>
        <v>NDRDNL86T04A326H</v>
      </c>
      <c r="O1309" s="3" t="s">
        <v>1585</v>
      </c>
      <c r="P1309" s="3" t="s">
        <v>35</v>
      </c>
      <c r="Q1309" s="3" t="s">
        <v>1924</v>
      </c>
      <c r="R1309" s="4">
        <v>45926</v>
      </c>
      <c r="S1309" s="3" t="s">
        <v>37</v>
      </c>
      <c r="T1309" s="3" t="s">
        <v>38</v>
      </c>
      <c r="U1309" s="3" t="s">
        <v>39</v>
      </c>
      <c r="V1309" s="3">
        <v>138.63</v>
      </c>
      <c r="W1309" s="3">
        <v>56.42</v>
      </c>
      <c r="X1309" s="3">
        <v>57.55</v>
      </c>
      <c r="Y1309" s="3">
        <v>24.66</v>
      </c>
    </row>
    <row r="1310" spans="1:25" ht="41.5" hidden="1" x14ac:dyDescent="0.35">
      <c r="A1310" s="3" t="s">
        <v>26</v>
      </c>
      <c r="B1310" s="3" t="s">
        <v>27</v>
      </c>
      <c r="C1310" s="3" t="s">
        <v>658</v>
      </c>
      <c r="D1310" s="3" t="s">
        <v>29</v>
      </c>
      <c r="E1310" s="3" t="s">
        <v>965</v>
      </c>
      <c r="F1310" s="3" t="s">
        <v>31</v>
      </c>
      <c r="G1310" s="3" t="s">
        <v>965</v>
      </c>
      <c r="H1310" s="3" t="s">
        <v>660</v>
      </c>
      <c r="I1310" s="3">
        <v>2024</v>
      </c>
      <c r="J1310" s="3" t="str">
        <f>CONCATENATE("44820305108")</f>
        <v>44820305108</v>
      </c>
      <c r="K1310" s="3" t="s">
        <v>33</v>
      </c>
      <c r="L1310" s="3" t="str">
        <f t="shared" si="82"/>
        <v/>
      </c>
      <c r="M1310" s="3" t="str">
        <f>CONCATENATE("SRB01")</f>
        <v>SRB01</v>
      </c>
      <c r="N1310" s="3" t="str">
        <f>CONCATENATE("BRTRLB45E50H110N")</f>
        <v>BRTRLB45E50H110N</v>
      </c>
      <c r="O1310" s="3" t="s">
        <v>1925</v>
      </c>
      <c r="P1310" s="3" t="s">
        <v>35</v>
      </c>
      <c r="Q1310" s="3" t="s">
        <v>1924</v>
      </c>
      <c r="R1310" s="4">
        <v>45926</v>
      </c>
      <c r="S1310" s="3" t="s">
        <v>37</v>
      </c>
      <c r="T1310" s="3" t="s">
        <v>38</v>
      </c>
      <c r="U1310" s="3" t="s">
        <v>39</v>
      </c>
      <c r="V1310" s="3">
        <v>462.32</v>
      </c>
      <c r="W1310" s="3">
        <v>188.16</v>
      </c>
      <c r="X1310" s="3">
        <v>191.91</v>
      </c>
      <c r="Y1310" s="3">
        <v>82.25</v>
      </c>
    </row>
    <row r="1311" spans="1:25" ht="33.5" hidden="1" x14ac:dyDescent="0.35">
      <c r="A1311" s="3" t="s">
        <v>26</v>
      </c>
      <c r="B1311" s="3" t="s">
        <v>27</v>
      </c>
      <c r="C1311" s="3" t="s">
        <v>658</v>
      </c>
      <c r="D1311" s="3" t="s">
        <v>41</v>
      </c>
      <c r="E1311" s="3" t="s">
        <v>659</v>
      </c>
      <c r="F1311" s="3" t="s">
        <v>43</v>
      </c>
      <c r="G1311" s="3" t="s">
        <v>659</v>
      </c>
      <c r="H1311" s="3" t="s">
        <v>660</v>
      </c>
      <c r="I1311" s="3">
        <v>2024</v>
      </c>
      <c r="J1311" s="3" t="str">
        <f>CONCATENATE("44811923539")</f>
        <v>44811923539</v>
      </c>
      <c r="K1311" s="3" t="s">
        <v>33</v>
      </c>
      <c r="L1311" s="3" t="str">
        <f t="shared" si="82"/>
        <v/>
      </c>
      <c r="M1311" s="3" t="str">
        <f>CONCATENATE("SRA29")</f>
        <v>SRA29</v>
      </c>
      <c r="N1311" s="3" t="str">
        <f>CONCATENATE("PCCCLL62P20E379L")</f>
        <v>PCCCLL62P20E379L</v>
      </c>
      <c r="O1311" s="3" t="s">
        <v>661</v>
      </c>
      <c r="P1311" s="3" t="s">
        <v>35</v>
      </c>
      <c r="Q1311" s="3" t="s">
        <v>1786</v>
      </c>
      <c r="R1311" s="4">
        <v>45926</v>
      </c>
      <c r="S1311" s="3" t="s">
        <v>37</v>
      </c>
      <c r="T1311" s="3" t="s">
        <v>38</v>
      </c>
      <c r="U1311" s="3" t="s">
        <v>39</v>
      </c>
      <c r="V1311" s="5">
        <v>12296.69</v>
      </c>
      <c r="W1311" s="5">
        <v>5004.75</v>
      </c>
      <c r="X1311" s="5">
        <v>5104.3599999999997</v>
      </c>
      <c r="Y1311" s="5">
        <v>2187.58</v>
      </c>
    </row>
    <row r="1312" spans="1:25" ht="41.5" hidden="1" x14ac:dyDescent="0.35">
      <c r="A1312" s="3" t="s">
        <v>26</v>
      </c>
      <c r="B1312" s="3" t="s">
        <v>27</v>
      </c>
      <c r="C1312" s="3" t="s">
        <v>658</v>
      </c>
      <c r="D1312" s="3" t="s">
        <v>41</v>
      </c>
      <c r="E1312" s="3" t="s">
        <v>1497</v>
      </c>
      <c r="F1312" s="3" t="s">
        <v>43</v>
      </c>
      <c r="G1312" s="3" t="s">
        <v>1497</v>
      </c>
      <c r="H1312" s="3" t="s">
        <v>660</v>
      </c>
      <c r="I1312" s="3">
        <v>2024</v>
      </c>
      <c r="J1312" s="3" t="str">
        <f>CONCATENATE("44810418929")</f>
        <v>44810418929</v>
      </c>
      <c r="K1312" s="3" t="s">
        <v>33</v>
      </c>
      <c r="L1312" s="3" t="str">
        <f t="shared" si="82"/>
        <v/>
      </c>
      <c r="M1312" s="3" t="str">
        <f>CONCATENATE("SRA29")</f>
        <v>SRA29</v>
      </c>
      <c r="N1312" s="3" t="str">
        <f>CONCATENATE("PTTDGI63T28A326J")</f>
        <v>PTTDGI63T28A326J</v>
      </c>
      <c r="O1312" s="3" t="s">
        <v>1926</v>
      </c>
      <c r="P1312" s="3" t="s">
        <v>35</v>
      </c>
      <c r="Q1312" s="3" t="s">
        <v>1786</v>
      </c>
      <c r="R1312" s="4">
        <v>45926</v>
      </c>
      <c r="S1312" s="3" t="s">
        <v>37</v>
      </c>
      <c r="T1312" s="3" t="s">
        <v>38</v>
      </c>
      <c r="U1312" s="3" t="s">
        <v>39</v>
      </c>
      <c r="V1312" s="5">
        <v>2851.7</v>
      </c>
      <c r="W1312" s="5">
        <v>1160.6400000000001</v>
      </c>
      <c r="X1312" s="5">
        <v>1183.74</v>
      </c>
      <c r="Y1312" s="3">
        <v>507.32</v>
      </c>
    </row>
    <row r="1313" spans="1:25" ht="41.5" hidden="1" x14ac:dyDescent="0.35">
      <c r="A1313" s="3" t="s">
        <v>26</v>
      </c>
      <c r="B1313" s="3" t="s">
        <v>27</v>
      </c>
      <c r="C1313" s="3" t="s">
        <v>40</v>
      </c>
      <c r="D1313" s="3" t="s">
        <v>41</v>
      </c>
      <c r="E1313" s="3" t="s">
        <v>953</v>
      </c>
      <c r="F1313" s="3" t="s">
        <v>43</v>
      </c>
      <c r="G1313" s="3" t="s">
        <v>953</v>
      </c>
      <c r="H1313" s="3" t="s">
        <v>64</v>
      </c>
      <c r="I1313" s="3">
        <v>2024</v>
      </c>
      <c r="J1313" s="3" t="str">
        <f>CONCATENATE("44820453908")</f>
        <v>44820453908</v>
      </c>
      <c r="K1313" s="3" t="s">
        <v>33</v>
      </c>
      <c r="L1313" s="3" t="str">
        <f t="shared" si="82"/>
        <v/>
      </c>
      <c r="M1313" s="3" t="str">
        <f>CONCATENATE("SRB01")</f>
        <v>SRB01</v>
      </c>
      <c r="N1313" s="3" t="str">
        <f>CONCATENATE("CTRDNL60T50H501R")</f>
        <v>CTRDNL60T50H501R</v>
      </c>
      <c r="O1313" s="3" t="s">
        <v>1927</v>
      </c>
      <c r="P1313" s="3" t="s">
        <v>35</v>
      </c>
      <c r="Q1313" s="3" t="s">
        <v>1928</v>
      </c>
      <c r="R1313" s="4">
        <v>45933</v>
      </c>
      <c r="S1313" s="3" t="s">
        <v>37</v>
      </c>
      <c r="T1313" s="3" t="s">
        <v>38</v>
      </c>
      <c r="U1313" s="3" t="s">
        <v>39</v>
      </c>
      <c r="V1313" s="5">
        <v>1661.82</v>
      </c>
      <c r="W1313" s="3">
        <v>676.36</v>
      </c>
      <c r="X1313" s="3">
        <v>689.82</v>
      </c>
      <c r="Y1313" s="3">
        <v>295.64</v>
      </c>
    </row>
    <row r="1314" spans="1:25" ht="49.5" hidden="1" x14ac:dyDescent="0.35">
      <c r="A1314" s="3" t="s">
        <v>26</v>
      </c>
      <c r="B1314" s="3" t="s">
        <v>27</v>
      </c>
      <c r="C1314" s="3" t="s">
        <v>40</v>
      </c>
      <c r="D1314" s="3" t="s">
        <v>41</v>
      </c>
      <c r="E1314" s="3" t="s">
        <v>143</v>
      </c>
      <c r="F1314" s="3" t="s">
        <v>43</v>
      </c>
      <c r="G1314" s="3" t="s">
        <v>143</v>
      </c>
      <c r="H1314" s="3" t="s">
        <v>64</v>
      </c>
      <c r="I1314" s="3">
        <v>2024</v>
      </c>
      <c r="J1314" s="3" t="str">
        <f>CONCATENATE("44820462503")</f>
        <v>44820462503</v>
      </c>
      <c r="K1314" s="3" t="s">
        <v>33</v>
      </c>
      <c r="L1314" s="3" t="str">
        <f t="shared" si="82"/>
        <v/>
      </c>
      <c r="M1314" s="3" t="str">
        <f>CONCATENATE("SRB01")</f>
        <v>SRB01</v>
      </c>
      <c r="N1314" s="3" t="str">
        <f>CONCATENATE("CLGRMN70M62L182T")</f>
        <v>CLGRMN70M62L182T</v>
      </c>
      <c r="O1314" s="3" t="s">
        <v>1929</v>
      </c>
      <c r="P1314" s="3" t="s">
        <v>35</v>
      </c>
      <c r="Q1314" s="3" t="s">
        <v>1928</v>
      </c>
      <c r="R1314" s="4">
        <v>45933</v>
      </c>
      <c r="S1314" s="3" t="s">
        <v>37</v>
      </c>
      <c r="T1314" s="3" t="s">
        <v>38</v>
      </c>
      <c r="U1314" s="3" t="s">
        <v>39</v>
      </c>
      <c r="V1314" s="5">
        <v>1219.17</v>
      </c>
      <c r="W1314" s="3">
        <v>496.2</v>
      </c>
      <c r="X1314" s="3">
        <v>506.08</v>
      </c>
      <c r="Y1314" s="3">
        <v>216.89</v>
      </c>
    </row>
    <row r="1315" spans="1:25" ht="41.5" hidden="1" x14ac:dyDescent="0.35">
      <c r="A1315" s="3" t="s">
        <v>26</v>
      </c>
      <c r="B1315" s="3" t="s">
        <v>27</v>
      </c>
      <c r="C1315" s="3" t="s">
        <v>40</v>
      </c>
      <c r="D1315" s="3" t="s">
        <v>41</v>
      </c>
      <c r="E1315" s="3" t="s">
        <v>955</v>
      </c>
      <c r="F1315" s="3" t="s">
        <v>43</v>
      </c>
      <c r="G1315" s="3" t="s">
        <v>955</v>
      </c>
      <c r="H1315" s="3" t="s">
        <v>64</v>
      </c>
      <c r="I1315" s="3">
        <v>2024</v>
      </c>
      <c r="J1315" s="3" t="str">
        <f>CONCATENATE("44820504023")</f>
        <v>44820504023</v>
      </c>
      <c r="K1315" s="3" t="s">
        <v>33</v>
      </c>
      <c r="L1315" s="3" t="str">
        <f t="shared" si="82"/>
        <v/>
      </c>
      <c r="M1315" s="3" t="str">
        <f>CONCATENATE("SRB01")</f>
        <v>SRB01</v>
      </c>
      <c r="N1315" s="3" t="str">
        <f>CONCATENATE("MRSLDI78S65H501T")</f>
        <v>MRSLDI78S65H501T</v>
      </c>
      <c r="O1315" s="3" t="s">
        <v>1930</v>
      </c>
      <c r="P1315" s="3" t="s">
        <v>35</v>
      </c>
      <c r="Q1315" s="3" t="s">
        <v>1928</v>
      </c>
      <c r="R1315" s="4">
        <v>45933</v>
      </c>
      <c r="S1315" s="3" t="s">
        <v>37</v>
      </c>
      <c r="T1315" s="3" t="s">
        <v>38</v>
      </c>
      <c r="U1315" s="3" t="s">
        <v>39</v>
      </c>
      <c r="V1315" s="5">
        <v>2732.58</v>
      </c>
      <c r="W1315" s="5">
        <v>1112.1600000000001</v>
      </c>
      <c r="X1315" s="5">
        <v>1134.29</v>
      </c>
      <c r="Y1315" s="3">
        <v>486.13</v>
      </c>
    </row>
    <row r="1316" spans="1:25" ht="25.5" hidden="1" x14ac:dyDescent="0.35">
      <c r="A1316" s="3" t="s">
        <v>26</v>
      </c>
      <c r="B1316" s="3" t="s">
        <v>27</v>
      </c>
      <c r="C1316" s="3" t="s">
        <v>465</v>
      </c>
      <c r="D1316" s="3" t="s">
        <v>180</v>
      </c>
      <c r="E1316" s="3" t="s">
        <v>1719</v>
      </c>
      <c r="F1316" s="3" t="s">
        <v>85</v>
      </c>
      <c r="G1316" s="3" t="s">
        <v>1719</v>
      </c>
      <c r="H1316" s="3" t="s">
        <v>467</v>
      </c>
      <c r="I1316" s="3">
        <v>2024</v>
      </c>
      <c r="J1316" s="3" t="str">
        <f>CONCATENATE("44811244613")</f>
        <v>44811244613</v>
      </c>
      <c r="K1316" s="3" t="s">
        <v>33</v>
      </c>
      <c r="L1316" s="3" t="str">
        <f t="shared" si="82"/>
        <v/>
      </c>
      <c r="M1316" s="3" t="str">
        <f>CONCATENATE("SRA19")</f>
        <v>SRA19</v>
      </c>
      <c r="N1316" s="3" t="str">
        <f>CONCATENATE("02093480693")</f>
        <v>02093480693</v>
      </c>
      <c r="O1316" s="3" t="s">
        <v>1720</v>
      </c>
      <c r="P1316" s="3" t="s">
        <v>50</v>
      </c>
      <c r="Q1316" s="3"/>
      <c r="R1316" s="4">
        <v>45923</v>
      </c>
      <c r="S1316" s="3" t="s">
        <v>37</v>
      </c>
      <c r="T1316" s="3" t="s">
        <v>38</v>
      </c>
      <c r="U1316" s="3" t="s">
        <v>39</v>
      </c>
      <c r="V1316" s="5">
        <v>11372.76</v>
      </c>
      <c r="W1316" s="5">
        <v>4833.42</v>
      </c>
      <c r="X1316" s="5">
        <v>4577.54</v>
      </c>
      <c r="Y1316" s="5">
        <v>1961.8</v>
      </c>
    </row>
    <row r="1317" spans="1:25" ht="25.5" hidden="1" x14ac:dyDescent="0.35">
      <c r="A1317" s="3" t="s">
        <v>26</v>
      </c>
      <c r="B1317" s="3" t="s">
        <v>27</v>
      </c>
      <c r="C1317" s="3" t="s">
        <v>90</v>
      </c>
      <c r="D1317" s="3" t="s">
        <v>29</v>
      </c>
      <c r="E1317" s="3" t="s">
        <v>91</v>
      </c>
      <c r="F1317" s="3" t="s">
        <v>31</v>
      </c>
      <c r="G1317" s="3" t="s">
        <v>91</v>
      </c>
      <c r="H1317" s="3" t="s">
        <v>92</v>
      </c>
      <c r="I1317" s="3">
        <v>2024</v>
      </c>
      <c r="J1317" s="3" t="str">
        <f>CONCATENATE("44811265006")</f>
        <v>44811265006</v>
      </c>
      <c r="K1317" s="3" t="s">
        <v>33</v>
      </c>
      <c r="L1317" s="3" t="str">
        <f t="shared" si="82"/>
        <v/>
      </c>
      <c r="M1317" s="3" t="str">
        <f>CONCATENATE("SRA29")</f>
        <v>SRA29</v>
      </c>
      <c r="N1317" s="3" t="str">
        <f>CONCATENATE("05967650879")</f>
        <v>05967650879</v>
      </c>
      <c r="O1317" s="3" t="s">
        <v>1092</v>
      </c>
      <c r="P1317" s="3" t="s">
        <v>35</v>
      </c>
      <c r="Q1317" s="3" t="s">
        <v>1931</v>
      </c>
      <c r="R1317" s="4">
        <v>45931</v>
      </c>
      <c r="S1317" s="3" t="s">
        <v>37</v>
      </c>
      <c r="T1317" s="3" t="s">
        <v>38</v>
      </c>
      <c r="U1317" s="3" t="s">
        <v>39</v>
      </c>
      <c r="V1317" s="5">
        <v>4309.1400000000003</v>
      </c>
      <c r="W1317" s="5">
        <v>2176.12</v>
      </c>
      <c r="X1317" s="5">
        <v>1493.12</v>
      </c>
      <c r="Y1317" s="3">
        <v>639.9</v>
      </c>
    </row>
    <row r="1318" spans="1:25" ht="41.5" hidden="1" x14ac:dyDescent="0.35">
      <c r="A1318" s="3" t="s">
        <v>26</v>
      </c>
      <c r="B1318" s="3" t="s">
        <v>27</v>
      </c>
      <c r="C1318" s="3" t="s">
        <v>90</v>
      </c>
      <c r="D1318" s="3" t="s">
        <v>55</v>
      </c>
      <c r="E1318" s="3" t="s">
        <v>1932</v>
      </c>
      <c r="F1318" s="3" t="s">
        <v>63</v>
      </c>
      <c r="G1318" s="3" t="s">
        <v>1231</v>
      </c>
      <c r="H1318" s="3" t="s">
        <v>212</v>
      </c>
      <c r="I1318" s="3">
        <v>2024</v>
      </c>
      <c r="J1318" s="3" t="str">
        <f>CONCATENATE("44811225265")</f>
        <v>44811225265</v>
      </c>
      <c r="K1318" s="3" t="s">
        <v>33</v>
      </c>
      <c r="L1318" s="3" t="str">
        <f t="shared" si="82"/>
        <v/>
      </c>
      <c r="M1318" s="3" t="str">
        <f>CONCATENATE("SRA29")</f>
        <v>SRA29</v>
      </c>
      <c r="N1318" s="3" t="str">
        <f>CONCATENATE("PLMSVT92H28F830M")</f>
        <v>PLMSVT92H28F830M</v>
      </c>
      <c r="O1318" s="3" t="s">
        <v>1933</v>
      </c>
      <c r="P1318" s="3" t="s">
        <v>35</v>
      </c>
      <c r="Q1318" s="3" t="s">
        <v>1934</v>
      </c>
      <c r="R1318" s="4">
        <v>45915</v>
      </c>
      <c r="S1318" s="3" t="s">
        <v>37</v>
      </c>
      <c r="T1318" s="3" t="s">
        <v>38</v>
      </c>
      <c r="U1318" s="3" t="s">
        <v>39</v>
      </c>
      <c r="V1318" s="5">
        <v>1458.77</v>
      </c>
      <c r="W1318" s="3">
        <v>736.68</v>
      </c>
      <c r="X1318" s="3">
        <v>505.46</v>
      </c>
      <c r="Y1318" s="3">
        <v>216.63</v>
      </c>
    </row>
    <row r="1319" spans="1:25" ht="25.5" hidden="1" x14ac:dyDescent="0.35">
      <c r="A1319" s="3" t="s">
        <v>26</v>
      </c>
      <c r="B1319" s="3" t="s">
        <v>27</v>
      </c>
      <c r="C1319" s="3" t="s">
        <v>451</v>
      </c>
      <c r="D1319" s="3" t="s">
        <v>61</v>
      </c>
      <c r="E1319" s="3" t="s">
        <v>636</v>
      </c>
      <c r="F1319" s="3" t="s">
        <v>63</v>
      </c>
      <c r="G1319" s="3" t="s">
        <v>636</v>
      </c>
      <c r="H1319" s="3" t="s">
        <v>453</v>
      </c>
      <c r="I1319" s="3">
        <v>2023</v>
      </c>
      <c r="J1319" s="3" t="str">
        <f>CONCATENATE("34820482478")</f>
        <v>34820482478</v>
      </c>
      <c r="K1319" s="3" t="s">
        <v>33</v>
      </c>
      <c r="L1319" s="3" t="str">
        <f t="shared" si="82"/>
        <v/>
      </c>
      <c r="M1319" s="3" t="str">
        <f>CONCATENATE("SRB02")</f>
        <v>SRB02</v>
      </c>
      <c r="N1319" s="3" t="str">
        <f>CONCATENATE("03056260585")</f>
        <v>03056260585</v>
      </c>
      <c r="O1319" s="3" t="s">
        <v>1935</v>
      </c>
      <c r="P1319" s="3" t="s">
        <v>35</v>
      </c>
      <c r="Q1319" s="3" t="s">
        <v>1936</v>
      </c>
      <c r="R1319" s="4">
        <v>45919</v>
      </c>
      <c r="S1319" s="3" t="s">
        <v>37</v>
      </c>
      <c r="T1319" s="3" t="s">
        <v>38</v>
      </c>
      <c r="U1319" s="3" t="s">
        <v>39</v>
      </c>
      <c r="V1319" s="5">
        <v>3655.47</v>
      </c>
      <c r="W1319" s="5">
        <v>1553.57</v>
      </c>
      <c r="X1319" s="5">
        <v>1471.33</v>
      </c>
      <c r="Y1319" s="3">
        <v>630.57000000000005</v>
      </c>
    </row>
    <row r="1320" spans="1:25" ht="41.5" hidden="1" x14ac:dyDescent="0.35">
      <c r="A1320" s="3" t="s">
        <v>26</v>
      </c>
      <c r="B1320" s="3" t="s">
        <v>27</v>
      </c>
      <c r="C1320" s="3" t="s">
        <v>478</v>
      </c>
      <c r="D1320" s="3" t="s">
        <v>41</v>
      </c>
      <c r="E1320" s="3" t="s">
        <v>483</v>
      </c>
      <c r="F1320" s="3" t="s">
        <v>43</v>
      </c>
      <c r="G1320" s="3" t="s">
        <v>697</v>
      </c>
      <c r="H1320" s="3" t="s">
        <v>484</v>
      </c>
      <c r="I1320" s="3">
        <v>2024</v>
      </c>
      <c r="J1320" s="3" t="str">
        <f>CONCATENATE("44810327302")</f>
        <v>44810327302</v>
      </c>
      <c r="K1320" s="3" t="s">
        <v>33</v>
      </c>
      <c r="L1320" s="3" t="str">
        <f t="shared" si="82"/>
        <v/>
      </c>
      <c r="M1320" s="3" t="str">
        <f>CONCATENATE("SRA03")</f>
        <v>SRA03</v>
      </c>
      <c r="N1320" s="3" t="str">
        <f>CONCATENATE("RSTMRA63B64I234O")</f>
        <v>RSTMRA63B64I234O</v>
      </c>
      <c r="O1320" s="3" t="s">
        <v>698</v>
      </c>
      <c r="P1320" s="3" t="s">
        <v>35</v>
      </c>
      <c r="Q1320" s="3" t="s">
        <v>1937</v>
      </c>
      <c r="R1320" s="4">
        <v>45931</v>
      </c>
      <c r="S1320" s="3" t="s">
        <v>37</v>
      </c>
      <c r="T1320" s="3" t="s">
        <v>38</v>
      </c>
      <c r="U1320" s="3" t="s">
        <v>39</v>
      </c>
      <c r="V1320" s="5">
        <v>4801.58</v>
      </c>
      <c r="W1320" s="5">
        <v>2424.8000000000002</v>
      </c>
      <c r="X1320" s="5">
        <v>1663.75</v>
      </c>
      <c r="Y1320" s="3">
        <v>713.03</v>
      </c>
    </row>
    <row r="1321" spans="1:25" ht="25.5" hidden="1" x14ac:dyDescent="0.35">
      <c r="A1321" s="3" t="s">
        <v>26</v>
      </c>
      <c r="B1321" s="3" t="s">
        <v>27</v>
      </c>
      <c r="C1321" s="3" t="s">
        <v>90</v>
      </c>
      <c r="D1321" s="3" t="s">
        <v>61</v>
      </c>
      <c r="E1321" s="3" t="s">
        <v>1478</v>
      </c>
      <c r="F1321" s="3" t="s">
        <v>63</v>
      </c>
      <c r="G1321" s="3" t="s">
        <v>1478</v>
      </c>
      <c r="H1321" s="3" t="s">
        <v>488</v>
      </c>
      <c r="I1321" s="3">
        <v>2024</v>
      </c>
      <c r="J1321" s="3" t="str">
        <f>CONCATENATE("44810650521")</f>
        <v>44810650521</v>
      </c>
      <c r="K1321" s="3" t="s">
        <v>33</v>
      </c>
      <c r="L1321" s="3" t="str">
        <f t="shared" si="82"/>
        <v/>
      </c>
      <c r="M1321" s="3" t="str">
        <f t="shared" ref="M1321:M1330" si="84">CONCATENATE("SRA29")</f>
        <v>SRA29</v>
      </c>
      <c r="N1321" s="3" t="str">
        <f>CONCATENATE("02838350813")</f>
        <v>02838350813</v>
      </c>
      <c r="O1321" s="3" t="s">
        <v>1938</v>
      </c>
      <c r="P1321" s="3" t="s">
        <v>35</v>
      </c>
      <c r="Q1321" s="3" t="s">
        <v>1350</v>
      </c>
      <c r="R1321" s="4">
        <v>45931</v>
      </c>
      <c r="S1321" s="3" t="s">
        <v>37</v>
      </c>
      <c r="T1321" s="3" t="s">
        <v>38</v>
      </c>
      <c r="U1321" s="3" t="s">
        <v>39</v>
      </c>
      <c r="V1321" s="5">
        <v>6257.93</v>
      </c>
      <c r="W1321" s="5">
        <v>3160.25</v>
      </c>
      <c r="X1321" s="5">
        <v>2168.37</v>
      </c>
      <c r="Y1321" s="3">
        <v>929.31</v>
      </c>
    </row>
    <row r="1322" spans="1:25" ht="25.5" hidden="1" x14ac:dyDescent="0.35">
      <c r="A1322" s="3" t="s">
        <v>26</v>
      </c>
      <c r="B1322" s="3" t="s">
        <v>27</v>
      </c>
      <c r="C1322" s="3" t="s">
        <v>90</v>
      </c>
      <c r="D1322" s="3" t="s">
        <v>29</v>
      </c>
      <c r="E1322" s="3" t="s">
        <v>286</v>
      </c>
      <c r="F1322" s="3" t="s">
        <v>31</v>
      </c>
      <c r="G1322" s="3" t="s">
        <v>286</v>
      </c>
      <c r="H1322" s="3" t="s">
        <v>488</v>
      </c>
      <c r="I1322" s="3">
        <v>2024</v>
      </c>
      <c r="J1322" s="3" t="str">
        <f>CONCATENATE("44811318672")</f>
        <v>44811318672</v>
      </c>
      <c r="K1322" s="3" t="s">
        <v>33</v>
      </c>
      <c r="L1322" s="3" t="str">
        <f t="shared" si="82"/>
        <v/>
      </c>
      <c r="M1322" s="3" t="str">
        <f t="shared" si="84"/>
        <v>SRA29</v>
      </c>
      <c r="N1322" s="3" t="str">
        <f>CONCATENATE("02793380813")</f>
        <v>02793380813</v>
      </c>
      <c r="O1322" s="3" t="s">
        <v>1939</v>
      </c>
      <c r="P1322" s="3" t="s">
        <v>35</v>
      </c>
      <c r="Q1322" s="3" t="s">
        <v>1350</v>
      </c>
      <c r="R1322" s="4">
        <v>45931</v>
      </c>
      <c r="S1322" s="3" t="s">
        <v>37</v>
      </c>
      <c r="T1322" s="3" t="s">
        <v>38</v>
      </c>
      <c r="U1322" s="3" t="s">
        <v>39</v>
      </c>
      <c r="V1322" s="5">
        <v>4511.09</v>
      </c>
      <c r="W1322" s="5">
        <v>2278.1</v>
      </c>
      <c r="X1322" s="5">
        <v>1563.09</v>
      </c>
      <c r="Y1322" s="3">
        <v>669.9</v>
      </c>
    </row>
    <row r="1323" spans="1:25" ht="41.5" hidden="1" x14ac:dyDescent="0.35">
      <c r="A1323" s="3" t="s">
        <v>26</v>
      </c>
      <c r="B1323" s="3" t="s">
        <v>27</v>
      </c>
      <c r="C1323" s="3" t="s">
        <v>90</v>
      </c>
      <c r="D1323" s="3" t="s">
        <v>41</v>
      </c>
      <c r="E1323" s="3" t="s">
        <v>1940</v>
      </c>
      <c r="F1323" s="3" t="s">
        <v>43</v>
      </c>
      <c r="G1323" s="3" t="s">
        <v>1940</v>
      </c>
      <c r="H1323" s="3" t="s">
        <v>488</v>
      </c>
      <c r="I1323" s="3">
        <v>2024</v>
      </c>
      <c r="J1323" s="3" t="str">
        <f>CONCATENATE("44810435055")</f>
        <v>44810435055</v>
      </c>
      <c r="K1323" s="3" t="s">
        <v>33</v>
      </c>
      <c r="L1323" s="3" t="str">
        <f t="shared" si="82"/>
        <v/>
      </c>
      <c r="M1323" s="3" t="str">
        <f t="shared" si="84"/>
        <v>SRA29</v>
      </c>
      <c r="N1323" s="3" t="str">
        <f>CONCATENATE("BMBGNN58A18C130V")</f>
        <v>BMBGNN58A18C130V</v>
      </c>
      <c r="O1323" s="3" t="s">
        <v>1941</v>
      </c>
      <c r="P1323" s="3" t="s">
        <v>35</v>
      </c>
      <c r="Q1323" s="3" t="s">
        <v>1350</v>
      </c>
      <c r="R1323" s="4">
        <v>45931</v>
      </c>
      <c r="S1323" s="3" t="s">
        <v>37</v>
      </c>
      <c r="T1323" s="3" t="s">
        <v>38</v>
      </c>
      <c r="U1323" s="3" t="s">
        <v>39</v>
      </c>
      <c r="V1323" s="5">
        <v>9885.6</v>
      </c>
      <c r="W1323" s="5">
        <v>4992.2299999999996</v>
      </c>
      <c r="X1323" s="5">
        <v>3425.36</v>
      </c>
      <c r="Y1323" s="5">
        <v>1468.01</v>
      </c>
    </row>
    <row r="1324" spans="1:25" ht="41.5" hidden="1" x14ac:dyDescent="0.35">
      <c r="A1324" s="3" t="s">
        <v>26</v>
      </c>
      <c r="B1324" s="3" t="s">
        <v>27</v>
      </c>
      <c r="C1324" s="3" t="s">
        <v>90</v>
      </c>
      <c r="D1324" s="3" t="s">
        <v>234</v>
      </c>
      <c r="E1324" s="3" t="s">
        <v>593</v>
      </c>
      <c r="F1324" s="3" t="s">
        <v>119</v>
      </c>
      <c r="G1324" s="3" t="s">
        <v>593</v>
      </c>
      <c r="H1324" s="3" t="s">
        <v>488</v>
      </c>
      <c r="I1324" s="3">
        <v>2024</v>
      </c>
      <c r="J1324" s="3" t="str">
        <f>CONCATENATE("44810561504")</f>
        <v>44810561504</v>
      </c>
      <c r="K1324" s="3" t="s">
        <v>33</v>
      </c>
      <c r="L1324" s="3" t="str">
        <f t="shared" si="82"/>
        <v/>
      </c>
      <c r="M1324" s="3" t="str">
        <f t="shared" si="84"/>
        <v>SRA29</v>
      </c>
      <c r="N1324" s="3" t="str">
        <f>CONCATENATE("BRBFNC80T04D423D")</f>
        <v>BRBFNC80T04D423D</v>
      </c>
      <c r="O1324" s="3" t="s">
        <v>1349</v>
      </c>
      <c r="P1324" s="3" t="s">
        <v>35</v>
      </c>
      <c r="Q1324" s="3" t="s">
        <v>1350</v>
      </c>
      <c r="R1324" s="4">
        <v>45931</v>
      </c>
      <c r="S1324" s="3" t="s">
        <v>37</v>
      </c>
      <c r="T1324" s="3" t="s">
        <v>38</v>
      </c>
      <c r="U1324" s="3" t="s">
        <v>39</v>
      </c>
      <c r="V1324" s="5">
        <v>13921.87</v>
      </c>
      <c r="W1324" s="5">
        <v>7030.54</v>
      </c>
      <c r="X1324" s="5">
        <v>4823.93</v>
      </c>
      <c r="Y1324" s="5">
        <v>2067.4</v>
      </c>
    </row>
    <row r="1325" spans="1:25" ht="41.5" hidden="1" x14ac:dyDescent="0.35">
      <c r="A1325" s="3" t="s">
        <v>26</v>
      </c>
      <c r="B1325" s="3" t="s">
        <v>27</v>
      </c>
      <c r="C1325" s="3" t="s">
        <v>28</v>
      </c>
      <c r="D1325" s="3" t="s">
        <v>51</v>
      </c>
      <c r="E1325" s="3" t="s">
        <v>1517</v>
      </c>
      <c r="F1325" s="3" t="s">
        <v>77</v>
      </c>
      <c r="G1325" s="3" t="s">
        <v>1518</v>
      </c>
      <c r="H1325" s="3" t="s">
        <v>32</v>
      </c>
      <c r="I1325" s="3">
        <v>2024</v>
      </c>
      <c r="J1325" s="3" t="str">
        <f>CONCATENATE("44810464709")</f>
        <v>44810464709</v>
      </c>
      <c r="K1325" s="3" t="s">
        <v>33</v>
      </c>
      <c r="L1325" s="3" t="str">
        <f t="shared" si="82"/>
        <v/>
      </c>
      <c r="M1325" s="3" t="str">
        <f t="shared" si="84"/>
        <v>SRA29</v>
      </c>
      <c r="N1325" s="3" t="str">
        <f>CONCATENATE("SLVRNI78B67I158C")</f>
        <v>SLVRNI78B67I158C</v>
      </c>
      <c r="O1325" s="3" t="s">
        <v>1942</v>
      </c>
      <c r="P1325" s="3" t="s">
        <v>35</v>
      </c>
      <c r="Q1325" s="3" t="s">
        <v>1389</v>
      </c>
      <c r="R1325" s="4">
        <v>45916</v>
      </c>
      <c r="S1325" s="3" t="s">
        <v>37</v>
      </c>
      <c r="T1325" s="3" t="s">
        <v>38</v>
      </c>
      <c r="U1325" s="3" t="s">
        <v>39</v>
      </c>
      <c r="V1325" s="3">
        <v>519.62</v>
      </c>
      <c r="W1325" s="3">
        <v>262.41000000000003</v>
      </c>
      <c r="X1325" s="3">
        <v>180.05</v>
      </c>
      <c r="Y1325" s="3">
        <v>77.16</v>
      </c>
    </row>
    <row r="1326" spans="1:25" ht="41.5" hidden="1" x14ac:dyDescent="0.35">
      <c r="A1326" s="3" t="s">
        <v>26</v>
      </c>
      <c r="B1326" s="3" t="s">
        <v>27</v>
      </c>
      <c r="C1326" s="3" t="s">
        <v>28</v>
      </c>
      <c r="D1326" s="3" t="s">
        <v>69</v>
      </c>
      <c r="E1326" s="3" t="s">
        <v>1943</v>
      </c>
      <c r="F1326" s="3" t="s">
        <v>71</v>
      </c>
      <c r="G1326" s="3" t="s">
        <v>1943</v>
      </c>
      <c r="H1326" s="3" t="s">
        <v>156</v>
      </c>
      <c r="I1326" s="3">
        <v>2024</v>
      </c>
      <c r="J1326" s="3" t="str">
        <f>CONCATENATE("44810930824")</f>
        <v>44810930824</v>
      </c>
      <c r="K1326" s="3" t="s">
        <v>33</v>
      </c>
      <c r="L1326" s="3" t="str">
        <f t="shared" si="82"/>
        <v/>
      </c>
      <c r="M1326" s="3" t="str">
        <f t="shared" si="84"/>
        <v>SRA29</v>
      </c>
      <c r="N1326" s="3" t="str">
        <f>CONCATENATE("SCRCSM41E15D422W")</f>
        <v>SCRCSM41E15D422W</v>
      </c>
      <c r="O1326" s="3" t="s">
        <v>1944</v>
      </c>
      <c r="P1326" s="3" t="s">
        <v>35</v>
      </c>
      <c r="Q1326" s="3" t="s">
        <v>1389</v>
      </c>
      <c r="R1326" s="4">
        <v>45916</v>
      </c>
      <c r="S1326" s="3" t="s">
        <v>37</v>
      </c>
      <c r="T1326" s="3" t="s">
        <v>38</v>
      </c>
      <c r="U1326" s="3" t="s">
        <v>39</v>
      </c>
      <c r="V1326" s="5">
        <v>4519.1400000000003</v>
      </c>
      <c r="W1326" s="5">
        <v>2282.17</v>
      </c>
      <c r="X1326" s="5">
        <v>1565.88</v>
      </c>
      <c r="Y1326" s="3">
        <v>671.09</v>
      </c>
    </row>
    <row r="1327" spans="1:25" ht="25.5" hidden="1" x14ac:dyDescent="0.35">
      <c r="A1327" s="3" t="s">
        <v>26</v>
      </c>
      <c r="B1327" s="3" t="s">
        <v>27</v>
      </c>
      <c r="C1327" s="3" t="s">
        <v>28</v>
      </c>
      <c r="D1327" s="3" t="s">
        <v>29</v>
      </c>
      <c r="E1327" s="3" t="s">
        <v>1827</v>
      </c>
      <c r="F1327" s="3" t="s">
        <v>31</v>
      </c>
      <c r="G1327" s="3" t="s">
        <v>1827</v>
      </c>
      <c r="H1327" s="3" t="s">
        <v>156</v>
      </c>
      <c r="I1327" s="3">
        <v>2024</v>
      </c>
      <c r="J1327" s="3" t="str">
        <f>CONCATENATE("44810475168")</f>
        <v>44810475168</v>
      </c>
      <c r="K1327" s="3" t="s">
        <v>33</v>
      </c>
      <c r="L1327" s="3" t="str">
        <f t="shared" si="82"/>
        <v/>
      </c>
      <c r="M1327" s="3" t="str">
        <f t="shared" si="84"/>
        <v>SRA29</v>
      </c>
      <c r="N1327" s="3" t="str">
        <f>CONCATENATE("02513950747")</f>
        <v>02513950747</v>
      </c>
      <c r="O1327" s="3" t="s">
        <v>1945</v>
      </c>
      <c r="P1327" s="3" t="s">
        <v>35</v>
      </c>
      <c r="Q1327" s="3" t="s">
        <v>1389</v>
      </c>
      <c r="R1327" s="4">
        <v>45916</v>
      </c>
      <c r="S1327" s="3" t="s">
        <v>37</v>
      </c>
      <c r="T1327" s="3" t="s">
        <v>38</v>
      </c>
      <c r="U1327" s="3" t="s">
        <v>39</v>
      </c>
      <c r="V1327" s="5">
        <v>11285.09</v>
      </c>
      <c r="W1327" s="5">
        <v>5698.97</v>
      </c>
      <c r="X1327" s="5">
        <v>3910.28</v>
      </c>
      <c r="Y1327" s="5">
        <v>1675.84</v>
      </c>
    </row>
    <row r="1328" spans="1:25" ht="25.5" hidden="1" x14ac:dyDescent="0.35">
      <c r="A1328" s="3" t="s">
        <v>26</v>
      </c>
      <c r="B1328" s="3" t="s">
        <v>27</v>
      </c>
      <c r="C1328" s="3" t="s">
        <v>28</v>
      </c>
      <c r="D1328" s="3" t="s">
        <v>41</v>
      </c>
      <c r="E1328" s="3" t="s">
        <v>1577</v>
      </c>
      <c r="F1328" s="3" t="s">
        <v>43</v>
      </c>
      <c r="G1328" s="3" t="s">
        <v>1577</v>
      </c>
      <c r="H1328" s="3" t="s">
        <v>72</v>
      </c>
      <c r="I1328" s="3">
        <v>2024</v>
      </c>
      <c r="J1328" s="3" t="str">
        <f>CONCATENATE("44810699676")</f>
        <v>44810699676</v>
      </c>
      <c r="K1328" s="3" t="s">
        <v>33</v>
      </c>
      <c r="L1328" s="3" t="str">
        <f t="shared" si="82"/>
        <v/>
      </c>
      <c r="M1328" s="3" t="str">
        <f t="shared" si="84"/>
        <v>SRA29</v>
      </c>
      <c r="N1328" s="3" t="str">
        <f>CONCATENATE("08067290729")</f>
        <v>08067290729</v>
      </c>
      <c r="O1328" s="3" t="s">
        <v>1946</v>
      </c>
      <c r="P1328" s="3" t="s">
        <v>35</v>
      </c>
      <c r="Q1328" s="3" t="s">
        <v>1389</v>
      </c>
      <c r="R1328" s="4">
        <v>45916</v>
      </c>
      <c r="S1328" s="3" t="s">
        <v>37</v>
      </c>
      <c r="T1328" s="3" t="s">
        <v>38</v>
      </c>
      <c r="U1328" s="3" t="s">
        <v>39</v>
      </c>
      <c r="V1328" s="3">
        <v>4.3</v>
      </c>
      <c r="W1328" s="3">
        <v>2.17</v>
      </c>
      <c r="X1328" s="3">
        <v>1.49</v>
      </c>
      <c r="Y1328" s="3">
        <v>0.64</v>
      </c>
    </row>
    <row r="1329" spans="1:25" ht="25.5" hidden="1" x14ac:dyDescent="0.35">
      <c r="A1329" s="3" t="s">
        <v>26</v>
      </c>
      <c r="B1329" s="3" t="s">
        <v>27</v>
      </c>
      <c r="C1329" s="3" t="s">
        <v>28</v>
      </c>
      <c r="D1329" s="3" t="s">
        <v>51</v>
      </c>
      <c r="E1329" s="3" t="s">
        <v>1947</v>
      </c>
      <c r="F1329" s="3" t="s">
        <v>51</v>
      </c>
      <c r="G1329" s="3" t="s">
        <v>1947</v>
      </c>
      <c r="H1329" s="3" t="s">
        <v>156</v>
      </c>
      <c r="I1329" s="3">
        <v>2024</v>
      </c>
      <c r="J1329" s="3" t="str">
        <f>CONCATENATE("44810618841")</f>
        <v>44810618841</v>
      </c>
      <c r="K1329" s="3" t="s">
        <v>33</v>
      </c>
      <c r="L1329" s="3" t="str">
        <f t="shared" si="82"/>
        <v/>
      </c>
      <c r="M1329" s="3" t="str">
        <f t="shared" si="84"/>
        <v>SRA29</v>
      </c>
      <c r="N1329" s="3" t="str">
        <f>CONCATENATE("01991840743")</f>
        <v>01991840743</v>
      </c>
      <c r="O1329" s="3" t="s">
        <v>1948</v>
      </c>
      <c r="P1329" s="3" t="s">
        <v>35</v>
      </c>
      <c r="Q1329" s="3" t="s">
        <v>1389</v>
      </c>
      <c r="R1329" s="4">
        <v>45916</v>
      </c>
      <c r="S1329" s="3" t="s">
        <v>37</v>
      </c>
      <c r="T1329" s="3" t="s">
        <v>38</v>
      </c>
      <c r="U1329" s="3" t="s">
        <v>39</v>
      </c>
      <c r="V1329" s="3">
        <v>212.85</v>
      </c>
      <c r="W1329" s="3">
        <v>107.49</v>
      </c>
      <c r="X1329" s="3">
        <v>73.75</v>
      </c>
      <c r="Y1329" s="3">
        <v>31.61</v>
      </c>
    </row>
    <row r="1330" spans="1:25" ht="41.5" hidden="1" x14ac:dyDescent="0.35">
      <c r="A1330" s="3" t="s">
        <v>26</v>
      </c>
      <c r="B1330" s="3" t="s">
        <v>27</v>
      </c>
      <c r="C1330" s="3" t="s">
        <v>28</v>
      </c>
      <c r="D1330" s="3" t="s">
        <v>51</v>
      </c>
      <c r="E1330" s="3" t="s">
        <v>1517</v>
      </c>
      <c r="F1330" s="3" t="s">
        <v>77</v>
      </c>
      <c r="G1330" s="3" t="s">
        <v>1518</v>
      </c>
      <c r="H1330" s="3" t="s">
        <v>32</v>
      </c>
      <c r="I1330" s="3">
        <v>2024</v>
      </c>
      <c r="J1330" s="3" t="str">
        <f>CONCATENATE("44810681617")</f>
        <v>44810681617</v>
      </c>
      <c r="K1330" s="3" t="s">
        <v>33</v>
      </c>
      <c r="L1330" s="3" t="str">
        <f t="shared" si="82"/>
        <v/>
      </c>
      <c r="M1330" s="3" t="str">
        <f t="shared" si="84"/>
        <v>SRA29</v>
      </c>
      <c r="N1330" s="3" t="str">
        <f>CONCATENATE("VRADNC52T05B829I")</f>
        <v>VRADNC52T05B829I</v>
      </c>
      <c r="O1330" s="3" t="s">
        <v>1949</v>
      </c>
      <c r="P1330" s="3" t="s">
        <v>35</v>
      </c>
      <c r="Q1330" s="3" t="s">
        <v>1389</v>
      </c>
      <c r="R1330" s="4">
        <v>45916</v>
      </c>
      <c r="S1330" s="3" t="s">
        <v>37</v>
      </c>
      <c r="T1330" s="3" t="s">
        <v>38</v>
      </c>
      <c r="U1330" s="3" t="s">
        <v>39</v>
      </c>
      <c r="V1330" s="5">
        <v>3929.39</v>
      </c>
      <c r="W1330" s="5">
        <v>1984.34</v>
      </c>
      <c r="X1330" s="5">
        <v>1361.53</v>
      </c>
      <c r="Y1330" s="3">
        <v>583.52</v>
      </c>
    </row>
    <row r="1331" spans="1:25" ht="41.5" hidden="1" x14ac:dyDescent="0.35">
      <c r="A1331" s="3" t="s">
        <v>26</v>
      </c>
      <c r="B1331" s="3" t="s">
        <v>27</v>
      </c>
      <c r="C1331" s="3" t="s">
        <v>80</v>
      </c>
      <c r="D1331" s="3" t="s">
        <v>41</v>
      </c>
      <c r="E1331" s="3" t="s">
        <v>1950</v>
      </c>
      <c r="F1331" s="3" t="s">
        <v>43</v>
      </c>
      <c r="G1331" s="3" t="s">
        <v>1950</v>
      </c>
      <c r="H1331" s="3" t="s">
        <v>82</v>
      </c>
      <c r="I1331" s="3">
        <v>2024</v>
      </c>
      <c r="J1331" s="3" t="str">
        <f>CONCATENATE("44811077526")</f>
        <v>44811077526</v>
      </c>
      <c r="K1331" s="3" t="s">
        <v>33</v>
      </c>
      <c r="L1331" s="3" t="str">
        <f t="shared" si="82"/>
        <v/>
      </c>
      <c r="M1331" s="3" t="str">
        <f>CONCATENATE("SRA21")</f>
        <v>SRA21</v>
      </c>
      <c r="N1331" s="3" t="str">
        <f>CONCATENATE("BRGSDR80C14D969D")</f>
        <v>BRGSDR80C14D969D</v>
      </c>
      <c r="O1331" s="3" t="s">
        <v>1951</v>
      </c>
      <c r="P1331" s="3" t="s">
        <v>35</v>
      </c>
      <c r="Q1331" s="3" t="s">
        <v>1779</v>
      </c>
      <c r="R1331" s="4">
        <v>45932</v>
      </c>
      <c r="S1331" s="3" t="s">
        <v>37</v>
      </c>
      <c r="T1331" s="3" t="s">
        <v>38</v>
      </c>
      <c r="U1331" s="3" t="s">
        <v>39</v>
      </c>
      <c r="V1331" s="3">
        <v>109.39</v>
      </c>
      <c r="W1331" s="3">
        <v>44.52</v>
      </c>
      <c r="X1331" s="3">
        <v>45.41</v>
      </c>
      <c r="Y1331" s="3">
        <v>19.46</v>
      </c>
    </row>
    <row r="1332" spans="1:25" ht="41.5" hidden="1" x14ac:dyDescent="0.35">
      <c r="A1332" s="3" t="s">
        <v>26</v>
      </c>
      <c r="B1332" s="3" t="s">
        <v>27</v>
      </c>
      <c r="C1332" s="3" t="s">
        <v>80</v>
      </c>
      <c r="D1332" s="3" t="s">
        <v>254</v>
      </c>
      <c r="E1332" s="3" t="s">
        <v>1952</v>
      </c>
      <c r="F1332" s="3" t="s">
        <v>256</v>
      </c>
      <c r="G1332" s="3" t="s">
        <v>1952</v>
      </c>
      <c r="H1332" s="3" t="s">
        <v>82</v>
      </c>
      <c r="I1332" s="3">
        <v>2024</v>
      </c>
      <c r="J1332" s="3" t="str">
        <f>CONCATENATE("44810722973")</f>
        <v>44810722973</v>
      </c>
      <c r="K1332" s="3" t="s">
        <v>33</v>
      </c>
      <c r="L1332" s="3" t="str">
        <f t="shared" si="82"/>
        <v/>
      </c>
      <c r="M1332" s="3" t="str">
        <f>CONCATENATE("SRA21")</f>
        <v>SRA21</v>
      </c>
      <c r="N1332" s="3" t="str">
        <f>CONCATENATE("SPNGNN70T22L219G")</f>
        <v>SPNGNN70T22L219G</v>
      </c>
      <c r="O1332" s="3" t="s">
        <v>1953</v>
      </c>
      <c r="P1332" s="3" t="s">
        <v>35</v>
      </c>
      <c r="Q1332" s="3" t="s">
        <v>1779</v>
      </c>
      <c r="R1332" s="4">
        <v>45932</v>
      </c>
      <c r="S1332" s="3" t="s">
        <v>37</v>
      </c>
      <c r="T1332" s="3" t="s">
        <v>38</v>
      </c>
      <c r="U1332" s="3" t="s">
        <v>39</v>
      </c>
      <c r="V1332" s="3">
        <v>78.03</v>
      </c>
      <c r="W1332" s="3">
        <v>31.76</v>
      </c>
      <c r="X1332" s="3">
        <v>32.39</v>
      </c>
      <c r="Y1332" s="3">
        <v>13.88</v>
      </c>
    </row>
    <row r="1333" spans="1:25" ht="49.5" hidden="1" x14ac:dyDescent="0.35">
      <c r="A1333" s="3" t="s">
        <v>26</v>
      </c>
      <c r="B1333" s="3" t="s">
        <v>27</v>
      </c>
      <c r="C1333" s="3" t="s">
        <v>478</v>
      </c>
      <c r="D1333" s="3" t="s">
        <v>41</v>
      </c>
      <c r="E1333" s="3" t="s">
        <v>1457</v>
      </c>
      <c r="F1333" s="3" t="s">
        <v>43</v>
      </c>
      <c r="G1333" s="3" t="s">
        <v>1457</v>
      </c>
      <c r="H1333" s="3" t="s">
        <v>614</v>
      </c>
      <c r="I1333" s="3">
        <v>2024</v>
      </c>
      <c r="J1333" s="3" t="str">
        <f>CONCATENATE("44810537645")</f>
        <v>44810537645</v>
      </c>
      <c r="K1333" s="3" t="s">
        <v>33</v>
      </c>
      <c r="L1333" s="3" t="str">
        <f t="shared" si="82"/>
        <v/>
      </c>
      <c r="M1333" s="3" t="str">
        <f>CONCATENATE("SRA30")</f>
        <v>SRA30</v>
      </c>
      <c r="N1333" s="3" t="str">
        <f>CONCATENATE("DMIGPP69B22G596G")</f>
        <v>DMIGPP69B22G596G</v>
      </c>
      <c r="O1333" s="3" t="s">
        <v>1954</v>
      </c>
      <c r="P1333" s="3" t="s">
        <v>35</v>
      </c>
      <c r="Q1333" s="3" t="s">
        <v>1762</v>
      </c>
      <c r="R1333" s="4">
        <v>45933</v>
      </c>
      <c r="S1333" s="3" t="s">
        <v>37</v>
      </c>
      <c r="T1333" s="3" t="s">
        <v>38</v>
      </c>
      <c r="U1333" s="3" t="s">
        <v>39</v>
      </c>
      <c r="V1333" s="5">
        <v>16272.71</v>
      </c>
      <c r="W1333" s="5">
        <v>8217.7199999999993</v>
      </c>
      <c r="X1333" s="5">
        <v>5638.49</v>
      </c>
      <c r="Y1333" s="5">
        <v>2416.5</v>
      </c>
    </row>
    <row r="1334" spans="1:25" ht="41.5" hidden="1" x14ac:dyDescent="0.35">
      <c r="A1334" s="3" t="s">
        <v>26</v>
      </c>
      <c r="B1334" s="3" t="s">
        <v>27</v>
      </c>
      <c r="C1334" s="3" t="s">
        <v>470</v>
      </c>
      <c r="D1334" s="3" t="s">
        <v>41</v>
      </c>
      <c r="E1334" s="3" t="s">
        <v>1501</v>
      </c>
      <c r="F1334" s="3" t="s">
        <v>43</v>
      </c>
      <c r="G1334" s="3" t="s">
        <v>1501</v>
      </c>
      <c r="H1334" s="3" t="s">
        <v>472</v>
      </c>
      <c r="I1334" s="3">
        <v>2024</v>
      </c>
      <c r="J1334" s="3" t="str">
        <f>CONCATENATE("44810499077")</f>
        <v>44810499077</v>
      </c>
      <c r="K1334" s="3" t="s">
        <v>33</v>
      </c>
      <c r="L1334" s="3" t="str">
        <f t="shared" si="82"/>
        <v/>
      </c>
      <c r="M1334" s="3" t="str">
        <f>CONCATENATE("SRA29")</f>
        <v>SRA29</v>
      </c>
      <c r="N1334" s="3" t="str">
        <f>CONCATENATE("BRBNLC90S62I954T")</f>
        <v>BRBNLC90S62I954T</v>
      </c>
      <c r="O1334" s="3" t="s">
        <v>1955</v>
      </c>
      <c r="P1334" s="3" t="s">
        <v>35</v>
      </c>
      <c r="Q1334" s="3" t="s">
        <v>1793</v>
      </c>
      <c r="R1334" s="4">
        <v>45916</v>
      </c>
      <c r="S1334" s="3" t="s">
        <v>37</v>
      </c>
      <c r="T1334" s="3" t="s">
        <v>38</v>
      </c>
      <c r="U1334" s="3" t="s">
        <v>39</v>
      </c>
      <c r="V1334" s="5">
        <v>4307.8999999999996</v>
      </c>
      <c r="W1334" s="5">
        <v>2175.4899999999998</v>
      </c>
      <c r="X1334" s="5">
        <v>1492.69</v>
      </c>
      <c r="Y1334" s="3">
        <v>639.72</v>
      </c>
    </row>
    <row r="1335" spans="1:25" ht="25.5" hidden="1" x14ac:dyDescent="0.35">
      <c r="A1335" s="3" t="s">
        <v>26</v>
      </c>
      <c r="B1335" s="3" t="s">
        <v>27</v>
      </c>
      <c r="C1335" s="3" t="s">
        <v>28</v>
      </c>
      <c r="D1335" s="3" t="s">
        <v>29</v>
      </c>
      <c r="E1335" s="3" t="s">
        <v>1410</v>
      </c>
      <c r="F1335" s="3" t="s">
        <v>31</v>
      </c>
      <c r="G1335" s="3" t="s">
        <v>1410</v>
      </c>
      <c r="H1335" s="3" t="s">
        <v>866</v>
      </c>
      <c r="I1335" s="3">
        <v>2024</v>
      </c>
      <c r="J1335" s="3" t="str">
        <f>CONCATENATE("44810487544")</f>
        <v>44810487544</v>
      </c>
      <c r="K1335" s="3" t="s">
        <v>33</v>
      </c>
      <c r="L1335" s="3" t="str">
        <f t="shared" si="82"/>
        <v/>
      </c>
      <c r="M1335" s="3" t="str">
        <f>CONCATENATE("SRA24")</f>
        <v>SRA24</v>
      </c>
      <c r="N1335" s="3" t="str">
        <f>CONCATENATE("07052820722")</f>
        <v>07052820722</v>
      </c>
      <c r="O1335" s="3" t="s">
        <v>1956</v>
      </c>
      <c r="P1335" s="3" t="s">
        <v>35</v>
      </c>
      <c r="Q1335" s="3" t="s">
        <v>1879</v>
      </c>
      <c r="R1335" s="4">
        <v>45926</v>
      </c>
      <c r="S1335" s="3" t="s">
        <v>37</v>
      </c>
      <c r="T1335" s="3" t="s">
        <v>38</v>
      </c>
      <c r="U1335" s="3" t="s">
        <v>39</v>
      </c>
      <c r="V1335" s="5">
        <v>56348.05</v>
      </c>
      <c r="W1335" s="5">
        <v>28455.77</v>
      </c>
      <c r="X1335" s="5">
        <v>19524.599999999999</v>
      </c>
      <c r="Y1335" s="5">
        <v>8367.68</v>
      </c>
    </row>
    <row r="1336" spans="1:25" ht="41.5" hidden="1" x14ac:dyDescent="0.35">
      <c r="A1336" s="3" t="s">
        <v>26</v>
      </c>
      <c r="B1336" s="3" t="s">
        <v>27</v>
      </c>
      <c r="C1336" s="3" t="s">
        <v>478</v>
      </c>
      <c r="D1336" s="3" t="s">
        <v>75</v>
      </c>
      <c r="E1336" s="3" t="s">
        <v>582</v>
      </c>
      <c r="F1336" s="3" t="s">
        <v>77</v>
      </c>
      <c r="G1336" s="3" t="s">
        <v>582</v>
      </c>
      <c r="H1336" s="3" t="s">
        <v>614</v>
      </c>
      <c r="I1336" s="3">
        <v>2024</v>
      </c>
      <c r="J1336" s="3" t="str">
        <f>CONCATENATE("44811405370")</f>
        <v>44811405370</v>
      </c>
      <c r="K1336" s="3" t="s">
        <v>33</v>
      </c>
      <c r="L1336" s="3" t="str">
        <f t="shared" si="82"/>
        <v/>
      </c>
      <c r="M1336" s="3" t="str">
        <f t="shared" ref="M1336:M1341" si="85">CONCATENATE("SRA30")</f>
        <v>SRA30</v>
      </c>
      <c r="N1336" s="3" t="str">
        <f>CONCATENATE("LDNGRG76R23A783P")</f>
        <v>LDNGRG76R23A783P</v>
      </c>
      <c r="O1336" s="3" t="s">
        <v>1957</v>
      </c>
      <c r="P1336" s="3" t="s">
        <v>35</v>
      </c>
      <c r="Q1336" s="3" t="s">
        <v>1762</v>
      </c>
      <c r="R1336" s="4">
        <v>45933</v>
      </c>
      <c r="S1336" s="3" t="s">
        <v>37</v>
      </c>
      <c r="T1336" s="3" t="s">
        <v>38</v>
      </c>
      <c r="U1336" s="3" t="s">
        <v>39</v>
      </c>
      <c r="V1336" s="5">
        <v>9758.5499999999993</v>
      </c>
      <c r="W1336" s="5">
        <v>4928.07</v>
      </c>
      <c r="X1336" s="5">
        <v>3381.34</v>
      </c>
      <c r="Y1336" s="5">
        <v>1449.14</v>
      </c>
    </row>
    <row r="1337" spans="1:25" ht="41.5" hidden="1" x14ac:dyDescent="0.35">
      <c r="A1337" s="3" t="s">
        <v>26</v>
      </c>
      <c r="B1337" s="3" t="s">
        <v>27</v>
      </c>
      <c r="C1337" s="3" t="s">
        <v>478</v>
      </c>
      <c r="D1337" s="3" t="s">
        <v>75</v>
      </c>
      <c r="E1337" s="3" t="s">
        <v>582</v>
      </c>
      <c r="F1337" s="3" t="s">
        <v>77</v>
      </c>
      <c r="G1337" s="3" t="s">
        <v>582</v>
      </c>
      <c r="H1337" s="3" t="s">
        <v>614</v>
      </c>
      <c r="I1337" s="3">
        <v>2024</v>
      </c>
      <c r="J1337" s="3" t="str">
        <f>CONCATENATE("44810892792")</f>
        <v>44810892792</v>
      </c>
      <c r="K1337" s="3" t="s">
        <v>33</v>
      </c>
      <c r="L1337" s="3" t="str">
        <f t="shared" si="82"/>
        <v/>
      </c>
      <c r="M1337" s="3" t="str">
        <f t="shared" si="85"/>
        <v>SRA30</v>
      </c>
      <c r="N1337" s="3" t="str">
        <f>CONCATENATE("ZLLLSS91T23A783A")</f>
        <v>ZLLLSS91T23A783A</v>
      </c>
      <c r="O1337" s="3" t="s">
        <v>1958</v>
      </c>
      <c r="P1337" s="3" t="s">
        <v>35</v>
      </c>
      <c r="Q1337" s="3" t="s">
        <v>1762</v>
      </c>
      <c r="R1337" s="4">
        <v>45933</v>
      </c>
      <c r="S1337" s="3" t="s">
        <v>37</v>
      </c>
      <c r="T1337" s="3" t="s">
        <v>38</v>
      </c>
      <c r="U1337" s="3" t="s">
        <v>39</v>
      </c>
      <c r="V1337" s="5">
        <v>13197.23</v>
      </c>
      <c r="W1337" s="5">
        <v>6664.6</v>
      </c>
      <c r="X1337" s="5">
        <v>4572.84</v>
      </c>
      <c r="Y1337" s="5">
        <v>1959.79</v>
      </c>
    </row>
    <row r="1338" spans="1:25" ht="49.5" hidden="1" x14ac:dyDescent="0.35">
      <c r="A1338" s="3" t="s">
        <v>26</v>
      </c>
      <c r="B1338" s="3" t="s">
        <v>27</v>
      </c>
      <c r="C1338" s="3" t="s">
        <v>478</v>
      </c>
      <c r="D1338" s="3" t="s">
        <v>75</v>
      </c>
      <c r="E1338" s="3" t="s">
        <v>582</v>
      </c>
      <c r="F1338" s="3" t="s">
        <v>77</v>
      </c>
      <c r="G1338" s="3" t="s">
        <v>582</v>
      </c>
      <c r="H1338" s="3" t="s">
        <v>614</v>
      </c>
      <c r="I1338" s="3">
        <v>2024</v>
      </c>
      <c r="J1338" s="3" t="str">
        <f>CONCATENATE("44811454931")</f>
        <v>44811454931</v>
      </c>
      <c r="K1338" s="3" t="s">
        <v>33</v>
      </c>
      <c r="L1338" s="3" t="str">
        <f t="shared" si="82"/>
        <v/>
      </c>
      <c r="M1338" s="3" t="str">
        <f t="shared" si="85"/>
        <v>SRA30</v>
      </c>
      <c r="N1338" s="3" t="str">
        <f>CONCATENATE("MRCSNT79M51A783W")</f>
        <v>MRCSNT79M51A783W</v>
      </c>
      <c r="O1338" s="3" t="s">
        <v>1959</v>
      </c>
      <c r="P1338" s="3" t="s">
        <v>35</v>
      </c>
      <c r="Q1338" s="3" t="s">
        <v>1762</v>
      </c>
      <c r="R1338" s="4">
        <v>45933</v>
      </c>
      <c r="S1338" s="3" t="s">
        <v>37</v>
      </c>
      <c r="T1338" s="3" t="s">
        <v>38</v>
      </c>
      <c r="U1338" s="3" t="s">
        <v>39</v>
      </c>
      <c r="V1338" s="3">
        <v>845.38</v>
      </c>
      <c r="W1338" s="3">
        <v>426.92</v>
      </c>
      <c r="X1338" s="3">
        <v>292.92</v>
      </c>
      <c r="Y1338" s="3">
        <v>125.54</v>
      </c>
    </row>
    <row r="1339" spans="1:25" ht="41.5" hidden="1" x14ac:dyDescent="0.35">
      <c r="A1339" s="3" t="s">
        <v>26</v>
      </c>
      <c r="B1339" s="3" t="s">
        <v>27</v>
      </c>
      <c r="C1339" s="3" t="s">
        <v>478</v>
      </c>
      <c r="D1339" s="3" t="s">
        <v>29</v>
      </c>
      <c r="E1339" s="3" t="s">
        <v>1078</v>
      </c>
      <c r="F1339" s="3" t="s">
        <v>31</v>
      </c>
      <c r="G1339" s="3" t="s">
        <v>1078</v>
      </c>
      <c r="H1339" s="3" t="s">
        <v>614</v>
      </c>
      <c r="I1339" s="3">
        <v>2024</v>
      </c>
      <c r="J1339" s="3" t="str">
        <f>CONCATENATE("44810507309")</f>
        <v>44810507309</v>
      </c>
      <c r="K1339" s="3" t="s">
        <v>33</v>
      </c>
      <c r="L1339" s="3" t="str">
        <f t="shared" si="82"/>
        <v/>
      </c>
      <c r="M1339" s="3" t="str">
        <f t="shared" si="85"/>
        <v>SRA30</v>
      </c>
      <c r="N1339" s="3" t="str">
        <f>CONCATENATE("PCFMTT76B11A783P")</f>
        <v>PCFMTT76B11A783P</v>
      </c>
      <c r="O1339" s="3" t="s">
        <v>1960</v>
      </c>
      <c r="P1339" s="3" t="s">
        <v>35</v>
      </c>
      <c r="Q1339" s="3" t="s">
        <v>1762</v>
      </c>
      <c r="R1339" s="4">
        <v>45933</v>
      </c>
      <c r="S1339" s="3" t="s">
        <v>37</v>
      </c>
      <c r="T1339" s="3" t="s">
        <v>38</v>
      </c>
      <c r="U1339" s="3" t="s">
        <v>39</v>
      </c>
      <c r="V1339" s="5">
        <v>8332.9500000000007</v>
      </c>
      <c r="W1339" s="5">
        <v>4208.1400000000003</v>
      </c>
      <c r="X1339" s="5">
        <v>2887.37</v>
      </c>
      <c r="Y1339" s="5">
        <v>1237.44</v>
      </c>
    </row>
    <row r="1340" spans="1:25" ht="41.5" hidden="1" x14ac:dyDescent="0.35">
      <c r="A1340" s="3" t="s">
        <v>26</v>
      </c>
      <c r="B1340" s="3" t="s">
        <v>27</v>
      </c>
      <c r="C1340" s="3" t="s">
        <v>478</v>
      </c>
      <c r="D1340" s="3" t="s">
        <v>41</v>
      </c>
      <c r="E1340" s="3" t="s">
        <v>1334</v>
      </c>
      <c r="F1340" s="3" t="s">
        <v>43</v>
      </c>
      <c r="G1340" s="3" t="s">
        <v>1334</v>
      </c>
      <c r="H1340" s="3" t="s">
        <v>614</v>
      </c>
      <c r="I1340" s="3">
        <v>2024</v>
      </c>
      <c r="J1340" s="3" t="str">
        <f>CONCATENATE("44810192755")</f>
        <v>44810192755</v>
      </c>
      <c r="K1340" s="3" t="s">
        <v>33</v>
      </c>
      <c r="L1340" s="3" t="str">
        <f t="shared" si="82"/>
        <v/>
      </c>
      <c r="M1340" s="3" t="str">
        <f t="shared" si="85"/>
        <v>SRA30</v>
      </c>
      <c r="N1340" s="3" t="str">
        <f>CONCATENATE("PRDGNN82E28A783T")</f>
        <v>PRDGNN82E28A783T</v>
      </c>
      <c r="O1340" s="3" t="s">
        <v>1961</v>
      </c>
      <c r="P1340" s="3" t="s">
        <v>35</v>
      </c>
      <c r="Q1340" s="3" t="s">
        <v>1762</v>
      </c>
      <c r="R1340" s="4">
        <v>45933</v>
      </c>
      <c r="S1340" s="3" t="s">
        <v>37</v>
      </c>
      <c r="T1340" s="3" t="s">
        <v>38</v>
      </c>
      <c r="U1340" s="3" t="s">
        <v>39</v>
      </c>
      <c r="V1340" s="5">
        <v>20542.2</v>
      </c>
      <c r="W1340" s="5">
        <v>10373.81</v>
      </c>
      <c r="X1340" s="5">
        <v>7117.87</v>
      </c>
      <c r="Y1340" s="5">
        <v>3050.52</v>
      </c>
    </row>
    <row r="1341" spans="1:25" ht="41.5" hidden="1" x14ac:dyDescent="0.35">
      <c r="A1341" s="3" t="s">
        <v>26</v>
      </c>
      <c r="B1341" s="3" t="s">
        <v>27</v>
      </c>
      <c r="C1341" s="3" t="s">
        <v>478</v>
      </c>
      <c r="D1341" s="3" t="s">
        <v>41</v>
      </c>
      <c r="E1341" s="3" t="s">
        <v>1334</v>
      </c>
      <c r="F1341" s="3" t="s">
        <v>43</v>
      </c>
      <c r="G1341" s="3" t="s">
        <v>1334</v>
      </c>
      <c r="H1341" s="3" t="s">
        <v>614</v>
      </c>
      <c r="I1341" s="3">
        <v>2024</v>
      </c>
      <c r="J1341" s="3" t="str">
        <f>CONCATENATE("44810193191")</f>
        <v>44810193191</v>
      </c>
      <c r="K1341" s="3" t="s">
        <v>33</v>
      </c>
      <c r="L1341" s="3" t="str">
        <f t="shared" si="82"/>
        <v/>
      </c>
      <c r="M1341" s="3" t="str">
        <f t="shared" si="85"/>
        <v>SRA30</v>
      </c>
      <c r="N1341" s="3" t="str">
        <f>CONCATENATE("ZLLSNT74M52H898Q")</f>
        <v>ZLLSNT74M52H898Q</v>
      </c>
      <c r="O1341" s="3" t="s">
        <v>1962</v>
      </c>
      <c r="P1341" s="3" t="s">
        <v>35</v>
      </c>
      <c r="Q1341" s="3" t="s">
        <v>1762</v>
      </c>
      <c r="R1341" s="4">
        <v>45933</v>
      </c>
      <c r="S1341" s="3" t="s">
        <v>37</v>
      </c>
      <c r="T1341" s="3" t="s">
        <v>38</v>
      </c>
      <c r="U1341" s="3" t="s">
        <v>39</v>
      </c>
      <c r="V1341" s="5">
        <v>6208.81</v>
      </c>
      <c r="W1341" s="5">
        <v>3135.45</v>
      </c>
      <c r="X1341" s="5">
        <v>2151.35</v>
      </c>
      <c r="Y1341" s="3">
        <v>922.01</v>
      </c>
    </row>
    <row r="1342" spans="1:25" ht="41.5" hidden="1" x14ac:dyDescent="0.35">
      <c r="A1342" s="3" t="s">
        <v>26</v>
      </c>
      <c r="B1342" s="3" t="s">
        <v>27</v>
      </c>
      <c r="C1342" s="3" t="s">
        <v>658</v>
      </c>
      <c r="D1342" s="3" t="s">
        <v>41</v>
      </c>
      <c r="E1342" s="3" t="s">
        <v>659</v>
      </c>
      <c r="F1342" s="3" t="s">
        <v>43</v>
      </c>
      <c r="G1342" s="3" t="s">
        <v>659</v>
      </c>
      <c r="H1342" s="3" t="s">
        <v>660</v>
      </c>
      <c r="I1342" s="3">
        <v>2024</v>
      </c>
      <c r="J1342" s="3" t="str">
        <f>CONCATENATE("44810983518")</f>
        <v>44810983518</v>
      </c>
      <c r="K1342" s="3" t="s">
        <v>33</v>
      </c>
      <c r="L1342" s="3" t="str">
        <f t="shared" si="82"/>
        <v/>
      </c>
      <c r="M1342" s="3" t="str">
        <f t="shared" ref="M1342:M1375" si="86">CONCATENATE("SRA29")</f>
        <v>SRA29</v>
      </c>
      <c r="N1342" s="3" t="str">
        <f>CONCATENATE("CNSDEI81C17E379C")</f>
        <v>CNSDEI81C17E379C</v>
      </c>
      <c r="O1342" s="3" t="s">
        <v>1963</v>
      </c>
      <c r="P1342" s="3" t="s">
        <v>35</v>
      </c>
      <c r="Q1342" s="3" t="s">
        <v>1786</v>
      </c>
      <c r="R1342" s="4">
        <v>45926</v>
      </c>
      <c r="S1342" s="3" t="s">
        <v>37</v>
      </c>
      <c r="T1342" s="3" t="s">
        <v>38</v>
      </c>
      <c r="U1342" s="3" t="s">
        <v>39</v>
      </c>
      <c r="V1342" s="5">
        <v>5964.85</v>
      </c>
      <c r="W1342" s="5">
        <v>2427.69</v>
      </c>
      <c r="X1342" s="5">
        <v>2476.0100000000002</v>
      </c>
      <c r="Y1342" s="5">
        <v>1061.1500000000001</v>
      </c>
    </row>
    <row r="1343" spans="1:25" ht="41.5" hidden="1" x14ac:dyDescent="0.35">
      <c r="A1343" s="3" t="s">
        <v>26</v>
      </c>
      <c r="B1343" s="3" t="s">
        <v>27</v>
      </c>
      <c r="C1343" s="3" t="s">
        <v>658</v>
      </c>
      <c r="D1343" s="3" t="s">
        <v>41</v>
      </c>
      <c r="E1343" s="3" t="s">
        <v>1964</v>
      </c>
      <c r="F1343" s="3" t="s">
        <v>43</v>
      </c>
      <c r="G1343" s="3" t="s">
        <v>1964</v>
      </c>
      <c r="H1343" s="3" t="s">
        <v>660</v>
      </c>
      <c r="I1343" s="3">
        <v>2024</v>
      </c>
      <c r="J1343" s="3" t="str">
        <f>CONCATENATE("44810725257")</f>
        <v>44810725257</v>
      </c>
      <c r="K1343" s="3" t="s">
        <v>33</v>
      </c>
      <c r="L1343" s="3" t="str">
        <f t="shared" si="82"/>
        <v/>
      </c>
      <c r="M1343" s="3" t="str">
        <f t="shared" si="86"/>
        <v>SRA29</v>
      </c>
      <c r="N1343" s="3" t="str">
        <f>CONCATENATE("GRDDRN67T64A326I")</f>
        <v>GRDDRN67T64A326I</v>
      </c>
      <c r="O1343" s="3" t="s">
        <v>1965</v>
      </c>
      <c r="P1343" s="3" t="s">
        <v>35</v>
      </c>
      <c r="Q1343" s="3" t="s">
        <v>1786</v>
      </c>
      <c r="R1343" s="4">
        <v>45926</v>
      </c>
      <c r="S1343" s="3" t="s">
        <v>37</v>
      </c>
      <c r="T1343" s="3" t="s">
        <v>38</v>
      </c>
      <c r="U1343" s="3" t="s">
        <v>39</v>
      </c>
      <c r="V1343" s="3">
        <v>396.51</v>
      </c>
      <c r="W1343" s="3">
        <v>161.38</v>
      </c>
      <c r="X1343" s="3">
        <v>164.59</v>
      </c>
      <c r="Y1343" s="3">
        <v>70.540000000000006</v>
      </c>
    </row>
    <row r="1344" spans="1:25" ht="41.5" hidden="1" x14ac:dyDescent="0.35">
      <c r="A1344" s="3" t="s">
        <v>26</v>
      </c>
      <c r="B1344" s="3" t="s">
        <v>27</v>
      </c>
      <c r="C1344" s="3" t="s">
        <v>658</v>
      </c>
      <c r="D1344" s="3" t="s">
        <v>254</v>
      </c>
      <c r="E1344" s="3" t="s">
        <v>962</v>
      </c>
      <c r="F1344" s="3" t="s">
        <v>256</v>
      </c>
      <c r="G1344" s="3" t="s">
        <v>962</v>
      </c>
      <c r="H1344" s="3" t="s">
        <v>660</v>
      </c>
      <c r="I1344" s="3">
        <v>2024</v>
      </c>
      <c r="J1344" s="3" t="str">
        <f>CONCATENATE("44810923167")</f>
        <v>44810923167</v>
      </c>
      <c r="K1344" s="3" t="s">
        <v>33</v>
      </c>
      <c r="L1344" s="3" t="str">
        <f t="shared" si="82"/>
        <v/>
      </c>
      <c r="M1344" s="3" t="str">
        <f t="shared" si="86"/>
        <v>SRA29</v>
      </c>
      <c r="N1344" s="3" t="str">
        <f>CONCATENATE("GLUWLM76L22A326I")</f>
        <v>GLUWLM76L22A326I</v>
      </c>
      <c r="O1344" s="3" t="s">
        <v>1966</v>
      </c>
      <c r="P1344" s="3" t="s">
        <v>35</v>
      </c>
      <c r="Q1344" s="3" t="s">
        <v>1786</v>
      </c>
      <c r="R1344" s="4">
        <v>45926</v>
      </c>
      <c r="S1344" s="3" t="s">
        <v>37</v>
      </c>
      <c r="T1344" s="3" t="s">
        <v>38</v>
      </c>
      <c r="U1344" s="3" t="s">
        <v>39</v>
      </c>
      <c r="V1344" s="5">
        <v>6218.95</v>
      </c>
      <c r="W1344" s="5">
        <v>2531.11</v>
      </c>
      <c r="X1344" s="5">
        <v>2581.4899999999998</v>
      </c>
      <c r="Y1344" s="5">
        <v>1106.3499999999999</v>
      </c>
    </row>
    <row r="1345" spans="1:25" ht="25.5" hidden="1" x14ac:dyDescent="0.35">
      <c r="A1345" s="3" t="s">
        <v>26</v>
      </c>
      <c r="B1345" s="3" t="s">
        <v>27</v>
      </c>
      <c r="C1345" s="3" t="s">
        <v>658</v>
      </c>
      <c r="D1345" s="3" t="s">
        <v>29</v>
      </c>
      <c r="E1345" s="3" t="s">
        <v>965</v>
      </c>
      <c r="F1345" s="3" t="s">
        <v>31</v>
      </c>
      <c r="G1345" s="3" t="s">
        <v>965</v>
      </c>
      <c r="H1345" s="3" t="s">
        <v>660</v>
      </c>
      <c r="I1345" s="3">
        <v>2024</v>
      </c>
      <c r="J1345" s="3" t="str">
        <f>CONCATENATE("44810653582")</f>
        <v>44810653582</v>
      </c>
      <c r="K1345" s="3" t="s">
        <v>33</v>
      </c>
      <c r="L1345" s="3" t="str">
        <f t="shared" si="82"/>
        <v/>
      </c>
      <c r="M1345" s="3" t="str">
        <f t="shared" si="86"/>
        <v>SRA29</v>
      </c>
      <c r="N1345" s="3" t="str">
        <f>CONCATENATE("00627540073")</f>
        <v>00627540073</v>
      </c>
      <c r="O1345" s="3" t="s">
        <v>1967</v>
      </c>
      <c r="P1345" s="3" t="s">
        <v>35</v>
      </c>
      <c r="Q1345" s="3" t="s">
        <v>1786</v>
      </c>
      <c r="R1345" s="4">
        <v>45926</v>
      </c>
      <c r="S1345" s="3" t="s">
        <v>37</v>
      </c>
      <c r="T1345" s="3" t="s">
        <v>38</v>
      </c>
      <c r="U1345" s="3" t="s">
        <v>39</v>
      </c>
      <c r="V1345" s="3">
        <v>5.36</v>
      </c>
      <c r="W1345" s="3">
        <v>2.1800000000000002</v>
      </c>
      <c r="X1345" s="3">
        <v>2.2200000000000002</v>
      </c>
      <c r="Y1345" s="3">
        <v>0.96</v>
      </c>
    </row>
    <row r="1346" spans="1:25" ht="25.5" hidden="1" x14ac:dyDescent="0.35">
      <c r="A1346" s="3" t="s">
        <v>26</v>
      </c>
      <c r="B1346" s="3" t="s">
        <v>27</v>
      </c>
      <c r="C1346" s="3" t="s">
        <v>658</v>
      </c>
      <c r="D1346" s="3" t="s">
        <v>41</v>
      </c>
      <c r="E1346" s="3" t="s">
        <v>1497</v>
      </c>
      <c r="F1346" s="3" t="s">
        <v>43</v>
      </c>
      <c r="G1346" s="3" t="s">
        <v>1497</v>
      </c>
      <c r="H1346" s="3" t="s">
        <v>660</v>
      </c>
      <c r="I1346" s="3">
        <v>2024</v>
      </c>
      <c r="J1346" s="3" t="str">
        <f>CONCATENATE("44810753218")</f>
        <v>44810753218</v>
      </c>
      <c r="K1346" s="3" t="s">
        <v>33</v>
      </c>
      <c r="L1346" s="3" t="str">
        <f t="shared" si="82"/>
        <v/>
      </c>
      <c r="M1346" s="3" t="str">
        <f t="shared" si="86"/>
        <v>SRA29</v>
      </c>
      <c r="N1346" s="3" t="str">
        <f>CONCATENATE("00415990076")</f>
        <v>00415990076</v>
      </c>
      <c r="O1346" s="3" t="s">
        <v>1968</v>
      </c>
      <c r="P1346" s="3" t="s">
        <v>35</v>
      </c>
      <c r="Q1346" s="3" t="s">
        <v>1786</v>
      </c>
      <c r="R1346" s="4">
        <v>45926</v>
      </c>
      <c r="S1346" s="3" t="s">
        <v>37</v>
      </c>
      <c r="T1346" s="3" t="s">
        <v>38</v>
      </c>
      <c r="U1346" s="3" t="s">
        <v>39</v>
      </c>
      <c r="V1346" s="3">
        <v>915.87</v>
      </c>
      <c r="W1346" s="3">
        <v>372.76</v>
      </c>
      <c r="X1346" s="3">
        <v>380.18</v>
      </c>
      <c r="Y1346" s="3">
        <v>162.93</v>
      </c>
    </row>
    <row r="1347" spans="1:25" ht="41.5" hidden="1" x14ac:dyDescent="0.35">
      <c r="A1347" s="3" t="s">
        <v>26</v>
      </c>
      <c r="B1347" s="3" t="s">
        <v>27</v>
      </c>
      <c r="C1347" s="3" t="s">
        <v>658</v>
      </c>
      <c r="D1347" s="3" t="s">
        <v>254</v>
      </c>
      <c r="E1347" s="3" t="s">
        <v>962</v>
      </c>
      <c r="F1347" s="3" t="s">
        <v>256</v>
      </c>
      <c r="G1347" s="3" t="s">
        <v>962</v>
      </c>
      <c r="H1347" s="3" t="s">
        <v>660</v>
      </c>
      <c r="I1347" s="3">
        <v>2024</v>
      </c>
      <c r="J1347" s="3" t="str">
        <f>CONCATENATE("44810990133")</f>
        <v>44810990133</v>
      </c>
      <c r="K1347" s="3" t="s">
        <v>33</v>
      </c>
      <c r="L1347" s="3" t="str">
        <f t="shared" si="82"/>
        <v/>
      </c>
      <c r="M1347" s="3" t="str">
        <f t="shared" si="86"/>
        <v>SRA29</v>
      </c>
      <c r="N1347" s="3" t="str">
        <f>CONCATENATE("LTTGDU56T01A326X")</f>
        <v>LTTGDU56T01A326X</v>
      </c>
      <c r="O1347" s="3" t="s">
        <v>1969</v>
      </c>
      <c r="P1347" s="3" t="s">
        <v>35</v>
      </c>
      <c r="Q1347" s="3" t="s">
        <v>1786</v>
      </c>
      <c r="R1347" s="4">
        <v>45926</v>
      </c>
      <c r="S1347" s="3" t="s">
        <v>37</v>
      </c>
      <c r="T1347" s="3" t="s">
        <v>38</v>
      </c>
      <c r="U1347" s="3" t="s">
        <v>39</v>
      </c>
      <c r="V1347" s="5">
        <v>5890.41</v>
      </c>
      <c r="W1347" s="5">
        <v>2397.4</v>
      </c>
      <c r="X1347" s="5">
        <v>2445.11</v>
      </c>
      <c r="Y1347" s="5">
        <v>1047.9000000000001</v>
      </c>
    </row>
    <row r="1348" spans="1:25" ht="41.5" hidden="1" x14ac:dyDescent="0.35">
      <c r="A1348" s="3" t="s">
        <v>26</v>
      </c>
      <c r="B1348" s="3" t="s">
        <v>27</v>
      </c>
      <c r="C1348" s="3" t="s">
        <v>470</v>
      </c>
      <c r="D1348" s="3" t="s">
        <v>29</v>
      </c>
      <c r="E1348" s="3" t="s">
        <v>475</v>
      </c>
      <c r="F1348" s="3" t="s">
        <v>31</v>
      </c>
      <c r="G1348" s="3" t="s">
        <v>475</v>
      </c>
      <c r="H1348" s="3" t="s">
        <v>472</v>
      </c>
      <c r="I1348" s="3">
        <v>2024</v>
      </c>
      <c r="J1348" s="3" t="str">
        <f>CONCATENATE("44810815884")</f>
        <v>44810815884</v>
      </c>
      <c r="K1348" s="3" t="s">
        <v>33</v>
      </c>
      <c r="L1348" s="3" t="str">
        <f t="shared" ref="L1348:L1411" si="87">CONCATENATE("")</f>
        <v/>
      </c>
      <c r="M1348" s="3" t="str">
        <f t="shared" si="86"/>
        <v>SRA29</v>
      </c>
      <c r="N1348" s="3" t="str">
        <f>CONCATENATE("CPLNLC97E55I954L")</f>
        <v>CPLNLC97E55I954L</v>
      </c>
      <c r="O1348" s="3" t="s">
        <v>1970</v>
      </c>
      <c r="P1348" s="3" t="s">
        <v>35</v>
      </c>
      <c r="Q1348" s="3" t="s">
        <v>1793</v>
      </c>
      <c r="R1348" s="4">
        <v>45916</v>
      </c>
      <c r="S1348" s="3" t="s">
        <v>37</v>
      </c>
      <c r="T1348" s="3" t="s">
        <v>38</v>
      </c>
      <c r="U1348" s="3" t="s">
        <v>39</v>
      </c>
      <c r="V1348" s="3">
        <v>719.02</v>
      </c>
      <c r="W1348" s="3">
        <v>363.11</v>
      </c>
      <c r="X1348" s="3">
        <v>249.14</v>
      </c>
      <c r="Y1348" s="3">
        <v>106.77</v>
      </c>
    </row>
    <row r="1349" spans="1:25" ht="41.5" hidden="1" x14ac:dyDescent="0.35">
      <c r="A1349" s="3" t="s">
        <v>26</v>
      </c>
      <c r="B1349" s="3" t="s">
        <v>27</v>
      </c>
      <c r="C1349" s="3" t="s">
        <v>470</v>
      </c>
      <c r="D1349" s="3" t="s">
        <v>41</v>
      </c>
      <c r="E1349" s="3" t="s">
        <v>675</v>
      </c>
      <c r="F1349" s="3" t="s">
        <v>43</v>
      </c>
      <c r="G1349" s="3" t="s">
        <v>675</v>
      </c>
      <c r="H1349" s="3" t="s">
        <v>472</v>
      </c>
      <c r="I1349" s="3">
        <v>2024</v>
      </c>
      <c r="J1349" s="3" t="str">
        <f>CONCATENATE("44810091908")</f>
        <v>44810091908</v>
      </c>
      <c r="K1349" s="3" t="s">
        <v>33</v>
      </c>
      <c r="L1349" s="3" t="str">
        <f t="shared" si="87"/>
        <v/>
      </c>
      <c r="M1349" s="3" t="str">
        <f t="shared" si="86"/>
        <v>SRA29</v>
      </c>
      <c r="N1349" s="3" t="str">
        <f>CONCATENATE("CVTRCC93T28G942D")</f>
        <v>CVTRCC93T28G942D</v>
      </c>
      <c r="O1349" s="3" t="s">
        <v>1971</v>
      </c>
      <c r="P1349" s="3" t="s">
        <v>35</v>
      </c>
      <c r="Q1349" s="3" t="s">
        <v>1793</v>
      </c>
      <c r="R1349" s="4">
        <v>45916</v>
      </c>
      <c r="S1349" s="3" t="s">
        <v>37</v>
      </c>
      <c r="T1349" s="3" t="s">
        <v>38</v>
      </c>
      <c r="U1349" s="3" t="s">
        <v>39</v>
      </c>
      <c r="V1349" s="5">
        <v>5387.1</v>
      </c>
      <c r="W1349" s="5">
        <v>2720.49</v>
      </c>
      <c r="X1349" s="5">
        <v>1866.63</v>
      </c>
      <c r="Y1349" s="3">
        <v>799.98</v>
      </c>
    </row>
    <row r="1350" spans="1:25" ht="41.5" hidden="1" x14ac:dyDescent="0.35">
      <c r="A1350" s="3" t="s">
        <v>26</v>
      </c>
      <c r="B1350" s="3" t="s">
        <v>27</v>
      </c>
      <c r="C1350" s="3" t="s">
        <v>470</v>
      </c>
      <c r="D1350" s="3" t="s">
        <v>61</v>
      </c>
      <c r="E1350" s="3" t="s">
        <v>1611</v>
      </c>
      <c r="F1350" s="3" t="s">
        <v>63</v>
      </c>
      <c r="G1350" s="3" t="s">
        <v>1611</v>
      </c>
      <c r="H1350" s="3" t="s">
        <v>472</v>
      </c>
      <c r="I1350" s="3">
        <v>2024</v>
      </c>
      <c r="J1350" s="3" t="str">
        <f>CONCATENATE("44810376234")</f>
        <v>44810376234</v>
      </c>
      <c r="K1350" s="3" t="s">
        <v>33</v>
      </c>
      <c r="L1350" s="3" t="str">
        <f t="shared" si="87"/>
        <v/>
      </c>
      <c r="M1350" s="3" t="str">
        <f t="shared" si="86"/>
        <v>SRA29</v>
      </c>
      <c r="N1350" s="3" t="str">
        <f>CONCATENATE("CVTRTT87M66G942J")</f>
        <v>CVTRTT87M66G942J</v>
      </c>
      <c r="O1350" s="3" t="s">
        <v>1972</v>
      </c>
      <c r="P1350" s="3" t="s">
        <v>35</v>
      </c>
      <c r="Q1350" s="3" t="s">
        <v>1793</v>
      </c>
      <c r="R1350" s="4">
        <v>45916</v>
      </c>
      <c r="S1350" s="3" t="s">
        <v>37</v>
      </c>
      <c r="T1350" s="3" t="s">
        <v>38</v>
      </c>
      <c r="U1350" s="3" t="s">
        <v>39</v>
      </c>
      <c r="V1350" s="5">
        <v>4610.6899999999996</v>
      </c>
      <c r="W1350" s="5">
        <v>2328.4</v>
      </c>
      <c r="X1350" s="5">
        <v>1597.6</v>
      </c>
      <c r="Y1350" s="3">
        <v>684.69</v>
      </c>
    </row>
    <row r="1351" spans="1:25" ht="41.5" hidden="1" x14ac:dyDescent="0.35">
      <c r="A1351" s="3" t="s">
        <v>26</v>
      </c>
      <c r="B1351" s="3" t="s">
        <v>27</v>
      </c>
      <c r="C1351" s="3" t="s">
        <v>470</v>
      </c>
      <c r="D1351" s="3" t="s">
        <v>61</v>
      </c>
      <c r="E1351" s="3" t="s">
        <v>1605</v>
      </c>
      <c r="F1351" s="3" t="s">
        <v>63</v>
      </c>
      <c r="G1351" s="3" t="s">
        <v>1605</v>
      </c>
      <c r="H1351" s="3" t="s">
        <v>472</v>
      </c>
      <c r="I1351" s="3">
        <v>2024</v>
      </c>
      <c r="J1351" s="3" t="str">
        <f>CONCATENATE("44811083086")</f>
        <v>44811083086</v>
      </c>
      <c r="K1351" s="3" t="s">
        <v>33</v>
      </c>
      <c r="L1351" s="3" t="str">
        <f t="shared" si="87"/>
        <v/>
      </c>
      <c r="M1351" s="3" t="str">
        <f t="shared" si="86"/>
        <v>SRA29</v>
      </c>
      <c r="N1351" s="3" t="str">
        <f>CONCATENATE("CRCRCC42C01G590S")</f>
        <v>CRCRCC42C01G590S</v>
      </c>
      <c r="O1351" s="3" t="s">
        <v>1973</v>
      </c>
      <c r="P1351" s="3" t="s">
        <v>35</v>
      </c>
      <c r="Q1351" s="3" t="s">
        <v>1793</v>
      </c>
      <c r="R1351" s="4">
        <v>45916</v>
      </c>
      <c r="S1351" s="3" t="s">
        <v>37</v>
      </c>
      <c r="T1351" s="3" t="s">
        <v>38</v>
      </c>
      <c r="U1351" s="3" t="s">
        <v>39</v>
      </c>
      <c r="V1351" s="5">
        <v>1901.24</v>
      </c>
      <c r="W1351" s="3">
        <v>960.13</v>
      </c>
      <c r="X1351" s="3">
        <v>658.78</v>
      </c>
      <c r="Y1351" s="3">
        <v>282.33</v>
      </c>
    </row>
    <row r="1352" spans="1:25" ht="49.5" hidden="1" x14ac:dyDescent="0.35">
      <c r="A1352" s="3" t="s">
        <v>26</v>
      </c>
      <c r="B1352" s="3" t="s">
        <v>27</v>
      </c>
      <c r="C1352" s="3" t="s">
        <v>470</v>
      </c>
      <c r="D1352" s="3" t="s">
        <v>234</v>
      </c>
      <c r="E1352" s="3" t="s">
        <v>1597</v>
      </c>
      <c r="F1352" s="3" t="s">
        <v>119</v>
      </c>
      <c r="G1352" s="3" t="s">
        <v>1597</v>
      </c>
      <c r="H1352" s="3" t="s">
        <v>472</v>
      </c>
      <c r="I1352" s="3">
        <v>2024</v>
      </c>
      <c r="J1352" s="3" t="str">
        <f>CONCATENATE("44811923307")</f>
        <v>44811923307</v>
      </c>
      <c r="K1352" s="3" t="s">
        <v>33</v>
      </c>
      <c r="L1352" s="3" t="str">
        <f t="shared" si="87"/>
        <v/>
      </c>
      <c r="M1352" s="3" t="str">
        <f t="shared" si="86"/>
        <v>SRA29</v>
      </c>
      <c r="N1352" s="3" t="str">
        <f>CONCATENATE("DTRGNN75D17G942A")</f>
        <v>DTRGNN75D17G942A</v>
      </c>
      <c r="O1352" s="3" t="s">
        <v>1974</v>
      </c>
      <c r="P1352" s="3" t="s">
        <v>35</v>
      </c>
      <c r="Q1352" s="3" t="s">
        <v>1793</v>
      </c>
      <c r="R1352" s="4">
        <v>45916</v>
      </c>
      <c r="S1352" s="3" t="s">
        <v>37</v>
      </c>
      <c r="T1352" s="3" t="s">
        <v>38</v>
      </c>
      <c r="U1352" s="3" t="s">
        <v>39</v>
      </c>
      <c r="V1352" s="5">
        <v>32190.75</v>
      </c>
      <c r="W1352" s="5">
        <v>16256.33</v>
      </c>
      <c r="X1352" s="5">
        <v>11154.09</v>
      </c>
      <c r="Y1352" s="5">
        <v>4780.33</v>
      </c>
    </row>
    <row r="1353" spans="1:25" ht="41.5" hidden="1" x14ac:dyDescent="0.35">
      <c r="A1353" s="3" t="s">
        <v>26</v>
      </c>
      <c r="B1353" s="3" t="s">
        <v>27</v>
      </c>
      <c r="C1353" s="3" t="s">
        <v>470</v>
      </c>
      <c r="D1353" s="3" t="s">
        <v>41</v>
      </c>
      <c r="E1353" s="3" t="s">
        <v>683</v>
      </c>
      <c r="F1353" s="3" t="s">
        <v>43</v>
      </c>
      <c r="G1353" s="3" t="s">
        <v>683</v>
      </c>
      <c r="H1353" s="3" t="s">
        <v>472</v>
      </c>
      <c r="I1353" s="3">
        <v>2024</v>
      </c>
      <c r="J1353" s="3" t="str">
        <f>CONCATENATE("44810518686")</f>
        <v>44810518686</v>
      </c>
      <c r="K1353" s="3" t="s">
        <v>33</v>
      </c>
      <c r="L1353" s="3" t="str">
        <f t="shared" si="87"/>
        <v/>
      </c>
      <c r="M1353" s="3" t="str">
        <f t="shared" si="86"/>
        <v>SRA29</v>
      </c>
      <c r="N1353" s="3" t="str">
        <f>CONCATENATE("DCRVCN68S46G942Q")</f>
        <v>DCRVCN68S46G942Q</v>
      </c>
      <c r="O1353" s="3" t="s">
        <v>1975</v>
      </c>
      <c r="P1353" s="3" t="s">
        <v>35</v>
      </c>
      <c r="Q1353" s="3" t="s">
        <v>1793</v>
      </c>
      <c r="R1353" s="4">
        <v>45916</v>
      </c>
      <c r="S1353" s="3" t="s">
        <v>37</v>
      </c>
      <c r="T1353" s="3" t="s">
        <v>38</v>
      </c>
      <c r="U1353" s="3" t="s">
        <v>39</v>
      </c>
      <c r="V1353" s="5">
        <v>17453.11</v>
      </c>
      <c r="W1353" s="5">
        <v>8813.82</v>
      </c>
      <c r="X1353" s="5">
        <v>6047.5</v>
      </c>
      <c r="Y1353" s="5">
        <v>2591.79</v>
      </c>
    </row>
    <row r="1354" spans="1:25" ht="41.5" hidden="1" x14ac:dyDescent="0.35">
      <c r="A1354" s="3" t="s">
        <v>26</v>
      </c>
      <c r="B1354" s="3" t="s">
        <v>27</v>
      </c>
      <c r="C1354" s="3" t="s">
        <v>470</v>
      </c>
      <c r="D1354" s="3" t="s">
        <v>41</v>
      </c>
      <c r="E1354" s="3" t="s">
        <v>675</v>
      </c>
      <c r="F1354" s="3" t="s">
        <v>43</v>
      </c>
      <c r="G1354" s="3" t="s">
        <v>675</v>
      </c>
      <c r="H1354" s="3" t="s">
        <v>472</v>
      </c>
      <c r="I1354" s="3">
        <v>2024</v>
      </c>
      <c r="J1354" s="3" t="str">
        <f>CONCATENATE("44810069508")</f>
        <v>44810069508</v>
      </c>
      <c r="K1354" s="3" t="s">
        <v>33</v>
      </c>
      <c r="L1354" s="3" t="str">
        <f t="shared" si="87"/>
        <v/>
      </c>
      <c r="M1354" s="3" t="str">
        <f t="shared" si="86"/>
        <v>SRA29</v>
      </c>
      <c r="N1354" s="3" t="str">
        <f>CONCATENATE("DPSRCC50H26G942L")</f>
        <v>DPSRCC50H26G942L</v>
      </c>
      <c r="O1354" s="3" t="s">
        <v>1976</v>
      </c>
      <c r="P1354" s="3" t="s">
        <v>35</v>
      </c>
      <c r="Q1354" s="3" t="s">
        <v>1793</v>
      </c>
      <c r="R1354" s="4">
        <v>45916</v>
      </c>
      <c r="S1354" s="3" t="s">
        <v>37</v>
      </c>
      <c r="T1354" s="3" t="s">
        <v>38</v>
      </c>
      <c r="U1354" s="3" t="s">
        <v>39</v>
      </c>
      <c r="V1354" s="5">
        <v>1918.22</v>
      </c>
      <c r="W1354" s="3">
        <v>968.7</v>
      </c>
      <c r="X1354" s="3">
        <v>664.66</v>
      </c>
      <c r="Y1354" s="3">
        <v>284.86</v>
      </c>
    </row>
    <row r="1355" spans="1:25" ht="25.5" hidden="1" x14ac:dyDescent="0.35">
      <c r="A1355" s="3" t="s">
        <v>26</v>
      </c>
      <c r="B1355" s="3" t="s">
        <v>27</v>
      </c>
      <c r="C1355" s="3" t="s">
        <v>470</v>
      </c>
      <c r="D1355" s="3" t="s">
        <v>41</v>
      </c>
      <c r="E1355" s="3" t="s">
        <v>683</v>
      </c>
      <c r="F1355" s="3" t="s">
        <v>43</v>
      </c>
      <c r="G1355" s="3" t="s">
        <v>683</v>
      </c>
      <c r="H1355" s="3" t="s">
        <v>472</v>
      </c>
      <c r="I1355" s="3">
        <v>2024</v>
      </c>
      <c r="J1355" s="3" t="str">
        <f>CONCATENATE("44810477883")</f>
        <v>44810477883</v>
      </c>
      <c r="K1355" s="3" t="s">
        <v>33</v>
      </c>
      <c r="L1355" s="3" t="str">
        <f t="shared" si="87"/>
        <v/>
      </c>
      <c r="M1355" s="3" t="str">
        <f t="shared" si="86"/>
        <v>SRA29</v>
      </c>
      <c r="N1355" s="3" t="str">
        <f>CONCATENATE("11518271009")</f>
        <v>11518271009</v>
      </c>
      <c r="O1355" s="3" t="s">
        <v>1977</v>
      </c>
      <c r="P1355" s="3" t="s">
        <v>35</v>
      </c>
      <c r="Q1355" s="3" t="s">
        <v>1793</v>
      </c>
      <c r="R1355" s="4">
        <v>45916</v>
      </c>
      <c r="S1355" s="3" t="s">
        <v>37</v>
      </c>
      <c r="T1355" s="3" t="s">
        <v>38</v>
      </c>
      <c r="U1355" s="3" t="s">
        <v>39</v>
      </c>
      <c r="V1355" s="5">
        <v>23129.14</v>
      </c>
      <c r="W1355" s="5">
        <v>11680.22</v>
      </c>
      <c r="X1355" s="5">
        <v>8014.25</v>
      </c>
      <c r="Y1355" s="5">
        <v>3434.67</v>
      </c>
    </row>
    <row r="1356" spans="1:25" ht="41.5" hidden="1" x14ac:dyDescent="0.35">
      <c r="A1356" s="3" t="s">
        <v>26</v>
      </c>
      <c r="B1356" s="3" t="s">
        <v>27</v>
      </c>
      <c r="C1356" s="3" t="s">
        <v>470</v>
      </c>
      <c r="D1356" s="3" t="s">
        <v>61</v>
      </c>
      <c r="E1356" s="3" t="s">
        <v>1978</v>
      </c>
      <c r="F1356" s="3" t="s">
        <v>63</v>
      </c>
      <c r="G1356" s="3" t="s">
        <v>1978</v>
      </c>
      <c r="H1356" s="3" t="s">
        <v>472</v>
      </c>
      <c r="I1356" s="3">
        <v>2024</v>
      </c>
      <c r="J1356" s="3" t="str">
        <f>CONCATENATE("44811281797")</f>
        <v>44811281797</v>
      </c>
      <c r="K1356" s="3" t="s">
        <v>33</v>
      </c>
      <c r="L1356" s="3" t="str">
        <f t="shared" si="87"/>
        <v/>
      </c>
      <c r="M1356" s="3" t="str">
        <f t="shared" si="86"/>
        <v>SRA29</v>
      </c>
      <c r="N1356" s="3" t="str">
        <f>CONCATENATE("FLRSMN96A03G942W")</f>
        <v>FLRSMN96A03G942W</v>
      </c>
      <c r="O1356" s="3" t="s">
        <v>1979</v>
      </c>
      <c r="P1356" s="3" t="s">
        <v>35</v>
      </c>
      <c r="Q1356" s="3" t="s">
        <v>1793</v>
      </c>
      <c r="R1356" s="4">
        <v>45916</v>
      </c>
      <c r="S1356" s="3" t="s">
        <v>37</v>
      </c>
      <c r="T1356" s="3" t="s">
        <v>38</v>
      </c>
      <c r="U1356" s="3" t="s">
        <v>39</v>
      </c>
      <c r="V1356" s="3">
        <v>201.32</v>
      </c>
      <c r="W1356" s="3">
        <v>101.67</v>
      </c>
      <c r="X1356" s="3">
        <v>69.760000000000005</v>
      </c>
      <c r="Y1356" s="3">
        <v>29.89</v>
      </c>
    </row>
    <row r="1357" spans="1:25" ht="41.5" hidden="1" x14ac:dyDescent="0.35">
      <c r="A1357" s="3" t="s">
        <v>26</v>
      </c>
      <c r="B1357" s="3" t="s">
        <v>27</v>
      </c>
      <c r="C1357" s="3" t="s">
        <v>470</v>
      </c>
      <c r="D1357" s="3" t="s">
        <v>75</v>
      </c>
      <c r="E1357" s="3" t="s">
        <v>1980</v>
      </c>
      <c r="F1357" s="3" t="s">
        <v>77</v>
      </c>
      <c r="G1357" s="3" t="s">
        <v>1980</v>
      </c>
      <c r="H1357" s="3" t="s">
        <v>472</v>
      </c>
      <c r="I1357" s="3">
        <v>2024</v>
      </c>
      <c r="J1357" s="3" t="str">
        <f>CONCATENATE("44810128056")</f>
        <v>44810128056</v>
      </c>
      <c r="K1357" s="3" t="s">
        <v>33</v>
      </c>
      <c r="L1357" s="3" t="str">
        <f t="shared" si="87"/>
        <v/>
      </c>
      <c r="M1357" s="3" t="str">
        <f t="shared" si="86"/>
        <v>SRA29</v>
      </c>
      <c r="N1357" s="3" t="str">
        <f>CONCATENATE("GRLNTT97C44G942I")</f>
        <v>GRLNTT97C44G942I</v>
      </c>
      <c r="O1357" s="3" t="s">
        <v>1981</v>
      </c>
      <c r="P1357" s="3" t="s">
        <v>35</v>
      </c>
      <c r="Q1357" s="3" t="s">
        <v>1793</v>
      </c>
      <c r="R1357" s="4">
        <v>45916</v>
      </c>
      <c r="S1357" s="3" t="s">
        <v>37</v>
      </c>
      <c r="T1357" s="3" t="s">
        <v>38</v>
      </c>
      <c r="U1357" s="3" t="s">
        <v>39</v>
      </c>
      <c r="V1357" s="5">
        <v>3744.18</v>
      </c>
      <c r="W1357" s="5">
        <v>1890.81</v>
      </c>
      <c r="X1357" s="5">
        <v>1297.3599999999999</v>
      </c>
      <c r="Y1357" s="3">
        <v>556.01</v>
      </c>
    </row>
    <row r="1358" spans="1:25" ht="41.5" hidden="1" x14ac:dyDescent="0.35">
      <c r="A1358" s="3" t="s">
        <v>26</v>
      </c>
      <c r="B1358" s="3" t="s">
        <v>27</v>
      </c>
      <c r="C1358" s="3" t="s">
        <v>470</v>
      </c>
      <c r="D1358" s="3" t="s">
        <v>234</v>
      </c>
      <c r="E1358" s="3" t="s">
        <v>1919</v>
      </c>
      <c r="F1358" s="3" t="s">
        <v>119</v>
      </c>
      <c r="G1358" s="3" t="s">
        <v>1919</v>
      </c>
      <c r="H1358" s="3" t="s">
        <v>472</v>
      </c>
      <c r="I1358" s="3">
        <v>2024</v>
      </c>
      <c r="J1358" s="3" t="str">
        <f>CONCATENATE("44810842599")</f>
        <v>44810842599</v>
      </c>
      <c r="K1358" s="3" t="s">
        <v>33</v>
      </c>
      <c r="L1358" s="3" t="str">
        <f t="shared" si="87"/>
        <v/>
      </c>
      <c r="M1358" s="3" t="str">
        <f t="shared" si="86"/>
        <v>SRA29</v>
      </c>
      <c r="N1358" s="3" t="str">
        <f>CONCATENATE("LNZPQL99S18C619R")</f>
        <v>LNZPQL99S18C619R</v>
      </c>
      <c r="O1358" s="3" t="s">
        <v>1982</v>
      </c>
      <c r="P1358" s="3" t="s">
        <v>35</v>
      </c>
      <c r="Q1358" s="3" t="s">
        <v>1793</v>
      </c>
      <c r="R1358" s="4">
        <v>45916</v>
      </c>
      <c r="S1358" s="3" t="s">
        <v>37</v>
      </c>
      <c r="T1358" s="3" t="s">
        <v>38</v>
      </c>
      <c r="U1358" s="3" t="s">
        <v>39</v>
      </c>
      <c r="V1358" s="5">
        <v>11926.76</v>
      </c>
      <c r="W1358" s="5">
        <v>6023.01</v>
      </c>
      <c r="X1358" s="5">
        <v>4132.62</v>
      </c>
      <c r="Y1358" s="5">
        <v>1771.13</v>
      </c>
    </row>
    <row r="1359" spans="1:25" ht="41.5" hidden="1" x14ac:dyDescent="0.35">
      <c r="A1359" s="3" t="s">
        <v>26</v>
      </c>
      <c r="B1359" s="3" t="s">
        <v>27</v>
      </c>
      <c r="C1359" s="3" t="s">
        <v>470</v>
      </c>
      <c r="D1359" s="3" t="s">
        <v>234</v>
      </c>
      <c r="E1359" s="3" t="s">
        <v>1919</v>
      </c>
      <c r="F1359" s="3" t="s">
        <v>119</v>
      </c>
      <c r="G1359" s="3" t="s">
        <v>1919</v>
      </c>
      <c r="H1359" s="3" t="s">
        <v>472</v>
      </c>
      <c r="I1359" s="3">
        <v>2024</v>
      </c>
      <c r="J1359" s="3" t="str">
        <f>CONCATENATE("44810860088")</f>
        <v>44810860088</v>
      </c>
      <c r="K1359" s="3" t="s">
        <v>33</v>
      </c>
      <c r="L1359" s="3" t="str">
        <f t="shared" si="87"/>
        <v/>
      </c>
      <c r="M1359" s="3" t="str">
        <f t="shared" si="86"/>
        <v>SRA29</v>
      </c>
      <c r="N1359" s="3" t="str">
        <f>CONCATENATE("LNGNNA77B42C136O")</f>
        <v>LNGNNA77B42C136O</v>
      </c>
      <c r="O1359" s="3" t="s">
        <v>1983</v>
      </c>
      <c r="P1359" s="3" t="s">
        <v>35</v>
      </c>
      <c r="Q1359" s="3" t="s">
        <v>1793</v>
      </c>
      <c r="R1359" s="4">
        <v>45916</v>
      </c>
      <c r="S1359" s="3" t="s">
        <v>37</v>
      </c>
      <c r="T1359" s="3" t="s">
        <v>38</v>
      </c>
      <c r="U1359" s="3" t="s">
        <v>39</v>
      </c>
      <c r="V1359" s="5">
        <v>2159.9499999999998</v>
      </c>
      <c r="W1359" s="5">
        <v>1090.77</v>
      </c>
      <c r="X1359" s="3">
        <v>748.42</v>
      </c>
      <c r="Y1359" s="3">
        <v>320.76</v>
      </c>
    </row>
    <row r="1360" spans="1:25" ht="49.5" hidden="1" x14ac:dyDescent="0.35">
      <c r="A1360" s="3" t="s">
        <v>26</v>
      </c>
      <c r="B1360" s="3" t="s">
        <v>27</v>
      </c>
      <c r="C1360" s="3" t="s">
        <v>470</v>
      </c>
      <c r="D1360" s="3" t="s">
        <v>41</v>
      </c>
      <c r="E1360" s="3" t="s">
        <v>681</v>
      </c>
      <c r="F1360" s="3" t="s">
        <v>43</v>
      </c>
      <c r="G1360" s="3" t="s">
        <v>681</v>
      </c>
      <c r="H1360" s="3" t="s">
        <v>472</v>
      </c>
      <c r="I1360" s="3">
        <v>2024</v>
      </c>
      <c r="J1360" s="3" t="str">
        <f>CONCATENATE("44810321750")</f>
        <v>44810321750</v>
      </c>
      <c r="K1360" s="3" t="s">
        <v>33</v>
      </c>
      <c r="L1360" s="3" t="str">
        <f t="shared" si="87"/>
        <v/>
      </c>
      <c r="M1360" s="3" t="str">
        <f t="shared" si="86"/>
        <v>SRA29</v>
      </c>
      <c r="N1360" s="3" t="str">
        <f>CONCATENATE("MMNFLV89P65E919V")</f>
        <v>MMNFLV89P65E919V</v>
      </c>
      <c r="O1360" s="3" t="s">
        <v>1984</v>
      </c>
      <c r="P1360" s="3" t="s">
        <v>35</v>
      </c>
      <c r="Q1360" s="3" t="s">
        <v>1793</v>
      </c>
      <c r="R1360" s="4">
        <v>45916</v>
      </c>
      <c r="S1360" s="3" t="s">
        <v>37</v>
      </c>
      <c r="T1360" s="3" t="s">
        <v>38</v>
      </c>
      <c r="U1360" s="3" t="s">
        <v>39</v>
      </c>
      <c r="V1360" s="3">
        <v>365.08</v>
      </c>
      <c r="W1360" s="3">
        <v>184.37</v>
      </c>
      <c r="X1360" s="3">
        <v>126.5</v>
      </c>
      <c r="Y1360" s="3">
        <v>54.21</v>
      </c>
    </row>
    <row r="1361" spans="1:25" ht="41.5" hidden="1" x14ac:dyDescent="0.35">
      <c r="A1361" s="3" t="s">
        <v>26</v>
      </c>
      <c r="B1361" s="3" t="s">
        <v>27</v>
      </c>
      <c r="C1361" s="3" t="s">
        <v>470</v>
      </c>
      <c r="D1361" s="3" t="s">
        <v>29</v>
      </c>
      <c r="E1361" s="3" t="s">
        <v>475</v>
      </c>
      <c r="F1361" s="3" t="s">
        <v>31</v>
      </c>
      <c r="G1361" s="3" t="s">
        <v>475</v>
      </c>
      <c r="H1361" s="3" t="s">
        <v>472</v>
      </c>
      <c r="I1361" s="3">
        <v>2024</v>
      </c>
      <c r="J1361" s="3" t="str">
        <f>CONCATENATE("44811486693")</f>
        <v>44811486693</v>
      </c>
      <c r="K1361" s="3" t="s">
        <v>33</v>
      </c>
      <c r="L1361" s="3" t="str">
        <f t="shared" si="87"/>
        <v/>
      </c>
      <c r="M1361" s="3" t="str">
        <f t="shared" si="86"/>
        <v>SRA29</v>
      </c>
      <c r="N1361" s="3" t="str">
        <f>CONCATENATE("MCCRFL01M31F104Z")</f>
        <v>MCCRFL01M31F104Z</v>
      </c>
      <c r="O1361" s="3" t="s">
        <v>1985</v>
      </c>
      <c r="P1361" s="3" t="s">
        <v>35</v>
      </c>
      <c r="Q1361" s="3" t="s">
        <v>1793</v>
      </c>
      <c r="R1361" s="4">
        <v>45916</v>
      </c>
      <c r="S1361" s="3" t="s">
        <v>37</v>
      </c>
      <c r="T1361" s="3" t="s">
        <v>38</v>
      </c>
      <c r="U1361" s="3" t="s">
        <v>39</v>
      </c>
      <c r="V1361" s="3">
        <v>2.31</v>
      </c>
      <c r="W1361" s="3">
        <v>1.17</v>
      </c>
      <c r="X1361" s="3">
        <v>0.8</v>
      </c>
      <c r="Y1361" s="3">
        <v>0.34</v>
      </c>
    </row>
    <row r="1362" spans="1:25" ht="49.5" hidden="1" x14ac:dyDescent="0.35">
      <c r="A1362" s="3" t="s">
        <v>26</v>
      </c>
      <c r="B1362" s="3" t="s">
        <v>27</v>
      </c>
      <c r="C1362" s="3" t="s">
        <v>470</v>
      </c>
      <c r="D1362" s="3" t="s">
        <v>41</v>
      </c>
      <c r="E1362" s="3" t="s">
        <v>1914</v>
      </c>
      <c r="F1362" s="3" t="s">
        <v>43</v>
      </c>
      <c r="G1362" s="3" t="s">
        <v>1914</v>
      </c>
      <c r="H1362" s="3" t="s">
        <v>472</v>
      </c>
      <c r="I1362" s="3">
        <v>2024</v>
      </c>
      <c r="J1362" s="3" t="str">
        <f>CONCATENATE("44811170362")</f>
        <v>44811170362</v>
      </c>
      <c r="K1362" s="3" t="s">
        <v>33</v>
      </c>
      <c r="L1362" s="3" t="str">
        <f t="shared" si="87"/>
        <v/>
      </c>
      <c r="M1362" s="3" t="str">
        <f t="shared" si="86"/>
        <v>SRA29</v>
      </c>
      <c r="N1362" s="3" t="str">
        <f>CONCATENATE("MSCMFL66R49H307G")</f>
        <v>MSCMFL66R49H307G</v>
      </c>
      <c r="O1362" s="3" t="s">
        <v>1986</v>
      </c>
      <c r="P1362" s="3" t="s">
        <v>35</v>
      </c>
      <c r="Q1362" s="3" t="s">
        <v>1793</v>
      </c>
      <c r="R1362" s="4">
        <v>45916</v>
      </c>
      <c r="S1362" s="3" t="s">
        <v>37</v>
      </c>
      <c r="T1362" s="3" t="s">
        <v>38</v>
      </c>
      <c r="U1362" s="3" t="s">
        <v>39</v>
      </c>
      <c r="V1362" s="5">
        <v>3580.53</v>
      </c>
      <c r="W1362" s="5">
        <v>1808.17</v>
      </c>
      <c r="X1362" s="5">
        <v>1240.6500000000001</v>
      </c>
      <c r="Y1362" s="3">
        <v>531.71</v>
      </c>
    </row>
    <row r="1363" spans="1:25" ht="41.5" hidden="1" x14ac:dyDescent="0.35">
      <c r="A1363" s="3" t="s">
        <v>26</v>
      </c>
      <c r="B1363" s="3" t="s">
        <v>27</v>
      </c>
      <c r="C1363" s="3" t="s">
        <v>470</v>
      </c>
      <c r="D1363" s="3" t="s">
        <v>41</v>
      </c>
      <c r="E1363" s="3" t="s">
        <v>683</v>
      </c>
      <c r="F1363" s="3" t="s">
        <v>43</v>
      </c>
      <c r="G1363" s="3" t="s">
        <v>683</v>
      </c>
      <c r="H1363" s="3" t="s">
        <v>472</v>
      </c>
      <c r="I1363" s="3">
        <v>2024</v>
      </c>
      <c r="J1363" s="3" t="str">
        <f>CONCATENATE("44810592806")</f>
        <v>44810592806</v>
      </c>
      <c r="K1363" s="3" t="s">
        <v>33</v>
      </c>
      <c r="L1363" s="3" t="str">
        <f t="shared" si="87"/>
        <v/>
      </c>
      <c r="M1363" s="3" t="str">
        <f t="shared" si="86"/>
        <v>SRA29</v>
      </c>
      <c r="N1363" s="3" t="str">
        <f>CONCATENATE("NGRMLE04S67G942A")</f>
        <v>NGRMLE04S67G942A</v>
      </c>
      <c r="O1363" s="3" t="s">
        <v>1987</v>
      </c>
      <c r="P1363" s="3" t="s">
        <v>35</v>
      </c>
      <c r="Q1363" s="3" t="s">
        <v>1793</v>
      </c>
      <c r="R1363" s="4">
        <v>45916</v>
      </c>
      <c r="S1363" s="3" t="s">
        <v>37</v>
      </c>
      <c r="T1363" s="3" t="s">
        <v>38</v>
      </c>
      <c r="U1363" s="3" t="s">
        <v>39</v>
      </c>
      <c r="V1363" s="3">
        <v>481.15</v>
      </c>
      <c r="W1363" s="3">
        <v>242.98</v>
      </c>
      <c r="X1363" s="3">
        <v>166.72</v>
      </c>
      <c r="Y1363" s="3">
        <v>71.45</v>
      </c>
    </row>
    <row r="1364" spans="1:25" ht="41.5" hidden="1" x14ac:dyDescent="0.35">
      <c r="A1364" s="3" t="s">
        <v>26</v>
      </c>
      <c r="B1364" s="3" t="s">
        <v>27</v>
      </c>
      <c r="C1364" s="3" t="s">
        <v>470</v>
      </c>
      <c r="D1364" s="3" t="s">
        <v>61</v>
      </c>
      <c r="E1364" s="3" t="s">
        <v>1611</v>
      </c>
      <c r="F1364" s="3" t="s">
        <v>63</v>
      </c>
      <c r="G1364" s="3" t="s">
        <v>1611</v>
      </c>
      <c r="H1364" s="3" t="s">
        <v>472</v>
      </c>
      <c r="I1364" s="3">
        <v>2024</v>
      </c>
      <c r="J1364" s="3" t="str">
        <f>CONCATENATE("44810413565")</f>
        <v>44810413565</v>
      </c>
      <c r="K1364" s="3" t="s">
        <v>33</v>
      </c>
      <c r="L1364" s="3" t="str">
        <f t="shared" si="87"/>
        <v/>
      </c>
      <c r="M1364" s="3" t="str">
        <f t="shared" si="86"/>
        <v>SRA29</v>
      </c>
      <c r="N1364" s="3" t="str">
        <f>CONCATENATE("PRRTDR88B66G942Z")</f>
        <v>PRRTDR88B66G942Z</v>
      </c>
      <c r="O1364" s="3" t="s">
        <v>1988</v>
      </c>
      <c r="P1364" s="3" t="s">
        <v>35</v>
      </c>
      <c r="Q1364" s="3" t="s">
        <v>1793</v>
      </c>
      <c r="R1364" s="4">
        <v>45916</v>
      </c>
      <c r="S1364" s="3" t="s">
        <v>37</v>
      </c>
      <c r="T1364" s="3" t="s">
        <v>38</v>
      </c>
      <c r="U1364" s="3" t="s">
        <v>39</v>
      </c>
      <c r="V1364" s="3">
        <v>448.11</v>
      </c>
      <c r="W1364" s="3">
        <v>226.3</v>
      </c>
      <c r="X1364" s="3">
        <v>155.27000000000001</v>
      </c>
      <c r="Y1364" s="3">
        <v>66.540000000000006</v>
      </c>
    </row>
    <row r="1365" spans="1:25" ht="41.5" hidden="1" x14ac:dyDescent="0.35">
      <c r="A1365" s="3" t="s">
        <v>26</v>
      </c>
      <c r="B1365" s="3" t="s">
        <v>27</v>
      </c>
      <c r="C1365" s="3" t="s">
        <v>470</v>
      </c>
      <c r="D1365" s="3" t="s">
        <v>234</v>
      </c>
      <c r="E1365" s="3" t="s">
        <v>1919</v>
      </c>
      <c r="F1365" s="3" t="s">
        <v>119</v>
      </c>
      <c r="G1365" s="3" t="s">
        <v>1919</v>
      </c>
      <c r="H1365" s="3" t="s">
        <v>472</v>
      </c>
      <c r="I1365" s="3">
        <v>2024</v>
      </c>
      <c r="J1365" s="3" t="str">
        <f>CONCATENATE("44810860583")</f>
        <v>44810860583</v>
      </c>
      <c r="K1365" s="3" t="s">
        <v>33</v>
      </c>
      <c r="L1365" s="3" t="str">
        <f t="shared" si="87"/>
        <v/>
      </c>
      <c r="M1365" s="3" t="str">
        <f t="shared" si="86"/>
        <v>SRA29</v>
      </c>
      <c r="N1365" s="3" t="str">
        <f>CONCATENATE("TTRRSO82C52C619D")</f>
        <v>TTRRSO82C52C619D</v>
      </c>
      <c r="O1365" s="3" t="s">
        <v>1989</v>
      </c>
      <c r="P1365" s="3" t="s">
        <v>35</v>
      </c>
      <c r="Q1365" s="3" t="s">
        <v>1793</v>
      </c>
      <c r="R1365" s="4">
        <v>45916</v>
      </c>
      <c r="S1365" s="3" t="s">
        <v>37</v>
      </c>
      <c r="T1365" s="3" t="s">
        <v>38</v>
      </c>
      <c r="U1365" s="3" t="s">
        <v>39</v>
      </c>
      <c r="V1365" s="5">
        <v>1578.19</v>
      </c>
      <c r="W1365" s="3">
        <v>796.99</v>
      </c>
      <c r="X1365" s="3">
        <v>546.84</v>
      </c>
      <c r="Y1365" s="3">
        <v>234.36</v>
      </c>
    </row>
    <row r="1366" spans="1:25" ht="41.5" hidden="1" x14ac:dyDescent="0.35">
      <c r="A1366" s="3" t="s">
        <v>26</v>
      </c>
      <c r="B1366" s="3" t="s">
        <v>27</v>
      </c>
      <c r="C1366" s="3" t="s">
        <v>470</v>
      </c>
      <c r="D1366" s="3" t="s">
        <v>41</v>
      </c>
      <c r="E1366" s="3" t="s">
        <v>1914</v>
      </c>
      <c r="F1366" s="3" t="s">
        <v>43</v>
      </c>
      <c r="G1366" s="3" t="s">
        <v>1914</v>
      </c>
      <c r="H1366" s="3" t="s">
        <v>472</v>
      </c>
      <c r="I1366" s="3">
        <v>2024</v>
      </c>
      <c r="J1366" s="3" t="str">
        <f>CONCATENATE("44810952729")</f>
        <v>44810952729</v>
      </c>
      <c r="K1366" s="3" t="s">
        <v>33</v>
      </c>
      <c r="L1366" s="3" t="str">
        <f t="shared" si="87"/>
        <v/>
      </c>
      <c r="M1366" s="3" t="str">
        <f t="shared" si="86"/>
        <v>SRA29</v>
      </c>
      <c r="N1366" s="3" t="str">
        <f>CONCATENATE("VDLMLC65C42H307W")</f>
        <v>VDLMLC65C42H307W</v>
      </c>
      <c r="O1366" s="3" t="s">
        <v>1990</v>
      </c>
      <c r="P1366" s="3" t="s">
        <v>35</v>
      </c>
      <c r="Q1366" s="3" t="s">
        <v>1793</v>
      </c>
      <c r="R1366" s="4">
        <v>45916</v>
      </c>
      <c r="S1366" s="3" t="s">
        <v>37</v>
      </c>
      <c r="T1366" s="3" t="s">
        <v>38</v>
      </c>
      <c r="U1366" s="3" t="s">
        <v>39</v>
      </c>
      <c r="V1366" s="5">
        <v>2273.7600000000002</v>
      </c>
      <c r="W1366" s="5">
        <v>1148.25</v>
      </c>
      <c r="X1366" s="3">
        <v>787.86</v>
      </c>
      <c r="Y1366" s="3">
        <v>337.65</v>
      </c>
    </row>
    <row r="1367" spans="1:25" ht="49.5" hidden="1" x14ac:dyDescent="0.35">
      <c r="A1367" s="3" t="s">
        <v>26</v>
      </c>
      <c r="B1367" s="3" t="s">
        <v>27</v>
      </c>
      <c r="C1367" s="3" t="s">
        <v>470</v>
      </c>
      <c r="D1367" s="3" t="s">
        <v>75</v>
      </c>
      <c r="E1367" s="3" t="s">
        <v>1980</v>
      </c>
      <c r="F1367" s="3" t="s">
        <v>77</v>
      </c>
      <c r="G1367" s="3" t="s">
        <v>1980</v>
      </c>
      <c r="H1367" s="3" t="s">
        <v>472</v>
      </c>
      <c r="I1367" s="3">
        <v>2024</v>
      </c>
      <c r="J1367" s="3" t="str">
        <f>CONCATENATE("44810170140")</f>
        <v>44810170140</v>
      </c>
      <c r="K1367" s="3" t="s">
        <v>33</v>
      </c>
      <c r="L1367" s="3" t="str">
        <f t="shared" si="87"/>
        <v/>
      </c>
      <c r="M1367" s="3" t="str">
        <f t="shared" si="86"/>
        <v>SRA29</v>
      </c>
      <c r="N1367" s="3" t="str">
        <f>CONCATENATE("ZTTMCH03D65G942Q")</f>
        <v>ZTTMCH03D65G942Q</v>
      </c>
      <c r="O1367" s="3" t="s">
        <v>1991</v>
      </c>
      <c r="P1367" s="3" t="s">
        <v>35</v>
      </c>
      <c r="Q1367" s="3" t="s">
        <v>1793</v>
      </c>
      <c r="R1367" s="4">
        <v>45916</v>
      </c>
      <c r="S1367" s="3" t="s">
        <v>37</v>
      </c>
      <c r="T1367" s="3" t="s">
        <v>38</v>
      </c>
      <c r="U1367" s="3" t="s">
        <v>39</v>
      </c>
      <c r="V1367" s="5">
        <v>6788.85</v>
      </c>
      <c r="W1367" s="5">
        <v>3428.37</v>
      </c>
      <c r="X1367" s="5">
        <v>2352.34</v>
      </c>
      <c r="Y1367" s="5">
        <v>1008.14</v>
      </c>
    </row>
    <row r="1368" spans="1:25" ht="41.5" hidden="1" x14ac:dyDescent="0.35">
      <c r="A1368" s="3" t="s">
        <v>26</v>
      </c>
      <c r="B1368" s="3" t="s">
        <v>27</v>
      </c>
      <c r="C1368" s="3" t="s">
        <v>470</v>
      </c>
      <c r="D1368" s="3" t="s">
        <v>41</v>
      </c>
      <c r="E1368" s="3" t="s">
        <v>1501</v>
      </c>
      <c r="F1368" s="3" t="s">
        <v>43</v>
      </c>
      <c r="G1368" s="3" t="s">
        <v>1501</v>
      </c>
      <c r="H1368" s="3" t="s">
        <v>472</v>
      </c>
      <c r="I1368" s="3">
        <v>2024</v>
      </c>
      <c r="J1368" s="3" t="str">
        <f>CONCATENATE("44810497873")</f>
        <v>44810497873</v>
      </c>
      <c r="K1368" s="3" t="s">
        <v>33</v>
      </c>
      <c r="L1368" s="3" t="str">
        <f t="shared" si="87"/>
        <v/>
      </c>
      <c r="M1368" s="3" t="str">
        <f t="shared" si="86"/>
        <v>SRA29</v>
      </c>
      <c r="N1368" s="3" t="str">
        <f>CONCATENATE("PLZSVT87S22G786T")</f>
        <v>PLZSVT87S22G786T</v>
      </c>
      <c r="O1368" s="3" t="s">
        <v>1992</v>
      </c>
      <c r="P1368" s="3" t="s">
        <v>35</v>
      </c>
      <c r="Q1368" s="3" t="s">
        <v>1793</v>
      </c>
      <c r="R1368" s="4">
        <v>45916</v>
      </c>
      <c r="S1368" s="3" t="s">
        <v>37</v>
      </c>
      <c r="T1368" s="3" t="s">
        <v>38</v>
      </c>
      <c r="U1368" s="3" t="s">
        <v>39</v>
      </c>
      <c r="V1368" s="5">
        <v>1299.54</v>
      </c>
      <c r="W1368" s="3">
        <v>656.27</v>
      </c>
      <c r="X1368" s="3">
        <v>450.29</v>
      </c>
      <c r="Y1368" s="3">
        <v>192.98</v>
      </c>
    </row>
    <row r="1369" spans="1:25" ht="41.5" hidden="1" x14ac:dyDescent="0.35">
      <c r="A1369" s="3" t="s">
        <v>26</v>
      </c>
      <c r="B1369" s="3" t="s">
        <v>27</v>
      </c>
      <c r="C1369" s="3" t="s">
        <v>470</v>
      </c>
      <c r="D1369" s="3" t="s">
        <v>61</v>
      </c>
      <c r="E1369" s="3" t="s">
        <v>1499</v>
      </c>
      <c r="F1369" s="3" t="s">
        <v>63</v>
      </c>
      <c r="G1369" s="3" t="s">
        <v>1499</v>
      </c>
      <c r="H1369" s="3" t="s">
        <v>472</v>
      </c>
      <c r="I1369" s="3">
        <v>2024</v>
      </c>
      <c r="J1369" s="3" t="str">
        <f>CONCATENATE("44810218311")</f>
        <v>44810218311</v>
      </c>
      <c r="K1369" s="3" t="s">
        <v>33</v>
      </c>
      <c r="L1369" s="3" t="str">
        <f t="shared" si="87"/>
        <v/>
      </c>
      <c r="M1369" s="3" t="str">
        <f t="shared" si="86"/>
        <v>SRA29</v>
      </c>
      <c r="N1369" s="3" t="str">
        <f>CONCATENATE("PNDFPP47R01D876K")</f>
        <v>PNDFPP47R01D876K</v>
      </c>
      <c r="O1369" s="3" t="s">
        <v>1993</v>
      </c>
      <c r="P1369" s="3" t="s">
        <v>35</v>
      </c>
      <c r="Q1369" s="3" t="s">
        <v>1793</v>
      </c>
      <c r="R1369" s="4">
        <v>45916</v>
      </c>
      <c r="S1369" s="3" t="s">
        <v>37</v>
      </c>
      <c r="T1369" s="3" t="s">
        <v>38</v>
      </c>
      <c r="U1369" s="3" t="s">
        <v>39</v>
      </c>
      <c r="V1369" s="5">
        <v>14126.73</v>
      </c>
      <c r="W1369" s="5">
        <v>7134</v>
      </c>
      <c r="X1369" s="5">
        <v>4894.91</v>
      </c>
      <c r="Y1369" s="5">
        <v>2097.8200000000002</v>
      </c>
    </row>
    <row r="1370" spans="1:25" ht="49.5" hidden="1" x14ac:dyDescent="0.35">
      <c r="A1370" s="3" t="s">
        <v>26</v>
      </c>
      <c r="B1370" s="3" t="s">
        <v>27</v>
      </c>
      <c r="C1370" s="3" t="s">
        <v>470</v>
      </c>
      <c r="D1370" s="3" t="s">
        <v>61</v>
      </c>
      <c r="E1370" s="3" t="s">
        <v>1611</v>
      </c>
      <c r="F1370" s="3" t="s">
        <v>63</v>
      </c>
      <c r="G1370" s="3" t="s">
        <v>1611</v>
      </c>
      <c r="H1370" s="3" t="s">
        <v>472</v>
      </c>
      <c r="I1370" s="3">
        <v>2024</v>
      </c>
      <c r="J1370" s="3" t="str">
        <f>CONCATENATE("44810138154")</f>
        <v>44810138154</v>
      </c>
      <c r="K1370" s="3" t="s">
        <v>33</v>
      </c>
      <c r="L1370" s="3" t="str">
        <f t="shared" si="87"/>
        <v/>
      </c>
      <c r="M1370" s="3" t="str">
        <f t="shared" si="86"/>
        <v>SRA29</v>
      </c>
      <c r="N1370" s="3" t="str">
        <f>CONCATENATE("PTRRCC74D10G616R")</f>
        <v>PTRRCC74D10G616R</v>
      </c>
      <c r="O1370" s="3" t="s">
        <v>1994</v>
      </c>
      <c r="P1370" s="3" t="s">
        <v>35</v>
      </c>
      <c r="Q1370" s="3" t="s">
        <v>1793</v>
      </c>
      <c r="R1370" s="4">
        <v>45916</v>
      </c>
      <c r="S1370" s="3" t="s">
        <v>37</v>
      </c>
      <c r="T1370" s="3" t="s">
        <v>38</v>
      </c>
      <c r="U1370" s="3" t="s">
        <v>39</v>
      </c>
      <c r="V1370" s="3">
        <v>2.83</v>
      </c>
      <c r="W1370" s="3">
        <v>1.43</v>
      </c>
      <c r="X1370" s="3">
        <v>0.98</v>
      </c>
      <c r="Y1370" s="3">
        <v>0.42</v>
      </c>
    </row>
    <row r="1371" spans="1:25" ht="41.5" hidden="1" x14ac:dyDescent="0.35">
      <c r="A1371" s="3" t="s">
        <v>26</v>
      </c>
      <c r="B1371" s="3" t="s">
        <v>27</v>
      </c>
      <c r="C1371" s="3" t="s">
        <v>470</v>
      </c>
      <c r="D1371" s="3" t="s">
        <v>61</v>
      </c>
      <c r="E1371" s="3" t="s">
        <v>1611</v>
      </c>
      <c r="F1371" s="3" t="s">
        <v>63</v>
      </c>
      <c r="G1371" s="3" t="s">
        <v>1611</v>
      </c>
      <c r="H1371" s="3" t="s">
        <v>472</v>
      </c>
      <c r="I1371" s="3">
        <v>2024</v>
      </c>
      <c r="J1371" s="3" t="str">
        <f>CONCATENATE("44810435188")</f>
        <v>44810435188</v>
      </c>
      <c r="K1371" s="3" t="s">
        <v>33</v>
      </c>
      <c r="L1371" s="3" t="str">
        <f t="shared" si="87"/>
        <v/>
      </c>
      <c r="M1371" s="3" t="str">
        <f t="shared" si="86"/>
        <v>SRA29</v>
      </c>
      <c r="N1371" s="3" t="str">
        <f>CONCATENATE("SRLRCL75R26G942T")</f>
        <v>SRLRCL75R26G942T</v>
      </c>
      <c r="O1371" s="3" t="s">
        <v>1995</v>
      </c>
      <c r="P1371" s="3" t="s">
        <v>35</v>
      </c>
      <c r="Q1371" s="3" t="s">
        <v>1793</v>
      </c>
      <c r="R1371" s="4">
        <v>45916</v>
      </c>
      <c r="S1371" s="3" t="s">
        <v>37</v>
      </c>
      <c r="T1371" s="3" t="s">
        <v>38</v>
      </c>
      <c r="U1371" s="3" t="s">
        <v>39</v>
      </c>
      <c r="V1371" s="3">
        <v>642.36</v>
      </c>
      <c r="W1371" s="3">
        <v>324.39</v>
      </c>
      <c r="X1371" s="3">
        <v>222.58</v>
      </c>
      <c r="Y1371" s="3">
        <v>95.39</v>
      </c>
    </row>
    <row r="1372" spans="1:25" ht="41.5" hidden="1" x14ac:dyDescent="0.35">
      <c r="A1372" s="3" t="s">
        <v>26</v>
      </c>
      <c r="B1372" s="3" t="s">
        <v>27</v>
      </c>
      <c r="C1372" s="3" t="s">
        <v>470</v>
      </c>
      <c r="D1372" s="3" t="s">
        <v>75</v>
      </c>
      <c r="E1372" s="3" t="s">
        <v>1980</v>
      </c>
      <c r="F1372" s="3" t="s">
        <v>77</v>
      </c>
      <c r="G1372" s="3" t="s">
        <v>1980</v>
      </c>
      <c r="H1372" s="3" t="s">
        <v>472</v>
      </c>
      <c r="I1372" s="3">
        <v>2024</v>
      </c>
      <c r="J1372" s="3" t="str">
        <f>CONCATENATE("44810298743")</f>
        <v>44810298743</v>
      </c>
      <c r="K1372" s="3" t="s">
        <v>33</v>
      </c>
      <c r="L1372" s="3" t="str">
        <f t="shared" si="87"/>
        <v/>
      </c>
      <c r="M1372" s="3" t="str">
        <f t="shared" si="86"/>
        <v>SRA29</v>
      </c>
      <c r="N1372" s="3" t="str">
        <f>CONCATENATE("STTCNZ72S44G942Q")</f>
        <v>STTCNZ72S44G942Q</v>
      </c>
      <c r="O1372" s="3" t="s">
        <v>1996</v>
      </c>
      <c r="P1372" s="3" t="s">
        <v>35</v>
      </c>
      <c r="Q1372" s="3" t="s">
        <v>1793</v>
      </c>
      <c r="R1372" s="4">
        <v>45916</v>
      </c>
      <c r="S1372" s="3" t="s">
        <v>37</v>
      </c>
      <c r="T1372" s="3" t="s">
        <v>38</v>
      </c>
      <c r="U1372" s="3" t="s">
        <v>39</v>
      </c>
      <c r="V1372" s="5">
        <v>2800.35</v>
      </c>
      <c r="W1372" s="5">
        <v>1414.18</v>
      </c>
      <c r="X1372" s="3">
        <v>970.32</v>
      </c>
      <c r="Y1372" s="3">
        <v>415.85</v>
      </c>
    </row>
    <row r="1373" spans="1:25" ht="41.5" hidden="1" x14ac:dyDescent="0.35">
      <c r="A1373" s="3" t="s">
        <v>26</v>
      </c>
      <c r="B1373" s="3" t="s">
        <v>27</v>
      </c>
      <c r="C1373" s="3" t="s">
        <v>470</v>
      </c>
      <c r="D1373" s="3" t="s">
        <v>41</v>
      </c>
      <c r="E1373" s="3" t="s">
        <v>1997</v>
      </c>
      <c r="F1373" s="3" t="s">
        <v>43</v>
      </c>
      <c r="G1373" s="3" t="s">
        <v>1997</v>
      </c>
      <c r="H1373" s="3" t="s">
        <v>472</v>
      </c>
      <c r="I1373" s="3">
        <v>2024</v>
      </c>
      <c r="J1373" s="3" t="str">
        <f>CONCATENATE("44810337848")</f>
        <v>44810337848</v>
      </c>
      <c r="K1373" s="3" t="s">
        <v>33</v>
      </c>
      <c r="L1373" s="3" t="str">
        <f t="shared" si="87"/>
        <v/>
      </c>
      <c r="M1373" s="3" t="str">
        <f t="shared" si="86"/>
        <v>SRA29</v>
      </c>
      <c r="N1373" s="3" t="str">
        <f>CONCATENATE("VRLMTM02E31I422E")</f>
        <v>VRLMTM02E31I422E</v>
      </c>
      <c r="O1373" s="3" t="s">
        <v>1998</v>
      </c>
      <c r="P1373" s="3" t="s">
        <v>35</v>
      </c>
      <c r="Q1373" s="3" t="s">
        <v>1793</v>
      </c>
      <c r="R1373" s="4">
        <v>45916</v>
      </c>
      <c r="S1373" s="3" t="s">
        <v>37</v>
      </c>
      <c r="T1373" s="3" t="s">
        <v>38</v>
      </c>
      <c r="U1373" s="3" t="s">
        <v>39</v>
      </c>
      <c r="V1373" s="5">
        <v>4836.2</v>
      </c>
      <c r="W1373" s="5">
        <v>2442.2800000000002</v>
      </c>
      <c r="X1373" s="5">
        <v>1675.74</v>
      </c>
      <c r="Y1373" s="3">
        <v>718.18</v>
      </c>
    </row>
    <row r="1374" spans="1:25" ht="49.5" hidden="1" x14ac:dyDescent="0.35">
      <c r="A1374" s="3" t="s">
        <v>26</v>
      </c>
      <c r="B1374" s="3" t="s">
        <v>27</v>
      </c>
      <c r="C1374" s="3" t="s">
        <v>470</v>
      </c>
      <c r="D1374" s="3" t="s">
        <v>75</v>
      </c>
      <c r="E1374" s="3" t="s">
        <v>1999</v>
      </c>
      <c r="F1374" s="3" t="s">
        <v>77</v>
      </c>
      <c r="G1374" s="3" t="s">
        <v>1999</v>
      </c>
      <c r="H1374" s="3" t="s">
        <v>472</v>
      </c>
      <c r="I1374" s="3">
        <v>2024</v>
      </c>
      <c r="J1374" s="3" t="str">
        <f>CONCATENATE("44810244200")</f>
        <v>44810244200</v>
      </c>
      <c r="K1374" s="3" t="s">
        <v>33</v>
      </c>
      <c r="L1374" s="3" t="str">
        <f t="shared" si="87"/>
        <v/>
      </c>
      <c r="M1374" s="3" t="str">
        <f t="shared" si="86"/>
        <v>SRA29</v>
      </c>
      <c r="N1374" s="3" t="str">
        <f>CONCATENATE("VCNNTN74B19G942V")</f>
        <v>VCNNTN74B19G942V</v>
      </c>
      <c r="O1374" s="3" t="s">
        <v>2000</v>
      </c>
      <c r="P1374" s="3" t="s">
        <v>35</v>
      </c>
      <c r="Q1374" s="3" t="s">
        <v>1793</v>
      </c>
      <c r="R1374" s="4">
        <v>45916</v>
      </c>
      <c r="S1374" s="3" t="s">
        <v>37</v>
      </c>
      <c r="T1374" s="3" t="s">
        <v>38</v>
      </c>
      <c r="U1374" s="3" t="s">
        <v>39</v>
      </c>
      <c r="V1374" s="5">
        <v>4526.74</v>
      </c>
      <c r="W1374" s="5">
        <v>2286</v>
      </c>
      <c r="X1374" s="5">
        <v>1568.52</v>
      </c>
      <c r="Y1374" s="3">
        <v>672.22</v>
      </c>
    </row>
    <row r="1375" spans="1:25" ht="41.5" hidden="1" x14ac:dyDescent="0.35">
      <c r="A1375" s="3" t="s">
        <v>26</v>
      </c>
      <c r="B1375" s="3" t="s">
        <v>27</v>
      </c>
      <c r="C1375" s="3" t="s">
        <v>470</v>
      </c>
      <c r="D1375" s="3" t="s">
        <v>41</v>
      </c>
      <c r="E1375" s="3" t="s">
        <v>678</v>
      </c>
      <c r="F1375" s="3" t="s">
        <v>43</v>
      </c>
      <c r="G1375" s="3" t="s">
        <v>678</v>
      </c>
      <c r="H1375" s="3" t="s">
        <v>472</v>
      </c>
      <c r="I1375" s="3">
        <v>2024</v>
      </c>
      <c r="J1375" s="3" t="str">
        <f>CONCATENATE("44811087061")</f>
        <v>44811087061</v>
      </c>
      <c r="K1375" s="3" t="s">
        <v>33</v>
      </c>
      <c r="L1375" s="3" t="str">
        <f t="shared" si="87"/>
        <v/>
      </c>
      <c r="M1375" s="3" t="str">
        <f t="shared" si="86"/>
        <v>SRA29</v>
      </c>
      <c r="N1375" s="3" t="str">
        <f>CONCATENATE("ZMPLSN81E13F104V")</f>
        <v>ZMPLSN81E13F104V</v>
      </c>
      <c r="O1375" s="3" t="s">
        <v>2001</v>
      </c>
      <c r="P1375" s="3" t="s">
        <v>35</v>
      </c>
      <c r="Q1375" s="3" t="s">
        <v>1793</v>
      </c>
      <c r="R1375" s="4">
        <v>45916</v>
      </c>
      <c r="S1375" s="3" t="s">
        <v>37</v>
      </c>
      <c r="T1375" s="3" t="s">
        <v>38</v>
      </c>
      <c r="U1375" s="3" t="s">
        <v>39</v>
      </c>
      <c r="V1375" s="5">
        <v>1225.52</v>
      </c>
      <c r="W1375" s="3">
        <v>618.89</v>
      </c>
      <c r="X1375" s="3">
        <v>424.64</v>
      </c>
      <c r="Y1375" s="3">
        <v>181.99</v>
      </c>
    </row>
    <row r="1376" spans="1:25" ht="41.5" hidden="1" x14ac:dyDescent="0.35">
      <c r="A1376" s="3" t="s">
        <v>26</v>
      </c>
      <c r="B1376" s="3" t="s">
        <v>27</v>
      </c>
      <c r="C1376" s="3" t="s">
        <v>40</v>
      </c>
      <c r="D1376" s="3" t="s">
        <v>41</v>
      </c>
      <c r="E1376" s="3" t="s">
        <v>955</v>
      </c>
      <c r="F1376" s="3" t="s">
        <v>43</v>
      </c>
      <c r="G1376" s="3" t="s">
        <v>955</v>
      </c>
      <c r="H1376" s="3" t="s">
        <v>64</v>
      </c>
      <c r="I1376" s="3">
        <v>2024</v>
      </c>
      <c r="J1376" s="3" t="str">
        <f>CONCATENATE("44820351706")</f>
        <v>44820351706</v>
      </c>
      <c r="K1376" s="3" t="s">
        <v>33</v>
      </c>
      <c r="L1376" s="3" t="str">
        <f t="shared" si="87"/>
        <v/>
      </c>
      <c r="M1376" s="3" t="str">
        <f t="shared" ref="M1376:M1384" si="88">CONCATENATE("SRB01")</f>
        <v>SRB01</v>
      </c>
      <c r="N1376" s="3" t="str">
        <f>CONCATENATE("CPRMTR66S42C858C")</f>
        <v>CPRMTR66S42C858C</v>
      </c>
      <c r="O1376" s="3" t="s">
        <v>2002</v>
      </c>
      <c r="P1376" s="3" t="s">
        <v>35</v>
      </c>
      <c r="Q1376" s="3" t="s">
        <v>1928</v>
      </c>
      <c r="R1376" s="4">
        <v>45933</v>
      </c>
      <c r="S1376" s="3" t="s">
        <v>37</v>
      </c>
      <c r="T1376" s="3" t="s">
        <v>38</v>
      </c>
      <c r="U1376" s="3" t="s">
        <v>39</v>
      </c>
      <c r="V1376" s="3">
        <v>199.48</v>
      </c>
      <c r="W1376" s="3">
        <v>81.19</v>
      </c>
      <c r="X1376" s="3">
        <v>82.8</v>
      </c>
      <c r="Y1376" s="3">
        <v>35.49</v>
      </c>
    </row>
    <row r="1377" spans="1:25" ht="25.5" hidden="1" x14ac:dyDescent="0.35">
      <c r="A1377" s="3" t="s">
        <v>26</v>
      </c>
      <c r="B1377" s="3" t="s">
        <v>27</v>
      </c>
      <c r="C1377" s="3" t="s">
        <v>658</v>
      </c>
      <c r="D1377" s="3" t="s">
        <v>254</v>
      </c>
      <c r="E1377" s="3" t="s">
        <v>962</v>
      </c>
      <c r="F1377" s="3" t="s">
        <v>256</v>
      </c>
      <c r="G1377" s="3" t="s">
        <v>962</v>
      </c>
      <c r="H1377" s="3" t="s">
        <v>660</v>
      </c>
      <c r="I1377" s="3">
        <v>2024</v>
      </c>
      <c r="J1377" s="3" t="str">
        <f>CONCATENATE("44820407086")</f>
        <v>44820407086</v>
      </c>
      <c r="K1377" s="3" t="s">
        <v>33</v>
      </c>
      <c r="L1377" s="3" t="str">
        <f t="shared" si="87"/>
        <v/>
      </c>
      <c r="M1377" s="3" t="str">
        <f t="shared" si="88"/>
        <v>SRB01</v>
      </c>
      <c r="N1377" s="3" t="str">
        <f>CONCATENATE("01273300077")</f>
        <v>01273300077</v>
      </c>
      <c r="O1377" s="3" t="s">
        <v>2003</v>
      </c>
      <c r="P1377" s="3" t="s">
        <v>35</v>
      </c>
      <c r="Q1377" s="3" t="s">
        <v>1924</v>
      </c>
      <c r="R1377" s="4">
        <v>45926</v>
      </c>
      <c r="S1377" s="3" t="s">
        <v>37</v>
      </c>
      <c r="T1377" s="3" t="s">
        <v>38</v>
      </c>
      <c r="U1377" s="3" t="s">
        <v>39</v>
      </c>
      <c r="V1377" s="3">
        <v>432.55</v>
      </c>
      <c r="W1377" s="3">
        <v>176.05</v>
      </c>
      <c r="X1377" s="3">
        <v>179.55</v>
      </c>
      <c r="Y1377" s="3">
        <v>76.95</v>
      </c>
    </row>
    <row r="1378" spans="1:25" ht="41.5" hidden="1" x14ac:dyDescent="0.35">
      <c r="A1378" s="3" t="s">
        <v>26</v>
      </c>
      <c r="B1378" s="3" t="s">
        <v>27</v>
      </c>
      <c r="C1378" s="3" t="s">
        <v>658</v>
      </c>
      <c r="D1378" s="3" t="s">
        <v>41</v>
      </c>
      <c r="E1378" s="3" t="s">
        <v>1497</v>
      </c>
      <c r="F1378" s="3" t="s">
        <v>43</v>
      </c>
      <c r="G1378" s="3" t="s">
        <v>1497</v>
      </c>
      <c r="H1378" s="3" t="s">
        <v>660</v>
      </c>
      <c r="I1378" s="3">
        <v>2024</v>
      </c>
      <c r="J1378" s="3" t="str">
        <f>CONCATENATE("44820172607")</f>
        <v>44820172607</v>
      </c>
      <c r="K1378" s="3" t="s">
        <v>33</v>
      </c>
      <c r="L1378" s="3" t="str">
        <f t="shared" si="87"/>
        <v/>
      </c>
      <c r="M1378" s="3" t="str">
        <f t="shared" si="88"/>
        <v>SRB01</v>
      </c>
      <c r="N1378" s="3" t="str">
        <f>CONCATENATE("BRBNDR95E30D969O")</f>
        <v>BRBNDR95E30D969O</v>
      </c>
      <c r="O1378" s="3" t="s">
        <v>2004</v>
      </c>
      <c r="P1378" s="3" t="s">
        <v>35</v>
      </c>
      <c r="Q1378" s="3" t="s">
        <v>1924</v>
      </c>
      <c r="R1378" s="4">
        <v>45926</v>
      </c>
      <c r="S1378" s="3" t="s">
        <v>37</v>
      </c>
      <c r="T1378" s="3" t="s">
        <v>38</v>
      </c>
      <c r="U1378" s="3" t="s">
        <v>39</v>
      </c>
      <c r="V1378" s="3">
        <v>47.34</v>
      </c>
      <c r="W1378" s="3">
        <v>19.27</v>
      </c>
      <c r="X1378" s="3">
        <v>19.649999999999999</v>
      </c>
      <c r="Y1378" s="3">
        <v>8.42</v>
      </c>
    </row>
    <row r="1379" spans="1:25" ht="41.5" hidden="1" x14ac:dyDescent="0.35">
      <c r="A1379" s="3" t="s">
        <v>26</v>
      </c>
      <c r="B1379" s="3" t="s">
        <v>27</v>
      </c>
      <c r="C1379" s="3" t="s">
        <v>658</v>
      </c>
      <c r="D1379" s="3" t="s">
        <v>41</v>
      </c>
      <c r="E1379" s="3" t="s">
        <v>1497</v>
      </c>
      <c r="F1379" s="3" t="s">
        <v>43</v>
      </c>
      <c r="G1379" s="3" t="s">
        <v>1497</v>
      </c>
      <c r="H1379" s="3" t="s">
        <v>660</v>
      </c>
      <c r="I1379" s="3">
        <v>2024</v>
      </c>
      <c r="J1379" s="3" t="str">
        <f>CONCATENATE("44820276812")</f>
        <v>44820276812</v>
      </c>
      <c r="K1379" s="3" t="s">
        <v>33</v>
      </c>
      <c r="L1379" s="3" t="str">
        <f t="shared" si="87"/>
        <v/>
      </c>
      <c r="M1379" s="3" t="str">
        <f t="shared" si="88"/>
        <v>SRB01</v>
      </c>
      <c r="N1379" s="3" t="str">
        <f>CONCATENATE("CRSCHR74T71H612K")</f>
        <v>CRSCHR74T71H612K</v>
      </c>
      <c r="O1379" s="3" t="s">
        <v>2005</v>
      </c>
      <c r="P1379" s="3" t="s">
        <v>35</v>
      </c>
      <c r="Q1379" s="3" t="s">
        <v>1924</v>
      </c>
      <c r="R1379" s="4">
        <v>45926</v>
      </c>
      <c r="S1379" s="3" t="s">
        <v>37</v>
      </c>
      <c r="T1379" s="3" t="s">
        <v>38</v>
      </c>
      <c r="U1379" s="3" t="s">
        <v>39</v>
      </c>
      <c r="V1379" s="3">
        <v>352.5</v>
      </c>
      <c r="W1379" s="3">
        <v>143.47</v>
      </c>
      <c r="X1379" s="3">
        <v>146.32</v>
      </c>
      <c r="Y1379" s="3">
        <v>62.71</v>
      </c>
    </row>
    <row r="1380" spans="1:25" ht="49.5" hidden="1" x14ac:dyDescent="0.35">
      <c r="A1380" s="3" t="s">
        <v>26</v>
      </c>
      <c r="B1380" s="3" t="s">
        <v>27</v>
      </c>
      <c r="C1380" s="3" t="s">
        <v>658</v>
      </c>
      <c r="D1380" s="3" t="s">
        <v>41</v>
      </c>
      <c r="E1380" s="3" t="s">
        <v>1497</v>
      </c>
      <c r="F1380" s="3" t="s">
        <v>41</v>
      </c>
      <c r="G1380" s="3" t="s">
        <v>1497</v>
      </c>
      <c r="H1380" s="3" t="s">
        <v>660</v>
      </c>
      <c r="I1380" s="3">
        <v>2023</v>
      </c>
      <c r="J1380" s="3" t="str">
        <f>CONCATENATE("34820106069")</f>
        <v>34820106069</v>
      </c>
      <c r="K1380" s="3" t="s">
        <v>33</v>
      </c>
      <c r="L1380" s="3" t="str">
        <f t="shared" si="87"/>
        <v/>
      </c>
      <c r="M1380" s="3" t="str">
        <f t="shared" si="88"/>
        <v>SRB01</v>
      </c>
      <c r="N1380" s="3" t="str">
        <f>CONCATENATE("GRBMGL49D60A326W")</f>
        <v>GRBMGL49D60A326W</v>
      </c>
      <c r="O1380" s="3" t="s">
        <v>2006</v>
      </c>
      <c r="P1380" s="3" t="s">
        <v>35</v>
      </c>
      <c r="Q1380" s="3" t="s">
        <v>1924</v>
      </c>
      <c r="R1380" s="4">
        <v>45926</v>
      </c>
      <c r="S1380" s="3" t="s">
        <v>37</v>
      </c>
      <c r="T1380" s="3" t="s">
        <v>38</v>
      </c>
      <c r="U1380" s="3" t="s">
        <v>39</v>
      </c>
      <c r="V1380" s="5">
        <v>9322.44</v>
      </c>
      <c r="W1380" s="5">
        <v>3794.23</v>
      </c>
      <c r="X1380" s="5">
        <v>3869.74</v>
      </c>
      <c r="Y1380" s="5">
        <v>1658.47</v>
      </c>
    </row>
    <row r="1381" spans="1:25" ht="41.5" hidden="1" x14ac:dyDescent="0.35">
      <c r="A1381" s="3" t="s">
        <v>26</v>
      </c>
      <c r="B1381" s="3" t="s">
        <v>27</v>
      </c>
      <c r="C1381" s="3" t="s">
        <v>658</v>
      </c>
      <c r="D1381" s="3" t="s">
        <v>41</v>
      </c>
      <c r="E1381" s="3" t="s">
        <v>1964</v>
      </c>
      <c r="F1381" s="3" t="s">
        <v>43</v>
      </c>
      <c r="G1381" s="3" t="s">
        <v>1964</v>
      </c>
      <c r="H1381" s="3" t="s">
        <v>660</v>
      </c>
      <c r="I1381" s="3">
        <v>2024</v>
      </c>
      <c r="J1381" s="3" t="str">
        <f>CONCATENATE("44820236485")</f>
        <v>44820236485</v>
      </c>
      <c r="K1381" s="3" t="s">
        <v>33</v>
      </c>
      <c r="L1381" s="3" t="str">
        <f t="shared" si="87"/>
        <v/>
      </c>
      <c r="M1381" s="3" t="str">
        <f t="shared" si="88"/>
        <v>SRB01</v>
      </c>
      <c r="N1381" s="3" t="str">
        <f>CONCATENATE("MSURRT62L15A326Z")</f>
        <v>MSURRT62L15A326Z</v>
      </c>
      <c r="O1381" s="3" t="s">
        <v>2007</v>
      </c>
      <c r="P1381" s="3" t="s">
        <v>35</v>
      </c>
      <c r="Q1381" s="3" t="s">
        <v>1924</v>
      </c>
      <c r="R1381" s="4">
        <v>45926</v>
      </c>
      <c r="S1381" s="3" t="s">
        <v>37</v>
      </c>
      <c r="T1381" s="3" t="s">
        <v>38</v>
      </c>
      <c r="U1381" s="3" t="s">
        <v>39</v>
      </c>
      <c r="V1381" s="3">
        <v>2.16</v>
      </c>
      <c r="W1381" s="3">
        <v>0.88</v>
      </c>
      <c r="X1381" s="3">
        <v>0.9</v>
      </c>
      <c r="Y1381" s="3">
        <v>0.38</v>
      </c>
    </row>
    <row r="1382" spans="1:25" ht="41.5" hidden="1" x14ac:dyDescent="0.35">
      <c r="A1382" s="3" t="s">
        <v>26</v>
      </c>
      <c r="B1382" s="3" t="s">
        <v>27</v>
      </c>
      <c r="C1382" s="3" t="s">
        <v>658</v>
      </c>
      <c r="D1382" s="3" t="s">
        <v>41</v>
      </c>
      <c r="E1382" s="3" t="s">
        <v>1497</v>
      </c>
      <c r="F1382" s="3" t="s">
        <v>43</v>
      </c>
      <c r="G1382" s="3" t="s">
        <v>1497</v>
      </c>
      <c r="H1382" s="3" t="s">
        <v>660</v>
      </c>
      <c r="I1382" s="3">
        <v>2024</v>
      </c>
      <c r="J1382" s="3" t="str">
        <f>CONCATENATE("44820461935")</f>
        <v>44820461935</v>
      </c>
      <c r="K1382" s="3" t="s">
        <v>33</v>
      </c>
      <c r="L1382" s="3" t="str">
        <f t="shared" si="87"/>
        <v/>
      </c>
      <c r="M1382" s="3" t="str">
        <f t="shared" si="88"/>
        <v>SRB01</v>
      </c>
      <c r="N1382" s="3" t="str">
        <f>CONCATENATE("GRDLRD84M26E379C")</f>
        <v>GRDLRD84M26E379C</v>
      </c>
      <c r="O1382" s="3" t="s">
        <v>2008</v>
      </c>
      <c r="P1382" s="3" t="s">
        <v>35</v>
      </c>
      <c r="Q1382" s="3" t="s">
        <v>1924</v>
      </c>
      <c r="R1382" s="4">
        <v>45926</v>
      </c>
      <c r="S1382" s="3" t="s">
        <v>37</v>
      </c>
      <c r="T1382" s="3" t="s">
        <v>38</v>
      </c>
      <c r="U1382" s="3" t="s">
        <v>39</v>
      </c>
      <c r="V1382" s="3">
        <v>593.32000000000005</v>
      </c>
      <c r="W1382" s="3">
        <v>241.48</v>
      </c>
      <c r="X1382" s="3">
        <v>246.29</v>
      </c>
      <c r="Y1382" s="3">
        <v>105.55</v>
      </c>
    </row>
    <row r="1383" spans="1:25" ht="49.5" hidden="1" x14ac:dyDescent="0.35">
      <c r="A1383" s="3" t="s">
        <v>26</v>
      </c>
      <c r="B1383" s="3" t="s">
        <v>27</v>
      </c>
      <c r="C1383" s="3" t="s">
        <v>658</v>
      </c>
      <c r="D1383" s="3" t="s">
        <v>61</v>
      </c>
      <c r="E1383" s="3" t="s">
        <v>1378</v>
      </c>
      <c r="F1383" s="3" t="s">
        <v>63</v>
      </c>
      <c r="G1383" s="3" t="s">
        <v>1378</v>
      </c>
      <c r="H1383" s="3" t="s">
        <v>660</v>
      </c>
      <c r="I1383" s="3">
        <v>2024</v>
      </c>
      <c r="J1383" s="3" t="str">
        <f>CONCATENATE("44820763421")</f>
        <v>44820763421</v>
      </c>
      <c r="K1383" s="3" t="s">
        <v>33</v>
      </c>
      <c r="L1383" s="3" t="str">
        <f t="shared" si="87"/>
        <v/>
      </c>
      <c r="M1383" s="3" t="str">
        <f t="shared" si="88"/>
        <v>SRB01</v>
      </c>
      <c r="N1383" s="3" t="str">
        <f>CONCATENATE("MNORRT59R17A326C")</f>
        <v>MNORRT59R17A326C</v>
      </c>
      <c r="O1383" s="3" t="s">
        <v>2009</v>
      </c>
      <c r="P1383" s="3" t="s">
        <v>35</v>
      </c>
      <c r="Q1383" s="3" t="s">
        <v>1924</v>
      </c>
      <c r="R1383" s="4">
        <v>45926</v>
      </c>
      <c r="S1383" s="3" t="s">
        <v>37</v>
      </c>
      <c r="T1383" s="3" t="s">
        <v>38</v>
      </c>
      <c r="U1383" s="3" t="s">
        <v>39</v>
      </c>
      <c r="V1383" s="5">
        <v>1268.22</v>
      </c>
      <c r="W1383" s="3">
        <v>516.16999999999996</v>
      </c>
      <c r="X1383" s="3">
        <v>526.44000000000005</v>
      </c>
      <c r="Y1383" s="3">
        <v>225.61</v>
      </c>
    </row>
    <row r="1384" spans="1:25" ht="25.5" hidden="1" x14ac:dyDescent="0.35">
      <c r="A1384" s="3" t="s">
        <v>26</v>
      </c>
      <c r="B1384" s="3" t="s">
        <v>27</v>
      </c>
      <c r="C1384" s="3" t="s">
        <v>658</v>
      </c>
      <c r="D1384" s="3" t="s">
        <v>254</v>
      </c>
      <c r="E1384" s="3" t="s">
        <v>962</v>
      </c>
      <c r="F1384" s="3" t="s">
        <v>256</v>
      </c>
      <c r="G1384" s="3" t="s">
        <v>962</v>
      </c>
      <c r="H1384" s="3" t="s">
        <v>660</v>
      </c>
      <c r="I1384" s="3">
        <v>2024</v>
      </c>
      <c r="J1384" s="3" t="str">
        <f>CONCATENATE("44820485199")</f>
        <v>44820485199</v>
      </c>
      <c r="K1384" s="3" t="s">
        <v>33</v>
      </c>
      <c r="L1384" s="3" t="str">
        <f t="shared" si="87"/>
        <v/>
      </c>
      <c r="M1384" s="3" t="str">
        <f t="shared" si="88"/>
        <v>SRB01</v>
      </c>
      <c r="N1384" s="3" t="str">
        <f>CONCATENATE("01101620076")</f>
        <v>01101620076</v>
      </c>
      <c r="O1384" s="3" t="s">
        <v>2010</v>
      </c>
      <c r="P1384" s="3" t="s">
        <v>35</v>
      </c>
      <c r="Q1384" s="3" t="s">
        <v>1924</v>
      </c>
      <c r="R1384" s="4">
        <v>45926</v>
      </c>
      <c r="S1384" s="3" t="s">
        <v>37</v>
      </c>
      <c r="T1384" s="3" t="s">
        <v>38</v>
      </c>
      <c r="U1384" s="3" t="s">
        <v>39</v>
      </c>
      <c r="V1384" s="5">
        <v>13513.99</v>
      </c>
      <c r="W1384" s="5">
        <v>5500.19</v>
      </c>
      <c r="X1384" s="5">
        <v>5609.66</v>
      </c>
      <c r="Y1384" s="5">
        <v>2404.14</v>
      </c>
    </row>
    <row r="1385" spans="1:25" ht="41.5" hidden="1" x14ac:dyDescent="0.35">
      <c r="A1385" s="3" t="s">
        <v>26</v>
      </c>
      <c r="B1385" s="3" t="s">
        <v>27</v>
      </c>
      <c r="C1385" s="3" t="s">
        <v>658</v>
      </c>
      <c r="D1385" s="3" t="s">
        <v>41</v>
      </c>
      <c r="E1385" s="3" t="s">
        <v>1497</v>
      </c>
      <c r="F1385" s="3" t="s">
        <v>43</v>
      </c>
      <c r="G1385" s="3" t="s">
        <v>1497</v>
      </c>
      <c r="H1385" s="3" t="s">
        <v>660</v>
      </c>
      <c r="I1385" s="3">
        <v>2024</v>
      </c>
      <c r="J1385" s="3" t="str">
        <f>CONCATENATE("44811345089")</f>
        <v>44811345089</v>
      </c>
      <c r="K1385" s="3" t="s">
        <v>33</v>
      </c>
      <c r="L1385" s="3" t="str">
        <f t="shared" si="87"/>
        <v/>
      </c>
      <c r="M1385" s="3" t="str">
        <f>CONCATENATE("SRA29")</f>
        <v>SRA29</v>
      </c>
      <c r="N1385" s="3" t="str">
        <f>CONCATENATE("VLLLCU93H30A326A")</f>
        <v>VLLLCU93H30A326A</v>
      </c>
      <c r="O1385" s="3" t="s">
        <v>2011</v>
      </c>
      <c r="P1385" s="3" t="s">
        <v>35</v>
      </c>
      <c r="Q1385" s="3" t="s">
        <v>1786</v>
      </c>
      <c r="R1385" s="4">
        <v>45926</v>
      </c>
      <c r="S1385" s="3" t="s">
        <v>37</v>
      </c>
      <c r="T1385" s="3" t="s">
        <v>38</v>
      </c>
      <c r="U1385" s="3" t="s">
        <v>39</v>
      </c>
      <c r="V1385" s="3">
        <v>600.54</v>
      </c>
      <c r="W1385" s="3">
        <v>244.42</v>
      </c>
      <c r="X1385" s="3">
        <v>249.28</v>
      </c>
      <c r="Y1385" s="3">
        <v>106.84</v>
      </c>
    </row>
    <row r="1386" spans="1:25" ht="49.5" hidden="1" x14ac:dyDescent="0.35">
      <c r="A1386" s="3" t="s">
        <v>26</v>
      </c>
      <c r="B1386" s="3" t="s">
        <v>27</v>
      </c>
      <c r="C1386" s="3" t="s">
        <v>658</v>
      </c>
      <c r="D1386" s="3" t="s">
        <v>41</v>
      </c>
      <c r="E1386" s="3" t="s">
        <v>659</v>
      </c>
      <c r="F1386" s="3" t="s">
        <v>43</v>
      </c>
      <c r="G1386" s="3" t="s">
        <v>659</v>
      </c>
      <c r="H1386" s="3" t="s">
        <v>660</v>
      </c>
      <c r="I1386" s="3">
        <v>2024</v>
      </c>
      <c r="J1386" s="3" t="str">
        <f>CONCATENATE("44820197265")</f>
        <v>44820197265</v>
      </c>
      <c r="K1386" s="3" t="s">
        <v>33</v>
      </c>
      <c r="L1386" s="3" t="str">
        <f t="shared" si="87"/>
        <v/>
      </c>
      <c r="M1386" s="3" t="str">
        <f>CONCATENATE("SRB01")</f>
        <v>SRB01</v>
      </c>
      <c r="N1386" s="3" t="str">
        <f>CONCATENATE("VSCRMR60M50D666H")</f>
        <v>VSCRMR60M50D666H</v>
      </c>
      <c r="O1386" s="3" t="s">
        <v>2012</v>
      </c>
      <c r="P1386" s="3" t="s">
        <v>35</v>
      </c>
      <c r="Q1386" s="3" t="s">
        <v>1924</v>
      </c>
      <c r="R1386" s="4">
        <v>45926</v>
      </c>
      <c r="S1386" s="3" t="s">
        <v>37</v>
      </c>
      <c r="T1386" s="3" t="s">
        <v>38</v>
      </c>
      <c r="U1386" s="3" t="s">
        <v>39</v>
      </c>
      <c r="V1386" s="3">
        <v>1.61</v>
      </c>
      <c r="W1386" s="3">
        <v>0.66</v>
      </c>
      <c r="X1386" s="3">
        <v>0.67</v>
      </c>
      <c r="Y1386" s="3">
        <v>0.28000000000000003</v>
      </c>
    </row>
    <row r="1387" spans="1:25" ht="41.5" hidden="1" x14ac:dyDescent="0.35">
      <c r="A1387" s="3" t="s">
        <v>26</v>
      </c>
      <c r="B1387" s="3" t="s">
        <v>27</v>
      </c>
      <c r="C1387" s="3" t="s">
        <v>658</v>
      </c>
      <c r="D1387" s="3" t="s">
        <v>61</v>
      </c>
      <c r="E1387" s="3" t="s">
        <v>1378</v>
      </c>
      <c r="F1387" s="3" t="s">
        <v>63</v>
      </c>
      <c r="G1387" s="3" t="s">
        <v>1378</v>
      </c>
      <c r="H1387" s="3" t="s">
        <v>660</v>
      </c>
      <c r="I1387" s="3">
        <v>2024</v>
      </c>
      <c r="J1387" s="3" t="str">
        <f>CONCATENATE("44810617926")</f>
        <v>44810617926</v>
      </c>
      <c r="K1387" s="3" t="s">
        <v>33</v>
      </c>
      <c r="L1387" s="3" t="str">
        <f t="shared" si="87"/>
        <v/>
      </c>
      <c r="M1387" s="3" t="str">
        <f t="shared" ref="M1387:M1392" si="89">CONCATENATE("SRA29")</f>
        <v>SRA29</v>
      </c>
      <c r="N1387" s="3" t="str">
        <f>CONCATENATE("MRCLDR54H24B192F")</f>
        <v>MRCLDR54H24B192F</v>
      </c>
      <c r="O1387" s="3" t="s">
        <v>2013</v>
      </c>
      <c r="P1387" s="3" t="s">
        <v>35</v>
      </c>
      <c r="Q1387" s="3" t="s">
        <v>1786</v>
      </c>
      <c r="R1387" s="4">
        <v>45926</v>
      </c>
      <c r="S1387" s="3" t="s">
        <v>37</v>
      </c>
      <c r="T1387" s="3" t="s">
        <v>38</v>
      </c>
      <c r="U1387" s="3" t="s">
        <v>39</v>
      </c>
      <c r="V1387" s="5">
        <v>2209.4499999999998</v>
      </c>
      <c r="W1387" s="3">
        <v>899.25</v>
      </c>
      <c r="X1387" s="3">
        <v>917.14</v>
      </c>
      <c r="Y1387" s="3">
        <v>393.06</v>
      </c>
    </row>
    <row r="1388" spans="1:25" ht="41.5" hidden="1" x14ac:dyDescent="0.35">
      <c r="A1388" s="3" t="s">
        <v>26</v>
      </c>
      <c r="B1388" s="3" t="s">
        <v>27</v>
      </c>
      <c r="C1388" s="3" t="s">
        <v>658</v>
      </c>
      <c r="D1388" s="3" t="s">
        <v>41</v>
      </c>
      <c r="E1388" s="3" t="s">
        <v>659</v>
      </c>
      <c r="F1388" s="3" t="s">
        <v>43</v>
      </c>
      <c r="G1388" s="3" t="s">
        <v>659</v>
      </c>
      <c r="H1388" s="3" t="s">
        <v>660</v>
      </c>
      <c r="I1388" s="3">
        <v>2024</v>
      </c>
      <c r="J1388" s="3" t="str">
        <f>CONCATENATE("44810977304")</f>
        <v>44810977304</v>
      </c>
      <c r="K1388" s="3" t="s">
        <v>33</v>
      </c>
      <c r="L1388" s="3" t="str">
        <f t="shared" si="87"/>
        <v/>
      </c>
      <c r="M1388" s="3" t="str">
        <f t="shared" si="89"/>
        <v>SRA29</v>
      </c>
      <c r="N1388" s="3" t="str">
        <f>CONCATENATE("MSSLCU90S21A326N")</f>
        <v>MSSLCU90S21A326N</v>
      </c>
      <c r="O1388" s="3" t="s">
        <v>2014</v>
      </c>
      <c r="P1388" s="3" t="s">
        <v>35</v>
      </c>
      <c r="Q1388" s="3" t="s">
        <v>1786</v>
      </c>
      <c r="R1388" s="4">
        <v>45926</v>
      </c>
      <c r="S1388" s="3" t="s">
        <v>37</v>
      </c>
      <c r="T1388" s="3" t="s">
        <v>38</v>
      </c>
      <c r="U1388" s="3" t="s">
        <v>39</v>
      </c>
      <c r="V1388" s="3">
        <v>67.400000000000006</v>
      </c>
      <c r="W1388" s="3">
        <v>27.43</v>
      </c>
      <c r="X1388" s="3">
        <v>27.98</v>
      </c>
      <c r="Y1388" s="3">
        <v>11.99</v>
      </c>
    </row>
    <row r="1389" spans="1:25" ht="41.5" hidden="1" x14ac:dyDescent="0.35">
      <c r="A1389" s="3" t="s">
        <v>26</v>
      </c>
      <c r="B1389" s="3" t="s">
        <v>27</v>
      </c>
      <c r="C1389" s="3" t="s">
        <v>658</v>
      </c>
      <c r="D1389" s="3" t="s">
        <v>41</v>
      </c>
      <c r="E1389" s="3" t="s">
        <v>1964</v>
      </c>
      <c r="F1389" s="3" t="s">
        <v>43</v>
      </c>
      <c r="G1389" s="3" t="s">
        <v>1964</v>
      </c>
      <c r="H1389" s="3" t="s">
        <v>660</v>
      </c>
      <c r="I1389" s="3">
        <v>2024</v>
      </c>
      <c r="J1389" s="3" t="str">
        <f>CONCATENATE("44810404044")</f>
        <v>44810404044</v>
      </c>
      <c r="K1389" s="3" t="s">
        <v>33</v>
      </c>
      <c r="L1389" s="3" t="str">
        <f t="shared" si="87"/>
        <v/>
      </c>
      <c r="M1389" s="3" t="str">
        <f t="shared" si="89"/>
        <v>SRA29</v>
      </c>
      <c r="N1389" s="3" t="str">
        <f>CONCATENATE("RXOSDR85C22A326O")</f>
        <v>RXOSDR85C22A326O</v>
      </c>
      <c r="O1389" s="3" t="s">
        <v>2015</v>
      </c>
      <c r="P1389" s="3" t="s">
        <v>35</v>
      </c>
      <c r="Q1389" s="3" t="s">
        <v>1786</v>
      </c>
      <c r="R1389" s="4">
        <v>45926</v>
      </c>
      <c r="S1389" s="3" t="s">
        <v>37</v>
      </c>
      <c r="T1389" s="3" t="s">
        <v>38</v>
      </c>
      <c r="U1389" s="3" t="s">
        <v>39</v>
      </c>
      <c r="V1389" s="3">
        <v>3.06</v>
      </c>
      <c r="W1389" s="3">
        <v>1.25</v>
      </c>
      <c r="X1389" s="3">
        <v>1.27</v>
      </c>
      <c r="Y1389" s="3">
        <v>0.54</v>
      </c>
    </row>
    <row r="1390" spans="1:25" ht="25.5" hidden="1" x14ac:dyDescent="0.35">
      <c r="A1390" s="3" t="s">
        <v>26</v>
      </c>
      <c r="B1390" s="3" t="s">
        <v>27</v>
      </c>
      <c r="C1390" s="3" t="s">
        <v>658</v>
      </c>
      <c r="D1390" s="3" t="s">
        <v>41</v>
      </c>
      <c r="E1390" s="3" t="s">
        <v>1964</v>
      </c>
      <c r="F1390" s="3" t="s">
        <v>43</v>
      </c>
      <c r="G1390" s="3" t="s">
        <v>1964</v>
      </c>
      <c r="H1390" s="3" t="s">
        <v>660</v>
      </c>
      <c r="I1390" s="3">
        <v>2024</v>
      </c>
      <c r="J1390" s="3" t="str">
        <f>CONCATENATE("44811440567")</f>
        <v>44811440567</v>
      </c>
      <c r="K1390" s="3" t="s">
        <v>33</v>
      </c>
      <c r="L1390" s="3" t="str">
        <f t="shared" si="87"/>
        <v/>
      </c>
      <c r="M1390" s="3" t="str">
        <f t="shared" si="89"/>
        <v>SRA29</v>
      </c>
      <c r="N1390" s="3" t="str">
        <f>CONCATENATE("01022860074")</f>
        <v>01022860074</v>
      </c>
      <c r="O1390" s="3" t="s">
        <v>2016</v>
      </c>
      <c r="P1390" s="3" t="s">
        <v>35</v>
      </c>
      <c r="Q1390" s="3" t="s">
        <v>1786</v>
      </c>
      <c r="R1390" s="4">
        <v>45926</v>
      </c>
      <c r="S1390" s="3" t="s">
        <v>37</v>
      </c>
      <c r="T1390" s="3" t="s">
        <v>38</v>
      </c>
      <c r="U1390" s="3" t="s">
        <v>39</v>
      </c>
      <c r="V1390" s="5">
        <v>21481.3</v>
      </c>
      <c r="W1390" s="5">
        <v>8742.89</v>
      </c>
      <c r="X1390" s="5">
        <v>8916.89</v>
      </c>
      <c r="Y1390" s="5">
        <v>3821.52</v>
      </c>
    </row>
    <row r="1391" spans="1:25" ht="41.5" hidden="1" x14ac:dyDescent="0.35">
      <c r="A1391" s="3" t="s">
        <v>26</v>
      </c>
      <c r="B1391" s="3" t="s">
        <v>27</v>
      </c>
      <c r="C1391" s="3" t="s">
        <v>658</v>
      </c>
      <c r="D1391" s="3" t="s">
        <v>41</v>
      </c>
      <c r="E1391" s="3" t="s">
        <v>659</v>
      </c>
      <c r="F1391" s="3" t="s">
        <v>43</v>
      </c>
      <c r="G1391" s="3" t="s">
        <v>659</v>
      </c>
      <c r="H1391" s="3" t="s">
        <v>660</v>
      </c>
      <c r="I1391" s="3">
        <v>2024</v>
      </c>
      <c r="J1391" s="3" t="str">
        <f>CONCATENATE("44810953107")</f>
        <v>44810953107</v>
      </c>
      <c r="K1391" s="3" t="s">
        <v>33</v>
      </c>
      <c r="L1391" s="3" t="str">
        <f t="shared" si="87"/>
        <v/>
      </c>
      <c r="M1391" s="3" t="str">
        <f t="shared" si="89"/>
        <v>SRA29</v>
      </c>
      <c r="N1391" s="3" t="str">
        <f>CONCATENATE("SQNGPP71C13E379M")</f>
        <v>SQNGPP71C13E379M</v>
      </c>
      <c r="O1391" s="3" t="s">
        <v>2017</v>
      </c>
      <c r="P1391" s="3" t="s">
        <v>35</v>
      </c>
      <c r="Q1391" s="3" t="s">
        <v>1786</v>
      </c>
      <c r="R1391" s="4">
        <v>45926</v>
      </c>
      <c r="S1391" s="3" t="s">
        <v>37</v>
      </c>
      <c r="T1391" s="3" t="s">
        <v>38</v>
      </c>
      <c r="U1391" s="3" t="s">
        <v>39</v>
      </c>
      <c r="V1391" s="5">
        <v>17932.43</v>
      </c>
      <c r="W1391" s="5">
        <v>7298.5</v>
      </c>
      <c r="X1391" s="5">
        <v>7443.75</v>
      </c>
      <c r="Y1391" s="5">
        <v>3190.18</v>
      </c>
    </row>
    <row r="1392" spans="1:25" ht="49.5" hidden="1" x14ac:dyDescent="0.35">
      <c r="A1392" s="3" t="s">
        <v>26</v>
      </c>
      <c r="B1392" s="3" t="s">
        <v>27</v>
      </c>
      <c r="C1392" s="3" t="s">
        <v>658</v>
      </c>
      <c r="D1392" s="3" t="s">
        <v>41</v>
      </c>
      <c r="E1392" s="3" t="s">
        <v>1497</v>
      </c>
      <c r="F1392" s="3" t="s">
        <v>43</v>
      </c>
      <c r="G1392" s="3" t="s">
        <v>1497</v>
      </c>
      <c r="H1392" s="3" t="s">
        <v>660</v>
      </c>
      <c r="I1392" s="3">
        <v>2024</v>
      </c>
      <c r="J1392" s="3" t="str">
        <f>CONCATENATE("44810710895")</f>
        <v>44810710895</v>
      </c>
      <c r="K1392" s="3" t="s">
        <v>33</v>
      </c>
      <c r="L1392" s="3" t="str">
        <f t="shared" si="87"/>
        <v/>
      </c>
      <c r="M1392" s="3" t="str">
        <f t="shared" si="89"/>
        <v>SRA29</v>
      </c>
      <c r="N1392" s="3" t="str">
        <f>CONCATENATE("VCQSDR70A65A326R")</f>
        <v>VCQSDR70A65A326R</v>
      </c>
      <c r="O1392" s="3" t="s">
        <v>2018</v>
      </c>
      <c r="P1392" s="3" t="s">
        <v>35</v>
      </c>
      <c r="Q1392" s="3" t="s">
        <v>1786</v>
      </c>
      <c r="R1392" s="4">
        <v>45926</v>
      </c>
      <c r="S1392" s="3" t="s">
        <v>37</v>
      </c>
      <c r="T1392" s="3" t="s">
        <v>38</v>
      </c>
      <c r="U1392" s="3" t="s">
        <v>39</v>
      </c>
      <c r="V1392" s="3">
        <v>1.44</v>
      </c>
      <c r="W1392" s="3">
        <v>0.59</v>
      </c>
      <c r="X1392" s="3">
        <v>0.6</v>
      </c>
      <c r="Y1392" s="3">
        <v>0.25</v>
      </c>
    </row>
    <row r="1393" spans="1:25" ht="41.5" hidden="1" x14ac:dyDescent="0.35">
      <c r="A1393" s="3" t="s">
        <v>26</v>
      </c>
      <c r="B1393" s="3" t="s">
        <v>27</v>
      </c>
      <c r="C1393" s="3" t="s">
        <v>40</v>
      </c>
      <c r="D1393" s="3" t="s">
        <v>41</v>
      </c>
      <c r="E1393" s="3" t="s">
        <v>143</v>
      </c>
      <c r="F1393" s="3" t="s">
        <v>43</v>
      </c>
      <c r="G1393" s="3" t="s">
        <v>143</v>
      </c>
      <c r="H1393" s="3" t="s">
        <v>64</v>
      </c>
      <c r="I1393" s="3">
        <v>2024</v>
      </c>
      <c r="J1393" s="3" t="str">
        <f>CONCATENATE("44820029955")</f>
        <v>44820029955</v>
      </c>
      <c r="K1393" s="3" t="s">
        <v>33</v>
      </c>
      <c r="L1393" s="3" t="str">
        <f t="shared" si="87"/>
        <v/>
      </c>
      <c r="M1393" s="3" t="str">
        <f t="shared" ref="M1393:M1402" si="90">CONCATENATE("SRB01")</f>
        <v>SRB01</v>
      </c>
      <c r="N1393" s="3" t="str">
        <f>CONCATENATE("DRAMRK89S30H501P")</f>
        <v>DRAMRK89S30H501P</v>
      </c>
      <c r="O1393" s="3" t="s">
        <v>2019</v>
      </c>
      <c r="P1393" s="3" t="s">
        <v>35</v>
      </c>
      <c r="Q1393" s="3" t="s">
        <v>1928</v>
      </c>
      <c r="R1393" s="4">
        <v>45933</v>
      </c>
      <c r="S1393" s="3" t="s">
        <v>37</v>
      </c>
      <c r="T1393" s="3" t="s">
        <v>38</v>
      </c>
      <c r="U1393" s="3" t="s">
        <v>39</v>
      </c>
      <c r="V1393" s="3">
        <v>3.15</v>
      </c>
      <c r="W1393" s="3">
        <v>1.28</v>
      </c>
      <c r="X1393" s="3">
        <v>1.31</v>
      </c>
      <c r="Y1393" s="3">
        <v>0.56000000000000005</v>
      </c>
    </row>
    <row r="1394" spans="1:25" ht="41.5" hidden="1" x14ac:dyDescent="0.35">
      <c r="A1394" s="3" t="s">
        <v>26</v>
      </c>
      <c r="B1394" s="3" t="s">
        <v>27</v>
      </c>
      <c r="C1394" s="3" t="s">
        <v>40</v>
      </c>
      <c r="D1394" s="3" t="s">
        <v>41</v>
      </c>
      <c r="E1394" s="3" t="s">
        <v>955</v>
      </c>
      <c r="F1394" s="3" t="s">
        <v>43</v>
      </c>
      <c r="G1394" s="3" t="s">
        <v>955</v>
      </c>
      <c r="H1394" s="3" t="s">
        <v>64</v>
      </c>
      <c r="I1394" s="3">
        <v>2024</v>
      </c>
      <c r="J1394" s="3" t="str">
        <f>CONCATENATE("44820357141")</f>
        <v>44820357141</v>
      </c>
      <c r="K1394" s="3" t="s">
        <v>33</v>
      </c>
      <c r="L1394" s="3" t="str">
        <f t="shared" si="87"/>
        <v/>
      </c>
      <c r="M1394" s="3" t="str">
        <f t="shared" si="90"/>
        <v>SRB01</v>
      </c>
      <c r="N1394" s="3" t="str">
        <f>CONCATENATE("DLCMRC68C12C858U")</f>
        <v>DLCMRC68C12C858U</v>
      </c>
      <c r="O1394" s="3" t="s">
        <v>2020</v>
      </c>
      <c r="P1394" s="3" t="s">
        <v>35</v>
      </c>
      <c r="Q1394" s="3" t="s">
        <v>1928</v>
      </c>
      <c r="R1394" s="4">
        <v>45933</v>
      </c>
      <c r="S1394" s="3" t="s">
        <v>37</v>
      </c>
      <c r="T1394" s="3" t="s">
        <v>38</v>
      </c>
      <c r="U1394" s="3" t="s">
        <v>39</v>
      </c>
      <c r="V1394" s="3">
        <v>1.97</v>
      </c>
      <c r="W1394" s="3">
        <v>0.8</v>
      </c>
      <c r="X1394" s="3">
        <v>0.82</v>
      </c>
      <c r="Y1394" s="3">
        <v>0.35</v>
      </c>
    </row>
    <row r="1395" spans="1:25" ht="41.5" hidden="1" x14ac:dyDescent="0.35">
      <c r="A1395" s="3" t="s">
        <v>26</v>
      </c>
      <c r="B1395" s="3" t="s">
        <v>27</v>
      </c>
      <c r="C1395" s="3" t="s">
        <v>40</v>
      </c>
      <c r="D1395" s="3" t="s">
        <v>107</v>
      </c>
      <c r="E1395" s="3" t="s">
        <v>841</v>
      </c>
      <c r="F1395" s="3" t="s">
        <v>115</v>
      </c>
      <c r="G1395" s="3" t="s">
        <v>841</v>
      </c>
      <c r="H1395" s="3" t="s">
        <v>64</v>
      </c>
      <c r="I1395" s="3">
        <v>2024</v>
      </c>
      <c r="J1395" s="3" t="str">
        <f>CONCATENATE("44820526794")</f>
        <v>44820526794</v>
      </c>
      <c r="K1395" s="3" t="s">
        <v>33</v>
      </c>
      <c r="L1395" s="3" t="str">
        <f t="shared" si="87"/>
        <v/>
      </c>
      <c r="M1395" s="3" t="str">
        <f t="shared" si="90"/>
        <v>SRB01</v>
      </c>
      <c r="N1395" s="3" t="str">
        <f>CONCATENATE("GNNGTD50B43F692Z")</f>
        <v>GNNGTD50B43F692Z</v>
      </c>
      <c r="O1395" s="3" t="s">
        <v>2021</v>
      </c>
      <c r="P1395" s="3" t="s">
        <v>35</v>
      </c>
      <c r="Q1395" s="3" t="s">
        <v>1928</v>
      </c>
      <c r="R1395" s="4">
        <v>45933</v>
      </c>
      <c r="S1395" s="3" t="s">
        <v>37</v>
      </c>
      <c r="T1395" s="3" t="s">
        <v>38</v>
      </c>
      <c r="U1395" s="3" t="s">
        <v>39</v>
      </c>
      <c r="V1395" s="3">
        <v>8.0399999999999991</v>
      </c>
      <c r="W1395" s="3">
        <v>3.27</v>
      </c>
      <c r="X1395" s="3">
        <v>3.34</v>
      </c>
      <c r="Y1395" s="3">
        <v>1.43</v>
      </c>
    </row>
    <row r="1396" spans="1:25" ht="41.5" hidden="1" x14ac:dyDescent="0.35">
      <c r="A1396" s="3" t="s">
        <v>26</v>
      </c>
      <c r="B1396" s="3" t="s">
        <v>27</v>
      </c>
      <c r="C1396" s="3" t="s">
        <v>40</v>
      </c>
      <c r="D1396" s="3" t="s">
        <v>41</v>
      </c>
      <c r="E1396" s="3" t="s">
        <v>143</v>
      </c>
      <c r="F1396" s="3" t="s">
        <v>43</v>
      </c>
      <c r="G1396" s="3" t="s">
        <v>143</v>
      </c>
      <c r="H1396" s="3" t="s">
        <v>64</v>
      </c>
      <c r="I1396" s="3">
        <v>2024</v>
      </c>
      <c r="J1396" s="3" t="str">
        <f>CONCATENATE("44820045357")</f>
        <v>44820045357</v>
      </c>
      <c r="K1396" s="3" t="s">
        <v>33</v>
      </c>
      <c r="L1396" s="3" t="str">
        <f t="shared" si="87"/>
        <v/>
      </c>
      <c r="M1396" s="3" t="str">
        <f t="shared" si="90"/>
        <v>SRB01</v>
      </c>
      <c r="N1396" s="3" t="str">
        <f>CONCATENATE("LZZSVN62R05L182Z")</f>
        <v>LZZSVN62R05L182Z</v>
      </c>
      <c r="O1396" s="3" t="s">
        <v>2022</v>
      </c>
      <c r="P1396" s="3" t="s">
        <v>35</v>
      </c>
      <c r="Q1396" s="3" t="s">
        <v>1928</v>
      </c>
      <c r="R1396" s="4">
        <v>45933</v>
      </c>
      <c r="S1396" s="3" t="s">
        <v>37</v>
      </c>
      <c r="T1396" s="3" t="s">
        <v>38</v>
      </c>
      <c r="U1396" s="3" t="s">
        <v>39</v>
      </c>
      <c r="V1396" s="3">
        <v>73.42</v>
      </c>
      <c r="W1396" s="3">
        <v>29.88</v>
      </c>
      <c r="X1396" s="3">
        <v>30.48</v>
      </c>
      <c r="Y1396" s="3">
        <v>13.06</v>
      </c>
    </row>
    <row r="1397" spans="1:25" ht="41.5" hidden="1" x14ac:dyDescent="0.35">
      <c r="A1397" s="3" t="s">
        <v>26</v>
      </c>
      <c r="B1397" s="3" t="s">
        <v>27</v>
      </c>
      <c r="C1397" s="3" t="s">
        <v>40</v>
      </c>
      <c r="D1397" s="3" t="s">
        <v>41</v>
      </c>
      <c r="E1397" s="3" t="s">
        <v>143</v>
      </c>
      <c r="F1397" s="3" t="s">
        <v>43</v>
      </c>
      <c r="G1397" s="3" t="s">
        <v>143</v>
      </c>
      <c r="H1397" s="3" t="s">
        <v>64</v>
      </c>
      <c r="I1397" s="3">
        <v>2024</v>
      </c>
      <c r="J1397" s="3" t="str">
        <f>CONCATENATE("44820280319")</f>
        <v>44820280319</v>
      </c>
      <c r="K1397" s="3" t="s">
        <v>33</v>
      </c>
      <c r="L1397" s="3" t="str">
        <f t="shared" si="87"/>
        <v/>
      </c>
      <c r="M1397" s="3" t="str">
        <f t="shared" si="90"/>
        <v>SRB01</v>
      </c>
      <c r="N1397" s="3" t="str">
        <f>CONCATENATE("RLNRNT46M43I992A")</f>
        <v>RLNRNT46M43I992A</v>
      </c>
      <c r="O1397" s="3" t="s">
        <v>2023</v>
      </c>
      <c r="P1397" s="3" t="s">
        <v>35</v>
      </c>
      <c r="Q1397" s="3" t="s">
        <v>1928</v>
      </c>
      <c r="R1397" s="4">
        <v>45933</v>
      </c>
      <c r="S1397" s="3" t="s">
        <v>37</v>
      </c>
      <c r="T1397" s="3" t="s">
        <v>38</v>
      </c>
      <c r="U1397" s="3" t="s">
        <v>39</v>
      </c>
      <c r="V1397" s="3">
        <v>114.45</v>
      </c>
      <c r="W1397" s="3">
        <v>46.58</v>
      </c>
      <c r="X1397" s="3">
        <v>47.51</v>
      </c>
      <c r="Y1397" s="3">
        <v>20.36</v>
      </c>
    </row>
    <row r="1398" spans="1:25" ht="41.5" hidden="1" x14ac:dyDescent="0.35">
      <c r="A1398" s="3" t="s">
        <v>26</v>
      </c>
      <c r="B1398" s="3" t="s">
        <v>27</v>
      </c>
      <c r="C1398" s="3" t="s">
        <v>40</v>
      </c>
      <c r="D1398" s="3" t="s">
        <v>41</v>
      </c>
      <c r="E1398" s="3" t="s">
        <v>143</v>
      </c>
      <c r="F1398" s="3" t="s">
        <v>43</v>
      </c>
      <c r="G1398" s="3" t="s">
        <v>143</v>
      </c>
      <c r="H1398" s="3" t="s">
        <v>64</v>
      </c>
      <c r="I1398" s="3">
        <v>2024</v>
      </c>
      <c r="J1398" s="3" t="str">
        <f>CONCATENATE("44820227211")</f>
        <v>44820227211</v>
      </c>
      <c r="K1398" s="3" t="s">
        <v>33</v>
      </c>
      <c r="L1398" s="3" t="str">
        <f t="shared" si="87"/>
        <v/>
      </c>
      <c r="M1398" s="3" t="str">
        <f t="shared" si="90"/>
        <v>SRB01</v>
      </c>
      <c r="N1398" s="3" t="str">
        <f>CONCATENATE("PNTTZN93L13L182P")</f>
        <v>PNTTZN93L13L182P</v>
      </c>
      <c r="O1398" s="3" t="s">
        <v>2024</v>
      </c>
      <c r="P1398" s="3" t="s">
        <v>35</v>
      </c>
      <c r="Q1398" s="3" t="s">
        <v>1928</v>
      </c>
      <c r="R1398" s="4">
        <v>45933</v>
      </c>
      <c r="S1398" s="3" t="s">
        <v>37</v>
      </c>
      <c r="T1398" s="3" t="s">
        <v>38</v>
      </c>
      <c r="U1398" s="3" t="s">
        <v>39</v>
      </c>
      <c r="V1398" s="3">
        <v>191.78</v>
      </c>
      <c r="W1398" s="3">
        <v>78.05</v>
      </c>
      <c r="X1398" s="3">
        <v>79.61</v>
      </c>
      <c r="Y1398" s="3">
        <v>34.119999999999997</v>
      </c>
    </row>
    <row r="1399" spans="1:25" ht="41.5" hidden="1" x14ac:dyDescent="0.35">
      <c r="A1399" s="3" t="s">
        <v>26</v>
      </c>
      <c r="B1399" s="3" t="s">
        <v>27</v>
      </c>
      <c r="C1399" s="3" t="s">
        <v>40</v>
      </c>
      <c r="D1399" s="3" t="s">
        <v>41</v>
      </c>
      <c r="E1399" s="3" t="s">
        <v>143</v>
      </c>
      <c r="F1399" s="3" t="s">
        <v>43</v>
      </c>
      <c r="G1399" s="3" t="s">
        <v>143</v>
      </c>
      <c r="H1399" s="3" t="s">
        <v>64</v>
      </c>
      <c r="I1399" s="3">
        <v>2024</v>
      </c>
      <c r="J1399" s="3" t="str">
        <f>CONCATENATE("44820224549")</f>
        <v>44820224549</v>
      </c>
      <c r="K1399" s="3" t="s">
        <v>33</v>
      </c>
      <c r="L1399" s="3" t="str">
        <f t="shared" si="87"/>
        <v/>
      </c>
      <c r="M1399" s="3" t="str">
        <f t="shared" si="90"/>
        <v>SRB01</v>
      </c>
      <c r="N1399" s="3" t="str">
        <f>CONCATENATE("PNNDTL54L59G659C")</f>
        <v>PNNDTL54L59G659C</v>
      </c>
      <c r="O1399" s="3" t="s">
        <v>2025</v>
      </c>
      <c r="P1399" s="3" t="s">
        <v>35</v>
      </c>
      <c r="Q1399" s="3" t="s">
        <v>1928</v>
      </c>
      <c r="R1399" s="4">
        <v>45933</v>
      </c>
      <c r="S1399" s="3" t="s">
        <v>37</v>
      </c>
      <c r="T1399" s="3" t="s">
        <v>38</v>
      </c>
      <c r="U1399" s="3" t="s">
        <v>39</v>
      </c>
      <c r="V1399" s="3">
        <v>554.85</v>
      </c>
      <c r="W1399" s="3">
        <v>225.82</v>
      </c>
      <c r="X1399" s="3">
        <v>230.32</v>
      </c>
      <c r="Y1399" s="3">
        <v>98.71</v>
      </c>
    </row>
    <row r="1400" spans="1:25" ht="25.5" hidden="1" x14ac:dyDescent="0.35">
      <c r="A1400" s="3" t="s">
        <v>26</v>
      </c>
      <c r="B1400" s="3" t="s">
        <v>27</v>
      </c>
      <c r="C1400" s="3" t="s">
        <v>40</v>
      </c>
      <c r="D1400" s="3" t="s">
        <v>41</v>
      </c>
      <c r="E1400" s="3" t="s">
        <v>844</v>
      </c>
      <c r="F1400" s="3" t="s">
        <v>43</v>
      </c>
      <c r="G1400" s="3" t="s">
        <v>844</v>
      </c>
      <c r="H1400" s="3" t="s">
        <v>64</v>
      </c>
      <c r="I1400" s="3">
        <v>2024</v>
      </c>
      <c r="J1400" s="3" t="str">
        <f>CONCATENATE("44820142840")</f>
        <v>44820142840</v>
      </c>
      <c r="K1400" s="3" t="s">
        <v>33</v>
      </c>
      <c r="L1400" s="3" t="str">
        <f t="shared" si="87"/>
        <v/>
      </c>
      <c r="M1400" s="3" t="str">
        <f t="shared" si="90"/>
        <v>SRB01</v>
      </c>
      <c r="N1400" s="3" t="str">
        <f>CONCATENATE("80133090581")</f>
        <v>80133090581</v>
      </c>
      <c r="O1400" s="3" t="s">
        <v>2026</v>
      </c>
      <c r="P1400" s="3" t="s">
        <v>35</v>
      </c>
      <c r="Q1400" s="3" t="s">
        <v>1928</v>
      </c>
      <c r="R1400" s="4">
        <v>45933</v>
      </c>
      <c r="S1400" s="3" t="s">
        <v>37</v>
      </c>
      <c r="T1400" s="3" t="s">
        <v>38</v>
      </c>
      <c r="U1400" s="3" t="s">
        <v>39</v>
      </c>
      <c r="V1400" s="5">
        <v>6165.68</v>
      </c>
      <c r="W1400" s="5">
        <v>2509.4299999999998</v>
      </c>
      <c r="X1400" s="5">
        <v>2559.37</v>
      </c>
      <c r="Y1400" s="5">
        <v>1096.8800000000001</v>
      </c>
    </row>
    <row r="1401" spans="1:25" ht="41.5" hidden="1" x14ac:dyDescent="0.35">
      <c r="A1401" s="3" t="s">
        <v>26</v>
      </c>
      <c r="B1401" s="3" t="s">
        <v>27</v>
      </c>
      <c r="C1401" s="3" t="s">
        <v>40</v>
      </c>
      <c r="D1401" s="3" t="s">
        <v>41</v>
      </c>
      <c r="E1401" s="3" t="s">
        <v>143</v>
      </c>
      <c r="F1401" s="3" t="s">
        <v>43</v>
      </c>
      <c r="G1401" s="3" t="s">
        <v>143</v>
      </c>
      <c r="H1401" s="3" t="s">
        <v>64</v>
      </c>
      <c r="I1401" s="3">
        <v>2024</v>
      </c>
      <c r="J1401" s="3" t="str">
        <f>CONCATENATE("44820212650")</f>
        <v>44820212650</v>
      </c>
      <c r="K1401" s="3" t="s">
        <v>33</v>
      </c>
      <c r="L1401" s="3" t="str">
        <f t="shared" si="87"/>
        <v/>
      </c>
      <c r="M1401" s="3" t="str">
        <f t="shared" si="90"/>
        <v>SRB01</v>
      </c>
      <c r="N1401" s="3" t="str">
        <f>CONCATENATE("TSTPTR86D15L182G")</f>
        <v>TSTPTR86D15L182G</v>
      </c>
      <c r="O1401" s="3" t="s">
        <v>2027</v>
      </c>
      <c r="P1401" s="3" t="s">
        <v>35</v>
      </c>
      <c r="Q1401" s="3" t="s">
        <v>1928</v>
      </c>
      <c r="R1401" s="4">
        <v>45933</v>
      </c>
      <c r="S1401" s="3" t="s">
        <v>37</v>
      </c>
      <c r="T1401" s="3" t="s">
        <v>38</v>
      </c>
      <c r="U1401" s="3" t="s">
        <v>39</v>
      </c>
      <c r="V1401" s="3">
        <v>135.91999999999999</v>
      </c>
      <c r="W1401" s="3">
        <v>55.32</v>
      </c>
      <c r="X1401" s="3">
        <v>56.42</v>
      </c>
      <c r="Y1401" s="3">
        <v>24.18</v>
      </c>
    </row>
    <row r="1402" spans="1:25" ht="41.5" hidden="1" x14ac:dyDescent="0.35">
      <c r="A1402" s="3" t="s">
        <v>26</v>
      </c>
      <c r="B1402" s="3" t="s">
        <v>27</v>
      </c>
      <c r="C1402" s="3" t="s">
        <v>40</v>
      </c>
      <c r="D1402" s="3" t="s">
        <v>41</v>
      </c>
      <c r="E1402" s="3" t="s">
        <v>953</v>
      </c>
      <c r="F1402" s="3" t="s">
        <v>43</v>
      </c>
      <c r="G1402" s="3" t="s">
        <v>953</v>
      </c>
      <c r="H1402" s="3" t="s">
        <v>64</v>
      </c>
      <c r="I1402" s="3">
        <v>2024</v>
      </c>
      <c r="J1402" s="3" t="str">
        <f>CONCATENATE("44820362091")</f>
        <v>44820362091</v>
      </c>
      <c r="K1402" s="3" t="s">
        <v>33</v>
      </c>
      <c r="L1402" s="3" t="str">
        <f t="shared" si="87"/>
        <v/>
      </c>
      <c r="M1402" s="3" t="str">
        <f t="shared" si="90"/>
        <v>SRB01</v>
      </c>
      <c r="N1402" s="3" t="str">
        <f>CONCATENATE("TRVLGU45B14F730H")</f>
        <v>TRVLGU45B14F730H</v>
      </c>
      <c r="O1402" s="3" t="s">
        <v>2028</v>
      </c>
      <c r="P1402" s="3" t="s">
        <v>35</v>
      </c>
      <c r="Q1402" s="3" t="s">
        <v>1928</v>
      </c>
      <c r="R1402" s="4">
        <v>45933</v>
      </c>
      <c r="S1402" s="3" t="s">
        <v>37</v>
      </c>
      <c r="T1402" s="3" t="s">
        <v>38</v>
      </c>
      <c r="U1402" s="3" t="s">
        <v>39</v>
      </c>
      <c r="V1402" s="3">
        <v>298.32</v>
      </c>
      <c r="W1402" s="3">
        <v>121.42</v>
      </c>
      <c r="X1402" s="3">
        <v>123.83</v>
      </c>
      <c r="Y1402" s="3">
        <v>53.07</v>
      </c>
    </row>
    <row r="1403" spans="1:25" ht="41.5" hidden="1" x14ac:dyDescent="0.35">
      <c r="A1403" s="3" t="s">
        <v>26</v>
      </c>
      <c r="B1403" s="3" t="s">
        <v>27</v>
      </c>
      <c r="C1403" s="3" t="s">
        <v>90</v>
      </c>
      <c r="D1403" s="3" t="s">
        <v>364</v>
      </c>
      <c r="E1403" s="3" t="s">
        <v>1293</v>
      </c>
      <c r="F1403" s="3" t="s">
        <v>393</v>
      </c>
      <c r="G1403" s="3" t="s">
        <v>1293</v>
      </c>
      <c r="H1403" s="3" t="s">
        <v>92</v>
      </c>
      <c r="I1403" s="3">
        <v>2024</v>
      </c>
      <c r="J1403" s="3" t="str">
        <f>CONCATENATE("44811127321")</f>
        <v>44811127321</v>
      </c>
      <c r="K1403" s="3" t="s">
        <v>33</v>
      </c>
      <c r="L1403" s="3" t="str">
        <f t="shared" si="87"/>
        <v/>
      </c>
      <c r="M1403" s="3" t="str">
        <f t="shared" ref="M1403:M1417" si="91">CONCATENATE("SRA29")</f>
        <v>SRA29</v>
      </c>
      <c r="N1403" s="3" t="str">
        <f>CONCATENATE("BRNLGU68E20Z112T")</f>
        <v>BRNLGU68E20Z112T</v>
      </c>
      <c r="O1403" s="3" t="s">
        <v>2029</v>
      </c>
      <c r="P1403" s="3" t="s">
        <v>35</v>
      </c>
      <c r="Q1403" s="3" t="s">
        <v>1931</v>
      </c>
      <c r="R1403" s="4">
        <v>45931</v>
      </c>
      <c r="S1403" s="3" t="s">
        <v>37</v>
      </c>
      <c r="T1403" s="3" t="s">
        <v>38</v>
      </c>
      <c r="U1403" s="3" t="s">
        <v>39</v>
      </c>
      <c r="V1403" s="5">
        <v>3538.87</v>
      </c>
      <c r="W1403" s="5">
        <v>1787.13</v>
      </c>
      <c r="X1403" s="5">
        <v>1226.22</v>
      </c>
      <c r="Y1403" s="3">
        <v>525.52</v>
      </c>
    </row>
    <row r="1404" spans="1:25" ht="41.5" hidden="1" x14ac:dyDescent="0.35">
      <c r="A1404" s="3" t="s">
        <v>26</v>
      </c>
      <c r="B1404" s="3" t="s">
        <v>27</v>
      </c>
      <c r="C1404" s="3" t="s">
        <v>90</v>
      </c>
      <c r="D1404" s="3" t="s">
        <v>51</v>
      </c>
      <c r="E1404" s="3" t="s">
        <v>226</v>
      </c>
      <c r="F1404" s="3" t="s">
        <v>51</v>
      </c>
      <c r="G1404" s="3" t="s">
        <v>226</v>
      </c>
      <c r="H1404" s="3" t="s">
        <v>92</v>
      </c>
      <c r="I1404" s="3">
        <v>2024</v>
      </c>
      <c r="J1404" s="3" t="str">
        <f>CONCATENATE("44811271285")</f>
        <v>44811271285</v>
      </c>
      <c r="K1404" s="3" t="s">
        <v>33</v>
      </c>
      <c r="L1404" s="3" t="str">
        <f t="shared" si="87"/>
        <v/>
      </c>
      <c r="M1404" s="3" t="str">
        <f t="shared" si="91"/>
        <v>SRA29</v>
      </c>
      <c r="N1404" s="3" t="str">
        <f>CONCATENATE("FLCCRD78H20F943U")</f>
        <v>FLCCRD78H20F943U</v>
      </c>
      <c r="O1404" s="3" t="s">
        <v>2030</v>
      </c>
      <c r="P1404" s="3" t="s">
        <v>35</v>
      </c>
      <c r="Q1404" s="3" t="s">
        <v>1931</v>
      </c>
      <c r="R1404" s="4">
        <v>45931</v>
      </c>
      <c r="S1404" s="3" t="s">
        <v>37</v>
      </c>
      <c r="T1404" s="3" t="s">
        <v>38</v>
      </c>
      <c r="U1404" s="3" t="s">
        <v>39</v>
      </c>
      <c r="V1404" s="5">
        <v>1147.04</v>
      </c>
      <c r="W1404" s="3">
        <v>579.26</v>
      </c>
      <c r="X1404" s="3">
        <v>397.45</v>
      </c>
      <c r="Y1404" s="3">
        <v>170.33</v>
      </c>
    </row>
    <row r="1405" spans="1:25" ht="41.5" hidden="1" x14ac:dyDescent="0.35">
      <c r="A1405" s="3" t="s">
        <v>26</v>
      </c>
      <c r="B1405" s="3" t="s">
        <v>27</v>
      </c>
      <c r="C1405" s="3" t="s">
        <v>90</v>
      </c>
      <c r="D1405" s="3" t="s">
        <v>29</v>
      </c>
      <c r="E1405" s="3" t="s">
        <v>248</v>
      </c>
      <c r="F1405" s="3" t="s">
        <v>31</v>
      </c>
      <c r="G1405" s="3" t="s">
        <v>248</v>
      </c>
      <c r="H1405" s="3" t="s">
        <v>92</v>
      </c>
      <c r="I1405" s="3">
        <v>2024</v>
      </c>
      <c r="J1405" s="3" t="str">
        <f>CONCATENATE("44811122199")</f>
        <v>44811122199</v>
      </c>
      <c r="K1405" s="3" t="s">
        <v>33</v>
      </c>
      <c r="L1405" s="3" t="str">
        <f t="shared" si="87"/>
        <v/>
      </c>
      <c r="M1405" s="3" t="str">
        <f t="shared" si="91"/>
        <v>SRA29</v>
      </c>
      <c r="N1405" s="3" t="str">
        <f>CONCATENATE("MGRPLA01D10I754X")</f>
        <v>MGRPLA01D10I754X</v>
      </c>
      <c r="O1405" s="3" t="s">
        <v>2031</v>
      </c>
      <c r="P1405" s="3" t="s">
        <v>35</v>
      </c>
      <c r="Q1405" s="3" t="s">
        <v>1931</v>
      </c>
      <c r="R1405" s="4">
        <v>45931</v>
      </c>
      <c r="S1405" s="3" t="s">
        <v>37</v>
      </c>
      <c r="T1405" s="3" t="s">
        <v>38</v>
      </c>
      <c r="U1405" s="3" t="s">
        <v>39</v>
      </c>
      <c r="V1405" s="5">
        <v>3022.36</v>
      </c>
      <c r="W1405" s="5">
        <v>1526.29</v>
      </c>
      <c r="X1405" s="5">
        <v>1047.25</v>
      </c>
      <c r="Y1405" s="3">
        <v>448.82</v>
      </c>
    </row>
    <row r="1406" spans="1:25" ht="49.5" hidden="1" x14ac:dyDescent="0.35">
      <c r="A1406" s="3" t="s">
        <v>26</v>
      </c>
      <c r="B1406" s="3" t="s">
        <v>27</v>
      </c>
      <c r="C1406" s="3" t="s">
        <v>90</v>
      </c>
      <c r="D1406" s="3" t="s">
        <v>228</v>
      </c>
      <c r="E1406" s="3" t="s">
        <v>1087</v>
      </c>
      <c r="F1406" s="3" t="s">
        <v>230</v>
      </c>
      <c r="G1406" s="3" t="s">
        <v>1087</v>
      </c>
      <c r="H1406" s="3" t="s">
        <v>92</v>
      </c>
      <c r="I1406" s="3">
        <v>2024</v>
      </c>
      <c r="J1406" s="3" t="str">
        <f>CONCATENATE("44811035060")</f>
        <v>44811035060</v>
      </c>
      <c r="K1406" s="3" t="s">
        <v>33</v>
      </c>
      <c r="L1406" s="3" t="str">
        <f t="shared" si="87"/>
        <v/>
      </c>
      <c r="M1406" s="3" t="str">
        <f t="shared" si="91"/>
        <v>SRA29</v>
      </c>
      <c r="N1406" s="3" t="str">
        <f>CONCATENATE("MNGLRT65D17B787Q")</f>
        <v>MNGLRT65D17B787Q</v>
      </c>
      <c r="O1406" s="3" t="s">
        <v>2032</v>
      </c>
      <c r="P1406" s="3" t="s">
        <v>35</v>
      </c>
      <c r="Q1406" s="3" t="s">
        <v>1931</v>
      </c>
      <c r="R1406" s="4">
        <v>45931</v>
      </c>
      <c r="S1406" s="3" t="s">
        <v>37</v>
      </c>
      <c r="T1406" s="3" t="s">
        <v>38</v>
      </c>
      <c r="U1406" s="3" t="s">
        <v>39</v>
      </c>
      <c r="V1406" s="5">
        <v>2079.4</v>
      </c>
      <c r="W1406" s="5">
        <v>1050.0999999999999</v>
      </c>
      <c r="X1406" s="3">
        <v>720.51</v>
      </c>
      <c r="Y1406" s="3">
        <v>308.79000000000002</v>
      </c>
    </row>
    <row r="1407" spans="1:25" ht="25.5" hidden="1" x14ac:dyDescent="0.35">
      <c r="A1407" s="3" t="s">
        <v>26</v>
      </c>
      <c r="B1407" s="3" t="s">
        <v>27</v>
      </c>
      <c r="C1407" s="3" t="s">
        <v>90</v>
      </c>
      <c r="D1407" s="3" t="s">
        <v>41</v>
      </c>
      <c r="E1407" s="3" t="s">
        <v>2033</v>
      </c>
      <c r="F1407" s="3" t="s">
        <v>43</v>
      </c>
      <c r="G1407" s="3" t="s">
        <v>2033</v>
      </c>
      <c r="H1407" s="3" t="s">
        <v>92</v>
      </c>
      <c r="I1407" s="3">
        <v>2024</v>
      </c>
      <c r="J1407" s="3" t="str">
        <f>CONCATENATE("44810566594")</f>
        <v>44810566594</v>
      </c>
      <c r="K1407" s="3" t="s">
        <v>33</v>
      </c>
      <c r="L1407" s="3" t="str">
        <f t="shared" si="87"/>
        <v/>
      </c>
      <c r="M1407" s="3" t="str">
        <f t="shared" si="91"/>
        <v>SRA29</v>
      </c>
      <c r="N1407" s="3" t="str">
        <f>CONCATENATE("91005680896")</f>
        <v>91005680896</v>
      </c>
      <c r="O1407" s="3" t="s">
        <v>2034</v>
      </c>
      <c r="P1407" s="3" t="s">
        <v>35</v>
      </c>
      <c r="Q1407" s="3" t="s">
        <v>1931</v>
      </c>
      <c r="R1407" s="4">
        <v>45931</v>
      </c>
      <c r="S1407" s="3" t="s">
        <v>37</v>
      </c>
      <c r="T1407" s="3" t="s">
        <v>38</v>
      </c>
      <c r="U1407" s="3" t="s">
        <v>39</v>
      </c>
      <c r="V1407" s="5">
        <v>30821.99</v>
      </c>
      <c r="W1407" s="5">
        <v>15565.1</v>
      </c>
      <c r="X1407" s="5">
        <v>10679.82</v>
      </c>
      <c r="Y1407" s="5">
        <v>4577.07</v>
      </c>
    </row>
    <row r="1408" spans="1:25" ht="41.5" hidden="1" x14ac:dyDescent="0.35">
      <c r="A1408" s="3" t="s">
        <v>26</v>
      </c>
      <c r="B1408" s="3" t="s">
        <v>27</v>
      </c>
      <c r="C1408" s="3" t="s">
        <v>90</v>
      </c>
      <c r="D1408" s="3" t="s">
        <v>41</v>
      </c>
      <c r="E1408" s="3" t="s">
        <v>2035</v>
      </c>
      <c r="F1408" s="3" t="s">
        <v>43</v>
      </c>
      <c r="G1408" s="3" t="s">
        <v>2035</v>
      </c>
      <c r="H1408" s="3" t="s">
        <v>92</v>
      </c>
      <c r="I1408" s="3">
        <v>2024</v>
      </c>
      <c r="J1408" s="3" t="str">
        <f>CONCATENATE("44810156842")</f>
        <v>44810156842</v>
      </c>
      <c r="K1408" s="3" t="s">
        <v>33</v>
      </c>
      <c r="L1408" s="3" t="str">
        <f t="shared" si="87"/>
        <v/>
      </c>
      <c r="M1408" s="3" t="str">
        <f t="shared" si="91"/>
        <v>SRA29</v>
      </c>
      <c r="N1408" s="3" t="str">
        <f>CONCATENATE("RCPPLA55R03B603K")</f>
        <v>RCPPLA55R03B603K</v>
      </c>
      <c r="O1408" s="3" t="s">
        <v>2036</v>
      </c>
      <c r="P1408" s="3" t="s">
        <v>35</v>
      </c>
      <c r="Q1408" s="3" t="s">
        <v>1931</v>
      </c>
      <c r="R1408" s="4">
        <v>45931</v>
      </c>
      <c r="S1408" s="3" t="s">
        <v>37</v>
      </c>
      <c r="T1408" s="3" t="s">
        <v>38</v>
      </c>
      <c r="U1408" s="3" t="s">
        <v>39</v>
      </c>
      <c r="V1408" s="5">
        <v>18810.23</v>
      </c>
      <c r="W1408" s="5">
        <v>9499.17</v>
      </c>
      <c r="X1408" s="5">
        <v>6517.74</v>
      </c>
      <c r="Y1408" s="5">
        <v>2793.32</v>
      </c>
    </row>
    <row r="1409" spans="1:25" ht="41.5" hidden="1" x14ac:dyDescent="0.35">
      <c r="A1409" s="3" t="s">
        <v>26</v>
      </c>
      <c r="B1409" s="3" t="s">
        <v>27</v>
      </c>
      <c r="C1409" s="3" t="s">
        <v>90</v>
      </c>
      <c r="D1409" s="3" t="s">
        <v>228</v>
      </c>
      <c r="E1409" s="3" t="s">
        <v>1087</v>
      </c>
      <c r="F1409" s="3" t="s">
        <v>230</v>
      </c>
      <c r="G1409" s="3" t="s">
        <v>1087</v>
      </c>
      <c r="H1409" s="3" t="s">
        <v>92</v>
      </c>
      <c r="I1409" s="3">
        <v>2024</v>
      </c>
      <c r="J1409" s="3" t="str">
        <f>CONCATENATE("44811066016")</f>
        <v>44811066016</v>
      </c>
      <c r="K1409" s="3" t="s">
        <v>33</v>
      </c>
      <c r="L1409" s="3" t="str">
        <f t="shared" si="87"/>
        <v/>
      </c>
      <c r="M1409" s="3" t="str">
        <f t="shared" si="91"/>
        <v>SRA29</v>
      </c>
      <c r="N1409" s="3" t="str">
        <f>CONCATENATE("ZCCNNN77M11I754C")</f>
        <v>ZCCNNN77M11I754C</v>
      </c>
      <c r="O1409" s="3" t="s">
        <v>2037</v>
      </c>
      <c r="P1409" s="3" t="s">
        <v>35</v>
      </c>
      <c r="Q1409" s="3" t="s">
        <v>1931</v>
      </c>
      <c r="R1409" s="4">
        <v>45931</v>
      </c>
      <c r="S1409" s="3" t="s">
        <v>37</v>
      </c>
      <c r="T1409" s="3" t="s">
        <v>38</v>
      </c>
      <c r="U1409" s="3" t="s">
        <v>39</v>
      </c>
      <c r="V1409" s="5">
        <v>13593.49</v>
      </c>
      <c r="W1409" s="5">
        <v>6864.71</v>
      </c>
      <c r="X1409" s="5">
        <v>4710.1400000000003</v>
      </c>
      <c r="Y1409" s="5">
        <v>2018.64</v>
      </c>
    </row>
    <row r="1410" spans="1:25" ht="41.5" hidden="1" x14ac:dyDescent="0.35">
      <c r="A1410" s="3" t="s">
        <v>26</v>
      </c>
      <c r="B1410" s="3" t="s">
        <v>27</v>
      </c>
      <c r="C1410" s="3" t="s">
        <v>90</v>
      </c>
      <c r="D1410" s="3" t="s">
        <v>29</v>
      </c>
      <c r="E1410" s="3" t="s">
        <v>91</v>
      </c>
      <c r="F1410" s="3" t="s">
        <v>31</v>
      </c>
      <c r="G1410" s="3" t="s">
        <v>91</v>
      </c>
      <c r="H1410" s="3" t="s">
        <v>92</v>
      </c>
      <c r="I1410" s="3">
        <v>2024</v>
      </c>
      <c r="J1410" s="3" t="str">
        <f>CONCATENATE("44810017002")</f>
        <v>44810017002</v>
      </c>
      <c r="K1410" s="3" t="s">
        <v>33</v>
      </c>
      <c r="L1410" s="3" t="str">
        <f t="shared" si="87"/>
        <v/>
      </c>
      <c r="M1410" s="3" t="str">
        <f t="shared" si="91"/>
        <v>SRA29</v>
      </c>
      <c r="N1410" s="3" t="str">
        <f>CONCATENATE("VLNCNN84P60E532E")</f>
        <v>VLNCNN84P60E532E</v>
      </c>
      <c r="O1410" s="3" t="s">
        <v>2038</v>
      </c>
      <c r="P1410" s="3" t="s">
        <v>35</v>
      </c>
      <c r="Q1410" s="3" t="s">
        <v>1931</v>
      </c>
      <c r="R1410" s="4">
        <v>45931</v>
      </c>
      <c r="S1410" s="3" t="s">
        <v>37</v>
      </c>
      <c r="T1410" s="3" t="s">
        <v>38</v>
      </c>
      <c r="U1410" s="3" t="s">
        <v>39</v>
      </c>
      <c r="V1410" s="5">
        <v>3238.72</v>
      </c>
      <c r="W1410" s="5">
        <v>1635.55</v>
      </c>
      <c r="X1410" s="5">
        <v>1122.22</v>
      </c>
      <c r="Y1410" s="3">
        <v>480.95</v>
      </c>
    </row>
    <row r="1411" spans="1:25" ht="41.5" hidden="1" x14ac:dyDescent="0.35">
      <c r="A1411" s="3" t="s">
        <v>26</v>
      </c>
      <c r="B1411" s="3" t="s">
        <v>27</v>
      </c>
      <c r="C1411" s="3" t="s">
        <v>90</v>
      </c>
      <c r="D1411" s="3" t="s">
        <v>41</v>
      </c>
      <c r="E1411" s="3" t="s">
        <v>2035</v>
      </c>
      <c r="F1411" s="3" t="s">
        <v>43</v>
      </c>
      <c r="G1411" s="3" t="s">
        <v>2035</v>
      </c>
      <c r="H1411" s="3" t="s">
        <v>92</v>
      </c>
      <c r="I1411" s="3">
        <v>2024</v>
      </c>
      <c r="J1411" s="3" t="str">
        <f>CONCATENATE("44810577294")</f>
        <v>44810577294</v>
      </c>
      <c r="K1411" s="3" t="s">
        <v>33</v>
      </c>
      <c r="L1411" s="3" t="str">
        <f t="shared" si="87"/>
        <v/>
      </c>
      <c r="M1411" s="3" t="str">
        <f t="shared" si="91"/>
        <v>SRA29</v>
      </c>
      <c r="N1411" s="3" t="str">
        <f>CONCATENATE("VNZMSM70S09I754P")</f>
        <v>VNZMSM70S09I754P</v>
      </c>
      <c r="O1411" s="3" t="s">
        <v>2039</v>
      </c>
      <c r="P1411" s="3" t="s">
        <v>35</v>
      </c>
      <c r="Q1411" s="3" t="s">
        <v>1931</v>
      </c>
      <c r="R1411" s="4">
        <v>45931</v>
      </c>
      <c r="S1411" s="3" t="s">
        <v>37</v>
      </c>
      <c r="T1411" s="3" t="s">
        <v>38</v>
      </c>
      <c r="U1411" s="3" t="s">
        <v>39</v>
      </c>
      <c r="V1411" s="5">
        <v>16435.39</v>
      </c>
      <c r="W1411" s="5">
        <v>8299.8700000000008</v>
      </c>
      <c r="X1411" s="5">
        <v>5694.86</v>
      </c>
      <c r="Y1411" s="5">
        <v>2440.66</v>
      </c>
    </row>
    <row r="1412" spans="1:25" ht="41.5" hidden="1" x14ac:dyDescent="0.35">
      <c r="A1412" s="3" t="s">
        <v>26</v>
      </c>
      <c r="B1412" s="3" t="s">
        <v>27</v>
      </c>
      <c r="C1412" s="3" t="s">
        <v>90</v>
      </c>
      <c r="D1412" s="3" t="s">
        <v>99</v>
      </c>
      <c r="E1412" s="3" t="s">
        <v>344</v>
      </c>
      <c r="F1412" s="3" t="s">
        <v>51</v>
      </c>
      <c r="G1412" s="3" t="s">
        <v>226</v>
      </c>
      <c r="H1412" s="3" t="s">
        <v>92</v>
      </c>
      <c r="I1412" s="3">
        <v>2024</v>
      </c>
      <c r="J1412" s="3" t="str">
        <f>CONCATENATE("44811294568")</f>
        <v>44811294568</v>
      </c>
      <c r="K1412" s="3" t="s">
        <v>33</v>
      </c>
      <c r="L1412" s="3" t="str">
        <f t="shared" ref="L1412:L1447" si="92">CONCATENATE("")</f>
        <v/>
      </c>
      <c r="M1412" s="3" t="str">
        <f t="shared" si="91"/>
        <v>SRA29</v>
      </c>
      <c r="N1412" s="3" t="str">
        <f>CONCATENATE("VRGGCR88H01F943V")</f>
        <v>VRGGCR88H01F943V</v>
      </c>
      <c r="O1412" s="3" t="s">
        <v>2040</v>
      </c>
      <c r="P1412" s="3" t="s">
        <v>35</v>
      </c>
      <c r="Q1412" s="3" t="s">
        <v>1931</v>
      </c>
      <c r="R1412" s="4">
        <v>45931</v>
      </c>
      <c r="S1412" s="3" t="s">
        <v>37</v>
      </c>
      <c r="T1412" s="3" t="s">
        <v>38</v>
      </c>
      <c r="U1412" s="3" t="s">
        <v>39</v>
      </c>
      <c r="V1412" s="5">
        <v>2978.55</v>
      </c>
      <c r="W1412" s="5">
        <v>1504.17</v>
      </c>
      <c r="X1412" s="5">
        <v>1032.07</v>
      </c>
      <c r="Y1412" s="3">
        <v>442.31</v>
      </c>
    </row>
    <row r="1413" spans="1:25" ht="41.5" hidden="1" x14ac:dyDescent="0.35">
      <c r="A1413" s="3" t="s">
        <v>26</v>
      </c>
      <c r="B1413" s="3" t="s">
        <v>27</v>
      </c>
      <c r="C1413" s="3" t="s">
        <v>90</v>
      </c>
      <c r="D1413" s="3" t="s">
        <v>41</v>
      </c>
      <c r="E1413" s="3" t="s">
        <v>1328</v>
      </c>
      <c r="F1413" s="3" t="s">
        <v>43</v>
      </c>
      <c r="G1413" s="3" t="s">
        <v>1328</v>
      </c>
      <c r="H1413" s="3" t="s">
        <v>212</v>
      </c>
      <c r="I1413" s="3">
        <v>2024</v>
      </c>
      <c r="J1413" s="3" t="str">
        <f>CONCATENATE("44810256733")</f>
        <v>44810256733</v>
      </c>
      <c r="K1413" s="3" t="s">
        <v>33</v>
      </c>
      <c r="L1413" s="3" t="str">
        <f t="shared" si="92"/>
        <v/>
      </c>
      <c r="M1413" s="3" t="str">
        <f t="shared" si="91"/>
        <v>SRA29</v>
      </c>
      <c r="N1413" s="3" t="str">
        <f>CONCATENATE("CCAMSL68E71B429L")</f>
        <v>CCAMSL68E71B429L</v>
      </c>
      <c r="O1413" s="3" t="s">
        <v>2041</v>
      </c>
      <c r="P1413" s="3" t="s">
        <v>35</v>
      </c>
      <c r="Q1413" s="3" t="s">
        <v>1934</v>
      </c>
      <c r="R1413" s="4">
        <v>45915</v>
      </c>
      <c r="S1413" s="3" t="s">
        <v>37</v>
      </c>
      <c r="T1413" s="3" t="s">
        <v>38</v>
      </c>
      <c r="U1413" s="3" t="s">
        <v>39</v>
      </c>
      <c r="V1413" s="5">
        <v>8992.2000000000007</v>
      </c>
      <c r="W1413" s="5">
        <v>4541.0600000000004</v>
      </c>
      <c r="X1413" s="5">
        <v>3115.8</v>
      </c>
      <c r="Y1413" s="5">
        <v>1335.34</v>
      </c>
    </row>
    <row r="1414" spans="1:25" ht="49.5" hidden="1" x14ac:dyDescent="0.35">
      <c r="A1414" s="3" t="s">
        <v>26</v>
      </c>
      <c r="B1414" s="3" t="s">
        <v>27</v>
      </c>
      <c r="C1414" s="3" t="s">
        <v>90</v>
      </c>
      <c r="D1414" s="3" t="s">
        <v>61</v>
      </c>
      <c r="E1414" s="3" t="s">
        <v>2042</v>
      </c>
      <c r="F1414" s="3" t="s">
        <v>63</v>
      </c>
      <c r="G1414" s="3" t="s">
        <v>2042</v>
      </c>
      <c r="H1414" s="3" t="s">
        <v>212</v>
      </c>
      <c r="I1414" s="3">
        <v>2024</v>
      </c>
      <c r="J1414" s="3" t="str">
        <f>CONCATENATE("44810482230")</f>
        <v>44810482230</v>
      </c>
      <c r="K1414" s="3" t="s">
        <v>33</v>
      </c>
      <c r="L1414" s="3" t="str">
        <f t="shared" si="92"/>
        <v/>
      </c>
      <c r="M1414" s="3" t="str">
        <f t="shared" si="91"/>
        <v>SRA29</v>
      </c>
      <c r="N1414" s="3" t="str">
        <f>CONCATENATE("MSTTRD99B55G580A")</f>
        <v>MSTTRD99B55G580A</v>
      </c>
      <c r="O1414" s="3" t="s">
        <v>2043</v>
      </c>
      <c r="P1414" s="3" t="s">
        <v>35</v>
      </c>
      <c r="Q1414" s="3" t="s">
        <v>1934</v>
      </c>
      <c r="R1414" s="4">
        <v>45915</v>
      </c>
      <c r="S1414" s="3" t="s">
        <v>37</v>
      </c>
      <c r="T1414" s="3" t="s">
        <v>38</v>
      </c>
      <c r="U1414" s="3" t="s">
        <v>39</v>
      </c>
      <c r="V1414" s="5">
        <v>7668.81</v>
      </c>
      <c r="W1414" s="5">
        <v>3872.75</v>
      </c>
      <c r="X1414" s="5">
        <v>2657.24</v>
      </c>
      <c r="Y1414" s="5">
        <v>1138.82</v>
      </c>
    </row>
    <row r="1415" spans="1:25" ht="41.5" hidden="1" x14ac:dyDescent="0.35">
      <c r="A1415" s="3" t="s">
        <v>26</v>
      </c>
      <c r="B1415" s="3" t="s">
        <v>27</v>
      </c>
      <c r="C1415" s="3" t="s">
        <v>90</v>
      </c>
      <c r="D1415" s="3" t="s">
        <v>51</v>
      </c>
      <c r="E1415" s="3" t="s">
        <v>2044</v>
      </c>
      <c r="F1415" s="3" t="s">
        <v>51</v>
      </c>
      <c r="G1415" s="3" t="s">
        <v>2044</v>
      </c>
      <c r="H1415" s="3" t="s">
        <v>212</v>
      </c>
      <c r="I1415" s="3">
        <v>2024</v>
      </c>
      <c r="J1415" s="3" t="str">
        <f>CONCATENATE("44810638401")</f>
        <v>44810638401</v>
      </c>
      <c r="K1415" s="3" t="s">
        <v>33</v>
      </c>
      <c r="L1415" s="3" t="str">
        <f t="shared" si="92"/>
        <v/>
      </c>
      <c r="M1415" s="3" t="str">
        <f t="shared" si="91"/>
        <v>SRA29</v>
      </c>
      <c r="N1415" s="3" t="str">
        <f>CONCATENATE("LNZDNL95E10G580J")</f>
        <v>LNZDNL95E10G580J</v>
      </c>
      <c r="O1415" s="3" t="s">
        <v>2045</v>
      </c>
      <c r="P1415" s="3" t="s">
        <v>35</v>
      </c>
      <c r="Q1415" s="3" t="s">
        <v>1934</v>
      </c>
      <c r="R1415" s="4">
        <v>45915</v>
      </c>
      <c r="S1415" s="3" t="s">
        <v>37</v>
      </c>
      <c r="T1415" s="3" t="s">
        <v>38</v>
      </c>
      <c r="U1415" s="3" t="s">
        <v>39</v>
      </c>
      <c r="V1415" s="5">
        <v>1581.14</v>
      </c>
      <c r="W1415" s="3">
        <v>798.48</v>
      </c>
      <c r="X1415" s="3">
        <v>547.87</v>
      </c>
      <c r="Y1415" s="3">
        <v>234.79</v>
      </c>
    </row>
    <row r="1416" spans="1:25" ht="41.5" hidden="1" x14ac:dyDescent="0.35">
      <c r="A1416" s="3" t="s">
        <v>26</v>
      </c>
      <c r="B1416" s="3" t="s">
        <v>27</v>
      </c>
      <c r="C1416" s="3" t="s">
        <v>90</v>
      </c>
      <c r="D1416" s="3" t="s">
        <v>180</v>
      </c>
      <c r="E1416" s="3" t="s">
        <v>258</v>
      </c>
      <c r="F1416" s="3" t="s">
        <v>85</v>
      </c>
      <c r="G1416" s="3" t="s">
        <v>258</v>
      </c>
      <c r="H1416" s="3" t="s">
        <v>212</v>
      </c>
      <c r="I1416" s="3">
        <v>2024</v>
      </c>
      <c r="J1416" s="3" t="str">
        <f>CONCATENATE("44811178480")</f>
        <v>44811178480</v>
      </c>
      <c r="K1416" s="3" t="s">
        <v>33</v>
      </c>
      <c r="L1416" s="3" t="str">
        <f t="shared" si="92"/>
        <v/>
      </c>
      <c r="M1416" s="3" t="str">
        <f t="shared" si="91"/>
        <v>SRA29</v>
      </c>
      <c r="N1416" s="3" t="str">
        <f>CONCATENATE("SLVRCC76A10F065E")</f>
        <v>SLVRCC76A10F065E</v>
      </c>
      <c r="O1416" s="3" t="s">
        <v>2046</v>
      </c>
      <c r="P1416" s="3" t="s">
        <v>35</v>
      </c>
      <c r="Q1416" s="3" t="s">
        <v>1934</v>
      </c>
      <c r="R1416" s="4">
        <v>45915</v>
      </c>
      <c r="S1416" s="3" t="s">
        <v>37</v>
      </c>
      <c r="T1416" s="3" t="s">
        <v>38</v>
      </c>
      <c r="U1416" s="3" t="s">
        <v>39</v>
      </c>
      <c r="V1416" s="5">
        <v>8499.56</v>
      </c>
      <c r="W1416" s="5">
        <v>4292.28</v>
      </c>
      <c r="X1416" s="5">
        <v>2945.1</v>
      </c>
      <c r="Y1416" s="5">
        <v>1262.18</v>
      </c>
    </row>
    <row r="1417" spans="1:25" ht="41.5" hidden="1" x14ac:dyDescent="0.35">
      <c r="A1417" s="3" t="s">
        <v>26</v>
      </c>
      <c r="B1417" s="3" t="s">
        <v>27</v>
      </c>
      <c r="C1417" s="3" t="s">
        <v>90</v>
      </c>
      <c r="D1417" s="3" t="s">
        <v>41</v>
      </c>
      <c r="E1417" s="3" t="s">
        <v>1328</v>
      </c>
      <c r="F1417" s="3" t="s">
        <v>43</v>
      </c>
      <c r="G1417" s="3" t="s">
        <v>1328</v>
      </c>
      <c r="H1417" s="3" t="s">
        <v>212</v>
      </c>
      <c r="I1417" s="3">
        <v>2024</v>
      </c>
      <c r="J1417" s="3" t="str">
        <f>CONCATENATE("44810257400")</f>
        <v>44810257400</v>
      </c>
      <c r="K1417" s="3" t="s">
        <v>33</v>
      </c>
      <c r="L1417" s="3" t="str">
        <f t="shared" si="92"/>
        <v/>
      </c>
      <c r="M1417" s="3" t="str">
        <f t="shared" si="91"/>
        <v>SRA29</v>
      </c>
      <c r="N1417" s="3" t="str">
        <f>CONCATENATE("STRGNI49H30L583V")</f>
        <v>STRGNI49H30L583V</v>
      </c>
      <c r="O1417" s="3" t="s">
        <v>2047</v>
      </c>
      <c r="P1417" s="3" t="s">
        <v>35</v>
      </c>
      <c r="Q1417" s="3" t="s">
        <v>1934</v>
      </c>
      <c r="R1417" s="4">
        <v>45915</v>
      </c>
      <c r="S1417" s="3" t="s">
        <v>37</v>
      </c>
      <c r="T1417" s="3" t="s">
        <v>38</v>
      </c>
      <c r="U1417" s="3" t="s">
        <v>39</v>
      </c>
      <c r="V1417" s="5">
        <v>20425.96</v>
      </c>
      <c r="W1417" s="5">
        <v>10315.11</v>
      </c>
      <c r="X1417" s="5">
        <v>7077.6</v>
      </c>
      <c r="Y1417" s="5">
        <v>3033.25</v>
      </c>
    </row>
    <row r="1418" spans="1:25" ht="41.5" hidden="1" x14ac:dyDescent="0.35">
      <c r="A1418" s="3" t="s">
        <v>26</v>
      </c>
      <c r="B1418" s="3" t="s">
        <v>27</v>
      </c>
      <c r="C1418" s="3" t="s">
        <v>451</v>
      </c>
      <c r="D1418" s="3" t="s">
        <v>41</v>
      </c>
      <c r="E1418" s="3" t="s">
        <v>2048</v>
      </c>
      <c r="F1418" s="3" t="s">
        <v>43</v>
      </c>
      <c r="G1418" s="3" t="s">
        <v>2048</v>
      </c>
      <c r="H1418" s="3" t="s">
        <v>453</v>
      </c>
      <c r="I1418" s="3">
        <v>2023</v>
      </c>
      <c r="J1418" s="3" t="str">
        <f>CONCATENATE("34820603669")</f>
        <v>34820603669</v>
      </c>
      <c r="K1418" s="3" t="s">
        <v>33</v>
      </c>
      <c r="L1418" s="3" t="str">
        <f t="shared" si="92"/>
        <v/>
      </c>
      <c r="M1418" s="3" t="str">
        <f>CONCATENATE("SRB02")</f>
        <v>SRB02</v>
      </c>
      <c r="N1418" s="3" t="str">
        <f>CONCATENATE("MRLMRA68E02G148V")</f>
        <v>MRLMRA68E02G148V</v>
      </c>
      <c r="O1418" s="3" t="s">
        <v>2049</v>
      </c>
      <c r="P1418" s="3" t="s">
        <v>35</v>
      </c>
      <c r="Q1418" s="3" t="s">
        <v>1936</v>
      </c>
      <c r="R1418" s="4">
        <v>45919</v>
      </c>
      <c r="S1418" s="3" t="s">
        <v>37</v>
      </c>
      <c r="T1418" s="3" t="s">
        <v>38</v>
      </c>
      <c r="U1418" s="3" t="s">
        <v>39</v>
      </c>
      <c r="V1418" s="5">
        <v>4511.45</v>
      </c>
      <c r="W1418" s="5">
        <v>1917.37</v>
      </c>
      <c r="X1418" s="5">
        <v>1815.86</v>
      </c>
      <c r="Y1418" s="3">
        <v>778.22</v>
      </c>
    </row>
    <row r="1419" spans="1:25" ht="41.5" hidden="1" x14ac:dyDescent="0.35">
      <c r="A1419" s="3" t="s">
        <v>26</v>
      </c>
      <c r="B1419" s="3" t="s">
        <v>27</v>
      </c>
      <c r="C1419" s="3" t="s">
        <v>451</v>
      </c>
      <c r="D1419" s="3" t="s">
        <v>41</v>
      </c>
      <c r="E1419" s="3" t="s">
        <v>761</v>
      </c>
      <c r="F1419" s="3" t="s">
        <v>43</v>
      </c>
      <c r="G1419" s="3" t="s">
        <v>761</v>
      </c>
      <c r="H1419" s="3" t="s">
        <v>453</v>
      </c>
      <c r="I1419" s="3">
        <v>2023</v>
      </c>
      <c r="J1419" s="3" t="str">
        <f>CONCATENATE("34820483740")</f>
        <v>34820483740</v>
      </c>
      <c r="K1419" s="3" t="s">
        <v>33</v>
      </c>
      <c r="L1419" s="3" t="str">
        <f t="shared" si="92"/>
        <v/>
      </c>
      <c r="M1419" s="3" t="str">
        <f>CONCATENATE("SRB01")</f>
        <v>SRB01</v>
      </c>
      <c r="N1419" s="3" t="str">
        <f>CONCATENATE("DCRMTT94L23B948P")</f>
        <v>DCRMTT94L23B948P</v>
      </c>
      <c r="O1419" s="3" t="s">
        <v>2050</v>
      </c>
      <c r="P1419" s="3" t="s">
        <v>50</v>
      </c>
      <c r="Q1419" s="3"/>
      <c r="R1419" s="4">
        <v>45365</v>
      </c>
      <c r="S1419" s="3" t="s">
        <v>37</v>
      </c>
      <c r="T1419" s="3" t="s">
        <v>38</v>
      </c>
      <c r="U1419" s="3" t="s">
        <v>39</v>
      </c>
      <c r="V1419" s="5">
        <v>8429.2099999999991</v>
      </c>
      <c r="W1419" s="5">
        <v>3582.41</v>
      </c>
      <c r="X1419" s="5">
        <v>3392.76</v>
      </c>
      <c r="Y1419" s="5">
        <v>1454.04</v>
      </c>
    </row>
    <row r="1420" spans="1:25" ht="41.5" hidden="1" x14ac:dyDescent="0.35">
      <c r="A1420" s="3" t="s">
        <v>26</v>
      </c>
      <c r="B1420" s="3" t="s">
        <v>27</v>
      </c>
      <c r="C1420" s="3" t="s">
        <v>658</v>
      </c>
      <c r="D1420" s="3" t="s">
        <v>41</v>
      </c>
      <c r="E1420" s="3" t="s">
        <v>1497</v>
      </c>
      <c r="F1420" s="3" t="s">
        <v>43</v>
      </c>
      <c r="G1420" s="3" t="s">
        <v>1497</v>
      </c>
      <c r="H1420" s="3" t="s">
        <v>660</v>
      </c>
      <c r="I1420" s="3">
        <v>2024</v>
      </c>
      <c r="J1420" s="3" t="str">
        <f>CONCATENATE("44820285144")</f>
        <v>44820285144</v>
      </c>
      <c r="K1420" s="3" t="s">
        <v>33</v>
      </c>
      <c r="L1420" s="3" t="str">
        <f t="shared" si="92"/>
        <v/>
      </c>
      <c r="M1420" s="3" t="str">
        <f>CONCATENATE("SRB01")</f>
        <v>SRB01</v>
      </c>
      <c r="N1420" s="3" t="str">
        <f>CONCATENATE("SVRNSI66R59A326X")</f>
        <v>SVRNSI66R59A326X</v>
      </c>
      <c r="O1420" s="3" t="s">
        <v>2051</v>
      </c>
      <c r="P1420" s="3" t="s">
        <v>35</v>
      </c>
      <c r="Q1420" s="3" t="s">
        <v>1924</v>
      </c>
      <c r="R1420" s="4">
        <v>45926</v>
      </c>
      <c r="S1420" s="3" t="s">
        <v>37</v>
      </c>
      <c r="T1420" s="3" t="s">
        <v>38</v>
      </c>
      <c r="U1420" s="3" t="s">
        <v>39</v>
      </c>
      <c r="V1420" s="3">
        <v>8.5299999999999994</v>
      </c>
      <c r="W1420" s="3">
        <v>3.47</v>
      </c>
      <c r="X1420" s="3">
        <v>3.54</v>
      </c>
      <c r="Y1420" s="3">
        <v>1.52</v>
      </c>
    </row>
    <row r="1421" spans="1:25" ht="49.5" hidden="1" x14ac:dyDescent="0.35">
      <c r="A1421" s="3" t="s">
        <v>26</v>
      </c>
      <c r="B1421" s="3" t="s">
        <v>27</v>
      </c>
      <c r="C1421" s="3" t="s">
        <v>470</v>
      </c>
      <c r="D1421" s="3" t="s">
        <v>234</v>
      </c>
      <c r="E1421" s="3" t="s">
        <v>1919</v>
      </c>
      <c r="F1421" s="3" t="s">
        <v>119</v>
      </c>
      <c r="G1421" s="3" t="s">
        <v>1919</v>
      </c>
      <c r="H1421" s="3" t="s">
        <v>472</v>
      </c>
      <c r="I1421" s="3">
        <v>2024</v>
      </c>
      <c r="J1421" s="3" t="str">
        <f>CONCATENATE("44810708303")</f>
        <v>44810708303</v>
      </c>
      <c r="K1421" s="3" t="s">
        <v>33</v>
      </c>
      <c r="L1421" s="3" t="str">
        <f t="shared" si="92"/>
        <v/>
      </c>
      <c r="M1421" s="3" t="str">
        <f t="shared" ref="M1421:M1427" si="93">CONCATENATE("SRA29")</f>
        <v>SRA29</v>
      </c>
      <c r="N1421" s="3" t="str">
        <f>CONCATENATE("NTRNTN74D18D766U")</f>
        <v>NTRNTN74D18D766U</v>
      </c>
      <c r="O1421" s="3" t="s">
        <v>2052</v>
      </c>
      <c r="P1421" s="3" t="s">
        <v>35</v>
      </c>
      <c r="Q1421" s="3" t="s">
        <v>1793</v>
      </c>
      <c r="R1421" s="4">
        <v>45916</v>
      </c>
      <c r="S1421" s="3" t="s">
        <v>37</v>
      </c>
      <c r="T1421" s="3" t="s">
        <v>38</v>
      </c>
      <c r="U1421" s="3" t="s">
        <v>39</v>
      </c>
      <c r="V1421" s="3">
        <v>782.88</v>
      </c>
      <c r="W1421" s="3">
        <v>395.35</v>
      </c>
      <c r="X1421" s="3">
        <v>271.27</v>
      </c>
      <c r="Y1421" s="3">
        <v>116.26</v>
      </c>
    </row>
    <row r="1422" spans="1:25" ht="25.5" hidden="1" x14ac:dyDescent="0.35">
      <c r="A1422" s="3" t="s">
        <v>26</v>
      </c>
      <c r="B1422" s="3" t="s">
        <v>27</v>
      </c>
      <c r="C1422" s="3" t="s">
        <v>658</v>
      </c>
      <c r="D1422" s="3" t="s">
        <v>254</v>
      </c>
      <c r="E1422" s="3" t="s">
        <v>962</v>
      </c>
      <c r="F1422" s="3" t="s">
        <v>256</v>
      </c>
      <c r="G1422" s="3" t="s">
        <v>962</v>
      </c>
      <c r="H1422" s="3" t="s">
        <v>660</v>
      </c>
      <c r="I1422" s="3">
        <v>2024</v>
      </c>
      <c r="J1422" s="3" t="str">
        <f>CONCATENATE("44811022928")</f>
        <v>44811022928</v>
      </c>
      <c r="K1422" s="3" t="s">
        <v>33</v>
      </c>
      <c r="L1422" s="3" t="str">
        <f t="shared" si="92"/>
        <v/>
      </c>
      <c r="M1422" s="3" t="str">
        <f t="shared" si="93"/>
        <v>SRA29</v>
      </c>
      <c r="N1422" s="3" t="str">
        <f>CONCATENATE("01098040072")</f>
        <v>01098040072</v>
      </c>
      <c r="O1422" s="3" t="s">
        <v>2053</v>
      </c>
      <c r="P1422" s="3" t="s">
        <v>35</v>
      </c>
      <c r="Q1422" s="3" t="s">
        <v>1786</v>
      </c>
      <c r="R1422" s="4">
        <v>45926</v>
      </c>
      <c r="S1422" s="3" t="s">
        <v>37</v>
      </c>
      <c r="T1422" s="3" t="s">
        <v>38</v>
      </c>
      <c r="U1422" s="3" t="s">
        <v>39</v>
      </c>
      <c r="V1422" s="3">
        <v>274.95999999999998</v>
      </c>
      <c r="W1422" s="3">
        <v>111.91</v>
      </c>
      <c r="X1422" s="3">
        <v>114.14</v>
      </c>
      <c r="Y1422" s="3">
        <v>48.91</v>
      </c>
    </row>
    <row r="1423" spans="1:25" ht="41.5" hidden="1" x14ac:dyDescent="0.35">
      <c r="A1423" s="3" t="s">
        <v>26</v>
      </c>
      <c r="B1423" s="3" t="s">
        <v>27</v>
      </c>
      <c r="C1423" s="3" t="s">
        <v>470</v>
      </c>
      <c r="D1423" s="3" t="s">
        <v>41</v>
      </c>
      <c r="E1423" s="3" t="s">
        <v>689</v>
      </c>
      <c r="F1423" s="3" t="s">
        <v>43</v>
      </c>
      <c r="G1423" s="3" t="s">
        <v>689</v>
      </c>
      <c r="H1423" s="3" t="s">
        <v>472</v>
      </c>
      <c r="I1423" s="3">
        <v>2024</v>
      </c>
      <c r="J1423" s="3" t="str">
        <f>CONCATENATE("44810214807")</f>
        <v>44810214807</v>
      </c>
      <c r="K1423" s="3" t="s">
        <v>33</v>
      </c>
      <c r="L1423" s="3" t="str">
        <f t="shared" si="92"/>
        <v/>
      </c>
      <c r="M1423" s="3" t="str">
        <f t="shared" si="93"/>
        <v>SRA29</v>
      </c>
      <c r="N1423" s="3" t="str">
        <f>CONCATENATE("MRTDNC93P19L418H")</f>
        <v>MRTDNC93P19L418H</v>
      </c>
      <c r="O1423" s="3" t="s">
        <v>2054</v>
      </c>
      <c r="P1423" s="3" t="s">
        <v>35</v>
      </c>
      <c r="Q1423" s="3" t="s">
        <v>1793</v>
      </c>
      <c r="R1423" s="4">
        <v>45916</v>
      </c>
      <c r="S1423" s="3" t="s">
        <v>37</v>
      </c>
      <c r="T1423" s="3" t="s">
        <v>38</v>
      </c>
      <c r="U1423" s="3" t="s">
        <v>39</v>
      </c>
      <c r="V1423" s="5">
        <v>6916.96</v>
      </c>
      <c r="W1423" s="5">
        <v>3493.06</v>
      </c>
      <c r="X1423" s="5">
        <v>2396.73</v>
      </c>
      <c r="Y1423" s="5">
        <v>1027.17</v>
      </c>
    </row>
    <row r="1424" spans="1:25" ht="25.5" hidden="1" x14ac:dyDescent="0.35">
      <c r="A1424" s="3" t="s">
        <v>26</v>
      </c>
      <c r="B1424" s="3" t="s">
        <v>27</v>
      </c>
      <c r="C1424" s="3" t="s">
        <v>470</v>
      </c>
      <c r="D1424" s="3" t="s">
        <v>41</v>
      </c>
      <c r="E1424" s="3" t="s">
        <v>675</v>
      </c>
      <c r="F1424" s="3" t="s">
        <v>43</v>
      </c>
      <c r="G1424" s="3" t="s">
        <v>675</v>
      </c>
      <c r="H1424" s="3" t="s">
        <v>472</v>
      </c>
      <c r="I1424" s="3">
        <v>2024</v>
      </c>
      <c r="J1424" s="3" t="str">
        <f>CONCATENATE("44810363455")</f>
        <v>44810363455</v>
      </c>
      <c r="K1424" s="3" t="s">
        <v>33</v>
      </c>
      <c r="L1424" s="3" t="str">
        <f t="shared" si="92"/>
        <v/>
      </c>
      <c r="M1424" s="3" t="str">
        <f t="shared" si="93"/>
        <v>SRA29</v>
      </c>
      <c r="N1424" s="3" t="str">
        <f>CONCATENATE("02035390760")</f>
        <v>02035390760</v>
      </c>
      <c r="O1424" s="3" t="s">
        <v>2055</v>
      </c>
      <c r="P1424" s="3" t="s">
        <v>35</v>
      </c>
      <c r="Q1424" s="3" t="s">
        <v>1793</v>
      </c>
      <c r="R1424" s="4">
        <v>45916</v>
      </c>
      <c r="S1424" s="3" t="s">
        <v>37</v>
      </c>
      <c r="T1424" s="3" t="s">
        <v>38</v>
      </c>
      <c r="U1424" s="3" t="s">
        <v>39</v>
      </c>
      <c r="V1424" s="5">
        <v>59727.53</v>
      </c>
      <c r="W1424" s="5">
        <v>30162.400000000001</v>
      </c>
      <c r="X1424" s="5">
        <v>20695.59</v>
      </c>
      <c r="Y1424" s="5">
        <v>8869.5400000000009</v>
      </c>
    </row>
    <row r="1425" spans="1:25" ht="49.5" hidden="1" x14ac:dyDescent="0.35">
      <c r="A1425" s="3" t="s">
        <v>26</v>
      </c>
      <c r="B1425" s="3" t="s">
        <v>27</v>
      </c>
      <c r="C1425" s="3" t="s">
        <v>470</v>
      </c>
      <c r="D1425" s="3" t="s">
        <v>234</v>
      </c>
      <c r="E1425" s="3" t="s">
        <v>1597</v>
      </c>
      <c r="F1425" s="3" t="s">
        <v>119</v>
      </c>
      <c r="G1425" s="3" t="s">
        <v>1597</v>
      </c>
      <c r="H1425" s="3" t="s">
        <v>472</v>
      </c>
      <c r="I1425" s="3">
        <v>2024</v>
      </c>
      <c r="J1425" s="3" t="str">
        <f>CONCATENATE("44811917655")</f>
        <v>44811917655</v>
      </c>
      <c r="K1425" s="3" t="s">
        <v>33</v>
      </c>
      <c r="L1425" s="3" t="str">
        <f t="shared" si="92"/>
        <v/>
      </c>
      <c r="M1425" s="3" t="str">
        <f t="shared" si="93"/>
        <v>SRA29</v>
      </c>
      <c r="N1425" s="3" t="str">
        <f>CONCATENATE("SRLMGH72L47A013Q")</f>
        <v>SRLMGH72L47A013Q</v>
      </c>
      <c r="O1425" s="3" t="s">
        <v>2056</v>
      </c>
      <c r="P1425" s="3" t="s">
        <v>35</v>
      </c>
      <c r="Q1425" s="3" t="s">
        <v>1793</v>
      </c>
      <c r="R1425" s="4">
        <v>45916</v>
      </c>
      <c r="S1425" s="3" t="s">
        <v>37</v>
      </c>
      <c r="T1425" s="3" t="s">
        <v>38</v>
      </c>
      <c r="U1425" s="3" t="s">
        <v>39</v>
      </c>
      <c r="V1425" s="5">
        <v>10030.83</v>
      </c>
      <c r="W1425" s="5">
        <v>5065.57</v>
      </c>
      <c r="X1425" s="5">
        <v>3475.68</v>
      </c>
      <c r="Y1425" s="5">
        <v>1489.58</v>
      </c>
    </row>
    <row r="1426" spans="1:25" ht="25.5" hidden="1" x14ac:dyDescent="0.35">
      <c r="A1426" s="3" t="s">
        <v>26</v>
      </c>
      <c r="B1426" s="3" t="s">
        <v>27</v>
      </c>
      <c r="C1426" s="3" t="s">
        <v>470</v>
      </c>
      <c r="D1426" s="3" t="s">
        <v>41</v>
      </c>
      <c r="E1426" s="3" t="s">
        <v>675</v>
      </c>
      <c r="F1426" s="3" t="s">
        <v>43</v>
      </c>
      <c r="G1426" s="3" t="s">
        <v>675</v>
      </c>
      <c r="H1426" s="3" t="s">
        <v>472</v>
      </c>
      <c r="I1426" s="3">
        <v>2024</v>
      </c>
      <c r="J1426" s="3" t="str">
        <f>CONCATENATE("44810084069")</f>
        <v>44810084069</v>
      </c>
      <c r="K1426" s="3" t="s">
        <v>33</v>
      </c>
      <c r="L1426" s="3" t="str">
        <f t="shared" si="92"/>
        <v/>
      </c>
      <c r="M1426" s="3" t="str">
        <f t="shared" si="93"/>
        <v>SRA29</v>
      </c>
      <c r="N1426" s="3" t="str">
        <f>CONCATENATE("02006700765")</f>
        <v>02006700765</v>
      </c>
      <c r="O1426" s="3" t="s">
        <v>2057</v>
      </c>
      <c r="P1426" s="3" t="s">
        <v>35</v>
      </c>
      <c r="Q1426" s="3" t="s">
        <v>1793</v>
      </c>
      <c r="R1426" s="4">
        <v>45916</v>
      </c>
      <c r="S1426" s="3" t="s">
        <v>37</v>
      </c>
      <c r="T1426" s="3" t="s">
        <v>38</v>
      </c>
      <c r="U1426" s="3" t="s">
        <v>39</v>
      </c>
      <c r="V1426" s="5">
        <v>10190.290000000001</v>
      </c>
      <c r="W1426" s="5">
        <v>5146.1000000000004</v>
      </c>
      <c r="X1426" s="5">
        <v>3530.94</v>
      </c>
      <c r="Y1426" s="5">
        <v>1513.25</v>
      </c>
    </row>
    <row r="1427" spans="1:25" ht="41.5" hidden="1" x14ac:dyDescent="0.35">
      <c r="A1427" s="3" t="s">
        <v>26</v>
      </c>
      <c r="B1427" s="3" t="s">
        <v>27</v>
      </c>
      <c r="C1427" s="3" t="s">
        <v>470</v>
      </c>
      <c r="D1427" s="3" t="s">
        <v>180</v>
      </c>
      <c r="E1427" s="3" t="s">
        <v>2058</v>
      </c>
      <c r="F1427" s="3" t="s">
        <v>85</v>
      </c>
      <c r="G1427" s="3" t="s">
        <v>2058</v>
      </c>
      <c r="H1427" s="3" t="s">
        <v>472</v>
      </c>
      <c r="I1427" s="3">
        <v>2024</v>
      </c>
      <c r="J1427" s="3" t="str">
        <f>CONCATENATE("44810101178")</f>
        <v>44810101178</v>
      </c>
      <c r="K1427" s="3" t="s">
        <v>33</v>
      </c>
      <c r="L1427" s="3" t="str">
        <f t="shared" si="92"/>
        <v/>
      </c>
      <c r="M1427" s="3" t="str">
        <f t="shared" si="93"/>
        <v>SRA29</v>
      </c>
      <c r="N1427" s="3" t="str">
        <f>CONCATENATE("ZTTGPP93R14E919N")</f>
        <v>ZTTGPP93R14E919N</v>
      </c>
      <c r="O1427" s="3" t="s">
        <v>2059</v>
      </c>
      <c r="P1427" s="3" t="s">
        <v>35</v>
      </c>
      <c r="Q1427" s="3" t="s">
        <v>1793</v>
      </c>
      <c r="R1427" s="4">
        <v>45916</v>
      </c>
      <c r="S1427" s="3" t="s">
        <v>37</v>
      </c>
      <c r="T1427" s="3" t="s">
        <v>38</v>
      </c>
      <c r="U1427" s="3" t="s">
        <v>39</v>
      </c>
      <c r="V1427" s="5">
        <v>2990.73</v>
      </c>
      <c r="W1427" s="5">
        <v>1510.32</v>
      </c>
      <c r="X1427" s="5">
        <v>1036.29</v>
      </c>
      <c r="Y1427" s="3">
        <v>444.12</v>
      </c>
    </row>
    <row r="1428" spans="1:25" ht="41.5" hidden="1" x14ac:dyDescent="0.35">
      <c r="A1428" s="3" t="s">
        <v>26</v>
      </c>
      <c r="B1428" s="3" t="s">
        <v>27</v>
      </c>
      <c r="C1428" s="3" t="s">
        <v>658</v>
      </c>
      <c r="D1428" s="3" t="s">
        <v>41</v>
      </c>
      <c r="E1428" s="3" t="s">
        <v>1497</v>
      </c>
      <c r="F1428" s="3" t="s">
        <v>43</v>
      </c>
      <c r="G1428" s="3" t="s">
        <v>1497</v>
      </c>
      <c r="H1428" s="3" t="s">
        <v>660</v>
      </c>
      <c r="I1428" s="3">
        <v>2024</v>
      </c>
      <c r="J1428" s="3" t="str">
        <f>CONCATENATE("44820327441")</f>
        <v>44820327441</v>
      </c>
      <c r="K1428" s="3" t="s">
        <v>33</v>
      </c>
      <c r="L1428" s="3" t="str">
        <f t="shared" si="92"/>
        <v/>
      </c>
      <c r="M1428" s="3" t="str">
        <f t="shared" ref="M1428:M1433" si="94">CONCATENATE("SRB01")</f>
        <v>SRB01</v>
      </c>
      <c r="N1428" s="3" t="str">
        <f>CONCATENATE("BRNCLL56M12A326R")</f>
        <v>BRNCLL56M12A326R</v>
      </c>
      <c r="O1428" s="3" t="s">
        <v>2060</v>
      </c>
      <c r="P1428" s="3" t="s">
        <v>35</v>
      </c>
      <c r="Q1428" s="3" t="s">
        <v>1924</v>
      </c>
      <c r="R1428" s="4">
        <v>45926</v>
      </c>
      <c r="S1428" s="3" t="s">
        <v>37</v>
      </c>
      <c r="T1428" s="3" t="s">
        <v>38</v>
      </c>
      <c r="U1428" s="3" t="s">
        <v>39</v>
      </c>
      <c r="V1428" s="5">
        <v>2195.3000000000002</v>
      </c>
      <c r="W1428" s="3">
        <v>893.49</v>
      </c>
      <c r="X1428" s="3">
        <v>911.27</v>
      </c>
      <c r="Y1428" s="3">
        <v>390.54</v>
      </c>
    </row>
    <row r="1429" spans="1:25" ht="41.5" hidden="1" x14ac:dyDescent="0.35">
      <c r="A1429" s="3" t="s">
        <v>26</v>
      </c>
      <c r="B1429" s="3" t="s">
        <v>27</v>
      </c>
      <c r="C1429" s="3" t="s">
        <v>658</v>
      </c>
      <c r="D1429" s="3" t="s">
        <v>41</v>
      </c>
      <c r="E1429" s="3" t="s">
        <v>1497</v>
      </c>
      <c r="F1429" s="3" t="s">
        <v>43</v>
      </c>
      <c r="G1429" s="3" t="s">
        <v>1497</v>
      </c>
      <c r="H1429" s="3" t="s">
        <v>660</v>
      </c>
      <c r="I1429" s="3">
        <v>2024</v>
      </c>
      <c r="J1429" s="3" t="str">
        <f>CONCATENATE("44820455093")</f>
        <v>44820455093</v>
      </c>
      <c r="K1429" s="3" t="s">
        <v>33</v>
      </c>
      <c r="L1429" s="3" t="str">
        <f t="shared" si="92"/>
        <v/>
      </c>
      <c r="M1429" s="3" t="str">
        <f t="shared" si="94"/>
        <v>SRB01</v>
      </c>
      <c r="N1429" s="3" t="str">
        <f>CONCATENATE("CHBFCN58H26A326K")</f>
        <v>CHBFCN58H26A326K</v>
      </c>
      <c r="O1429" s="3" t="s">
        <v>2061</v>
      </c>
      <c r="P1429" s="3" t="s">
        <v>35</v>
      </c>
      <c r="Q1429" s="3" t="s">
        <v>1924</v>
      </c>
      <c r="R1429" s="4">
        <v>45926</v>
      </c>
      <c r="S1429" s="3" t="s">
        <v>37</v>
      </c>
      <c r="T1429" s="3" t="s">
        <v>38</v>
      </c>
      <c r="U1429" s="3" t="s">
        <v>39</v>
      </c>
      <c r="V1429" s="3">
        <v>111.19</v>
      </c>
      <c r="W1429" s="3">
        <v>45.25</v>
      </c>
      <c r="X1429" s="3">
        <v>46.15</v>
      </c>
      <c r="Y1429" s="3">
        <v>19.79</v>
      </c>
    </row>
    <row r="1430" spans="1:25" ht="49.5" hidden="1" x14ac:dyDescent="0.35">
      <c r="A1430" s="3" t="s">
        <v>26</v>
      </c>
      <c r="B1430" s="3" t="s">
        <v>27</v>
      </c>
      <c r="C1430" s="3" t="s">
        <v>658</v>
      </c>
      <c r="D1430" s="3" t="s">
        <v>41</v>
      </c>
      <c r="E1430" s="3" t="s">
        <v>1497</v>
      </c>
      <c r="F1430" s="3" t="s">
        <v>43</v>
      </c>
      <c r="G1430" s="3" t="s">
        <v>1497</v>
      </c>
      <c r="H1430" s="3" t="s">
        <v>660</v>
      </c>
      <c r="I1430" s="3">
        <v>2024</v>
      </c>
      <c r="J1430" s="3" t="str">
        <f>CONCATENATE("44820295515")</f>
        <v>44820295515</v>
      </c>
      <c r="K1430" s="3" t="s">
        <v>33</v>
      </c>
      <c r="L1430" s="3" t="str">
        <f t="shared" si="92"/>
        <v/>
      </c>
      <c r="M1430" s="3" t="str">
        <f t="shared" si="94"/>
        <v>SRB01</v>
      </c>
      <c r="N1430" s="3" t="str">
        <f>CONCATENATE("CGNSDR79D01A326A")</f>
        <v>CGNSDR79D01A326A</v>
      </c>
      <c r="O1430" s="3" t="s">
        <v>2062</v>
      </c>
      <c r="P1430" s="3" t="s">
        <v>35</v>
      </c>
      <c r="Q1430" s="3" t="s">
        <v>1924</v>
      </c>
      <c r="R1430" s="4">
        <v>45926</v>
      </c>
      <c r="S1430" s="3" t="s">
        <v>37</v>
      </c>
      <c r="T1430" s="3" t="s">
        <v>38</v>
      </c>
      <c r="U1430" s="3" t="s">
        <v>39</v>
      </c>
      <c r="V1430" s="3">
        <v>147.06</v>
      </c>
      <c r="W1430" s="3">
        <v>59.85</v>
      </c>
      <c r="X1430" s="3">
        <v>61.04</v>
      </c>
      <c r="Y1430" s="3">
        <v>26.17</v>
      </c>
    </row>
    <row r="1431" spans="1:25" ht="49.5" hidden="1" x14ac:dyDescent="0.35">
      <c r="A1431" s="3" t="s">
        <v>26</v>
      </c>
      <c r="B1431" s="3" t="s">
        <v>27</v>
      </c>
      <c r="C1431" s="3" t="s">
        <v>658</v>
      </c>
      <c r="D1431" s="3" t="s">
        <v>41</v>
      </c>
      <c r="E1431" s="3" t="s">
        <v>1497</v>
      </c>
      <c r="F1431" s="3" t="s">
        <v>43</v>
      </c>
      <c r="G1431" s="3" t="s">
        <v>1497</v>
      </c>
      <c r="H1431" s="3" t="s">
        <v>660</v>
      </c>
      <c r="I1431" s="3">
        <v>2023</v>
      </c>
      <c r="J1431" s="3" t="str">
        <f>CONCATENATE("34820480282")</f>
        <v>34820480282</v>
      </c>
      <c r="K1431" s="3" t="s">
        <v>33</v>
      </c>
      <c r="L1431" s="3" t="str">
        <f t="shared" si="92"/>
        <v/>
      </c>
      <c r="M1431" s="3" t="str">
        <f t="shared" si="94"/>
        <v>SRB01</v>
      </c>
      <c r="N1431" s="3" t="str">
        <f>CONCATENATE("DLLRMN32M20D217W")</f>
        <v>DLLRMN32M20D217W</v>
      </c>
      <c r="O1431" s="3" t="s">
        <v>2063</v>
      </c>
      <c r="P1431" s="3" t="s">
        <v>35</v>
      </c>
      <c r="Q1431" s="3" t="s">
        <v>1924</v>
      </c>
      <c r="R1431" s="4">
        <v>45926</v>
      </c>
      <c r="S1431" s="3" t="s">
        <v>37</v>
      </c>
      <c r="T1431" s="3" t="s">
        <v>38</v>
      </c>
      <c r="U1431" s="3" t="s">
        <v>39</v>
      </c>
      <c r="V1431" s="3">
        <v>471.09</v>
      </c>
      <c r="W1431" s="3">
        <v>191.73</v>
      </c>
      <c r="X1431" s="3">
        <v>195.55</v>
      </c>
      <c r="Y1431" s="3">
        <v>83.81</v>
      </c>
    </row>
    <row r="1432" spans="1:25" ht="41.5" hidden="1" x14ac:dyDescent="0.35">
      <c r="A1432" s="3" t="s">
        <v>26</v>
      </c>
      <c r="B1432" s="3" t="s">
        <v>27</v>
      </c>
      <c r="C1432" s="3" t="s">
        <v>658</v>
      </c>
      <c r="D1432" s="3" t="s">
        <v>41</v>
      </c>
      <c r="E1432" s="3" t="s">
        <v>1497</v>
      </c>
      <c r="F1432" s="3" t="s">
        <v>43</v>
      </c>
      <c r="G1432" s="3" t="s">
        <v>1497</v>
      </c>
      <c r="H1432" s="3" t="s">
        <v>660</v>
      </c>
      <c r="I1432" s="3">
        <v>2024</v>
      </c>
      <c r="J1432" s="3" t="str">
        <f>CONCATENATE("44820352548")</f>
        <v>44820352548</v>
      </c>
      <c r="K1432" s="3" t="s">
        <v>33</v>
      </c>
      <c r="L1432" s="3" t="str">
        <f t="shared" si="92"/>
        <v/>
      </c>
      <c r="M1432" s="3" t="str">
        <f t="shared" si="94"/>
        <v>SRB01</v>
      </c>
      <c r="N1432" s="3" t="str">
        <f>CONCATENATE("VRLLZM47A44F987C")</f>
        <v>VRLLZM47A44F987C</v>
      </c>
      <c r="O1432" s="3" t="s">
        <v>2064</v>
      </c>
      <c r="P1432" s="3" t="s">
        <v>35</v>
      </c>
      <c r="Q1432" s="3" t="s">
        <v>1924</v>
      </c>
      <c r="R1432" s="4">
        <v>45926</v>
      </c>
      <c r="S1432" s="3" t="s">
        <v>37</v>
      </c>
      <c r="T1432" s="3" t="s">
        <v>38</v>
      </c>
      <c r="U1432" s="3" t="s">
        <v>39</v>
      </c>
      <c r="V1432" s="3">
        <v>1.68</v>
      </c>
      <c r="W1432" s="3">
        <v>0.68</v>
      </c>
      <c r="X1432" s="3">
        <v>0.7</v>
      </c>
      <c r="Y1432" s="3">
        <v>0.3</v>
      </c>
    </row>
    <row r="1433" spans="1:25" ht="41.5" hidden="1" x14ac:dyDescent="0.35">
      <c r="A1433" s="3" t="s">
        <v>26</v>
      </c>
      <c r="B1433" s="3" t="s">
        <v>27</v>
      </c>
      <c r="C1433" s="3" t="s">
        <v>658</v>
      </c>
      <c r="D1433" s="3" t="s">
        <v>61</v>
      </c>
      <c r="E1433" s="3" t="s">
        <v>1378</v>
      </c>
      <c r="F1433" s="3" t="s">
        <v>63</v>
      </c>
      <c r="G1433" s="3" t="s">
        <v>1378</v>
      </c>
      <c r="H1433" s="3" t="s">
        <v>660</v>
      </c>
      <c r="I1433" s="3">
        <v>2024</v>
      </c>
      <c r="J1433" s="3" t="str">
        <f>CONCATENATE("44820418661")</f>
        <v>44820418661</v>
      </c>
      <c r="K1433" s="3" t="s">
        <v>33</v>
      </c>
      <c r="L1433" s="3" t="str">
        <f t="shared" si="92"/>
        <v/>
      </c>
      <c r="M1433" s="3" t="str">
        <f t="shared" si="94"/>
        <v>SRB01</v>
      </c>
      <c r="N1433" s="3" t="str">
        <f>CONCATENATE("JGLDNL70C07E379N")</f>
        <v>JGLDNL70C07E379N</v>
      </c>
      <c r="O1433" s="3" t="s">
        <v>2065</v>
      </c>
      <c r="P1433" s="3" t="s">
        <v>35</v>
      </c>
      <c r="Q1433" s="3" t="s">
        <v>1924</v>
      </c>
      <c r="R1433" s="4">
        <v>45926</v>
      </c>
      <c r="S1433" s="3" t="s">
        <v>37</v>
      </c>
      <c r="T1433" s="3" t="s">
        <v>38</v>
      </c>
      <c r="U1433" s="3" t="s">
        <v>39</v>
      </c>
      <c r="V1433" s="3">
        <v>725.93</v>
      </c>
      <c r="W1433" s="3">
        <v>295.45</v>
      </c>
      <c r="X1433" s="3">
        <v>301.33</v>
      </c>
      <c r="Y1433" s="3">
        <v>129.15</v>
      </c>
    </row>
    <row r="1434" spans="1:25" ht="41.5" hidden="1" x14ac:dyDescent="0.35">
      <c r="A1434" s="3" t="s">
        <v>26</v>
      </c>
      <c r="B1434" s="3" t="s">
        <v>27</v>
      </c>
      <c r="C1434" s="3" t="s">
        <v>658</v>
      </c>
      <c r="D1434" s="3" t="s">
        <v>41</v>
      </c>
      <c r="E1434" s="3" t="s">
        <v>1497</v>
      </c>
      <c r="F1434" s="3" t="s">
        <v>43</v>
      </c>
      <c r="G1434" s="3" t="s">
        <v>1497</v>
      </c>
      <c r="H1434" s="3" t="s">
        <v>660</v>
      </c>
      <c r="I1434" s="3">
        <v>2024</v>
      </c>
      <c r="J1434" s="3" t="str">
        <f>CONCATENATE("44811306743")</f>
        <v>44811306743</v>
      </c>
      <c r="K1434" s="3" t="s">
        <v>33</v>
      </c>
      <c r="L1434" s="3" t="str">
        <f t="shared" si="92"/>
        <v/>
      </c>
      <c r="M1434" s="3" t="str">
        <f>CONCATENATE("SRA29")</f>
        <v>SRA29</v>
      </c>
      <c r="N1434" s="3" t="str">
        <f>CONCATENATE("MRCGBR80C27A326A")</f>
        <v>MRCGBR80C27A326A</v>
      </c>
      <c r="O1434" s="3" t="s">
        <v>2066</v>
      </c>
      <c r="P1434" s="3" t="s">
        <v>35</v>
      </c>
      <c r="Q1434" s="3" t="s">
        <v>1786</v>
      </c>
      <c r="R1434" s="4">
        <v>45926</v>
      </c>
      <c r="S1434" s="3" t="s">
        <v>37</v>
      </c>
      <c r="T1434" s="3" t="s">
        <v>38</v>
      </c>
      <c r="U1434" s="3" t="s">
        <v>39</v>
      </c>
      <c r="V1434" s="3">
        <v>372.99</v>
      </c>
      <c r="W1434" s="3">
        <v>151.81</v>
      </c>
      <c r="X1434" s="3">
        <v>154.83000000000001</v>
      </c>
      <c r="Y1434" s="3">
        <v>66.349999999999994</v>
      </c>
    </row>
    <row r="1435" spans="1:25" ht="49.5" hidden="1" x14ac:dyDescent="0.35">
      <c r="A1435" s="3" t="s">
        <v>26</v>
      </c>
      <c r="B1435" s="3" t="s">
        <v>27</v>
      </c>
      <c r="C1435" s="3" t="s">
        <v>658</v>
      </c>
      <c r="D1435" s="3" t="s">
        <v>41</v>
      </c>
      <c r="E1435" s="3" t="s">
        <v>1497</v>
      </c>
      <c r="F1435" s="3" t="s">
        <v>43</v>
      </c>
      <c r="G1435" s="3" t="s">
        <v>1497</v>
      </c>
      <c r="H1435" s="3" t="s">
        <v>660</v>
      </c>
      <c r="I1435" s="3">
        <v>2024</v>
      </c>
      <c r="J1435" s="3" t="str">
        <f>CONCATENATE("44810753473")</f>
        <v>44810753473</v>
      </c>
      <c r="K1435" s="3" t="s">
        <v>33</v>
      </c>
      <c r="L1435" s="3" t="str">
        <f t="shared" si="92"/>
        <v/>
      </c>
      <c r="M1435" s="3" t="str">
        <f>CONCATENATE("SRA29")</f>
        <v>SRA29</v>
      </c>
      <c r="N1435" s="3" t="str">
        <f>CONCATENATE("MRGGDU74M17A326I")</f>
        <v>MRGGDU74M17A326I</v>
      </c>
      <c r="O1435" s="3" t="s">
        <v>2067</v>
      </c>
      <c r="P1435" s="3" t="s">
        <v>35</v>
      </c>
      <c r="Q1435" s="3" t="s">
        <v>1786</v>
      </c>
      <c r="R1435" s="4">
        <v>45926</v>
      </c>
      <c r="S1435" s="3" t="s">
        <v>37</v>
      </c>
      <c r="T1435" s="3" t="s">
        <v>38</v>
      </c>
      <c r="U1435" s="3" t="s">
        <v>39</v>
      </c>
      <c r="V1435" s="3">
        <v>37.21</v>
      </c>
      <c r="W1435" s="3">
        <v>15.14</v>
      </c>
      <c r="X1435" s="3">
        <v>15.45</v>
      </c>
      <c r="Y1435" s="3">
        <v>6.62</v>
      </c>
    </row>
    <row r="1436" spans="1:25" ht="25.5" hidden="1" x14ac:dyDescent="0.35">
      <c r="A1436" s="3" t="s">
        <v>26</v>
      </c>
      <c r="B1436" s="3" t="s">
        <v>27</v>
      </c>
      <c r="C1436" s="3" t="s">
        <v>658</v>
      </c>
      <c r="D1436" s="3" t="s">
        <v>61</v>
      </c>
      <c r="E1436" s="3" t="s">
        <v>1378</v>
      </c>
      <c r="F1436" s="3" t="s">
        <v>63</v>
      </c>
      <c r="G1436" s="3" t="s">
        <v>1378</v>
      </c>
      <c r="H1436" s="3" t="s">
        <v>660</v>
      </c>
      <c r="I1436" s="3">
        <v>2024</v>
      </c>
      <c r="J1436" s="3" t="str">
        <f>CONCATENATE("44810841567")</f>
        <v>44810841567</v>
      </c>
      <c r="K1436" s="3" t="s">
        <v>33</v>
      </c>
      <c r="L1436" s="3" t="str">
        <f t="shared" si="92"/>
        <v/>
      </c>
      <c r="M1436" s="3" t="str">
        <f>CONCATENATE("SRA29")</f>
        <v>SRA29</v>
      </c>
      <c r="N1436" s="3" t="str">
        <f>CONCATENATE("01146160070")</f>
        <v>01146160070</v>
      </c>
      <c r="O1436" s="3" t="s">
        <v>2068</v>
      </c>
      <c r="P1436" s="3" t="s">
        <v>35</v>
      </c>
      <c r="Q1436" s="3" t="s">
        <v>1786</v>
      </c>
      <c r="R1436" s="4">
        <v>45926</v>
      </c>
      <c r="S1436" s="3" t="s">
        <v>37</v>
      </c>
      <c r="T1436" s="3" t="s">
        <v>38</v>
      </c>
      <c r="U1436" s="3" t="s">
        <v>39</v>
      </c>
      <c r="V1436" s="3">
        <v>420.12</v>
      </c>
      <c r="W1436" s="3">
        <v>170.99</v>
      </c>
      <c r="X1436" s="3">
        <v>174.39</v>
      </c>
      <c r="Y1436" s="3">
        <v>74.739999999999995</v>
      </c>
    </row>
    <row r="1437" spans="1:25" ht="41.5" hidden="1" x14ac:dyDescent="0.35">
      <c r="A1437" s="3" t="s">
        <v>26</v>
      </c>
      <c r="B1437" s="3" t="s">
        <v>27</v>
      </c>
      <c r="C1437" s="3" t="s">
        <v>40</v>
      </c>
      <c r="D1437" s="3" t="s">
        <v>41</v>
      </c>
      <c r="E1437" s="3" t="s">
        <v>143</v>
      </c>
      <c r="F1437" s="3" t="s">
        <v>43</v>
      </c>
      <c r="G1437" s="3" t="s">
        <v>143</v>
      </c>
      <c r="H1437" s="3" t="s">
        <v>64</v>
      </c>
      <c r="I1437" s="3">
        <v>2024</v>
      </c>
      <c r="J1437" s="3" t="str">
        <f>CONCATENATE("44820327789")</f>
        <v>44820327789</v>
      </c>
      <c r="K1437" s="3" t="s">
        <v>33</v>
      </c>
      <c r="L1437" s="3" t="str">
        <f t="shared" si="92"/>
        <v/>
      </c>
      <c r="M1437" s="3" t="str">
        <f>CONCATENATE("SRB01")</f>
        <v>SRB01</v>
      </c>
      <c r="N1437" s="3" t="str">
        <f>CONCATENATE("FLCSNO70T63C543V")</f>
        <v>FLCSNO70T63C543V</v>
      </c>
      <c r="O1437" s="3" t="s">
        <v>2069</v>
      </c>
      <c r="P1437" s="3" t="s">
        <v>35</v>
      </c>
      <c r="Q1437" s="3" t="s">
        <v>1928</v>
      </c>
      <c r="R1437" s="4">
        <v>45933</v>
      </c>
      <c r="S1437" s="3" t="s">
        <v>37</v>
      </c>
      <c r="T1437" s="3" t="s">
        <v>38</v>
      </c>
      <c r="U1437" s="3" t="s">
        <v>39</v>
      </c>
      <c r="V1437" s="3">
        <v>157.30000000000001</v>
      </c>
      <c r="W1437" s="3">
        <v>64.02</v>
      </c>
      <c r="X1437" s="3">
        <v>65.3</v>
      </c>
      <c r="Y1437" s="3">
        <v>27.98</v>
      </c>
    </row>
    <row r="1438" spans="1:25" ht="41.5" hidden="1" x14ac:dyDescent="0.35">
      <c r="A1438" s="3" t="s">
        <v>26</v>
      </c>
      <c r="B1438" s="3" t="s">
        <v>27</v>
      </c>
      <c r="C1438" s="3" t="s">
        <v>40</v>
      </c>
      <c r="D1438" s="3" t="s">
        <v>41</v>
      </c>
      <c r="E1438" s="3" t="s">
        <v>955</v>
      </c>
      <c r="F1438" s="3" t="s">
        <v>43</v>
      </c>
      <c r="G1438" s="3" t="s">
        <v>955</v>
      </c>
      <c r="H1438" s="3" t="s">
        <v>64</v>
      </c>
      <c r="I1438" s="3">
        <v>2024</v>
      </c>
      <c r="J1438" s="3" t="str">
        <f>CONCATENATE("44820315339")</f>
        <v>44820315339</v>
      </c>
      <c r="K1438" s="3" t="s">
        <v>33</v>
      </c>
      <c r="L1438" s="3" t="str">
        <f t="shared" si="92"/>
        <v/>
      </c>
      <c r="M1438" s="3" t="str">
        <f>CONCATENATE("SRB01")</f>
        <v>SRB01</v>
      </c>
      <c r="N1438" s="3" t="str">
        <f>CONCATENATE("MRTMRC55R43B828T")</f>
        <v>MRTMRC55R43B828T</v>
      </c>
      <c r="O1438" s="3" t="s">
        <v>2070</v>
      </c>
      <c r="P1438" s="3" t="s">
        <v>35</v>
      </c>
      <c r="Q1438" s="3" t="s">
        <v>1928</v>
      </c>
      <c r="R1438" s="4">
        <v>45933</v>
      </c>
      <c r="S1438" s="3" t="s">
        <v>37</v>
      </c>
      <c r="T1438" s="3" t="s">
        <v>38</v>
      </c>
      <c r="U1438" s="3" t="s">
        <v>39</v>
      </c>
      <c r="V1438" s="3">
        <v>21.91</v>
      </c>
      <c r="W1438" s="3">
        <v>8.92</v>
      </c>
      <c r="X1438" s="3">
        <v>9.09</v>
      </c>
      <c r="Y1438" s="3">
        <v>3.9</v>
      </c>
    </row>
    <row r="1439" spans="1:25" ht="41.5" hidden="1" x14ac:dyDescent="0.35">
      <c r="A1439" s="3" t="s">
        <v>26</v>
      </c>
      <c r="B1439" s="3" t="s">
        <v>27</v>
      </c>
      <c r="C1439" s="3" t="s">
        <v>40</v>
      </c>
      <c r="D1439" s="3" t="s">
        <v>41</v>
      </c>
      <c r="E1439" s="3" t="s">
        <v>143</v>
      </c>
      <c r="F1439" s="3" t="s">
        <v>43</v>
      </c>
      <c r="G1439" s="3" t="s">
        <v>143</v>
      </c>
      <c r="H1439" s="3" t="s">
        <v>64</v>
      </c>
      <c r="I1439" s="3">
        <v>2024</v>
      </c>
      <c r="J1439" s="3" t="str">
        <f>CONCATENATE("44820150009")</f>
        <v>44820150009</v>
      </c>
      <c r="K1439" s="3" t="s">
        <v>33</v>
      </c>
      <c r="L1439" s="3" t="str">
        <f t="shared" si="92"/>
        <v/>
      </c>
      <c r="M1439" s="3" t="str">
        <f>CONCATENATE("SRB01")</f>
        <v>SRB01</v>
      </c>
      <c r="N1439" s="3" t="str">
        <f>CONCATENATE("RLNDNL77B07I992B")</f>
        <v>RLNDNL77B07I992B</v>
      </c>
      <c r="O1439" s="3" t="s">
        <v>2071</v>
      </c>
      <c r="P1439" s="3" t="s">
        <v>35</v>
      </c>
      <c r="Q1439" s="3" t="s">
        <v>1928</v>
      </c>
      <c r="R1439" s="4">
        <v>45933</v>
      </c>
      <c r="S1439" s="3" t="s">
        <v>37</v>
      </c>
      <c r="T1439" s="3" t="s">
        <v>38</v>
      </c>
      <c r="U1439" s="3" t="s">
        <v>39</v>
      </c>
      <c r="V1439" s="3">
        <v>300</v>
      </c>
      <c r="W1439" s="3">
        <v>122.1</v>
      </c>
      <c r="X1439" s="3">
        <v>124.53</v>
      </c>
      <c r="Y1439" s="3">
        <v>53.37</v>
      </c>
    </row>
    <row r="1440" spans="1:25" ht="41.5" hidden="1" x14ac:dyDescent="0.35">
      <c r="A1440" s="3" t="s">
        <v>26</v>
      </c>
      <c r="B1440" s="3" t="s">
        <v>27</v>
      </c>
      <c r="C1440" s="3" t="s">
        <v>40</v>
      </c>
      <c r="D1440" s="3" t="s">
        <v>41</v>
      </c>
      <c r="E1440" s="3" t="s">
        <v>143</v>
      </c>
      <c r="F1440" s="3" t="s">
        <v>43</v>
      </c>
      <c r="G1440" s="3" t="s">
        <v>143</v>
      </c>
      <c r="H1440" s="3" t="s">
        <v>64</v>
      </c>
      <c r="I1440" s="3">
        <v>2024</v>
      </c>
      <c r="J1440" s="3" t="str">
        <f>CONCATENATE("44820076568")</f>
        <v>44820076568</v>
      </c>
      <c r="K1440" s="3" t="s">
        <v>33</v>
      </c>
      <c r="L1440" s="3" t="str">
        <f t="shared" si="92"/>
        <v/>
      </c>
      <c r="M1440" s="3" t="str">
        <f>CONCATENATE("SRB01")</f>
        <v>SRB01</v>
      </c>
      <c r="N1440" s="3" t="str">
        <f>CONCATENATE("PLMNNL90A17I992D")</f>
        <v>PLMNNL90A17I992D</v>
      </c>
      <c r="O1440" s="3" t="s">
        <v>2072</v>
      </c>
      <c r="P1440" s="3" t="s">
        <v>35</v>
      </c>
      <c r="Q1440" s="3" t="s">
        <v>1928</v>
      </c>
      <c r="R1440" s="4">
        <v>45933</v>
      </c>
      <c r="S1440" s="3" t="s">
        <v>37</v>
      </c>
      <c r="T1440" s="3" t="s">
        <v>38</v>
      </c>
      <c r="U1440" s="3" t="s">
        <v>39</v>
      </c>
      <c r="V1440" s="3">
        <v>775.79</v>
      </c>
      <c r="W1440" s="3">
        <v>315.75</v>
      </c>
      <c r="X1440" s="3">
        <v>322.02999999999997</v>
      </c>
      <c r="Y1440" s="3">
        <v>138.01</v>
      </c>
    </row>
    <row r="1441" spans="1:25" ht="49.5" hidden="1" x14ac:dyDescent="0.35">
      <c r="A1441" s="3" t="s">
        <v>26</v>
      </c>
      <c r="B1441" s="3" t="s">
        <v>27</v>
      </c>
      <c r="C1441" s="3" t="s">
        <v>40</v>
      </c>
      <c r="D1441" s="3" t="s">
        <v>51</v>
      </c>
      <c r="E1441" s="3" t="s">
        <v>941</v>
      </c>
      <c r="F1441" s="3" t="s">
        <v>51</v>
      </c>
      <c r="G1441" s="3" t="s">
        <v>941</v>
      </c>
      <c r="H1441" s="3" t="s">
        <v>64</v>
      </c>
      <c r="I1441" s="3">
        <v>2024</v>
      </c>
      <c r="J1441" s="3" t="str">
        <f>CONCATENATE("44820022307")</f>
        <v>44820022307</v>
      </c>
      <c r="K1441" s="3" t="s">
        <v>33</v>
      </c>
      <c r="L1441" s="3" t="str">
        <f t="shared" si="92"/>
        <v/>
      </c>
      <c r="M1441" s="3" t="str">
        <f>CONCATENATE("SRB01")</f>
        <v>SRB01</v>
      </c>
      <c r="N1441" s="3" t="str">
        <f>CONCATENATE("RMNCLD51B05H501S")</f>
        <v>RMNCLD51B05H501S</v>
      </c>
      <c r="O1441" s="3" t="s">
        <v>2073</v>
      </c>
      <c r="P1441" s="3" t="s">
        <v>35</v>
      </c>
      <c r="Q1441" s="3" t="s">
        <v>1928</v>
      </c>
      <c r="R1441" s="4">
        <v>45933</v>
      </c>
      <c r="S1441" s="3" t="s">
        <v>37</v>
      </c>
      <c r="T1441" s="3" t="s">
        <v>38</v>
      </c>
      <c r="U1441" s="3" t="s">
        <v>39</v>
      </c>
      <c r="V1441" s="3">
        <v>449.1</v>
      </c>
      <c r="W1441" s="3">
        <v>182.78</v>
      </c>
      <c r="X1441" s="3">
        <v>186.42</v>
      </c>
      <c r="Y1441" s="3">
        <v>79.900000000000006</v>
      </c>
    </row>
    <row r="1442" spans="1:25" ht="41.5" hidden="1" x14ac:dyDescent="0.35">
      <c r="A1442" s="3" t="s">
        <v>26</v>
      </c>
      <c r="B1442" s="3" t="s">
        <v>27</v>
      </c>
      <c r="C1442" s="3" t="s">
        <v>465</v>
      </c>
      <c r="D1442" s="3" t="s">
        <v>29</v>
      </c>
      <c r="E1442" s="3" t="s">
        <v>466</v>
      </c>
      <c r="F1442" s="3" t="s">
        <v>31</v>
      </c>
      <c r="G1442" s="3" t="s">
        <v>466</v>
      </c>
      <c r="H1442" s="3" t="s">
        <v>467</v>
      </c>
      <c r="I1442" s="3">
        <v>2024</v>
      </c>
      <c r="J1442" s="3" t="str">
        <f>CONCATENATE("44811192770")</f>
        <v>44811192770</v>
      </c>
      <c r="K1442" s="3" t="s">
        <v>33</v>
      </c>
      <c r="L1442" s="3" t="str">
        <f t="shared" si="92"/>
        <v/>
      </c>
      <c r="M1442" s="3" t="str">
        <f>CONCATENATE("SRA19")</f>
        <v>SRA19</v>
      </c>
      <c r="N1442" s="3" t="str">
        <f>CONCATENATE("SMNNNL66S62Z112H")</f>
        <v>SMNNNL66S62Z112H</v>
      </c>
      <c r="O1442" s="3" t="s">
        <v>2074</v>
      </c>
      <c r="P1442" s="3" t="s">
        <v>50</v>
      </c>
      <c r="Q1442" s="3"/>
      <c r="R1442" s="4">
        <v>45923</v>
      </c>
      <c r="S1442" s="3" t="s">
        <v>37</v>
      </c>
      <c r="T1442" s="3" t="s">
        <v>38</v>
      </c>
      <c r="U1442" s="3" t="s">
        <v>39</v>
      </c>
      <c r="V1442" s="5">
        <v>2274.35</v>
      </c>
      <c r="W1442" s="3">
        <v>966.6</v>
      </c>
      <c r="X1442" s="3">
        <v>915.43</v>
      </c>
      <c r="Y1442" s="3">
        <v>392.32</v>
      </c>
    </row>
    <row r="1443" spans="1:25" ht="41.5" hidden="1" x14ac:dyDescent="0.35">
      <c r="A1443" s="3" t="s">
        <v>26</v>
      </c>
      <c r="B1443" s="3" t="s">
        <v>27</v>
      </c>
      <c r="C1443" s="3" t="s">
        <v>90</v>
      </c>
      <c r="D1443" s="3" t="s">
        <v>29</v>
      </c>
      <c r="E1443" s="3" t="s">
        <v>292</v>
      </c>
      <c r="F1443" s="3" t="s">
        <v>31</v>
      </c>
      <c r="G1443" s="3" t="s">
        <v>292</v>
      </c>
      <c r="H1443" s="3" t="s">
        <v>212</v>
      </c>
      <c r="I1443" s="3">
        <v>2024</v>
      </c>
      <c r="J1443" s="3" t="str">
        <f>CONCATENATE("44810929891")</f>
        <v>44810929891</v>
      </c>
      <c r="K1443" s="3" t="s">
        <v>33</v>
      </c>
      <c r="L1443" s="3" t="str">
        <f t="shared" si="92"/>
        <v/>
      </c>
      <c r="M1443" s="3" t="str">
        <f>CONCATENATE("SRA29")</f>
        <v>SRA29</v>
      </c>
      <c r="N1443" s="3" t="str">
        <f>CONCATENATE("BRNGLC76S11F065G")</f>
        <v>BRNGLC76S11F065G</v>
      </c>
      <c r="O1443" s="3" t="s">
        <v>2075</v>
      </c>
      <c r="P1443" s="3" t="s">
        <v>35</v>
      </c>
      <c r="Q1443" s="3" t="s">
        <v>1934</v>
      </c>
      <c r="R1443" s="4">
        <v>45915</v>
      </c>
      <c r="S1443" s="3" t="s">
        <v>37</v>
      </c>
      <c r="T1443" s="3" t="s">
        <v>38</v>
      </c>
      <c r="U1443" s="3" t="s">
        <v>39</v>
      </c>
      <c r="V1443" s="5">
        <v>7375.04</v>
      </c>
      <c r="W1443" s="5">
        <v>3724.4</v>
      </c>
      <c r="X1443" s="5">
        <v>2555.4499999999998</v>
      </c>
      <c r="Y1443" s="5">
        <v>1095.19</v>
      </c>
    </row>
    <row r="1444" spans="1:25" ht="25.5" hidden="1" x14ac:dyDescent="0.35">
      <c r="A1444" s="3" t="s">
        <v>26</v>
      </c>
      <c r="B1444" s="3" t="s">
        <v>27</v>
      </c>
      <c r="C1444" s="3" t="s">
        <v>451</v>
      </c>
      <c r="D1444" s="3" t="s">
        <v>61</v>
      </c>
      <c r="E1444" s="3" t="s">
        <v>2076</v>
      </c>
      <c r="F1444" s="3" t="s">
        <v>63</v>
      </c>
      <c r="G1444" s="3" t="s">
        <v>2076</v>
      </c>
      <c r="H1444" s="3" t="s">
        <v>453</v>
      </c>
      <c r="I1444" s="3">
        <v>2023</v>
      </c>
      <c r="J1444" s="3" t="str">
        <f>CONCATENATE("34820537800")</f>
        <v>34820537800</v>
      </c>
      <c r="K1444" s="3" t="s">
        <v>33</v>
      </c>
      <c r="L1444" s="3" t="str">
        <f t="shared" si="92"/>
        <v/>
      </c>
      <c r="M1444" s="3" t="str">
        <f>CONCATENATE("SRB02")</f>
        <v>SRB02</v>
      </c>
      <c r="N1444" s="3" t="str">
        <f>CONCATENATE("01590030555")</f>
        <v>01590030555</v>
      </c>
      <c r="O1444" s="3" t="s">
        <v>2077</v>
      </c>
      <c r="P1444" s="3" t="s">
        <v>35</v>
      </c>
      <c r="Q1444" s="3" t="s">
        <v>1936</v>
      </c>
      <c r="R1444" s="4">
        <v>45919</v>
      </c>
      <c r="S1444" s="3" t="s">
        <v>37</v>
      </c>
      <c r="T1444" s="3" t="s">
        <v>38</v>
      </c>
      <c r="U1444" s="3" t="s">
        <v>39</v>
      </c>
      <c r="V1444" s="5">
        <v>5326.42</v>
      </c>
      <c r="W1444" s="5">
        <v>2263.73</v>
      </c>
      <c r="X1444" s="5">
        <v>2143.88</v>
      </c>
      <c r="Y1444" s="3">
        <v>918.81</v>
      </c>
    </row>
    <row r="1445" spans="1:25" ht="41.5" hidden="1" x14ac:dyDescent="0.35">
      <c r="A1445" s="3" t="s">
        <v>26</v>
      </c>
      <c r="B1445" s="3" t="s">
        <v>27</v>
      </c>
      <c r="C1445" s="3" t="s">
        <v>451</v>
      </c>
      <c r="D1445" s="3" t="s">
        <v>61</v>
      </c>
      <c r="E1445" s="3" t="s">
        <v>532</v>
      </c>
      <c r="F1445" s="3" t="s">
        <v>63</v>
      </c>
      <c r="G1445" s="3" t="s">
        <v>532</v>
      </c>
      <c r="H1445" s="3" t="s">
        <v>453</v>
      </c>
      <c r="I1445" s="3">
        <v>2023</v>
      </c>
      <c r="J1445" s="3" t="str">
        <f>CONCATENATE("34820801792")</f>
        <v>34820801792</v>
      </c>
      <c r="K1445" s="3" t="s">
        <v>33</v>
      </c>
      <c r="L1445" s="3" t="str">
        <f t="shared" si="92"/>
        <v/>
      </c>
      <c r="M1445" s="3" t="str">
        <f>CONCATENATE("SRB02")</f>
        <v>SRB02</v>
      </c>
      <c r="N1445" s="3" t="str">
        <f>CONCATENATE("PNTBNR62P12I921V")</f>
        <v>PNTBNR62P12I921V</v>
      </c>
      <c r="O1445" s="3" t="s">
        <v>2078</v>
      </c>
      <c r="P1445" s="3" t="s">
        <v>35</v>
      </c>
      <c r="Q1445" s="3" t="s">
        <v>1936</v>
      </c>
      <c r="R1445" s="4">
        <v>45919</v>
      </c>
      <c r="S1445" s="3" t="s">
        <v>37</v>
      </c>
      <c r="T1445" s="3" t="s">
        <v>38</v>
      </c>
      <c r="U1445" s="3" t="s">
        <v>39</v>
      </c>
      <c r="V1445" s="5">
        <v>7500.01</v>
      </c>
      <c r="W1445" s="5">
        <v>3187.5</v>
      </c>
      <c r="X1445" s="5">
        <v>3018.75</v>
      </c>
      <c r="Y1445" s="5">
        <v>1293.76</v>
      </c>
    </row>
    <row r="1446" spans="1:25" ht="41.5" hidden="1" x14ac:dyDescent="0.35">
      <c r="A1446" s="3" t="s">
        <v>26</v>
      </c>
      <c r="B1446" s="3" t="s">
        <v>27</v>
      </c>
      <c r="C1446" s="3" t="s">
        <v>40</v>
      </c>
      <c r="D1446" s="3" t="s">
        <v>51</v>
      </c>
      <c r="E1446" s="3" t="s">
        <v>52</v>
      </c>
      <c r="F1446" s="3" t="s">
        <v>51</v>
      </c>
      <c r="G1446" s="3" t="s">
        <v>52</v>
      </c>
      <c r="H1446" s="3" t="s">
        <v>44</v>
      </c>
      <c r="I1446" s="3">
        <v>2023</v>
      </c>
      <c r="J1446" s="3" t="str">
        <f>CONCATENATE("34820340064")</f>
        <v>34820340064</v>
      </c>
      <c r="K1446" s="3" t="s">
        <v>33</v>
      </c>
      <c r="L1446" s="3" t="str">
        <f t="shared" si="92"/>
        <v/>
      </c>
      <c r="M1446" s="3" t="str">
        <f>CONCATENATE("SRB01")</f>
        <v>SRB01</v>
      </c>
      <c r="N1446" s="3" t="str">
        <f>CONCATENATE("PLCPRZ54E29H282L")</f>
        <v>PLCPRZ54E29H282L</v>
      </c>
      <c r="O1446" s="3" t="s">
        <v>2079</v>
      </c>
      <c r="P1446" s="3" t="s">
        <v>35</v>
      </c>
      <c r="Q1446" s="3" t="s">
        <v>2080</v>
      </c>
      <c r="R1446" s="4">
        <v>45434</v>
      </c>
      <c r="S1446" s="3" t="s">
        <v>37</v>
      </c>
      <c r="T1446" s="3" t="s">
        <v>38</v>
      </c>
      <c r="U1446" s="3" t="s">
        <v>39</v>
      </c>
      <c r="V1446" s="3">
        <v>42.22</v>
      </c>
      <c r="W1446" s="3">
        <v>17.18</v>
      </c>
      <c r="X1446" s="3">
        <v>17.53</v>
      </c>
      <c r="Y1446" s="3">
        <v>7.51</v>
      </c>
    </row>
    <row r="1447" spans="1:25" ht="41.5" hidden="1" x14ac:dyDescent="0.35">
      <c r="A1447" s="3" t="s">
        <v>26</v>
      </c>
      <c r="B1447" s="3" t="s">
        <v>27</v>
      </c>
      <c r="C1447" s="3" t="s">
        <v>40</v>
      </c>
      <c r="D1447" s="3" t="s">
        <v>51</v>
      </c>
      <c r="E1447" s="3" t="s">
        <v>52</v>
      </c>
      <c r="F1447" s="3" t="s">
        <v>51</v>
      </c>
      <c r="G1447" s="3" t="s">
        <v>52</v>
      </c>
      <c r="H1447" s="3" t="s">
        <v>44</v>
      </c>
      <c r="I1447" s="3">
        <v>2023</v>
      </c>
      <c r="J1447" s="3" t="str">
        <f>CONCATENATE("34810158401")</f>
        <v>34810158401</v>
      </c>
      <c r="K1447" s="3" t="s">
        <v>33</v>
      </c>
      <c r="L1447" s="3" t="str">
        <f t="shared" si="92"/>
        <v/>
      </c>
      <c r="M1447" s="3" t="str">
        <f>CONCATENATE("SRA29")</f>
        <v>SRA29</v>
      </c>
      <c r="N1447" s="3" t="str">
        <f>CONCATENATE("PLCPRZ54E29H282L")</f>
        <v>PLCPRZ54E29H282L</v>
      </c>
      <c r="O1447" s="3" t="s">
        <v>2079</v>
      </c>
      <c r="P1447" s="3" t="s">
        <v>35</v>
      </c>
      <c r="Q1447" s="3" t="s">
        <v>2081</v>
      </c>
      <c r="R1447" s="4">
        <v>45461</v>
      </c>
      <c r="S1447" s="3" t="s">
        <v>37</v>
      </c>
      <c r="T1447" s="3" t="s">
        <v>38</v>
      </c>
      <c r="U1447" s="3" t="s">
        <v>39</v>
      </c>
      <c r="V1447" s="3">
        <v>470.36</v>
      </c>
      <c r="W1447" s="3">
        <v>191.44</v>
      </c>
      <c r="X1447" s="3">
        <v>195.25</v>
      </c>
      <c r="Y1447" s="3">
        <v>83.67</v>
      </c>
    </row>
  </sheetData>
  <autoFilter ref="A3:Y1447">
    <filterColumn colId="2">
      <filters>
        <filter val="MARCHE"/>
      </filters>
    </filterColumn>
  </autoFilter>
  <mergeCells count="2">
    <mergeCell ref="A1:Y1"/>
    <mergeCell ref="A2:Y2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Dettaglio_Domande_Pagabili_AGEA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Mancini Francesca</cp:lastModifiedBy>
  <dcterms:created xsi:type="dcterms:W3CDTF">2025-10-20T10:05:36Z</dcterms:created>
  <dcterms:modified xsi:type="dcterms:W3CDTF">2025-10-20T10:05:36Z</dcterms:modified>
</cp:coreProperties>
</file>