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rco_galeazzi\Desktop\"/>
    </mc:Choice>
  </mc:AlternateContent>
  <xr:revisionPtr revIDLastSave="0" documentId="8_{27D18685-CF96-41A0-A807-959C51F37D4D}" xr6:coauthVersionLast="47" xr6:coauthVersionMax="47" xr10:uidLastSave="{00000000-0000-0000-0000-000000000000}"/>
  <bookViews>
    <workbookView xWindow="4545" yWindow="1095" windowWidth="23055" windowHeight="12780"/>
  </bookViews>
  <sheets>
    <sheet name="Dettaglio_Domande_Pagabili_AGEA" sheetId="1" r:id="rId1"/>
  </sheets>
  <definedNames>
    <definedName name="_xlnm._FilterDatabase" localSheetId="0" hidden="1">Dettaglio_Domande_Pagabili_AGEA!$A$3:$AA$77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7" i="1" l="1"/>
  <c r="L77" i="1"/>
  <c r="K77" i="1"/>
  <c r="H77" i="1"/>
  <c r="M76" i="1"/>
  <c r="L76" i="1"/>
  <c r="K76" i="1"/>
  <c r="H76" i="1"/>
  <c r="M75" i="1"/>
  <c r="L75" i="1"/>
  <c r="K75" i="1"/>
  <c r="H75" i="1"/>
  <c r="M74" i="1"/>
  <c r="L74" i="1"/>
  <c r="K74" i="1"/>
  <c r="H74" i="1"/>
  <c r="M73" i="1"/>
  <c r="L73" i="1"/>
  <c r="K73" i="1"/>
  <c r="H73" i="1"/>
  <c r="M72" i="1"/>
  <c r="L72" i="1"/>
  <c r="K72" i="1"/>
  <c r="H72" i="1"/>
  <c r="M71" i="1"/>
  <c r="L71" i="1"/>
  <c r="K71" i="1"/>
  <c r="H71" i="1"/>
  <c r="M70" i="1"/>
  <c r="L70" i="1"/>
  <c r="K70" i="1"/>
  <c r="H70" i="1"/>
  <c r="M69" i="1"/>
  <c r="L69" i="1"/>
  <c r="K69" i="1"/>
  <c r="H69" i="1"/>
  <c r="M68" i="1"/>
  <c r="L68" i="1"/>
  <c r="K68" i="1"/>
  <c r="H68" i="1"/>
  <c r="M67" i="1"/>
  <c r="L67" i="1"/>
  <c r="K67" i="1"/>
  <c r="H67" i="1"/>
  <c r="M66" i="1"/>
  <c r="L66" i="1"/>
  <c r="K66" i="1"/>
  <c r="H66" i="1"/>
  <c r="M65" i="1"/>
  <c r="L65" i="1"/>
  <c r="K65" i="1"/>
  <c r="H65" i="1"/>
  <c r="M64" i="1"/>
  <c r="L64" i="1"/>
  <c r="K64" i="1"/>
  <c r="H64" i="1"/>
  <c r="M63" i="1"/>
  <c r="L63" i="1"/>
  <c r="K63" i="1"/>
  <c r="H63" i="1"/>
  <c r="M62" i="1"/>
  <c r="L62" i="1"/>
  <c r="K62" i="1"/>
  <c r="H62" i="1"/>
  <c r="M61" i="1"/>
  <c r="L61" i="1"/>
  <c r="K61" i="1"/>
  <c r="H61" i="1"/>
  <c r="M60" i="1"/>
  <c r="L60" i="1"/>
  <c r="K60" i="1"/>
  <c r="H60" i="1"/>
  <c r="M59" i="1"/>
  <c r="L59" i="1"/>
  <c r="K59" i="1"/>
  <c r="H59" i="1"/>
  <c r="M58" i="1"/>
  <c r="L58" i="1"/>
  <c r="K58" i="1"/>
  <c r="H58" i="1"/>
  <c r="M57" i="1"/>
  <c r="L57" i="1"/>
  <c r="K57" i="1"/>
  <c r="H57" i="1"/>
  <c r="M56" i="1"/>
  <c r="L56" i="1"/>
  <c r="K56" i="1"/>
  <c r="H56" i="1"/>
  <c r="M55" i="1"/>
  <c r="L55" i="1"/>
  <c r="K55" i="1"/>
  <c r="H55" i="1"/>
  <c r="M54" i="1"/>
  <c r="L54" i="1"/>
  <c r="K54" i="1"/>
  <c r="H54" i="1"/>
  <c r="M53" i="1"/>
  <c r="L53" i="1"/>
  <c r="K53" i="1"/>
  <c r="H53" i="1"/>
  <c r="M52" i="1"/>
  <c r="L52" i="1"/>
  <c r="K52" i="1"/>
  <c r="H52" i="1"/>
  <c r="M51" i="1"/>
  <c r="L51" i="1"/>
  <c r="K51" i="1"/>
  <c r="H51" i="1"/>
  <c r="M50" i="1"/>
  <c r="L50" i="1"/>
  <c r="K50" i="1"/>
  <c r="H50" i="1"/>
  <c r="M49" i="1"/>
  <c r="L49" i="1"/>
  <c r="K49" i="1"/>
  <c r="H49" i="1"/>
  <c r="M48" i="1"/>
  <c r="L48" i="1"/>
  <c r="K48" i="1"/>
  <c r="H48" i="1"/>
  <c r="M47" i="1"/>
  <c r="L47" i="1"/>
  <c r="K47" i="1"/>
  <c r="H47" i="1"/>
  <c r="M46" i="1"/>
  <c r="L46" i="1"/>
  <c r="K46" i="1"/>
  <c r="H46" i="1"/>
  <c r="M45" i="1"/>
  <c r="L45" i="1"/>
  <c r="K45" i="1"/>
  <c r="H45" i="1"/>
  <c r="M44" i="1"/>
  <c r="L44" i="1"/>
  <c r="K44" i="1"/>
  <c r="H44" i="1"/>
  <c r="M43" i="1"/>
  <c r="L43" i="1"/>
  <c r="K43" i="1"/>
  <c r="H43" i="1"/>
  <c r="M42" i="1"/>
  <c r="L42" i="1"/>
  <c r="K42" i="1"/>
  <c r="H42" i="1"/>
  <c r="M41" i="1"/>
  <c r="L41" i="1"/>
  <c r="K41" i="1"/>
  <c r="H41" i="1"/>
  <c r="M40" i="1"/>
  <c r="L40" i="1"/>
  <c r="K40" i="1"/>
  <c r="H40" i="1"/>
  <c r="M39" i="1"/>
  <c r="L39" i="1"/>
  <c r="K39" i="1"/>
  <c r="H39" i="1"/>
  <c r="M38" i="1"/>
  <c r="L38" i="1"/>
  <c r="K38" i="1"/>
  <c r="H38" i="1"/>
  <c r="M37" i="1"/>
  <c r="L37" i="1"/>
  <c r="K37" i="1"/>
  <c r="H37" i="1"/>
  <c r="M36" i="1"/>
  <c r="L36" i="1"/>
  <c r="K36" i="1"/>
  <c r="H36" i="1"/>
  <c r="M35" i="1"/>
  <c r="L35" i="1"/>
  <c r="K35" i="1"/>
  <c r="H35" i="1"/>
  <c r="M34" i="1"/>
  <c r="L34" i="1"/>
  <c r="K34" i="1"/>
  <c r="H34" i="1"/>
  <c r="M33" i="1"/>
  <c r="L33" i="1"/>
  <c r="K33" i="1"/>
  <c r="H33" i="1"/>
  <c r="M32" i="1"/>
  <c r="L32" i="1"/>
  <c r="K32" i="1"/>
  <c r="H32" i="1"/>
  <c r="M31" i="1"/>
  <c r="L31" i="1"/>
  <c r="K31" i="1"/>
  <c r="H31" i="1"/>
  <c r="M30" i="1"/>
  <c r="L30" i="1"/>
  <c r="K30" i="1"/>
  <c r="H30" i="1"/>
  <c r="M29" i="1"/>
  <c r="L29" i="1"/>
  <c r="K29" i="1"/>
  <c r="H29" i="1"/>
  <c r="M28" i="1"/>
  <c r="L28" i="1"/>
  <c r="K28" i="1"/>
  <c r="H28" i="1"/>
  <c r="M27" i="1"/>
  <c r="L27" i="1"/>
  <c r="K27" i="1"/>
  <c r="H27" i="1"/>
  <c r="M26" i="1"/>
  <c r="L26" i="1"/>
  <c r="K26" i="1"/>
  <c r="H26" i="1"/>
  <c r="M25" i="1"/>
  <c r="L25" i="1"/>
  <c r="K25" i="1"/>
  <c r="H25" i="1"/>
  <c r="M24" i="1"/>
  <c r="L24" i="1"/>
  <c r="K24" i="1"/>
  <c r="H24" i="1"/>
  <c r="M23" i="1"/>
  <c r="L23" i="1"/>
  <c r="K23" i="1"/>
  <c r="H23" i="1"/>
  <c r="M22" i="1"/>
  <c r="L22" i="1"/>
  <c r="K22" i="1"/>
  <c r="H22" i="1"/>
  <c r="M21" i="1"/>
  <c r="L21" i="1"/>
  <c r="K21" i="1"/>
  <c r="H21" i="1"/>
  <c r="M20" i="1"/>
  <c r="L20" i="1"/>
  <c r="K20" i="1"/>
  <c r="H20" i="1"/>
  <c r="M19" i="1"/>
  <c r="L19" i="1"/>
  <c r="K19" i="1"/>
  <c r="H19" i="1"/>
  <c r="M18" i="1"/>
  <c r="L18" i="1"/>
  <c r="K18" i="1"/>
  <c r="H18" i="1"/>
  <c r="M17" i="1"/>
  <c r="L17" i="1"/>
  <c r="K17" i="1"/>
  <c r="H17" i="1"/>
  <c r="M16" i="1"/>
  <c r="L16" i="1"/>
  <c r="K16" i="1"/>
  <c r="H16" i="1"/>
  <c r="M15" i="1"/>
  <c r="L15" i="1"/>
  <c r="K15" i="1"/>
  <c r="H15" i="1"/>
  <c r="M14" i="1"/>
  <c r="L14" i="1"/>
  <c r="K14" i="1"/>
  <c r="H14" i="1"/>
  <c r="M13" i="1"/>
  <c r="L13" i="1"/>
  <c r="K13" i="1"/>
  <c r="H13" i="1"/>
  <c r="M12" i="1"/>
  <c r="L12" i="1"/>
  <c r="K12" i="1"/>
  <c r="H12" i="1"/>
  <c r="M11" i="1"/>
  <c r="L11" i="1"/>
  <c r="K11" i="1"/>
  <c r="H11" i="1"/>
  <c r="M10" i="1"/>
  <c r="L10" i="1"/>
  <c r="K10" i="1"/>
  <c r="H10" i="1"/>
  <c r="M9" i="1"/>
  <c r="L9" i="1"/>
  <c r="K9" i="1"/>
  <c r="H9" i="1"/>
  <c r="M8" i="1"/>
  <c r="L8" i="1"/>
  <c r="K8" i="1"/>
  <c r="H8" i="1"/>
  <c r="M7" i="1"/>
  <c r="L7" i="1"/>
  <c r="K7" i="1"/>
  <c r="H7" i="1"/>
  <c r="M6" i="1"/>
  <c r="L6" i="1"/>
  <c r="K6" i="1"/>
  <c r="H6" i="1"/>
  <c r="M5" i="1"/>
  <c r="L5" i="1"/>
  <c r="K5" i="1"/>
  <c r="H5" i="1"/>
  <c r="M4" i="1"/>
  <c r="L4" i="1"/>
  <c r="K4" i="1"/>
  <c r="H4" i="1"/>
</calcChain>
</file>

<file path=xl/sharedStrings.xml><?xml version="1.0" encoding="utf-8"?>
<sst xmlns="http://schemas.openxmlformats.org/spreadsheetml/2006/main" count="1138" uniqueCount="168">
  <si>
    <t>Dettaglio Domande Pagabili Decreto 790</t>
  </si>
  <si>
    <t>Organismo Pagatore</t>
  </si>
  <si>
    <t>Gruppo Misura</t>
  </si>
  <si>
    <t>Regione</t>
  </si>
  <si>
    <t>Ente</t>
  </si>
  <si>
    <t>Caa Nazionale</t>
  </si>
  <si>
    <t>Ufficio Caa</t>
  </si>
  <si>
    <t>Campagna</t>
  </si>
  <si>
    <t>codice Domanda</t>
  </si>
  <si>
    <t>Domanda Campione (Si/No)</t>
  </si>
  <si>
    <t>Tipologia Programmazione</t>
  </si>
  <si>
    <t>Misura PSR 2007-2013</t>
  </si>
  <si>
    <t>Misura PSR 2014-2020</t>
  </si>
  <si>
    <t>Cuaa</t>
  </si>
  <si>
    <t>Denominazione</t>
  </si>
  <si>
    <t>Tipologia Elenco</t>
  </si>
  <si>
    <t>Protocollo Elenco</t>
  </si>
  <si>
    <t>Data Autorizzazione OP Elenco</t>
  </si>
  <si>
    <t>Stato Della Domanda</t>
  </si>
  <si>
    <t>Tipologia di Pagamento</t>
  </si>
  <si>
    <t>Tipologia di Finanziamento</t>
  </si>
  <si>
    <t>PSRN</t>
  </si>
  <si>
    <t>Tipologia di Strumento Finanziario</t>
  </si>
  <si>
    <t>Importo Totale in Elenco</t>
  </si>
  <si>
    <t>Importo in Elenco (Quota FEASR)</t>
  </si>
  <si>
    <t>Importo in Elenco (Quota Nazionale)</t>
  </si>
  <si>
    <t>Importo in Elenco (Quota Regionale)</t>
  </si>
  <si>
    <t>Importo in Elenco (Quota Fondo di Rotazione)</t>
  </si>
  <si>
    <t>AGEA</t>
  </si>
  <si>
    <t>Misure Strutturali</t>
  </si>
  <si>
    <t>IN PROPRIO</t>
  </si>
  <si>
    <t>NO</t>
  </si>
  <si>
    <t>PSR 2014/2022</t>
  </si>
  <si>
    <t>Ordinario</t>
  </si>
  <si>
    <t>In Liquidazione</t>
  </si>
  <si>
    <t>Co-Finanziato</t>
  </si>
  <si>
    <t>Saldo</t>
  </si>
  <si>
    <t>SI</t>
  </si>
  <si>
    <t>CAA CIA srl</t>
  </si>
  <si>
    <t>CAA Coldiretti srl</t>
  </si>
  <si>
    <t>CAA UNICAA srl</t>
  </si>
  <si>
    <t>MARCHE</t>
  </si>
  <si>
    <t>COMUNE DI SASSOCORVARO AUDITORE</t>
  </si>
  <si>
    <t>AGEA.ASR.2025.1455343</t>
  </si>
  <si>
    <t>SERV. DEC. AGRICOLTURA E ALIMENTAZIONE - PESARO</t>
  </si>
  <si>
    <t>UNIONE MONTANA ALTA VALLE DEL METAURO</t>
  </si>
  <si>
    <t>AGEA.ASR.2025.1486399</t>
  </si>
  <si>
    <t>COMUNE DI AMANDOLA</t>
  </si>
  <si>
    <t>AGEA.ASR.2025.1338518</t>
  </si>
  <si>
    <t>AZIENDA SPECIALE CONSORZIALE DEL CATRIA</t>
  </si>
  <si>
    <t>AGEA.ASR.2025.1340281</t>
  </si>
  <si>
    <t>SERV. DEC. AGRICOLTURA E ALIMENTAZIONE - ANCONA</t>
  </si>
  <si>
    <t>AGRIPRO S.T.P. S.R.L.</t>
  </si>
  <si>
    <t>AGEA.ASR.2025.1419806</t>
  </si>
  <si>
    <t>CAA CIA - ANCONA - 005</t>
  </si>
  <si>
    <t>CIA MARCHE SERVIZI ALL'IMPRESA S.R.L.</t>
  </si>
  <si>
    <t>SERV. DEC. AGRICOLTURA E ALIM. -ASCOLI PICENO</t>
  </si>
  <si>
    <t>TENUTA MONALDI SOCIETA' AGRICOLA S.S.</t>
  </si>
  <si>
    <t>AGEA.ASR.2025.1340540</t>
  </si>
  <si>
    <t>SERV. DEC. AGRICOLTURA E ALIM. - MACERATA</t>
  </si>
  <si>
    <t>OSSOLI EROLO E LAMBERTUCCI LINA S.S.</t>
  </si>
  <si>
    <t>AGEA.ASR.2025.1339370</t>
  </si>
  <si>
    <t>MONTEFELTRO SVILUPPO SOC. CONS. A R.L.</t>
  </si>
  <si>
    <t>AGEA.ASR.2025.1451886</t>
  </si>
  <si>
    <t>COMUNE DI MONDAVIO</t>
  </si>
  <si>
    <t>AGEA.ASR.2025.1455126</t>
  </si>
  <si>
    <t>COMUNE DI MONTEMONACO</t>
  </si>
  <si>
    <t>AGEA.ASR.2025.1427206</t>
  </si>
  <si>
    <t>COMUNE DI MONTE PORZIO</t>
  </si>
  <si>
    <t>AGEA.ASR.2025.1455048</t>
  </si>
  <si>
    <t>COMUNE DI SAN LORENZO IN CAMPO</t>
  </si>
  <si>
    <t>BURATTI NADIA</t>
  </si>
  <si>
    <t>AGEA.ASR.2025.1343093</t>
  </si>
  <si>
    <t>COMUNE DI COLLI AL METAURO</t>
  </si>
  <si>
    <t>AGEA.ASR.2025.1367448</t>
  </si>
  <si>
    <t>AGEA.ASR.2025.1328528</t>
  </si>
  <si>
    <t>UNIONE DEI SUINICOLTORI MARCHIGIANI SOCIETA' COOPERATIVA AGRICOLA</t>
  </si>
  <si>
    <t>COMUNE DI MONTEFELCINO</t>
  </si>
  <si>
    <t>AGEA.ASR.2025.1367162</t>
  </si>
  <si>
    <t>CAA CIA - ANCONA - 006</t>
  </si>
  <si>
    <t>SOC.AGR.FOR.DI GESTIONE DIE BENI AGRO SILVO PASTORALI MARCHE</t>
  </si>
  <si>
    <t>AGEA.ASR.2025.1430780</t>
  </si>
  <si>
    <t>PIERONI GIAMMARIO</t>
  </si>
  <si>
    <t>AGEA.ASR.2025.1343144</t>
  </si>
  <si>
    <t>AGEA.ASR.2025.1369216</t>
  </si>
  <si>
    <t>COMUNE DI URBINO</t>
  </si>
  <si>
    <t>COMUNANZA AGRARIA UMITO</t>
  </si>
  <si>
    <t>AGEA.ASR.2025.1366821</t>
  </si>
  <si>
    <t>COMUNE DI COLMURANO</t>
  </si>
  <si>
    <t>AGEA.ASR.2025.1455581</t>
  </si>
  <si>
    <t>COMUNE DI MONTECASSIANO</t>
  </si>
  <si>
    <t>COMUNE DI MORRO D'ALBA</t>
  </si>
  <si>
    <t>AGEA.ASR.2025.1432911</t>
  </si>
  <si>
    <t>COMUNE DI FRONTINO</t>
  </si>
  <si>
    <t>AGEA.ASR.2025.1367714</t>
  </si>
  <si>
    <t>CONSORZIO DI BONIFICA DELLE MARCHE</t>
  </si>
  <si>
    <t>AGEA.ASR.2025.1487082</t>
  </si>
  <si>
    <t>COMUNE DI LUNANO</t>
  </si>
  <si>
    <t>AGEA.ASR.2025.1455220</t>
  </si>
  <si>
    <t>COMUNE DI MERCATINO CONCA</t>
  </si>
  <si>
    <t>ENTE REGIONE MARCHE</t>
  </si>
  <si>
    <t>AGEA.ASR.2025.1342679</t>
  </si>
  <si>
    <t>AGEA.ASR.2025.1459216</t>
  </si>
  <si>
    <t>COMUNE DI PIETRARUBBIA</t>
  </si>
  <si>
    <t>AGEA.ASR.2025.1455390</t>
  </si>
  <si>
    <t>BAKKUM IRENE MARIA</t>
  </si>
  <si>
    <t>AGEA.ASR.2025.1455449</t>
  </si>
  <si>
    <t>CARRADORI DONATELLA PASQUALINA</t>
  </si>
  <si>
    <t>FRASCARELLI CINZIA</t>
  </si>
  <si>
    <t>COMUNE DI FRONTONE</t>
  </si>
  <si>
    <t>AGEA.ASR.2025.1454906</t>
  </si>
  <si>
    <t>CAA Coldiretti - MACERATA - 008</t>
  </si>
  <si>
    <t>CALANDA CARLO FEDERICO</t>
  </si>
  <si>
    <t>AGEA.ASR.2025.1454693</t>
  </si>
  <si>
    <t>CAA UNICAA - ASCOLI PICENO - 004</t>
  </si>
  <si>
    <t>AZ.AGR.FIORENIRE DI COCCI P.F. E COCCI C. S.S. SOC. AGRICOLA</t>
  </si>
  <si>
    <t>AGEA.ASR.2025.1483941</t>
  </si>
  <si>
    <t>SOCIETA' AGRICOLA PALOMBARONE DI SPARVOLI PAOLO &amp; C. S.S.</t>
  </si>
  <si>
    <t>AGEA.ASR.2025.1343157</t>
  </si>
  <si>
    <t>AGEA.ASR.2025.1488314</t>
  </si>
  <si>
    <t>CONSORZIO FORESTALE MASSA TRABARIA</t>
  </si>
  <si>
    <t>AGEA.ASR.2025.1418715</t>
  </si>
  <si>
    <t>TRATTORIA DA LAILA DI AGRIOLI DANIA E DANIELE SNC</t>
  </si>
  <si>
    <t>AGEA.ASR.2025.1338752</t>
  </si>
  <si>
    <t>FERMANO LEADER SOCIETA' CONSORTILE A RESPONSABILITA' LIMITATA</t>
  </si>
  <si>
    <t>AGEA.ASR.2025.1451883</t>
  </si>
  <si>
    <t>LA SORGENTE SOCIETA' A RESPONSABILITA' LIMITATA SEMPLIFICATA</t>
  </si>
  <si>
    <t>AGEA.ASR.2025.1453950</t>
  </si>
  <si>
    <t>FLAMINIA CESANO S.R.L.</t>
  </si>
  <si>
    <t>AGEA.ASR.2025.1338825</t>
  </si>
  <si>
    <t>COMUNE DI MONTECAROTTO</t>
  </si>
  <si>
    <t>AGEA.ASR.2025.1474072</t>
  </si>
  <si>
    <t>COOPERATIVA SOCIALE DI COMUNITA' LA MACINA TERRE ALTE ONLUS</t>
  </si>
  <si>
    <t>AGEA.ASR.2025.1454538</t>
  </si>
  <si>
    <t>UNIONE MONTANA DEL CATRIA E NERONE</t>
  </si>
  <si>
    <t>MATTEI MAURO</t>
  </si>
  <si>
    <t>AGEA.ASR.2025.1452763</t>
  </si>
  <si>
    <t>AGEA.ASR.2025.1451875</t>
  </si>
  <si>
    <t>AGEA.ASR.2025.1455306</t>
  </si>
  <si>
    <t>BELVEDERE ROSA S.A.S. DI JAMES DOMINIC CARR &amp; C.</t>
  </si>
  <si>
    <t>AGEA.ASR.2025.1338530</t>
  </si>
  <si>
    <t>NATALI DANIELA</t>
  </si>
  <si>
    <t>COMUNE DI SANT'ANGELO IN VADO</t>
  </si>
  <si>
    <t>AGEA.ASR.2025.1368228</t>
  </si>
  <si>
    <t>COMUNE DI SANT'IPPOLITO</t>
  </si>
  <si>
    <t>AGEA.ASR.2025.1455694</t>
  </si>
  <si>
    <t>ORGANISMO DI CONSULENZA PSR &amp; INNOVAZIONE MARCHE S.R.L.</t>
  </si>
  <si>
    <t>AGEA.ASR.2025.1479525</t>
  </si>
  <si>
    <t>COMUNE DI MONTE SAN MARTINO</t>
  </si>
  <si>
    <t>AGEA.ASR.2025.1454093</t>
  </si>
  <si>
    <t>AGEA.ASR.2025.1487438</t>
  </si>
  <si>
    <t>COMUNE DI PERGOLA</t>
  </si>
  <si>
    <t>MONTEFELTRO FORAGGI S.R.L.</t>
  </si>
  <si>
    <t>AGEA.ASR.2025.1418698</t>
  </si>
  <si>
    <t>CONSORZIO MARCHE BIOLOGICHE SOC.COOP AGR</t>
  </si>
  <si>
    <t>AGEA.ASR.2025.1420807</t>
  </si>
  <si>
    <t>COMUNE DI SANT'ANGELO IN PONTANO</t>
  </si>
  <si>
    <t>AGEA.ASR.2025.1454516</t>
  </si>
  <si>
    <t>"ORTO DEL SORRISO - SOCIETA' COOPERATIVA SOCIALE AGRICOLA"</t>
  </si>
  <si>
    <t>AGEA.ASR.2025.1419897</t>
  </si>
  <si>
    <t>PICENO S. C. A R. L.</t>
  </si>
  <si>
    <t>AGEA.ASR.2025.1451880</t>
  </si>
  <si>
    <t>PALMIERI LUIGI</t>
  </si>
  <si>
    <t>AGEA.ASR.2025.1419505</t>
  </si>
  <si>
    <t>COMUNE DI SAN COSTANZO</t>
  </si>
  <si>
    <t>AGEA.ASR.2025.1338545</t>
  </si>
  <si>
    <t>SOCIETA' AGRICOLA TERRAVIVA S.S</t>
  </si>
  <si>
    <t>AGEA.ASR.2025.1453933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</si>
</sst>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theme="1"/>
      <name val="Calibri"/>
      <family val="2"/>
    </font>
    <font>
      <b/>
      <sz val="7"/>
      <color theme="1"/>
      <name val="Calibri"/>
      <family val="2"/>
    </font>
    <font>
      <sz val="7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1" applyNumberFormat="0" applyAlignment="0" applyProtection="0"/>
    <xf numFmtId="0" fontId="3" fillId="0" borderId="2" applyNumberFormat="0" applyFill="0" applyAlignment="0" applyProtection="0"/>
    <xf numFmtId="0" fontId="4" fillId="21" borderId="3" applyNumberFormat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6" fillId="28" borderId="1" applyNumberFormat="0" applyAlignment="0" applyProtection="0"/>
    <xf numFmtId="0" fontId="7" fillId="29" borderId="0" applyNumberFormat="0" applyBorder="0" applyAlignment="0" applyProtection="0"/>
    <xf numFmtId="0" fontId="1" fillId="30" borderId="4" applyNumberFormat="0" applyFont="0" applyAlignment="0" applyProtection="0"/>
    <xf numFmtId="0" fontId="8" fillId="20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14" fontId="20" fillId="0" borderId="10" xfId="0" applyNumberFormat="1" applyFont="1" applyBorder="1" applyAlignment="1">
      <alignment wrapText="1"/>
    </xf>
    <xf numFmtId="4" fontId="20" fillId="0" borderId="10" xfId="0" applyNumberFormat="1" applyFont="1" applyBorder="1" applyAlignment="1">
      <alignment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7"/>
  <sheetViews>
    <sheetView showGridLines="0" tabSelected="1" topLeftCell="A70" workbookViewId="0">
      <selection activeCell="A3" sqref="A3"/>
    </sheetView>
  </sheetViews>
  <sheetFormatPr defaultColWidth="8.875" defaultRowHeight="15"/>
  <cols>
    <col min="1" max="1" width="12" style="1" bestFit="1" customWidth="1"/>
    <col min="2" max="2" width="11.5" style="1" bestFit="1" customWidth="1"/>
    <col min="3" max="3" width="14.25" style="1" bestFit="1" customWidth="1"/>
    <col min="4" max="4" width="34.125" style="1" bestFit="1" customWidth="1"/>
    <col min="5" max="5" width="25" style="1" bestFit="1" customWidth="1"/>
    <col min="6" max="6" width="26.125" style="1" bestFit="1" customWidth="1"/>
    <col min="7" max="7" width="6.5" style="1" bestFit="1" customWidth="1"/>
    <col min="8" max="8" width="9.875" style="1" bestFit="1" customWidth="1"/>
    <col min="9" max="9" width="16.375" style="1" bestFit="1" customWidth="1"/>
    <col min="10" max="10" width="18.375" style="1" bestFit="1" customWidth="1"/>
    <col min="11" max="12" width="13.25" style="1" bestFit="1" customWidth="1"/>
    <col min="13" max="13" width="3.5" style="1" bestFit="1" customWidth="1"/>
    <col min="14" max="14" width="35.5" style="1" bestFit="1" customWidth="1"/>
    <col min="15" max="15" width="9.625" style="1" bestFit="1" customWidth="1"/>
    <col min="16" max="16" width="14.5" style="1" bestFit="1" customWidth="1"/>
    <col min="17" max="17" width="17.75" style="1" bestFit="1" customWidth="1"/>
    <col min="18" max="18" width="12.5" style="1" bestFit="1" customWidth="1"/>
    <col min="19" max="19" width="13.75" style="1" bestFit="1" customWidth="1"/>
    <col min="20" max="20" width="18.25" style="1" bestFit="1" customWidth="1"/>
    <col min="21" max="21" width="3.75" style="1" bestFit="1" customWidth="1"/>
    <col min="22" max="22" width="19.75" style="1" bestFit="1" customWidth="1"/>
    <col min="23" max="23" width="14.25" style="1" bestFit="1" customWidth="1"/>
    <col min="24" max="24" width="19" style="1" bestFit="1" customWidth="1"/>
    <col min="25" max="26" width="20.875" style="1" bestFit="1" customWidth="1"/>
    <col min="27" max="27" width="26.125" style="1" bestFit="1" customWidth="1"/>
    <col min="28" max="16384" width="8.875" style="1"/>
  </cols>
  <sheetData>
    <row r="1" spans="1:27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8"/>
    </row>
    <row r="2" spans="1:27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8"/>
    </row>
    <row r="3" spans="1:27" ht="1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</row>
    <row r="4" spans="1:27" ht="28.5">
      <c r="A4" s="3" t="s">
        <v>28</v>
      </c>
      <c r="B4" s="3" t="s">
        <v>29</v>
      </c>
      <c r="C4" s="3" t="s">
        <v>41</v>
      </c>
      <c r="D4" s="3" t="s">
        <v>41</v>
      </c>
      <c r="E4" s="3" t="s">
        <v>30</v>
      </c>
      <c r="F4" s="3" t="s">
        <v>30</v>
      </c>
      <c r="G4" s="3">
        <v>2017</v>
      </c>
      <c r="H4" s="3" t="str">
        <f>CONCATENATE("54270358887")</f>
        <v>54270358887</v>
      </c>
      <c r="I4" s="3" t="s">
        <v>31</v>
      </c>
      <c r="J4" s="3" t="s">
        <v>32</v>
      </c>
      <c r="K4" s="3" t="str">
        <f t="shared" ref="K4:K14" si="0">CONCATENATE("")</f>
        <v/>
      </c>
      <c r="L4" s="3" t="str">
        <f>CONCATENATE("19 19.2 6b")</f>
        <v>19 19.2 6b</v>
      </c>
      <c r="M4" s="3" t="str">
        <f>CONCATENATE("02681080418")</f>
        <v>02681080418</v>
      </c>
      <c r="N4" s="3" t="s">
        <v>42</v>
      </c>
      <c r="O4" s="3" t="s">
        <v>33</v>
      </c>
      <c r="P4" s="3" t="s">
        <v>43</v>
      </c>
      <c r="Q4" s="4">
        <v>45993</v>
      </c>
      <c r="R4" s="3" t="s">
        <v>34</v>
      </c>
      <c r="S4" s="3" t="s">
        <v>36</v>
      </c>
      <c r="T4" s="3" t="s">
        <v>35</v>
      </c>
      <c r="U4" s="3"/>
      <c r="V4" s="3" t="s">
        <v>33</v>
      </c>
      <c r="W4" s="5">
        <v>20328.34</v>
      </c>
      <c r="X4" s="5">
        <v>10774.02</v>
      </c>
      <c r="Y4" s="5">
        <v>6688.02</v>
      </c>
      <c r="Z4" s="5">
        <v>2866.3</v>
      </c>
      <c r="AA4" s="3">
        <v>0</v>
      </c>
    </row>
    <row r="5" spans="1:27" ht="28.5">
      <c r="A5" s="3" t="s">
        <v>28</v>
      </c>
      <c r="B5" s="3" t="s">
        <v>29</v>
      </c>
      <c r="C5" s="3" t="s">
        <v>41</v>
      </c>
      <c r="D5" s="3" t="s">
        <v>44</v>
      </c>
      <c r="E5" s="3" t="s">
        <v>30</v>
      </c>
      <c r="F5" s="3" t="s">
        <v>30</v>
      </c>
      <c r="G5" s="3">
        <v>2017</v>
      </c>
      <c r="H5" s="3" t="str">
        <f>CONCATENATE("54270363267")</f>
        <v>54270363267</v>
      </c>
      <c r="I5" s="3" t="s">
        <v>31</v>
      </c>
      <c r="J5" s="3" t="s">
        <v>32</v>
      </c>
      <c r="K5" s="3" t="str">
        <f t="shared" si="0"/>
        <v/>
      </c>
      <c r="L5" s="3" t="str">
        <f>CONCATENATE("8 8.5 4a")</f>
        <v>8 8.5 4a</v>
      </c>
      <c r="M5" s="3" t="str">
        <f>CONCATENATE("02561910411")</f>
        <v>02561910411</v>
      </c>
      <c r="N5" s="3" t="s">
        <v>45</v>
      </c>
      <c r="O5" s="3" t="s">
        <v>33</v>
      </c>
      <c r="P5" s="3" t="s">
        <v>46</v>
      </c>
      <c r="Q5" s="4">
        <v>45994</v>
      </c>
      <c r="R5" s="3" t="s">
        <v>34</v>
      </c>
      <c r="S5" s="3" t="s">
        <v>36</v>
      </c>
      <c r="T5" s="3" t="s">
        <v>35</v>
      </c>
      <c r="U5" s="3"/>
      <c r="V5" s="3" t="s">
        <v>33</v>
      </c>
      <c r="W5" s="5">
        <v>209247.17</v>
      </c>
      <c r="X5" s="5">
        <v>110901</v>
      </c>
      <c r="Y5" s="5">
        <v>68842.320000000007</v>
      </c>
      <c r="Z5" s="5">
        <v>29503.85</v>
      </c>
      <c r="AA5" s="3">
        <v>0</v>
      </c>
    </row>
    <row r="6" spans="1:27" ht="28.5">
      <c r="A6" s="3" t="s">
        <v>28</v>
      </c>
      <c r="B6" s="3" t="s">
        <v>29</v>
      </c>
      <c r="C6" s="3" t="s">
        <v>41</v>
      </c>
      <c r="D6" s="3" t="s">
        <v>41</v>
      </c>
      <c r="E6" s="3" t="s">
        <v>30</v>
      </c>
      <c r="F6" s="3" t="s">
        <v>30</v>
      </c>
      <c r="G6" s="3">
        <v>2017</v>
      </c>
      <c r="H6" s="3" t="str">
        <f>CONCATENATE("54270353052")</f>
        <v>54270353052</v>
      </c>
      <c r="I6" s="3" t="s">
        <v>31</v>
      </c>
      <c r="J6" s="3" t="s">
        <v>32</v>
      </c>
      <c r="K6" s="3" t="str">
        <f t="shared" si="0"/>
        <v/>
      </c>
      <c r="L6" s="3" t="str">
        <f>CONCATENATE("19 19.2 6b")</f>
        <v>19 19.2 6b</v>
      </c>
      <c r="M6" s="3" t="str">
        <f>CONCATENATE("80001030446")</f>
        <v>80001030446</v>
      </c>
      <c r="N6" s="3" t="s">
        <v>47</v>
      </c>
      <c r="O6" s="3" t="s">
        <v>33</v>
      </c>
      <c r="P6" s="3" t="s">
        <v>48</v>
      </c>
      <c r="Q6" s="4">
        <v>45992</v>
      </c>
      <c r="R6" s="3" t="s">
        <v>34</v>
      </c>
      <c r="S6" s="3" t="s">
        <v>36</v>
      </c>
      <c r="T6" s="3" t="s">
        <v>35</v>
      </c>
      <c r="U6" s="3"/>
      <c r="V6" s="3" t="s">
        <v>33</v>
      </c>
      <c r="W6" s="5">
        <v>52441.59</v>
      </c>
      <c r="X6" s="5">
        <v>27794.04</v>
      </c>
      <c r="Y6" s="5">
        <v>17253.28</v>
      </c>
      <c r="Z6" s="5">
        <v>7394.27</v>
      </c>
      <c r="AA6" s="3">
        <v>0</v>
      </c>
    </row>
    <row r="7" spans="1:27" ht="28.5">
      <c r="A7" s="3" t="s">
        <v>28</v>
      </c>
      <c r="B7" s="3" t="s">
        <v>29</v>
      </c>
      <c r="C7" s="3" t="s">
        <v>41</v>
      </c>
      <c r="D7" s="3" t="s">
        <v>44</v>
      </c>
      <c r="E7" s="3" t="s">
        <v>30</v>
      </c>
      <c r="F7" s="3" t="s">
        <v>30</v>
      </c>
      <c r="G7" s="3">
        <v>2017</v>
      </c>
      <c r="H7" s="3" t="str">
        <f>CONCATENATE("54270356410")</f>
        <v>54270356410</v>
      </c>
      <c r="I7" s="3" t="s">
        <v>31</v>
      </c>
      <c r="J7" s="3" t="s">
        <v>32</v>
      </c>
      <c r="K7" s="3" t="str">
        <f t="shared" si="0"/>
        <v/>
      </c>
      <c r="L7" s="3" t="str">
        <f>CONCATENATE("8 8.3 5e")</f>
        <v>8 8.3 5e</v>
      </c>
      <c r="M7" s="3" t="str">
        <f>CONCATENATE("00170370415")</f>
        <v>00170370415</v>
      </c>
      <c r="N7" s="3" t="s">
        <v>49</v>
      </c>
      <c r="O7" s="3" t="s">
        <v>33</v>
      </c>
      <c r="P7" s="3" t="s">
        <v>50</v>
      </c>
      <c r="Q7" s="4">
        <v>45992</v>
      </c>
      <c r="R7" s="3" t="s">
        <v>34</v>
      </c>
      <c r="S7" s="3" t="s">
        <v>36</v>
      </c>
      <c r="T7" s="3" t="s">
        <v>35</v>
      </c>
      <c r="U7" s="3"/>
      <c r="V7" s="3" t="s">
        <v>33</v>
      </c>
      <c r="W7" s="5">
        <v>204704.82</v>
      </c>
      <c r="X7" s="5">
        <v>108493.55</v>
      </c>
      <c r="Y7" s="5">
        <v>67347.89</v>
      </c>
      <c r="Z7" s="5">
        <v>28863.38</v>
      </c>
      <c r="AA7" s="3">
        <v>0</v>
      </c>
    </row>
    <row r="8" spans="1:27" ht="28.5">
      <c r="A8" s="3" t="s">
        <v>28</v>
      </c>
      <c r="B8" s="3" t="s">
        <v>29</v>
      </c>
      <c r="C8" s="3" t="s">
        <v>41</v>
      </c>
      <c r="D8" s="3" t="s">
        <v>51</v>
      </c>
      <c r="E8" s="3" t="s">
        <v>30</v>
      </c>
      <c r="F8" s="3" t="s">
        <v>30</v>
      </c>
      <c r="G8" s="3">
        <v>2017</v>
      </c>
      <c r="H8" s="3" t="str">
        <f>CONCATENATE("54270358200")</f>
        <v>54270358200</v>
      </c>
      <c r="I8" s="3" t="s">
        <v>37</v>
      </c>
      <c r="J8" s="3" t="s">
        <v>32</v>
      </c>
      <c r="K8" s="3" t="str">
        <f t="shared" si="0"/>
        <v/>
      </c>
      <c r="L8" s="3" t="str">
        <f>CONCATENATE("2 2.1 2a")</f>
        <v>2 2.1 2a</v>
      </c>
      <c r="M8" s="3" t="str">
        <f>CONCATENATE("02526690447")</f>
        <v>02526690447</v>
      </c>
      <c r="N8" s="3" t="s">
        <v>52</v>
      </c>
      <c r="O8" s="3" t="s">
        <v>33</v>
      </c>
      <c r="P8" s="3" t="s">
        <v>53</v>
      </c>
      <c r="Q8" s="4">
        <v>45992</v>
      </c>
      <c r="R8" s="3" t="s">
        <v>34</v>
      </c>
      <c r="S8" s="3" t="s">
        <v>36</v>
      </c>
      <c r="T8" s="3" t="s">
        <v>35</v>
      </c>
      <c r="U8" s="3"/>
      <c r="V8" s="3" t="s">
        <v>33</v>
      </c>
      <c r="W8" s="5">
        <v>16495.38</v>
      </c>
      <c r="X8" s="5">
        <v>8742.5499999999993</v>
      </c>
      <c r="Y8" s="5">
        <v>5426.98</v>
      </c>
      <c r="Z8" s="5">
        <v>2325.85</v>
      </c>
      <c r="AA8" s="3">
        <v>0</v>
      </c>
    </row>
    <row r="9" spans="1:27" ht="28.5">
      <c r="A9" s="3" t="s">
        <v>28</v>
      </c>
      <c r="B9" s="3" t="s">
        <v>29</v>
      </c>
      <c r="C9" s="3" t="s">
        <v>41</v>
      </c>
      <c r="D9" s="3" t="s">
        <v>51</v>
      </c>
      <c r="E9" s="3" t="s">
        <v>30</v>
      </c>
      <c r="F9" s="3" t="s">
        <v>30</v>
      </c>
      <c r="G9" s="3">
        <v>2017</v>
      </c>
      <c r="H9" s="3" t="str">
        <f>CONCATENATE("54270358192")</f>
        <v>54270358192</v>
      </c>
      <c r="I9" s="3" t="s">
        <v>37</v>
      </c>
      <c r="J9" s="3" t="s">
        <v>32</v>
      </c>
      <c r="K9" s="3" t="str">
        <f t="shared" si="0"/>
        <v/>
      </c>
      <c r="L9" s="3" t="str">
        <f>CONCATENATE("2 2.1 2a")</f>
        <v>2 2.1 2a</v>
      </c>
      <c r="M9" s="3" t="str">
        <f>CONCATENATE("02526690447")</f>
        <v>02526690447</v>
      </c>
      <c r="N9" s="3" t="s">
        <v>52</v>
      </c>
      <c r="O9" s="3" t="s">
        <v>33</v>
      </c>
      <c r="P9" s="3" t="s">
        <v>53</v>
      </c>
      <c r="Q9" s="4">
        <v>45992</v>
      </c>
      <c r="R9" s="3" t="s">
        <v>34</v>
      </c>
      <c r="S9" s="3" t="s">
        <v>36</v>
      </c>
      <c r="T9" s="3" t="s">
        <v>35</v>
      </c>
      <c r="U9" s="3"/>
      <c r="V9" s="3" t="s">
        <v>33</v>
      </c>
      <c r="W9" s="5">
        <v>74979</v>
      </c>
      <c r="X9" s="5">
        <v>39738.870000000003</v>
      </c>
      <c r="Y9" s="5">
        <v>24668.09</v>
      </c>
      <c r="Z9" s="5">
        <v>10572.04</v>
      </c>
      <c r="AA9" s="3">
        <v>0</v>
      </c>
    </row>
    <row r="10" spans="1:27" ht="28.5">
      <c r="A10" s="3" t="s">
        <v>28</v>
      </c>
      <c r="B10" s="3" t="s">
        <v>29</v>
      </c>
      <c r="C10" s="3" t="s">
        <v>41</v>
      </c>
      <c r="D10" s="3" t="s">
        <v>51</v>
      </c>
      <c r="E10" s="3" t="s">
        <v>38</v>
      </c>
      <c r="F10" s="3" t="s">
        <v>54</v>
      </c>
      <c r="G10" s="3">
        <v>2017</v>
      </c>
      <c r="H10" s="3" t="str">
        <f>CONCATENATE("54270358176")</f>
        <v>54270358176</v>
      </c>
      <c r="I10" s="3" t="s">
        <v>31</v>
      </c>
      <c r="J10" s="3" t="s">
        <v>32</v>
      </c>
      <c r="K10" s="3" t="str">
        <f t="shared" si="0"/>
        <v/>
      </c>
      <c r="L10" s="3" t="str">
        <f>CONCATENATE("2 2.1 2a")</f>
        <v>2 2.1 2a</v>
      </c>
      <c r="M10" s="3" t="str">
        <f>CONCATENATE("02859620425")</f>
        <v>02859620425</v>
      </c>
      <c r="N10" s="3" t="s">
        <v>55</v>
      </c>
      <c r="O10" s="3" t="s">
        <v>33</v>
      </c>
      <c r="P10" s="3" t="s">
        <v>53</v>
      </c>
      <c r="Q10" s="4">
        <v>45992</v>
      </c>
      <c r="R10" s="3" t="s">
        <v>34</v>
      </c>
      <c r="S10" s="3" t="s">
        <v>36</v>
      </c>
      <c r="T10" s="3" t="s">
        <v>35</v>
      </c>
      <c r="U10" s="3"/>
      <c r="V10" s="3" t="s">
        <v>33</v>
      </c>
      <c r="W10" s="5">
        <v>35442</v>
      </c>
      <c r="X10" s="5">
        <v>18784.259999999998</v>
      </c>
      <c r="Y10" s="5">
        <v>11660.42</v>
      </c>
      <c r="Z10" s="5">
        <v>4997.32</v>
      </c>
      <c r="AA10" s="3">
        <v>0</v>
      </c>
    </row>
    <row r="11" spans="1:27" ht="28.5">
      <c r="A11" s="3" t="s">
        <v>28</v>
      </c>
      <c r="B11" s="3" t="s">
        <v>29</v>
      </c>
      <c r="C11" s="3" t="s">
        <v>41</v>
      </c>
      <c r="D11" s="3" t="s">
        <v>56</v>
      </c>
      <c r="E11" s="3" t="s">
        <v>30</v>
      </c>
      <c r="F11" s="3" t="s">
        <v>30</v>
      </c>
      <c r="G11" s="3">
        <v>2017</v>
      </c>
      <c r="H11" s="3" t="str">
        <f>CONCATENATE("54270354316")</f>
        <v>54270354316</v>
      </c>
      <c r="I11" s="3" t="s">
        <v>31</v>
      </c>
      <c r="J11" s="3" t="s">
        <v>32</v>
      </c>
      <c r="K11" s="3" t="str">
        <f t="shared" si="0"/>
        <v/>
      </c>
      <c r="L11" s="3" t="str">
        <f>CONCATENATE("6 6.1 2b")</f>
        <v>6 6.1 2b</v>
      </c>
      <c r="M11" s="3" t="str">
        <f>CONCATENATE("02469110445")</f>
        <v>02469110445</v>
      </c>
      <c r="N11" s="3" t="s">
        <v>57</v>
      </c>
      <c r="O11" s="3" t="s">
        <v>33</v>
      </c>
      <c r="P11" s="3" t="s">
        <v>58</v>
      </c>
      <c r="Q11" s="4">
        <v>45992</v>
      </c>
      <c r="R11" s="3" t="s">
        <v>34</v>
      </c>
      <c r="S11" s="3" t="s">
        <v>36</v>
      </c>
      <c r="T11" s="3" t="s">
        <v>35</v>
      </c>
      <c r="U11" s="3"/>
      <c r="V11" s="3" t="s">
        <v>33</v>
      </c>
      <c r="W11" s="5">
        <v>10500</v>
      </c>
      <c r="X11" s="5">
        <v>5565</v>
      </c>
      <c r="Y11" s="5">
        <v>3454.5</v>
      </c>
      <c r="Z11" s="5">
        <v>1480.5</v>
      </c>
      <c r="AA11" s="3">
        <v>0</v>
      </c>
    </row>
    <row r="12" spans="1:27" ht="28.5">
      <c r="A12" s="3" t="s">
        <v>28</v>
      </c>
      <c r="B12" s="3" t="s">
        <v>29</v>
      </c>
      <c r="C12" s="3" t="s">
        <v>41</v>
      </c>
      <c r="D12" s="3" t="s">
        <v>59</v>
      </c>
      <c r="E12" s="3" t="s">
        <v>30</v>
      </c>
      <c r="F12" s="3" t="s">
        <v>30</v>
      </c>
      <c r="G12" s="3">
        <v>2017</v>
      </c>
      <c r="H12" s="3" t="str">
        <f>CONCATENATE("54270357111")</f>
        <v>54270357111</v>
      </c>
      <c r="I12" s="3" t="s">
        <v>31</v>
      </c>
      <c r="J12" s="3" t="s">
        <v>32</v>
      </c>
      <c r="K12" s="3" t="str">
        <f t="shared" si="0"/>
        <v/>
      </c>
      <c r="L12" s="3" t="str">
        <f>CONCATENATE("4 4.4 4c")</f>
        <v>4 4.4 4c</v>
      </c>
      <c r="M12" s="3" t="str">
        <f>CONCATENATE("00862220431")</f>
        <v>00862220431</v>
      </c>
      <c r="N12" s="3" t="s">
        <v>60</v>
      </c>
      <c r="O12" s="3" t="s">
        <v>33</v>
      </c>
      <c r="P12" s="3" t="s">
        <v>61</v>
      </c>
      <c r="Q12" s="4">
        <v>45992</v>
      </c>
      <c r="R12" s="3" t="s">
        <v>34</v>
      </c>
      <c r="S12" s="3" t="s">
        <v>36</v>
      </c>
      <c r="T12" s="3" t="s">
        <v>35</v>
      </c>
      <c r="U12" s="3"/>
      <c r="V12" s="3" t="s">
        <v>33</v>
      </c>
      <c r="W12" s="5">
        <v>5670</v>
      </c>
      <c r="X12" s="5">
        <v>3005.1</v>
      </c>
      <c r="Y12" s="5">
        <v>1865.43</v>
      </c>
      <c r="Z12" s="3">
        <v>799.47</v>
      </c>
      <c r="AA12" s="3">
        <v>0</v>
      </c>
    </row>
    <row r="13" spans="1:27" ht="28.5">
      <c r="A13" s="3" t="s">
        <v>28</v>
      </c>
      <c r="B13" s="3" t="s">
        <v>29</v>
      </c>
      <c r="C13" s="3" t="s">
        <v>41</v>
      </c>
      <c r="D13" s="3" t="s">
        <v>44</v>
      </c>
      <c r="E13" s="3" t="s">
        <v>30</v>
      </c>
      <c r="F13" s="3" t="s">
        <v>30</v>
      </c>
      <c r="G13" s="3">
        <v>2017</v>
      </c>
      <c r="H13" s="3" t="str">
        <f>CONCATENATE("54270357046")</f>
        <v>54270357046</v>
      </c>
      <c r="I13" s="3" t="s">
        <v>31</v>
      </c>
      <c r="J13" s="3" t="s">
        <v>32</v>
      </c>
      <c r="K13" s="3" t="str">
        <f t="shared" si="0"/>
        <v/>
      </c>
      <c r="L13" s="3" t="str">
        <f>CONCATENATE("19 19.3 6b")</f>
        <v>19 19.3 6b</v>
      </c>
      <c r="M13" s="3" t="str">
        <f>CONCATENATE("01377860414")</f>
        <v>01377860414</v>
      </c>
      <c r="N13" s="3" t="s">
        <v>62</v>
      </c>
      <c r="O13" s="3" t="s">
        <v>33</v>
      </c>
      <c r="P13" s="3" t="s">
        <v>63</v>
      </c>
      <c r="Q13" s="4">
        <v>45992</v>
      </c>
      <c r="R13" s="3" t="s">
        <v>34</v>
      </c>
      <c r="S13" s="3" t="s">
        <v>36</v>
      </c>
      <c r="T13" s="3" t="s">
        <v>35</v>
      </c>
      <c r="U13" s="3"/>
      <c r="V13" s="3" t="s">
        <v>33</v>
      </c>
      <c r="W13" s="5">
        <v>39536.129999999997</v>
      </c>
      <c r="X13" s="5">
        <v>20954.150000000001</v>
      </c>
      <c r="Y13" s="5">
        <v>13007.39</v>
      </c>
      <c r="Z13" s="5">
        <v>5574.59</v>
      </c>
      <c r="AA13" s="3">
        <v>0</v>
      </c>
    </row>
    <row r="14" spans="1:27" ht="28.5">
      <c r="A14" s="3" t="s">
        <v>28</v>
      </c>
      <c r="B14" s="3" t="s">
        <v>29</v>
      </c>
      <c r="C14" s="3" t="s">
        <v>41</v>
      </c>
      <c r="D14" s="3" t="s">
        <v>41</v>
      </c>
      <c r="E14" s="3" t="s">
        <v>30</v>
      </c>
      <c r="F14" s="3" t="s">
        <v>30</v>
      </c>
      <c r="G14" s="3">
        <v>2017</v>
      </c>
      <c r="H14" s="3" t="str">
        <f>CONCATENATE("54270358846")</f>
        <v>54270358846</v>
      </c>
      <c r="I14" s="3" t="s">
        <v>31</v>
      </c>
      <c r="J14" s="3" t="s">
        <v>32</v>
      </c>
      <c r="K14" s="3" t="str">
        <f t="shared" si="0"/>
        <v/>
      </c>
      <c r="L14" s="3" t="str">
        <f>CONCATENATE("19 19.2 6b")</f>
        <v>19 19.2 6b</v>
      </c>
      <c r="M14" s="3" t="str">
        <f>CONCATENATE("81001630417")</f>
        <v>81001630417</v>
      </c>
      <c r="N14" s="3" t="s">
        <v>64</v>
      </c>
      <c r="O14" s="3" t="s">
        <v>33</v>
      </c>
      <c r="P14" s="3" t="s">
        <v>65</v>
      </c>
      <c r="Q14" s="4">
        <v>45993</v>
      </c>
      <c r="R14" s="3" t="s">
        <v>34</v>
      </c>
      <c r="S14" s="3" t="s">
        <v>36</v>
      </c>
      <c r="T14" s="3" t="s">
        <v>35</v>
      </c>
      <c r="U14" s="3"/>
      <c r="V14" s="3" t="s">
        <v>33</v>
      </c>
      <c r="W14" s="5">
        <v>23908.18</v>
      </c>
      <c r="X14" s="5">
        <v>12671.34</v>
      </c>
      <c r="Y14" s="5">
        <v>7865.79</v>
      </c>
      <c r="Z14" s="5">
        <v>3371.05</v>
      </c>
      <c r="AA14" s="3">
        <v>0</v>
      </c>
    </row>
    <row r="15" spans="1:27" ht="28.5">
      <c r="A15" s="3" t="s">
        <v>28</v>
      </c>
      <c r="B15" s="3" t="s">
        <v>29</v>
      </c>
      <c r="C15" s="3" t="s">
        <v>41</v>
      </c>
      <c r="D15" s="3" t="s">
        <v>41</v>
      </c>
      <c r="E15" s="3" t="s">
        <v>30</v>
      </c>
      <c r="F15" s="3" t="s">
        <v>30</v>
      </c>
      <c r="G15" s="3">
        <v>2017</v>
      </c>
      <c r="H15" s="3" t="str">
        <f>CONCATENATE("54270112318")</f>
        <v>54270112318</v>
      </c>
      <c r="I15" s="3" t="s">
        <v>31</v>
      </c>
      <c r="J15" s="3" t="s">
        <v>32</v>
      </c>
      <c r="K15" s="3" t="str">
        <f t="shared" ref="K15:K22" si="1">CONCATENATE("")</f>
        <v/>
      </c>
      <c r="L15" s="3" t="str">
        <f>CONCATENATE("19 19.2 6b")</f>
        <v>19 19.2 6b</v>
      </c>
      <c r="M15" s="3" t="str">
        <f>CONCATENATE("00357080449")</f>
        <v>00357080449</v>
      </c>
      <c r="N15" s="3" t="s">
        <v>66</v>
      </c>
      <c r="O15" s="3" t="s">
        <v>33</v>
      </c>
      <c r="P15" s="3" t="s">
        <v>67</v>
      </c>
      <c r="Q15" s="4">
        <v>45992</v>
      </c>
      <c r="R15" s="3" t="s">
        <v>34</v>
      </c>
      <c r="S15" s="3" t="s">
        <v>36</v>
      </c>
      <c r="T15" s="3" t="s">
        <v>35</v>
      </c>
      <c r="U15" s="3"/>
      <c r="V15" s="3" t="s">
        <v>33</v>
      </c>
      <c r="W15" s="5">
        <v>41682.720000000001</v>
      </c>
      <c r="X15" s="5">
        <v>22091.84</v>
      </c>
      <c r="Y15" s="5">
        <v>13713.61</v>
      </c>
      <c r="Z15" s="5">
        <v>5877.27</v>
      </c>
      <c r="AA15" s="3">
        <v>0</v>
      </c>
    </row>
    <row r="16" spans="1:27" ht="28.5">
      <c r="A16" s="3" t="s">
        <v>28</v>
      </c>
      <c r="B16" s="3" t="s">
        <v>29</v>
      </c>
      <c r="C16" s="3" t="s">
        <v>41</v>
      </c>
      <c r="D16" s="3" t="s">
        <v>41</v>
      </c>
      <c r="E16" s="3" t="s">
        <v>30</v>
      </c>
      <c r="F16" s="3" t="s">
        <v>30</v>
      </c>
      <c r="G16" s="3">
        <v>2017</v>
      </c>
      <c r="H16" s="3" t="str">
        <f>CONCATENATE("54270358861")</f>
        <v>54270358861</v>
      </c>
      <c r="I16" s="3" t="s">
        <v>31</v>
      </c>
      <c r="J16" s="3" t="s">
        <v>32</v>
      </c>
      <c r="K16" s="3" t="str">
        <f t="shared" si="1"/>
        <v/>
      </c>
      <c r="L16" s="3" t="str">
        <f>CONCATENATE("19 19.2 6b")</f>
        <v>19 19.2 6b</v>
      </c>
      <c r="M16" s="3" t="str">
        <f>CONCATENATE("81001610419")</f>
        <v>81001610419</v>
      </c>
      <c r="N16" s="3" t="s">
        <v>68</v>
      </c>
      <c r="O16" s="3" t="s">
        <v>33</v>
      </c>
      <c r="P16" s="3" t="s">
        <v>69</v>
      </c>
      <c r="Q16" s="4">
        <v>45993</v>
      </c>
      <c r="R16" s="3" t="s">
        <v>34</v>
      </c>
      <c r="S16" s="3" t="s">
        <v>36</v>
      </c>
      <c r="T16" s="3" t="s">
        <v>35</v>
      </c>
      <c r="U16" s="3"/>
      <c r="V16" s="3" t="s">
        <v>33</v>
      </c>
      <c r="W16" s="5">
        <v>23789.919999999998</v>
      </c>
      <c r="X16" s="5">
        <v>12608.66</v>
      </c>
      <c r="Y16" s="5">
        <v>7826.88</v>
      </c>
      <c r="Z16" s="5">
        <v>3354.38</v>
      </c>
      <c r="AA16" s="3">
        <v>0</v>
      </c>
    </row>
    <row r="17" spans="1:27" ht="28.5">
      <c r="A17" s="3" t="s">
        <v>28</v>
      </c>
      <c r="B17" s="3" t="s">
        <v>29</v>
      </c>
      <c r="C17" s="3" t="s">
        <v>41</v>
      </c>
      <c r="D17" s="3" t="s">
        <v>41</v>
      </c>
      <c r="E17" s="3" t="s">
        <v>30</v>
      </c>
      <c r="F17" s="3" t="s">
        <v>30</v>
      </c>
      <c r="G17" s="3">
        <v>2017</v>
      </c>
      <c r="H17" s="3" t="str">
        <f>CONCATENATE("54270358838")</f>
        <v>54270358838</v>
      </c>
      <c r="I17" s="3" t="s">
        <v>31</v>
      </c>
      <c r="J17" s="3" t="s">
        <v>32</v>
      </c>
      <c r="K17" s="3" t="str">
        <f t="shared" si="1"/>
        <v/>
      </c>
      <c r="L17" s="3" t="str">
        <f>CONCATENATE("19 19.2 6b")</f>
        <v>19 19.2 6b</v>
      </c>
      <c r="M17" s="3" t="str">
        <f>CONCATENATE("81001790419")</f>
        <v>81001790419</v>
      </c>
      <c r="N17" s="3" t="s">
        <v>70</v>
      </c>
      <c r="O17" s="3" t="s">
        <v>33</v>
      </c>
      <c r="P17" s="3" t="s">
        <v>69</v>
      </c>
      <c r="Q17" s="4">
        <v>45993</v>
      </c>
      <c r="R17" s="3" t="s">
        <v>34</v>
      </c>
      <c r="S17" s="3" t="s">
        <v>36</v>
      </c>
      <c r="T17" s="3" t="s">
        <v>35</v>
      </c>
      <c r="U17" s="3"/>
      <c r="V17" s="3" t="s">
        <v>33</v>
      </c>
      <c r="W17" s="5">
        <v>24262.66</v>
      </c>
      <c r="X17" s="5">
        <v>12859.21</v>
      </c>
      <c r="Y17" s="5">
        <v>7982.42</v>
      </c>
      <c r="Z17" s="5">
        <v>3421.03</v>
      </c>
      <c r="AA17" s="3">
        <v>0</v>
      </c>
    </row>
    <row r="18" spans="1:27" ht="46.5">
      <c r="A18" s="3" t="s">
        <v>28</v>
      </c>
      <c r="B18" s="3" t="s">
        <v>29</v>
      </c>
      <c r="C18" s="3" t="s">
        <v>41</v>
      </c>
      <c r="D18" s="3" t="s">
        <v>56</v>
      </c>
      <c r="E18" s="3" t="s">
        <v>30</v>
      </c>
      <c r="F18" s="3" t="s">
        <v>30</v>
      </c>
      <c r="G18" s="3">
        <v>2017</v>
      </c>
      <c r="H18" s="3" t="str">
        <f>CONCATENATE("54270357053")</f>
        <v>54270357053</v>
      </c>
      <c r="I18" s="3" t="s">
        <v>31</v>
      </c>
      <c r="J18" s="3" t="s">
        <v>32</v>
      </c>
      <c r="K18" s="3" t="str">
        <f t="shared" si="1"/>
        <v/>
      </c>
      <c r="L18" s="3" t="str">
        <f>CONCATENATE("6 6.4 2a")</f>
        <v>6 6.4 2a</v>
      </c>
      <c r="M18" s="3" t="str">
        <f>CONCATENATE("BRTNDA80L69D542W")</f>
        <v>BRTNDA80L69D542W</v>
      </c>
      <c r="N18" s="3" t="s">
        <v>71</v>
      </c>
      <c r="O18" s="3" t="s">
        <v>33</v>
      </c>
      <c r="P18" s="3" t="s">
        <v>72</v>
      </c>
      <c r="Q18" s="4">
        <v>45992</v>
      </c>
      <c r="R18" s="3" t="s">
        <v>34</v>
      </c>
      <c r="S18" s="3" t="s">
        <v>36</v>
      </c>
      <c r="T18" s="3" t="s">
        <v>35</v>
      </c>
      <c r="U18" s="3"/>
      <c r="V18" s="3" t="s">
        <v>33</v>
      </c>
      <c r="W18" s="5">
        <v>20929.650000000001</v>
      </c>
      <c r="X18" s="5">
        <v>11092.71</v>
      </c>
      <c r="Y18" s="5">
        <v>6885.85</v>
      </c>
      <c r="Z18" s="5">
        <v>2951.09</v>
      </c>
      <c r="AA18" s="3">
        <v>0</v>
      </c>
    </row>
    <row r="19" spans="1:27" ht="28.5">
      <c r="A19" s="3" t="s">
        <v>28</v>
      </c>
      <c r="B19" s="3" t="s">
        <v>29</v>
      </c>
      <c r="C19" s="3" t="s">
        <v>41</v>
      </c>
      <c r="D19" s="3" t="s">
        <v>41</v>
      </c>
      <c r="E19" s="3" t="s">
        <v>30</v>
      </c>
      <c r="F19" s="3" t="s">
        <v>30</v>
      </c>
      <c r="G19" s="3">
        <v>2017</v>
      </c>
      <c r="H19" s="3" t="str">
        <f>CONCATENATE("54270356600")</f>
        <v>54270356600</v>
      </c>
      <c r="I19" s="3" t="s">
        <v>31</v>
      </c>
      <c r="J19" s="3" t="s">
        <v>32</v>
      </c>
      <c r="K19" s="3" t="str">
        <f t="shared" si="1"/>
        <v/>
      </c>
      <c r="L19" s="3" t="str">
        <f>CONCATENATE("19 19.2 6b")</f>
        <v>19 19.2 6b</v>
      </c>
      <c r="M19" s="3" t="str">
        <f>CONCATENATE("02624260416")</f>
        <v>02624260416</v>
      </c>
      <c r="N19" s="3" t="s">
        <v>73</v>
      </c>
      <c r="O19" s="3" t="s">
        <v>33</v>
      </c>
      <c r="P19" s="3" t="s">
        <v>74</v>
      </c>
      <c r="Q19" s="4">
        <v>45992</v>
      </c>
      <c r="R19" s="3" t="s">
        <v>34</v>
      </c>
      <c r="S19" s="3" t="s">
        <v>36</v>
      </c>
      <c r="T19" s="3" t="s">
        <v>35</v>
      </c>
      <c r="U19" s="3"/>
      <c r="V19" s="3" t="s">
        <v>33</v>
      </c>
      <c r="W19" s="5">
        <v>62799.45</v>
      </c>
      <c r="X19" s="5">
        <v>33283.71</v>
      </c>
      <c r="Y19" s="5">
        <v>20661.02</v>
      </c>
      <c r="Z19" s="5">
        <v>8854.7199999999993</v>
      </c>
      <c r="AA19" s="3">
        <v>0</v>
      </c>
    </row>
    <row r="20" spans="1:27" ht="28.5">
      <c r="A20" s="3" t="s">
        <v>28</v>
      </c>
      <c r="B20" s="3" t="s">
        <v>29</v>
      </c>
      <c r="C20" s="3" t="s">
        <v>41</v>
      </c>
      <c r="D20" s="3" t="s">
        <v>51</v>
      </c>
      <c r="E20" s="3" t="s">
        <v>30</v>
      </c>
      <c r="F20" s="3" t="s">
        <v>30</v>
      </c>
      <c r="G20" s="3">
        <v>2017</v>
      </c>
      <c r="H20" s="3" t="str">
        <f>CONCATENATE("54270354191")</f>
        <v>54270354191</v>
      </c>
      <c r="I20" s="3" t="s">
        <v>31</v>
      </c>
      <c r="J20" s="3" t="s">
        <v>32</v>
      </c>
      <c r="K20" s="3" t="str">
        <f t="shared" si="1"/>
        <v/>
      </c>
      <c r="L20" s="3" t="str">
        <f>CONCATENATE("2 2.1 2a")</f>
        <v>2 2.1 2a</v>
      </c>
      <c r="M20" s="3" t="str">
        <f>CONCATENATE("02526690447")</f>
        <v>02526690447</v>
      </c>
      <c r="N20" s="3" t="s">
        <v>52</v>
      </c>
      <c r="O20" s="3" t="s">
        <v>33</v>
      </c>
      <c r="P20" s="3" t="s">
        <v>75</v>
      </c>
      <c r="Q20" s="4">
        <v>45989</v>
      </c>
      <c r="R20" s="3" t="s">
        <v>34</v>
      </c>
      <c r="S20" s="3" t="s">
        <v>36</v>
      </c>
      <c r="T20" s="3" t="s">
        <v>35</v>
      </c>
      <c r="U20" s="3"/>
      <c r="V20" s="3" t="s">
        <v>33</v>
      </c>
      <c r="W20" s="5">
        <v>13496.22</v>
      </c>
      <c r="X20" s="5">
        <v>7153</v>
      </c>
      <c r="Y20" s="5">
        <v>4440.26</v>
      </c>
      <c r="Z20" s="5">
        <v>1902.96</v>
      </c>
      <c r="AA20" s="3">
        <v>0</v>
      </c>
    </row>
    <row r="21" spans="1:27" ht="28.5">
      <c r="A21" s="3" t="s">
        <v>28</v>
      </c>
      <c r="B21" s="3" t="s">
        <v>29</v>
      </c>
      <c r="C21" s="3" t="s">
        <v>41</v>
      </c>
      <c r="D21" s="3" t="s">
        <v>51</v>
      </c>
      <c r="E21" s="3" t="s">
        <v>38</v>
      </c>
      <c r="F21" s="3" t="s">
        <v>54</v>
      </c>
      <c r="G21" s="3">
        <v>2017</v>
      </c>
      <c r="H21" s="3" t="str">
        <f>CONCATENATE("54270354209")</f>
        <v>54270354209</v>
      </c>
      <c r="I21" s="3" t="s">
        <v>31</v>
      </c>
      <c r="J21" s="3" t="s">
        <v>32</v>
      </c>
      <c r="K21" s="3" t="str">
        <f t="shared" si="1"/>
        <v/>
      </c>
      <c r="L21" s="3" t="str">
        <f>CONCATENATE("2 2.1 2a")</f>
        <v>2 2.1 2a</v>
      </c>
      <c r="M21" s="3" t="str">
        <f>CONCATENATE("02859620425")</f>
        <v>02859620425</v>
      </c>
      <c r="N21" s="3" t="s">
        <v>55</v>
      </c>
      <c r="O21" s="3" t="s">
        <v>33</v>
      </c>
      <c r="P21" s="3" t="s">
        <v>75</v>
      </c>
      <c r="Q21" s="4">
        <v>45989</v>
      </c>
      <c r="R21" s="3" t="s">
        <v>34</v>
      </c>
      <c r="S21" s="3" t="s">
        <v>36</v>
      </c>
      <c r="T21" s="3" t="s">
        <v>35</v>
      </c>
      <c r="U21" s="3"/>
      <c r="V21" s="3" t="s">
        <v>33</v>
      </c>
      <c r="W21" s="5">
        <v>22194</v>
      </c>
      <c r="X21" s="5">
        <v>11762.82</v>
      </c>
      <c r="Y21" s="5">
        <v>7301.83</v>
      </c>
      <c r="Z21" s="5">
        <v>3129.35</v>
      </c>
      <c r="AA21" s="3">
        <v>0</v>
      </c>
    </row>
    <row r="22" spans="1:27" ht="28.5">
      <c r="A22" s="3" t="s">
        <v>28</v>
      </c>
      <c r="B22" s="3" t="s">
        <v>29</v>
      </c>
      <c r="C22" s="3" t="s">
        <v>41</v>
      </c>
      <c r="D22" s="3" t="s">
        <v>51</v>
      </c>
      <c r="E22" s="3" t="s">
        <v>30</v>
      </c>
      <c r="F22" s="3" t="s">
        <v>30</v>
      </c>
      <c r="G22" s="3">
        <v>2017</v>
      </c>
      <c r="H22" s="3" t="str">
        <f>CONCATENATE("54270354217")</f>
        <v>54270354217</v>
      </c>
      <c r="I22" s="3" t="s">
        <v>31</v>
      </c>
      <c r="J22" s="3" t="s">
        <v>32</v>
      </c>
      <c r="K22" s="3" t="str">
        <f t="shared" si="1"/>
        <v/>
      </c>
      <c r="L22" s="3" t="str">
        <f>CONCATENATE("2 2.1 2a")</f>
        <v>2 2.1 2a</v>
      </c>
      <c r="M22" s="3" t="str">
        <f>CONCATENATE("02884540424")</f>
        <v>02884540424</v>
      </c>
      <c r="N22" s="3" t="s">
        <v>76</v>
      </c>
      <c r="O22" s="3" t="s">
        <v>33</v>
      </c>
      <c r="P22" s="3" t="s">
        <v>75</v>
      </c>
      <c r="Q22" s="4">
        <v>45989</v>
      </c>
      <c r="R22" s="3" t="s">
        <v>34</v>
      </c>
      <c r="S22" s="3" t="s">
        <v>36</v>
      </c>
      <c r="T22" s="3" t="s">
        <v>35</v>
      </c>
      <c r="U22" s="3"/>
      <c r="V22" s="3" t="s">
        <v>33</v>
      </c>
      <c r="W22" s="5">
        <v>178543.17</v>
      </c>
      <c r="X22" s="5">
        <v>94627.88</v>
      </c>
      <c r="Y22" s="5">
        <v>58740.7</v>
      </c>
      <c r="Z22" s="5">
        <v>25174.59</v>
      </c>
      <c r="AA22" s="3">
        <v>0</v>
      </c>
    </row>
    <row r="23" spans="1:27" ht="28.5">
      <c r="A23" s="3" t="s">
        <v>28</v>
      </c>
      <c r="B23" s="3" t="s">
        <v>29</v>
      </c>
      <c r="C23" s="3" t="s">
        <v>41</v>
      </c>
      <c r="D23" s="3" t="s">
        <v>41</v>
      </c>
      <c r="E23" s="3" t="s">
        <v>30</v>
      </c>
      <c r="F23" s="3" t="s">
        <v>30</v>
      </c>
      <c r="G23" s="3">
        <v>2017</v>
      </c>
      <c r="H23" s="3" t="str">
        <f>CONCATENATE("54270356592")</f>
        <v>54270356592</v>
      </c>
      <c r="I23" s="3" t="s">
        <v>31</v>
      </c>
      <c r="J23" s="3" t="s">
        <v>32</v>
      </c>
      <c r="K23" s="3" t="str">
        <f t="shared" ref="K23:K38" si="2">CONCATENATE("")</f>
        <v/>
      </c>
      <c r="L23" s="3" t="str">
        <f>CONCATENATE("19 19.2 6b")</f>
        <v>19 19.2 6b</v>
      </c>
      <c r="M23" s="3" t="str">
        <f>CONCATENATE("00360630412")</f>
        <v>00360630412</v>
      </c>
      <c r="N23" s="3" t="s">
        <v>77</v>
      </c>
      <c r="O23" s="3" t="s">
        <v>33</v>
      </c>
      <c r="P23" s="3" t="s">
        <v>78</v>
      </c>
      <c r="Q23" s="4">
        <v>45992</v>
      </c>
      <c r="R23" s="3" t="s">
        <v>34</v>
      </c>
      <c r="S23" s="3" t="s">
        <v>36</v>
      </c>
      <c r="T23" s="3" t="s">
        <v>35</v>
      </c>
      <c r="U23" s="3"/>
      <c r="V23" s="3" t="s">
        <v>33</v>
      </c>
      <c r="W23" s="5">
        <v>85092.160000000003</v>
      </c>
      <c r="X23" s="5">
        <v>45098.84</v>
      </c>
      <c r="Y23" s="5">
        <v>27995.32</v>
      </c>
      <c r="Z23" s="5">
        <v>11998</v>
      </c>
      <c r="AA23" s="3">
        <v>0</v>
      </c>
    </row>
    <row r="24" spans="1:27" ht="28.5">
      <c r="A24" s="3" t="s">
        <v>28</v>
      </c>
      <c r="B24" s="3" t="s">
        <v>29</v>
      </c>
      <c r="C24" s="3" t="s">
        <v>41</v>
      </c>
      <c r="D24" s="3" t="s">
        <v>51</v>
      </c>
      <c r="E24" s="3" t="s">
        <v>38</v>
      </c>
      <c r="F24" s="3" t="s">
        <v>79</v>
      </c>
      <c r="G24" s="3">
        <v>2017</v>
      </c>
      <c r="H24" s="3" t="str">
        <f>CONCATENATE("54270359687")</f>
        <v>54270359687</v>
      </c>
      <c r="I24" s="3" t="s">
        <v>31</v>
      </c>
      <c r="J24" s="3" t="s">
        <v>32</v>
      </c>
      <c r="K24" s="3" t="str">
        <f t="shared" si="2"/>
        <v/>
      </c>
      <c r="L24" s="3" t="str">
        <f>CONCATENATE("8 8.3 5e")</f>
        <v>8 8.3 5e</v>
      </c>
      <c r="M24" s="3" t="str">
        <f>CONCATENATE("02419450420")</f>
        <v>02419450420</v>
      </c>
      <c r="N24" s="3" t="s">
        <v>80</v>
      </c>
      <c r="O24" s="3" t="s">
        <v>33</v>
      </c>
      <c r="P24" s="3" t="s">
        <v>81</v>
      </c>
      <c r="Q24" s="4">
        <v>45992</v>
      </c>
      <c r="R24" s="3" t="s">
        <v>34</v>
      </c>
      <c r="S24" s="3" t="s">
        <v>36</v>
      </c>
      <c r="T24" s="3" t="s">
        <v>35</v>
      </c>
      <c r="U24" s="3"/>
      <c r="V24" s="3" t="s">
        <v>33</v>
      </c>
      <c r="W24" s="5">
        <v>218079.68</v>
      </c>
      <c r="X24" s="5">
        <v>115582.23</v>
      </c>
      <c r="Y24" s="5">
        <v>71748.210000000006</v>
      </c>
      <c r="Z24" s="5">
        <v>30749.24</v>
      </c>
      <c r="AA24" s="3">
        <v>0</v>
      </c>
    </row>
    <row r="25" spans="1:27" ht="55.5">
      <c r="A25" s="3" t="s">
        <v>28</v>
      </c>
      <c r="B25" s="3" t="s">
        <v>29</v>
      </c>
      <c r="C25" s="3" t="s">
        <v>41</v>
      </c>
      <c r="D25" s="3" t="s">
        <v>59</v>
      </c>
      <c r="E25" s="3" t="s">
        <v>30</v>
      </c>
      <c r="F25" s="3" t="s">
        <v>30</v>
      </c>
      <c r="G25" s="3">
        <v>2017</v>
      </c>
      <c r="H25" s="3" t="str">
        <f>CONCATENATE("54270357145")</f>
        <v>54270357145</v>
      </c>
      <c r="I25" s="3" t="s">
        <v>31</v>
      </c>
      <c r="J25" s="3" t="s">
        <v>32</v>
      </c>
      <c r="K25" s="3" t="str">
        <f t="shared" si="2"/>
        <v/>
      </c>
      <c r="L25" s="3" t="str">
        <f>CONCATENATE("6 6.4 2a")</f>
        <v>6 6.4 2a</v>
      </c>
      <c r="M25" s="3" t="str">
        <f>CONCATENATE("PRNGMR72A25E783W")</f>
        <v>PRNGMR72A25E783W</v>
      </c>
      <c r="N25" s="3" t="s">
        <v>82</v>
      </c>
      <c r="O25" s="3" t="s">
        <v>33</v>
      </c>
      <c r="P25" s="3" t="s">
        <v>83</v>
      </c>
      <c r="Q25" s="4">
        <v>45992</v>
      </c>
      <c r="R25" s="3" t="s">
        <v>34</v>
      </c>
      <c r="S25" s="3" t="s">
        <v>36</v>
      </c>
      <c r="T25" s="3" t="s">
        <v>35</v>
      </c>
      <c r="U25" s="3"/>
      <c r="V25" s="3" t="s">
        <v>33</v>
      </c>
      <c r="W25" s="5">
        <v>12737.18</v>
      </c>
      <c r="X25" s="5">
        <v>6750.71</v>
      </c>
      <c r="Y25" s="5">
        <v>4190.53</v>
      </c>
      <c r="Z25" s="5">
        <v>1795.94</v>
      </c>
      <c r="AA25" s="3">
        <v>0</v>
      </c>
    </row>
    <row r="26" spans="1:27" ht="28.5">
      <c r="A26" s="3" t="s">
        <v>28</v>
      </c>
      <c r="B26" s="3" t="s">
        <v>29</v>
      </c>
      <c r="C26" s="3" t="s">
        <v>41</v>
      </c>
      <c r="D26" s="3" t="s">
        <v>41</v>
      </c>
      <c r="E26" s="3" t="s">
        <v>30</v>
      </c>
      <c r="F26" s="3" t="s">
        <v>30</v>
      </c>
      <c r="G26" s="3">
        <v>2017</v>
      </c>
      <c r="H26" s="3" t="str">
        <f>CONCATENATE("54270358788")</f>
        <v>54270358788</v>
      </c>
      <c r="I26" s="3" t="s">
        <v>31</v>
      </c>
      <c r="J26" s="3" t="s">
        <v>32</v>
      </c>
      <c r="K26" s="3" t="str">
        <f t="shared" si="2"/>
        <v/>
      </c>
      <c r="L26" s="3" t="str">
        <f>CONCATENATE("19 19.2 6b")</f>
        <v>19 19.2 6b</v>
      </c>
      <c r="M26" s="3" t="str">
        <f>CONCATENATE("02681080418")</f>
        <v>02681080418</v>
      </c>
      <c r="N26" s="3" t="s">
        <v>42</v>
      </c>
      <c r="O26" s="3" t="s">
        <v>33</v>
      </c>
      <c r="P26" s="3" t="s">
        <v>84</v>
      </c>
      <c r="Q26" s="4">
        <v>45992</v>
      </c>
      <c r="R26" s="3" t="s">
        <v>34</v>
      </c>
      <c r="S26" s="3" t="s">
        <v>36</v>
      </c>
      <c r="T26" s="3" t="s">
        <v>35</v>
      </c>
      <c r="U26" s="3"/>
      <c r="V26" s="3" t="s">
        <v>33</v>
      </c>
      <c r="W26" s="5">
        <v>69999.399999999994</v>
      </c>
      <c r="X26" s="5">
        <v>37099.68</v>
      </c>
      <c r="Y26" s="5">
        <v>23029.8</v>
      </c>
      <c r="Z26" s="5">
        <v>9869.92</v>
      </c>
      <c r="AA26" s="3">
        <v>0</v>
      </c>
    </row>
    <row r="27" spans="1:27" ht="28.5">
      <c r="A27" s="3" t="s">
        <v>28</v>
      </c>
      <c r="B27" s="3" t="s">
        <v>29</v>
      </c>
      <c r="C27" s="3" t="s">
        <v>41</v>
      </c>
      <c r="D27" s="3" t="s">
        <v>41</v>
      </c>
      <c r="E27" s="3" t="s">
        <v>30</v>
      </c>
      <c r="F27" s="3" t="s">
        <v>30</v>
      </c>
      <c r="G27" s="3">
        <v>2017</v>
      </c>
      <c r="H27" s="3" t="str">
        <f>CONCATENATE("54270357103")</f>
        <v>54270357103</v>
      </c>
      <c r="I27" s="3" t="s">
        <v>31</v>
      </c>
      <c r="J27" s="3" t="s">
        <v>32</v>
      </c>
      <c r="K27" s="3" t="str">
        <f t="shared" si="2"/>
        <v/>
      </c>
      <c r="L27" s="3" t="str">
        <f>CONCATENATE("19 19.2 6b")</f>
        <v>19 19.2 6b</v>
      </c>
      <c r="M27" s="3" t="str">
        <f>CONCATENATE("82004510416")</f>
        <v>82004510416</v>
      </c>
      <c r="N27" s="3" t="s">
        <v>85</v>
      </c>
      <c r="O27" s="3" t="s">
        <v>33</v>
      </c>
      <c r="P27" s="3" t="s">
        <v>84</v>
      </c>
      <c r="Q27" s="4">
        <v>45992</v>
      </c>
      <c r="R27" s="3" t="s">
        <v>34</v>
      </c>
      <c r="S27" s="3" t="s">
        <v>36</v>
      </c>
      <c r="T27" s="3" t="s">
        <v>35</v>
      </c>
      <c r="U27" s="3"/>
      <c r="V27" s="3" t="s">
        <v>33</v>
      </c>
      <c r="W27" s="5">
        <v>13160</v>
      </c>
      <c r="X27" s="5">
        <v>6974.8</v>
      </c>
      <c r="Y27" s="5">
        <v>4329.6400000000003</v>
      </c>
      <c r="Z27" s="5">
        <v>1855.56</v>
      </c>
      <c r="AA27" s="3">
        <v>0</v>
      </c>
    </row>
    <row r="28" spans="1:27" ht="28.5">
      <c r="A28" s="3" t="s">
        <v>28</v>
      </c>
      <c r="B28" s="3" t="s">
        <v>29</v>
      </c>
      <c r="C28" s="3" t="s">
        <v>41</v>
      </c>
      <c r="D28" s="3" t="s">
        <v>56</v>
      </c>
      <c r="E28" s="3" t="s">
        <v>30</v>
      </c>
      <c r="F28" s="3" t="s">
        <v>30</v>
      </c>
      <c r="G28" s="3">
        <v>2017</v>
      </c>
      <c r="H28" s="3" t="str">
        <f>CONCATENATE("54270356584")</f>
        <v>54270356584</v>
      </c>
      <c r="I28" s="3" t="s">
        <v>37</v>
      </c>
      <c r="J28" s="3" t="s">
        <v>32</v>
      </c>
      <c r="K28" s="3" t="str">
        <f t="shared" si="2"/>
        <v/>
      </c>
      <c r="L28" s="3" t="str">
        <f>CONCATENATE("7 7.5 6a")</f>
        <v>7 7.5 6a</v>
      </c>
      <c r="M28" s="3" t="str">
        <f>CONCATENATE("01782410441")</f>
        <v>01782410441</v>
      </c>
      <c r="N28" s="3" t="s">
        <v>86</v>
      </c>
      <c r="O28" s="3" t="s">
        <v>33</v>
      </c>
      <c r="P28" s="3" t="s">
        <v>87</v>
      </c>
      <c r="Q28" s="4">
        <v>45992</v>
      </c>
      <c r="R28" s="3" t="s">
        <v>34</v>
      </c>
      <c r="S28" s="3" t="s">
        <v>36</v>
      </c>
      <c r="T28" s="3" t="s">
        <v>35</v>
      </c>
      <c r="U28" s="3"/>
      <c r="V28" s="3" t="s">
        <v>33</v>
      </c>
      <c r="W28" s="5">
        <v>22396.67</v>
      </c>
      <c r="X28" s="5">
        <v>11870.24</v>
      </c>
      <c r="Y28" s="5">
        <v>7368.5</v>
      </c>
      <c r="Z28" s="5">
        <v>3157.93</v>
      </c>
      <c r="AA28" s="3">
        <v>0</v>
      </c>
    </row>
    <row r="29" spans="1:27" ht="28.5">
      <c r="A29" s="3" t="s">
        <v>28</v>
      </c>
      <c r="B29" s="3" t="s">
        <v>29</v>
      </c>
      <c r="C29" s="3" t="s">
        <v>41</v>
      </c>
      <c r="D29" s="3" t="s">
        <v>41</v>
      </c>
      <c r="E29" s="3" t="s">
        <v>30</v>
      </c>
      <c r="F29" s="3" t="s">
        <v>30</v>
      </c>
      <c r="G29" s="3">
        <v>2017</v>
      </c>
      <c r="H29" s="3" t="str">
        <f>CONCATENATE("54270359703")</f>
        <v>54270359703</v>
      </c>
      <c r="I29" s="3" t="s">
        <v>37</v>
      </c>
      <c r="J29" s="3" t="s">
        <v>32</v>
      </c>
      <c r="K29" s="3" t="str">
        <f t="shared" si="2"/>
        <v/>
      </c>
      <c r="L29" s="3" t="str">
        <f>CONCATENATE("19 19.2 6b")</f>
        <v>19 19.2 6b</v>
      </c>
      <c r="M29" s="3" t="str">
        <f>CONCATENATE("00267160430")</f>
        <v>00267160430</v>
      </c>
      <c r="N29" s="3" t="s">
        <v>88</v>
      </c>
      <c r="O29" s="3" t="s">
        <v>33</v>
      </c>
      <c r="P29" s="3" t="s">
        <v>89</v>
      </c>
      <c r="Q29" s="4">
        <v>45993</v>
      </c>
      <c r="R29" s="3" t="s">
        <v>34</v>
      </c>
      <c r="S29" s="3" t="s">
        <v>36</v>
      </c>
      <c r="T29" s="3" t="s">
        <v>35</v>
      </c>
      <c r="U29" s="3"/>
      <c r="V29" s="3" t="s">
        <v>33</v>
      </c>
      <c r="W29" s="5">
        <v>43111.79</v>
      </c>
      <c r="X29" s="5">
        <v>22849.25</v>
      </c>
      <c r="Y29" s="5">
        <v>14183.78</v>
      </c>
      <c r="Z29" s="5">
        <v>6078.76</v>
      </c>
      <c r="AA29" s="3">
        <v>0</v>
      </c>
    </row>
    <row r="30" spans="1:27" ht="28.5">
      <c r="A30" s="3" t="s">
        <v>28</v>
      </c>
      <c r="B30" s="3" t="s">
        <v>29</v>
      </c>
      <c r="C30" s="3" t="s">
        <v>41</v>
      </c>
      <c r="D30" s="3" t="s">
        <v>41</v>
      </c>
      <c r="E30" s="3" t="s">
        <v>30</v>
      </c>
      <c r="F30" s="3" t="s">
        <v>30</v>
      </c>
      <c r="G30" s="3">
        <v>2017</v>
      </c>
      <c r="H30" s="3" t="str">
        <f>CONCATENATE("54270359711")</f>
        <v>54270359711</v>
      </c>
      <c r="I30" s="3" t="s">
        <v>37</v>
      </c>
      <c r="J30" s="3" t="s">
        <v>32</v>
      </c>
      <c r="K30" s="3" t="str">
        <f t="shared" si="2"/>
        <v/>
      </c>
      <c r="L30" s="3" t="str">
        <f>CONCATENATE("19 19.2 6b")</f>
        <v>19 19.2 6b</v>
      </c>
      <c r="M30" s="3" t="str">
        <f>CONCATENATE("00218320430")</f>
        <v>00218320430</v>
      </c>
      <c r="N30" s="3" t="s">
        <v>90</v>
      </c>
      <c r="O30" s="3" t="s">
        <v>33</v>
      </c>
      <c r="P30" s="3" t="s">
        <v>89</v>
      </c>
      <c r="Q30" s="4">
        <v>45993</v>
      </c>
      <c r="R30" s="3" t="s">
        <v>34</v>
      </c>
      <c r="S30" s="3" t="s">
        <v>36</v>
      </c>
      <c r="T30" s="3" t="s">
        <v>35</v>
      </c>
      <c r="U30" s="3"/>
      <c r="V30" s="3" t="s">
        <v>33</v>
      </c>
      <c r="W30" s="5">
        <v>46760.49</v>
      </c>
      <c r="X30" s="5">
        <v>24783.06</v>
      </c>
      <c r="Y30" s="5">
        <v>15384.2</v>
      </c>
      <c r="Z30" s="5">
        <v>6593.23</v>
      </c>
      <c r="AA30" s="3">
        <v>0</v>
      </c>
    </row>
    <row r="31" spans="1:27" ht="28.5">
      <c r="A31" s="3" t="s">
        <v>28</v>
      </c>
      <c r="B31" s="3" t="s">
        <v>29</v>
      </c>
      <c r="C31" s="3" t="s">
        <v>41</v>
      </c>
      <c r="D31" s="3" t="s">
        <v>41</v>
      </c>
      <c r="E31" s="3" t="s">
        <v>30</v>
      </c>
      <c r="F31" s="3" t="s">
        <v>30</v>
      </c>
      <c r="G31" s="3">
        <v>2017</v>
      </c>
      <c r="H31" s="3" t="str">
        <f>CONCATENATE("44270257924")</f>
        <v>44270257924</v>
      </c>
      <c r="I31" s="3" t="s">
        <v>31</v>
      </c>
      <c r="J31" s="3" t="s">
        <v>32</v>
      </c>
      <c r="K31" s="3" t="str">
        <f t="shared" si="2"/>
        <v/>
      </c>
      <c r="L31" s="3" t="str">
        <f>CONCATENATE("19 19.2 6b")</f>
        <v>19 19.2 6b</v>
      </c>
      <c r="M31" s="3" t="str">
        <f>CONCATENATE("00184460426")</f>
        <v>00184460426</v>
      </c>
      <c r="N31" s="3" t="s">
        <v>91</v>
      </c>
      <c r="O31" s="3" t="s">
        <v>33</v>
      </c>
      <c r="P31" s="3" t="s">
        <v>92</v>
      </c>
      <c r="Q31" s="4">
        <v>45992</v>
      </c>
      <c r="R31" s="3" t="s">
        <v>34</v>
      </c>
      <c r="S31" s="3" t="s">
        <v>36</v>
      </c>
      <c r="T31" s="3" t="s">
        <v>35</v>
      </c>
      <c r="U31" s="3"/>
      <c r="V31" s="3" t="s">
        <v>33</v>
      </c>
      <c r="W31" s="5">
        <v>70842.89</v>
      </c>
      <c r="X31" s="5">
        <v>37546.730000000003</v>
      </c>
      <c r="Y31" s="5">
        <v>23307.31</v>
      </c>
      <c r="Z31" s="5">
        <v>9988.85</v>
      </c>
      <c r="AA31" s="3">
        <v>0</v>
      </c>
    </row>
    <row r="32" spans="1:27" ht="28.5">
      <c r="A32" s="3" t="s">
        <v>28</v>
      </c>
      <c r="B32" s="3" t="s">
        <v>29</v>
      </c>
      <c r="C32" s="3" t="s">
        <v>41</v>
      </c>
      <c r="D32" s="3" t="s">
        <v>41</v>
      </c>
      <c r="E32" s="3" t="s">
        <v>30</v>
      </c>
      <c r="F32" s="3" t="s">
        <v>30</v>
      </c>
      <c r="G32" s="3">
        <v>2017</v>
      </c>
      <c r="H32" s="3" t="str">
        <f>CONCATENATE("54270356659")</f>
        <v>54270356659</v>
      </c>
      <c r="I32" s="3" t="s">
        <v>31</v>
      </c>
      <c r="J32" s="3" t="s">
        <v>32</v>
      </c>
      <c r="K32" s="3" t="str">
        <f t="shared" si="2"/>
        <v/>
      </c>
      <c r="L32" s="3" t="str">
        <f>CONCATENATE("19 19.2 6b")</f>
        <v>19 19.2 6b</v>
      </c>
      <c r="M32" s="3" t="str">
        <f>CONCATENATE("00360580419")</f>
        <v>00360580419</v>
      </c>
      <c r="N32" s="3" t="s">
        <v>93</v>
      </c>
      <c r="O32" s="3" t="s">
        <v>33</v>
      </c>
      <c r="P32" s="3" t="s">
        <v>94</v>
      </c>
      <c r="Q32" s="4">
        <v>45992</v>
      </c>
      <c r="R32" s="3" t="s">
        <v>34</v>
      </c>
      <c r="S32" s="3" t="s">
        <v>36</v>
      </c>
      <c r="T32" s="3" t="s">
        <v>35</v>
      </c>
      <c r="U32" s="3"/>
      <c r="V32" s="3" t="s">
        <v>33</v>
      </c>
      <c r="W32" s="5">
        <v>32554.46</v>
      </c>
      <c r="X32" s="5">
        <v>17253.86</v>
      </c>
      <c r="Y32" s="5">
        <v>10710.42</v>
      </c>
      <c r="Z32" s="5">
        <v>4590.18</v>
      </c>
      <c r="AA32" s="3">
        <v>0</v>
      </c>
    </row>
    <row r="33" spans="1:27" ht="28.5">
      <c r="A33" s="3" t="s">
        <v>28</v>
      </c>
      <c r="B33" s="3" t="s">
        <v>29</v>
      </c>
      <c r="C33" s="3" t="s">
        <v>41</v>
      </c>
      <c r="D33" s="3" t="s">
        <v>56</v>
      </c>
      <c r="E33" s="3" t="s">
        <v>30</v>
      </c>
      <c r="F33" s="3" t="s">
        <v>30</v>
      </c>
      <c r="G33" s="3">
        <v>2017</v>
      </c>
      <c r="H33" s="3" t="str">
        <f>CONCATENATE("54270363275")</f>
        <v>54270363275</v>
      </c>
      <c r="I33" s="3" t="s">
        <v>31</v>
      </c>
      <c r="J33" s="3" t="s">
        <v>32</v>
      </c>
      <c r="K33" s="3" t="str">
        <f t="shared" si="2"/>
        <v/>
      </c>
      <c r="L33" s="3" t="str">
        <f>CONCATENATE("7 7.5 6a")</f>
        <v>7 7.5 6a</v>
      </c>
      <c r="M33" s="3" t="str">
        <f>CONCATENATE("92049990416")</f>
        <v>92049990416</v>
      </c>
      <c r="N33" s="3" t="s">
        <v>95</v>
      </c>
      <c r="O33" s="3" t="s">
        <v>33</v>
      </c>
      <c r="P33" s="3" t="s">
        <v>96</v>
      </c>
      <c r="Q33" s="4">
        <v>45994</v>
      </c>
      <c r="R33" s="3" t="s">
        <v>34</v>
      </c>
      <c r="S33" s="3" t="s">
        <v>36</v>
      </c>
      <c r="T33" s="3" t="s">
        <v>35</v>
      </c>
      <c r="U33" s="3"/>
      <c r="V33" s="3" t="s">
        <v>33</v>
      </c>
      <c r="W33" s="5">
        <v>54913.5</v>
      </c>
      <c r="X33" s="5">
        <v>29104.16</v>
      </c>
      <c r="Y33" s="5">
        <v>18066.54</v>
      </c>
      <c r="Z33" s="5">
        <v>7742.8</v>
      </c>
      <c r="AA33" s="3">
        <v>0</v>
      </c>
    </row>
    <row r="34" spans="1:27" ht="28.5">
      <c r="A34" s="3" t="s">
        <v>28</v>
      </c>
      <c r="B34" s="3" t="s">
        <v>29</v>
      </c>
      <c r="C34" s="3" t="s">
        <v>41</v>
      </c>
      <c r="D34" s="3" t="s">
        <v>41</v>
      </c>
      <c r="E34" s="3" t="s">
        <v>30</v>
      </c>
      <c r="F34" s="3" t="s">
        <v>30</v>
      </c>
      <c r="G34" s="3">
        <v>2017</v>
      </c>
      <c r="H34" s="3" t="str">
        <f>CONCATENATE("44270309170")</f>
        <v>44270309170</v>
      </c>
      <c r="I34" s="3" t="s">
        <v>31</v>
      </c>
      <c r="J34" s="3" t="s">
        <v>32</v>
      </c>
      <c r="K34" s="3" t="str">
        <f t="shared" si="2"/>
        <v/>
      </c>
      <c r="L34" s="3" t="str">
        <f>CONCATENATE("19 19.2 6b")</f>
        <v>19 19.2 6b</v>
      </c>
      <c r="M34" s="3" t="str">
        <f>CONCATENATE("82001930419")</f>
        <v>82001930419</v>
      </c>
      <c r="N34" s="3" t="s">
        <v>97</v>
      </c>
      <c r="O34" s="3" t="s">
        <v>33</v>
      </c>
      <c r="P34" s="3" t="s">
        <v>98</v>
      </c>
      <c r="Q34" s="4">
        <v>45993</v>
      </c>
      <c r="R34" s="3" t="s">
        <v>34</v>
      </c>
      <c r="S34" s="3" t="s">
        <v>36</v>
      </c>
      <c r="T34" s="3" t="s">
        <v>35</v>
      </c>
      <c r="U34" s="3"/>
      <c r="V34" s="3" t="s">
        <v>33</v>
      </c>
      <c r="W34" s="5">
        <v>36520.699999999997</v>
      </c>
      <c r="X34" s="5">
        <v>19355.97</v>
      </c>
      <c r="Y34" s="5">
        <v>12015.31</v>
      </c>
      <c r="Z34" s="5">
        <v>5149.42</v>
      </c>
      <c r="AA34" s="3">
        <v>0</v>
      </c>
    </row>
    <row r="35" spans="1:27" ht="28.5">
      <c r="A35" s="3" t="s">
        <v>28</v>
      </c>
      <c r="B35" s="3" t="s">
        <v>29</v>
      </c>
      <c r="C35" s="3" t="s">
        <v>41</v>
      </c>
      <c r="D35" s="3" t="s">
        <v>41</v>
      </c>
      <c r="E35" s="3" t="s">
        <v>30</v>
      </c>
      <c r="F35" s="3" t="s">
        <v>30</v>
      </c>
      <c r="G35" s="3">
        <v>2017</v>
      </c>
      <c r="H35" s="3" t="str">
        <f>CONCATENATE("44270309188")</f>
        <v>44270309188</v>
      </c>
      <c r="I35" s="3" t="s">
        <v>31</v>
      </c>
      <c r="J35" s="3" t="s">
        <v>32</v>
      </c>
      <c r="K35" s="3" t="str">
        <f t="shared" si="2"/>
        <v/>
      </c>
      <c r="L35" s="3" t="str">
        <f>CONCATENATE("19 19.2 6b")</f>
        <v>19 19.2 6b</v>
      </c>
      <c r="M35" s="3" t="str">
        <f>CONCATENATE("82001990413")</f>
        <v>82001990413</v>
      </c>
      <c r="N35" s="3" t="s">
        <v>99</v>
      </c>
      <c r="O35" s="3" t="s">
        <v>33</v>
      </c>
      <c r="P35" s="3" t="s">
        <v>98</v>
      </c>
      <c r="Q35" s="4">
        <v>45993</v>
      </c>
      <c r="R35" s="3" t="s">
        <v>34</v>
      </c>
      <c r="S35" s="3" t="s">
        <v>36</v>
      </c>
      <c r="T35" s="3" t="s">
        <v>35</v>
      </c>
      <c r="U35" s="3"/>
      <c r="V35" s="3" t="s">
        <v>33</v>
      </c>
      <c r="W35" s="5">
        <v>25420.15</v>
      </c>
      <c r="X35" s="5">
        <v>13472.68</v>
      </c>
      <c r="Y35" s="5">
        <v>8363.23</v>
      </c>
      <c r="Z35" s="5">
        <v>3584.24</v>
      </c>
      <c r="AA35" s="3">
        <v>0</v>
      </c>
    </row>
    <row r="36" spans="1:27" ht="28.5">
      <c r="A36" s="3" t="s">
        <v>28</v>
      </c>
      <c r="B36" s="3" t="s">
        <v>29</v>
      </c>
      <c r="C36" s="3" t="s">
        <v>41</v>
      </c>
      <c r="D36" s="3" t="s">
        <v>51</v>
      </c>
      <c r="E36" s="3" t="s">
        <v>30</v>
      </c>
      <c r="F36" s="3" t="s">
        <v>30</v>
      </c>
      <c r="G36" s="3">
        <v>2017</v>
      </c>
      <c r="H36" s="3" t="str">
        <f>CONCATENATE("54270356642")</f>
        <v>54270356642</v>
      </c>
      <c r="I36" s="3" t="s">
        <v>31</v>
      </c>
      <c r="J36" s="3" t="s">
        <v>32</v>
      </c>
      <c r="K36" s="3" t="str">
        <f t="shared" si="2"/>
        <v/>
      </c>
      <c r="L36" s="3" t="str">
        <f>CONCATENATE("20 20.1 ")</f>
        <v xml:space="preserve">20 20.1 </v>
      </c>
      <c r="M36" s="3" t="str">
        <f>CONCATENATE("80008630420")</f>
        <v>80008630420</v>
      </c>
      <c r="N36" s="3" t="s">
        <v>100</v>
      </c>
      <c r="O36" s="3" t="s">
        <v>33</v>
      </c>
      <c r="P36" s="3" t="s">
        <v>101</v>
      </c>
      <c r="Q36" s="4">
        <v>45993</v>
      </c>
      <c r="R36" s="3" t="s">
        <v>34</v>
      </c>
      <c r="S36" s="3" t="s">
        <v>36</v>
      </c>
      <c r="T36" s="3" t="s">
        <v>35</v>
      </c>
      <c r="U36" s="3"/>
      <c r="V36" s="3" t="s">
        <v>33</v>
      </c>
      <c r="W36" s="5">
        <v>20000</v>
      </c>
      <c r="X36" s="5">
        <v>10600</v>
      </c>
      <c r="Y36" s="5">
        <v>6580</v>
      </c>
      <c r="Z36" s="5">
        <v>2820</v>
      </c>
      <c r="AA36" s="3">
        <v>0</v>
      </c>
    </row>
    <row r="37" spans="1:27" ht="28.5">
      <c r="A37" s="3" t="s">
        <v>28</v>
      </c>
      <c r="B37" s="3" t="s">
        <v>29</v>
      </c>
      <c r="C37" s="3" t="s">
        <v>41</v>
      </c>
      <c r="D37" s="3" t="s">
        <v>51</v>
      </c>
      <c r="E37" s="3" t="s">
        <v>30</v>
      </c>
      <c r="F37" s="3" t="s">
        <v>30</v>
      </c>
      <c r="G37" s="3">
        <v>2017</v>
      </c>
      <c r="H37" s="3" t="str">
        <f>CONCATENATE("54270356634")</f>
        <v>54270356634</v>
      </c>
      <c r="I37" s="3" t="s">
        <v>31</v>
      </c>
      <c r="J37" s="3" t="s">
        <v>32</v>
      </c>
      <c r="K37" s="3" t="str">
        <f t="shared" si="2"/>
        <v/>
      </c>
      <c r="L37" s="3" t="str">
        <f>CONCATENATE("20 20.1 ")</f>
        <v xml:space="preserve">20 20.1 </v>
      </c>
      <c r="M37" s="3" t="str">
        <f>CONCATENATE("80008630420")</f>
        <v>80008630420</v>
      </c>
      <c r="N37" s="3" t="s">
        <v>100</v>
      </c>
      <c r="O37" s="3" t="s">
        <v>33</v>
      </c>
      <c r="P37" s="3" t="s">
        <v>101</v>
      </c>
      <c r="Q37" s="4">
        <v>45993</v>
      </c>
      <c r="R37" s="3" t="s">
        <v>34</v>
      </c>
      <c r="S37" s="3" t="s">
        <v>36</v>
      </c>
      <c r="T37" s="3" t="s">
        <v>35</v>
      </c>
      <c r="U37" s="3"/>
      <c r="V37" s="3" t="s">
        <v>33</v>
      </c>
      <c r="W37" s="5">
        <v>90121.14</v>
      </c>
      <c r="X37" s="5">
        <v>47764.2</v>
      </c>
      <c r="Y37" s="5">
        <v>29649.86</v>
      </c>
      <c r="Z37" s="5">
        <v>12707.08</v>
      </c>
      <c r="AA37" s="3">
        <v>0</v>
      </c>
    </row>
    <row r="38" spans="1:27" ht="28.5">
      <c r="A38" s="3" t="s">
        <v>28</v>
      </c>
      <c r="B38" s="3" t="s">
        <v>29</v>
      </c>
      <c r="C38" s="3" t="s">
        <v>41</v>
      </c>
      <c r="D38" s="3" t="s">
        <v>51</v>
      </c>
      <c r="E38" s="3" t="s">
        <v>30</v>
      </c>
      <c r="F38" s="3" t="s">
        <v>30</v>
      </c>
      <c r="G38" s="3">
        <v>2017</v>
      </c>
      <c r="H38" s="3" t="str">
        <f>CONCATENATE("54270356626")</f>
        <v>54270356626</v>
      </c>
      <c r="I38" s="3" t="s">
        <v>31</v>
      </c>
      <c r="J38" s="3" t="s">
        <v>32</v>
      </c>
      <c r="K38" s="3" t="str">
        <f t="shared" si="2"/>
        <v/>
      </c>
      <c r="L38" s="3" t="str">
        <f>CONCATENATE("20 20.1 ")</f>
        <v xml:space="preserve">20 20.1 </v>
      </c>
      <c r="M38" s="3" t="str">
        <f>CONCATENATE("80008630420")</f>
        <v>80008630420</v>
      </c>
      <c r="N38" s="3" t="s">
        <v>100</v>
      </c>
      <c r="O38" s="3" t="s">
        <v>33</v>
      </c>
      <c r="P38" s="3" t="s">
        <v>101</v>
      </c>
      <c r="Q38" s="4">
        <v>45993</v>
      </c>
      <c r="R38" s="3" t="s">
        <v>34</v>
      </c>
      <c r="S38" s="3" t="s">
        <v>36</v>
      </c>
      <c r="T38" s="3" t="s">
        <v>35</v>
      </c>
      <c r="U38" s="3"/>
      <c r="V38" s="3" t="s">
        <v>33</v>
      </c>
      <c r="W38" s="5">
        <v>8747.61</v>
      </c>
      <c r="X38" s="5">
        <v>4636.2299999999996</v>
      </c>
      <c r="Y38" s="5">
        <v>2877.96</v>
      </c>
      <c r="Z38" s="5">
        <v>1233.42</v>
      </c>
      <c r="AA38" s="3">
        <v>0</v>
      </c>
    </row>
    <row r="39" spans="1:27" ht="28.5">
      <c r="A39" s="3" t="s">
        <v>28</v>
      </c>
      <c r="B39" s="3" t="s">
        <v>29</v>
      </c>
      <c r="C39" s="3" t="s">
        <v>41</v>
      </c>
      <c r="D39" s="3" t="s">
        <v>44</v>
      </c>
      <c r="E39" s="3" t="s">
        <v>30</v>
      </c>
      <c r="F39" s="3" t="s">
        <v>30</v>
      </c>
      <c r="G39" s="3">
        <v>2017</v>
      </c>
      <c r="H39" s="3" t="str">
        <f>CONCATENATE("54270361675")</f>
        <v>54270361675</v>
      </c>
      <c r="I39" s="3" t="s">
        <v>31</v>
      </c>
      <c r="J39" s="3" t="s">
        <v>32</v>
      </c>
      <c r="K39" s="3" t="str">
        <f t="shared" ref="K39:K46" si="3">CONCATENATE("")</f>
        <v/>
      </c>
      <c r="L39" s="3" t="str">
        <f>CONCATENATE("8 8.3 5e")</f>
        <v>8 8.3 5e</v>
      </c>
      <c r="M39" s="3" t="str">
        <f>CONCATENATE("00170370415")</f>
        <v>00170370415</v>
      </c>
      <c r="N39" s="3" t="s">
        <v>49</v>
      </c>
      <c r="O39" s="3" t="s">
        <v>33</v>
      </c>
      <c r="P39" s="3" t="s">
        <v>102</v>
      </c>
      <c r="Q39" s="4">
        <v>45993</v>
      </c>
      <c r="R39" s="3" t="s">
        <v>34</v>
      </c>
      <c r="S39" s="3" t="s">
        <v>36</v>
      </c>
      <c r="T39" s="3" t="s">
        <v>35</v>
      </c>
      <c r="U39" s="3"/>
      <c r="V39" s="3" t="s">
        <v>33</v>
      </c>
      <c r="W39" s="5">
        <v>8408.42</v>
      </c>
      <c r="X39" s="5">
        <v>4456.46</v>
      </c>
      <c r="Y39" s="5">
        <v>2766.37</v>
      </c>
      <c r="Z39" s="5">
        <v>1185.5899999999999</v>
      </c>
      <c r="AA39" s="3">
        <v>0</v>
      </c>
    </row>
    <row r="40" spans="1:27" ht="28.5">
      <c r="A40" s="3" t="s">
        <v>28</v>
      </c>
      <c r="B40" s="3" t="s">
        <v>29</v>
      </c>
      <c r="C40" s="3" t="s">
        <v>41</v>
      </c>
      <c r="D40" s="3" t="s">
        <v>41</v>
      </c>
      <c r="E40" s="3" t="s">
        <v>30</v>
      </c>
      <c r="F40" s="3" t="s">
        <v>30</v>
      </c>
      <c r="G40" s="3">
        <v>2017</v>
      </c>
      <c r="H40" s="3" t="str">
        <f>CONCATENATE("54270358895")</f>
        <v>54270358895</v>
      </c>
      <c r="I40" s="3" t="s">
        <v>31</v>
      </c>
      <c r="J40" s="3" t="s">
        <v>32</v>
      </c>
      <c r="K40" s="3" t="str">
        <f t="shared" si="3"/>
        <v/>
      </c>
      <c r="L40" s="3" t="str">
        <f t="shared" ref="L40:L45" si="4">CONCATENATE("19 19.2 6b")</f>
        <v>19 19.2 6b</v>
      </c>
      <c r="M40" s="3" t="str">
        <f>CONCATENATE("82005370414")</f>
        <v>82005370414</v>
      </c>
      <c r="N40" s="3" t="s">
        <v>103</v>
      </c>
      <c r="O40" s="3" t="s">
        <v>33</v>
      </c>
      <c r="P40" s="3" t="s">
        <v>104</v>
      </c>
      <c r="Q40" s="4">
        <v>45993</v>
      </c>
      <c r="R40" s="3" t="s">
        <v>34</v>
      </c>
      <c r="S40" s="3" t="s">
        <v>36</v>
      </c>
      <c r="T40" s="3" t="s">
        <v>35</v>
      </c>
      <c r="U40" s="3"/>
      <c r="V40" s="3" t="s">
        <v>33</v>
      </c>
      <c r="W40" s="5">
        <v>36761.08</v>
      </c>
      <c r="X40" s="5">
        <v>19483.37</v>
      </c>
      <c r="Y40" s="5">
        <v>12094.4</v>
      </c>
      <c r="Z40" s="5">
        <v>5183.3100000000004</v>
      </c>
      <c r="AA40" s="3">
        <v>0</v>
      </c>
    </row>
    <row r="41" spans="1:27" ht="55.5">
      <c r="A41" s="3" t="s">
        <v>28</v>
      </c>
      <c r="B41" s="3" t="s">
        <v>29</v>
      </c>
      <c r="C41" s="3" t="s">
        <v>41</v>
      </c>
      <c r="D41" s="3" t="s">
        <v>41</v>
      </c>
      <c r="E41" s="3" t="s">
        <v>30</v>
      </c>
      <c r="F41" s="3" t="s">
        <v>30</v>
      </c>
      <c r="G41" s="3">
        <v>2017</v>
      </c>
      <c r="H41" s="3" t="str">
        <f>CONCATENATE("54270359257")</f>
        <v>54270359257</v>
      </c>
      <c r="I41" s="3" t="s">
        <v>31</v>
      </c>
      <c r="J41" s="3" t="s">
        <v>32</v>
      </c>
      <c r="K41" s="3" t="str">
        <f t="shared" si="3"/>
        <v/>
      </c>
      <c r="L41" s="3" t="str">
        <f t="shared" si="4"/>
        <v>19 19.2 6b</v>
      </c>
      <c r="M41" s="3" t="str">
        <f>CONCATENATE("BKKRMR93E67F704V")</f>
        <v>BKKRMR93E67F704V</v>
      </c>
      <c r="N41" s="3" t="s">
        <v>105</v>
      </c>
      <c r="O41" s="3" t="s">
        <v>33</v>
      </c>
      <c r="P41" s="3" t="s">
        <v>106</v>
      </c>
      <c r="Q41" s="4">
        <v>45993</v>
      </c>
      <c r="R41" s="3" t="s">
        <v>34</v>
      </c>
      <c r="S41" s="3" t="s">
        <v>36</v>
      </c>
      <c r="T41" s="3" t="s">
        <v>35</v>
      </c>
      <c r="U41" s="3"/>
      <c r="V41" s="3" t="s">
        <v>33</v>
      </c>
      <c r="W41" s="5">
        <v>20000</v>
      </c>
      <c r="X41" s="5">
        <v>10600</v>
      </c>
      <c r="Y41" s="5">
        <v>6580</v>
      </c>
      <c r="Z41" s="5">
        <v>2820</v>
      </c>
      <c r="AA41" s="3">
        <v>0</v>
      </c>
    </row>
    <row r="42" spans="1:27" ht="46.5">
      <c r="A42" s="3" t="s">
        <v>28</v>
      </c>
      <c r="B42" s="3" t="s">
        <v>29</v>
      </c>
      <c r="C42" s="3" t="s">
        <v>41</v>
      </c>
      <c r="D42" s="3" t="s">
        <v>41</v>
      </c>
      <c r="E42" s="3" t="s">
        <v>30</v>
      </c>
      <c r="F42" s="3" t="s">
        <v>30</v>
      </c>
      <c r="G42" s="3">
        <v>2017</v>
      </c>
      <c r="H42" s="3" t="str">
        <f>CONCATENATE("54270359927")</f>
        <v>54270359927</v>
      </c>
      <c r="I42" s="3" t="s">
        <v>31</v>
      </c>
      <c r="J42" s="3" t="s">
        <v>32</v>
      </c>
      <c r="K42" s="3" t="str">
        <f t="shared" si="3"/>
        <v/>
      </c>
      <c r="L42" s="3" t="str">
        <f t="shared" si="4"/>
        <v>19 19.2 6b</v>
      </c>
      <c r="M42" s="3" t="str">
        <f>CONCATENATE("CRRDTL73D65L191U")</f>
        <v>CRRDTL73D65L191U</v>
      </c>
      <c r="N42" s="3" t="s">
        <v>107</v>
      </c>
      <c r="O42" s="3" t="s">
        <v>33</v>
      </c>
      <c r="P42" s="3" t="s">
        <v>106</v>
      </c>
      <c r="Q42" s="4">
        <v>45993</v>
      </c>
      <c r="R42" s="3" t="s">
        <v>34</v>
      </c>
      <c r="S42" s="3" t="s">
        <v>36</v>
      </c>
      <c r="T42" s="3" t="s">
        <v>35</v>
      </c>
      <c r="U42" s="3"/>
      <c r="V42" s="3" t="s">
        <v>33</v>
      </c>
      <c r="W42" s="5">
        <v>20000</v>
      </c>
      <c r="X42" s="5">
        <v>10600</v>
      </c>
      <c r="Y42" s="5">
        <v>6580</v>
      </c>
      <c r="Z42" s="5">
        <v>2820</v>
      </c>
      <c r="AA42" s="3">
        <v>0</v>
      </c>
    </row>
    <row r="43" spans="1:27" ht="46.5">
      <c r="A43" s="3" t="s">
        <v>28</v>
      </c>
      <c r="B43" s="3" t="s">
        <v>29</v>
      </c>
      <c r="C43" s="3" t="s">
        <v>41</v>
      </c>
      <c r="D43" s="3" t="s">
        <v>41</v>
      </c>
      <c r="E43" s="3" t="s">
        <v>30</v>
      </c>
      <c r="F43" s="3" t="s">
        <v>30</v>
      </c>
      <c r="G43" s="3">
        <v>2017</v>
      </c>
      <c r="H43" s="3" t="str">
        <f>CONCATENATE("54270359240")</f>
        <v>54270359240</v>
      </c>
      <c r="I43" s="3" t="s">
        <v>31</v>
      </c>
      <c r="J43" s="3" t="s">
        <v>32</v>
      </c>
      <c r="K43" s="3" t="str">
        <f t="shared" si="3"/>
        <v/>
      </c>
      <c r="L43" s="3" t="str">
        <f t="shared" si="4"/>
        <v>19 19.2 6b</v>
      </c>
      <c r="M43" s="3" t="str">
        <f>CONCATENATE("FRSCNZ65A60B398X")</f>
        <v>FRSCNZ65A60B398X</v>
      </c>
      <c r="N43" s="3" t="s">
        <v>108</v>
      </c>
      <c r="O43" s="3" t="s">
        <v>33</v>
      </c>
      <c r="P43" s="3" t="s">
        <v>106</v>
      </c>
      <c r="Q43" s="4">
        <v>45993</v>
      </c>
      <c r="R43" s="3" t="s">
        <v>34</v>
      </c>
      <c r="S43" s="3" t="s">
        <v>36</v>
      </c>
      <c r="T43" s="3" t="s">
        <v>35</v>
      </c>
      <c r="U43" s="3"/>
      <c r="V43" s="3" t="s">
        <v>33</v>
      </c>
      <c r="W43" s="5">
        <v>19400</v>
      </c>
      <c r="X43" s="5">
        <v>10282</v>
      </c>
      <c r="Y43" s="5">
        <v>6382.6</v>
      </c>
      <c r="Z43" s="5">
        <v>2735.4</v>
      </c>
      <c r="AA43" s="3">
        <v>0</v>
      </c>
    </row>
    <row r="44" spans="1:27" ht="28.5">
      <c r="A44" s="3" t="s">
        <v>28</v>
      </c>
      <c r="B44" s="3" t="s">
        <v>29</v>
      </c>
      <c r="C44" s="3" t="s">
        <v>41</v>
      </c>
      <c r="D44" s="3" t="s">
        <v>41</v>
      </c>
      <c r="E44" s="3" t="s">
        <v>30</v>
      </c>
      <c r="F44" s="3" t="s">
        <v>30</v>
      </c>
      <c r="G44" s="3">
        <v>2017</v>
      </c>
      <c r="H44" s="3" t="str">
        <f>CONCATENATE("54270358853")</f>
        <v>54270358853</v>
      </c>
      <c r="I44" s="3" t="s">
        <v>31</v>
      </c>
      <c r="J44" s="3" t="s">
        <v>32</v>
      </c>
      <c r="K44" s="3" t="str">
        <f t="shared" si="3"/>
        <v/>
      </c>
      <c r="L44" s="3" t="str">
        <f t="shared" si="4"/>
        <v>19 19.2 6b</v>
      </c>
      <c r="M44" s="3" t="str">
        <f>CONCATENATE("00314800418")</f>
        <v>00314800418</v>
      </c>
      <c r="N44" s="3" t="s">
        <v>109</v>
      </c>
      <c r="O44" s="3" t="s">
        <v>33</v>
      </c>
      <c r="P44" s="3" t="s">
        <v>110</v>
      </c>
      <c r="Q44" s="4">
        <v>45993</v>
      </c>
      <c r="R44" s="3" t="s">
        <v>34</v>
      </c>
      <c r="S44" s="3" t="s">
        <v>36</v>
      </c>
      <c r="T44" s="3" t="s">
        <v>35</v>
      </c>
      <c r="U44" s="3"/>
      <c r="V44" s="3" t="s">
        <v>33</v>
      </c>
      <c r="W44" s="5">
        <v>61795.51</v>
      </c>
      <c r="X44" s="5">
        <v>32751.62</v>
      </c>
      <c r="Y44" s="5">
        <v>20330.72</v>
      </c>
      <c r="Z44" s="5">
        <v>8713.17</v>
      </c>
      <c r="AA44" s="3">
        <v>0</v>
      </c>
    </row>
    <row r="45" spans="1:27" ht="46.5">
      <c r="A45" s="3" t="s">
        <v>28</v>
      </c>
      <c r="B45" s="3" t="s">
        <v>29</v>
      </c>
      <c r="C45" s="3" t="s">
        <v>41</v>
      </c>
      <c r="D45" s="3" t="s">
        <v>41</v>
      </c>
      <c r="E45" s="3" t="s">
        <v>39</v>
      </c>
      <c r="F45" s="3" t="s">
        <v>111</v>
      </c>
      <c r="G45" s="3">
        <v>2017</v>
      </c>
      <c r="H45" s="3" t="str">
        <f>CONCATENATE("44270309139")</f>
        <v>44270309139</v>
      </c>
      <c r="I45" s="3" t="s">
        <v>31</v>
      </c>
      <c r="J45" s="3" t="s">
        <v>32</v>
      </c>
      <c r="K45" s="3" t="str">
        <f t="shared" si="3"/>
        <v/>
      </c>
      <c r="L45" s="3" t="str">
        <f t="shared" si="4"/>
        <v>19 19.2 6b</v>
      </c>
      <c r="M45" s="3" t="str">
        <f>CONCATENATE("CLNCLF65S08A940U")</f>
        <v>CLNCLF65S08A940U</v>
      </c>
      <c r="N45" s="3" t="s">
        <v>112</v>
      </c>
      <c r="O45" s="3" t="s">
        <v>33</v>
      </c>
      <c r="P45" s="3" t="s">
        <v>113</v>
      </c>
      <c r="Q45" s="4">
        <v>45993</v>
      </c>
      <c r="R45" s="3" t="s">
        <v>34</v>
      </c>
      <c r="S45" s="3" t="s">
        <v>36</v>
      </c>
      <c r="T45" s="3" t="s">
        <v>35</v>
      </c>
      <c r="U45" s="3"/>
      <c r="V45" s="3" t="s">
        <v>33</v>
      </c>
      <c r="W45" s="5">
        <v>77160.11</v>
      </c>
      <c r="X45" s="5">
        <v>40894.86</v>
      </c>
      <c r="Y45" s="5">
        <v>25385.68</v>
      </c>
      <c r="Z45" s="5">
        <v>10879.57</v>
      </c>
      <c r="AA45" s="3">
        <v>0</v>
      </c>
    </row>
    <row r="46" spans="1:27" ht="28.5">
      <c r="A46" s="3" t="s">
        <v>28</v>
      </c>
      <c r="B46" s="3" t="s">
        <v>29</v>
      </c>
      <c r="C46" s="3" t="s">
        <v>41</v>
      </c>
      <c r="D46" s="3" t="s">
        <v>56</v>
      </c>
      <c r="E46" s="3" t="s">
        <v>40</v>
      </c>
      <c r="F46" s="3" t="s">
        <v>114</v>
      </c>
      <c r="G46" s="3">
        <v>2017</v>
      </c>
      <c r="H46" s="3" t="str">
        <f>CONCATENATE("54270362673")</f>
        <v>54270362673</v>
      </c>
      <c r="I46" s="3" t="s">
        <v>31</v>
      </c>
      <c r="J46" s="3" t="s">
        <v>32</v>
      </c>
      <c r="K46" s="3" t="str">
        <f t="shared" si="3"/>
        <v/>
      </c>
      <c r="L46" s="3" t="str">
        <f>CONCATENATE("4 4.1 2a")</f>
        <v>4 4.1 2a</v>
      </c>
      <c r="M46" s="3" t="str">
        <f>CONCATENATE("01496660448")</f>
        <v>01496660448</v>
      </c>
      <c r="N46" s="3" t="s">
        <v>115</v>
      </c>
      <c r="O46" s="3" t="s">
        <v>33</v>
      </c>
      <c r="P46" s="3" t="s">
        <v>116</v>
      </c>
      <c r="Q46" s="4">
        <v>45994</v>
      </c>
      <c r="R46" s="3" t="s">
        <v>34</v>
      </c>
      <c r="S46" s="3" t="s">
        <v>36</v>
      </c>
      <c r="T46" s="3" t="s">
        <v>35</v>
      </c>
      <c r="U46" s="3"/>
      <c r="V46" s="3" t="s">
        <v>33</v>
      </c>
      <c r="W46" s="5">
        <v>47832.77</v>
      </c>
      <c r="X46" s="5">
        <v>25351.37</v>
      </c>
      <c r="Y46" s="5">
        <v>15736.98</v>
      </c>
      <c r="Z46" s="5">
        <v>6744.42</v>
      </c>
      <c r="AA46" s="3">
        <v>0</v>
      </c>
    </row>
    <row r="47" spans="1:27" ht="28.5">
      <c r="A47" s="3" t="s">
        <v>28</v>
      </c>
      <c r="B47" s="3" t="s">
        <v>29</v>
      </c>
      <c r="C47" s="3" t="s">
        <v>41</v>
      </c>
      <c r="D47" s="3" t="s">
        <v>59</v>
      </c>
      <c r="E47" s="3" t="s">
        <v>30</v>
      </c>
      <c r="F47" s="3" t="s">
        <v>30</v>
      </c>
      <c r="G47" s="3">
        <v>2017</v>
      </c>
      <c r="H47" s="3" t="str">
        <f>CONCATENATE("54270357061")</f>
        <v>54270357061</v>
      </c>
      <c r="I47" s="3" t="s">
        <v>31</v>
      </c>
      <c r="J47" s="3" t="s">
        <v>32</v>
      </c>
      <c r="K47" s="3" t="str">
        <f t="shared" ref="K47:K64" si="5">CONCATENATE("")</f>
        <v/>
      </c>
      <c r="L47" s="3" t="str">
        <f>CONCATENATE("6 6.4 2a")</f>
        <v>6 6.4 2a</v>
      </c>
      <c r="M47" s="3" t="str">
        <f>CONCATENATE("02007770437")</f>
        <v>02007770437</v>
      </c>
      <c r="N47" s="3" t="s">
        <v>117</v>
      </c>
      <c r="O47" s="3" t="s">
        <v>33</v>
      </c>
      <c r="P47" s="3" t="s">
        <v>118</v>
      </c>
      <c r="Q47" s="4">
        <v>45992</v>
      </c>
      <c r="R47" s="3" t="s">
        <v>34</v>
      </c>
      <c r="S47" s="3" t="s">
        <v>36</v>
      </c>
      <c r="T47" s="3" t="s">
        <v>35</v>
      </c>
      <c r="U47" s="3"/>
      <c r="V47" s="3" t="s">
        <v>33</v>
      </c>
      <c r="W47" s="5">
        <v>200000</v>
      </c>
      <c r="X47" s="5">
        <v>106000</v>
      </c>
      <c r="Y47" s="5">
        <v>65800</v>
      </c>
      <c r="Z47" s="5">
        <v>28200</v>
      </c>
      <c r="AA47" s="3">
        <v>0</v>
      </c>
    </row>
    <row r="48" spans="1:27" ht="28.5">
      <c r="A48" s="3" t="s">
        <v>28</v>
      </c>
      <c r="B48" s="3" t="s">
        <v>29</v>
      </c>
      <c r="C48" s="3" t="s">
        <v>41</v>
      </c>
      <c r="D48" s="3" t="s">
        <v>41</v>
      </c>
      <c r="E48" s="3" t="s">
        <v>30</v>
      </c>
      <c r="F48" s="3" t="s">
        <v>30</v>
      </c>
      <c r="G48" s="3">
        <v>2017</v>
      </c>
      <c r="H48" s="3" t="str">
        <f>CONCATENATE("44270309212")</f>
        <v>44270309212</v>
      </c>
      <c r="I48" s="3" t="s">
        <v>31</v>
      </c>
      <c r="J48" s="3" t="s">
        <v>32</v>
      </c>
      <c r="K48" s="3" t="str">
        <f t="shared" si="5"/>
        <v/>
      </c>
      <c r="L48" s="3" t="str">
        <f>CONCATENATE("19 19.2 6b")</f>
        <v>19 19.2 6b</v>
      </c>
      <c r="M48" s="3" t="str">
        <f>CONCATENATE("00360580419")</f>
        <v>00360580419</v>
      </c>
      <c r="N48" s="3" t="s">
        <v>93</v>
      </c>
      <c r="O48" s="3" t="s">
        <v>33</v>
      </c>
      <c r="P48" s="3" t="s">
        <v>119</v>
      </c>
      <c r="Q48" s="4">
        <v>45994</v>
      </c>
      <c r="R48" s="3" t="s">
        <v>34</v>
      </c>
      <c r="S48" s="3" t="s">
        <v>36</v>
      </c>
      <c r="T48" s="3" t="s">
        <v>35</v>
      </c>
      <c r="U48" s="3"/>
      <c r="V48" s="3" t="s">
        <v>33</v>
      </c>
      <c r="W48" s="5">
        <v>31167.919999999998</v>
      </c>
      <c r="X48" s="5">
        <v>16519</v>
      </c>
      <c r="Y48" s="5">
        <v>10254.25</v>
      </c>
      <c r="Z48" s="5">
        <v>4394.67</v>
      </c>
      <c r="AA48" s="3">
        <v>0</v>
      </c>
    </row>
    <row r="49" spans="1:27" ht="28.5">
      <c r="A49" s="3" t="s">
        <v>28</v>
      </c>
      <c r="B49" s="3" t="s">
        <v>29</v>
      </c>
      <c r="C49" s="3" t="s">
        <v>41</v>
      </c>
      <c r="D49" s="3" t="s">
        <v>44</v>
      </c>
      <c r="E49" s="3" t="s">
        <v>30</v>
      </c>
      <c r="F49" s="3" t="s">
        <v>30</v>
      </c>
      <c r="G49" s="3">
        <v>2017</v>
      </c>
      <c r="H49" s="3" t="str">
        <f>CONCATENATE("54270359695")</f>
        <v>54270359695</v>
      </c>
      <c r="I49" s="3" t="s">
        <v>31</v>
      </c>
      <c r="J49" s="3" t="s">
        <v>32</v>
      </c>
      <c r="K49" s="3" t="str">
        <f t="shared" si="5"/>
        <v/>
      </c>
      <c r="L49" s="3" t="str">
        <f>CONCATENATE("4 4.3 2a")</f>
        <v>4 4.3 2a</v>
      </c>
      <c r="M49" s="3" t="str">
        <f>CONCATENATE("02782990416")</f>
        <v>02782990416</v>
      </c>
      <c r="N49" s="3" t="s">
        <v>120</v>
      </c>
      <c r="O49" s="3" t="s">
        <v>33</v>
      </c>
      <c r="P49" s="3" t="s">
        <v>121</v>
      </c>
      <c r="Q49" s="4">
        <v>45992</v>
      </c>
      <c r="R49" s="3" t="s">
        <v>34</v>
      </c>
      <c r="S49" s="3" t="s">
        <v>36</v>
      </c>
      <c r="T49" s="3" t="s">
        <v>35</v>
      </c>
      <c r="U49" s="3"/>
      <c r="V49" s="3" t="s">
        <v>33</v>
      </c>
      <c r="W49" s="5">
        <v>548305.51</v>
      </c>
      <c r="X49" s="5">
        <v>290601.92</v>
      </c>
      <c r="Y49" s="5">
        <v>180392.51</v>
      </c>
      <c r="Z49" s="5">
        <v>77311.08</v>
      </c>
      <c r="AA49" s="3">
        <v>0</v>
      </c>
    </row>
    <row r="50" spans="1:27" ht="28.5">
      <c r="A50" s="3" t="s">
        <v>28</v>
      </c>
      <c r="B50" s="3" t="s">
        <v>29</v>
      </c>
      <c r="C50" s="3" t="s">
        <v>41</v>
      </c>
      <c r="D50" s="3" t="s">
        <v>41</v>
      </c>
      <c r="E50" s="3" t="s">
        <v>30</v>
      </c>
      <c r="F50" s="3" t="s">
        <v>30</v>
      </c>
      <c r="G50" s="3">
        <v>2017</v>
      </c>
      <c r="H50" s="3" t="str">
        <f>CONCATENATE("54270355446")</f>
        <v>54270355446</v>
      </c>
      <c r="I50" s="3" t="s">
        <v>31</v>
      </c>
      <c r="J50" s="3" t="s">
        <v>32</v>
      </c>
      <c r="K50" s="3" t="str">
        <f t="shared" si="5"/>
        <v/>
      </c>
      <c r="L50" s="3" t="str">
        <f>CONCATENATE("19 19.2 6b")</f>
        <v>19 19.2 6b</v>
      </c>
      <c r="M50" s="3" t="str">
        <f>CONCATENATE("02154370437")</f>
        <v>02154370437</v>
      </c>
      <c r="N50" s="3" t="s">
        <v>122</v>
      </c>
      <c r="O50" s="3" t="s">
        <v>33</v>
      </c>
      <c r="P50" s="3" t="s">
        <v>123</v>
      </c>
      <c r="Q50" s="4">
        <v>45992</v>
      </c>
      <c r="R50" s="3" t="s">
        <v>34</v>
      </c>
      <c r="S50" s="3" t="s">
        <v>36</v>
      </c>
      <c r="T50" s="3" t="s">
        <v>35</v>
      </c>
      <c r="U50" s="3"/>
      <c r="V50" s="3" t="s">
        <v>33</v>
      </c>
      <c r="W50" s="5">
        <v>82985.350000000006</v>
      </c>
      <c r="X50" s="5">
        <v>43982.239999999998</v>
      </c>
      <c r="Y50" s="5">
        <v>27302.18</v>
      </c>
      <c r="Z50" s="5">
        <v>11700.93</v>
      </c>
      <c r="AA50" s="3">
        <v>0</v>
      </c>
    </row>
    <row r="51" spans="1:27" ht="28.5">
      <c r="A51" s="3" t="s">
        <v>28</v>
      </c>
      <c r="B51" s="3" t="s">
        <v>29</v>
      </c>
      <c r="C51" s="3" t="s">
        <v>41</v>
      </c>
      <c r="D51" s="3" t="s">
        <v>56</v>
      </c>
      <c r="E51" s="3" t="s">
        <v>30</v>
      </c>
      <c r="F51" s="3" t="s">
        <v>30</v>
      </c>
      <c r="G51" s="3">
        <v>2017</v>
      </c>
      <c r="H51" s="3" t="str">
        <f>CONCATENATE("54270357038")</f>
        <v>54270357038</v>
      </c>
      <c r="I51" s="3" t="s">
        <v>31</v>
      </c>
      <c r="J51" s="3" t="s">
        <v>32</v>
      </c>
      <c r="K51" s="3" t="str">
        <f t="shared" si="5"/>
        <v/>
      </c>
      <c r="L51" s="3" t="str">
        <f>CONCATENATE("19 19.3 6b")</f>
        <v>19 19.3 6b</v>
      </c>
      <c r="M51" s="3" t="str">
        <f>CONCATENATE("01944950441")</f>
        <v>01944950441</v>
      </c>
      <c r="N51" s="3" t="s">
        <v>124</v>
      </c>
      <c r="O51" s="3" t="s">
        <v>33</v>
      </c>
      <c r="P51" s="3" t="s">
        <v>125</v>
      </c>
      <c r="Q51" s="4">
        <v>45992</v>
      </c>
      <c r="R51" s="3" t="s">
        <v>34</v>
      </c>
      <c r="S51" s="3" t="s">
        <v>36</v>
      </c>
      <c r="T51" s="3" t="s">
        <v>35</v>
      </c>
      <c r="U51" s="3"/>
      <c r="V51" s="3" t="s">
        <v>33</v>
      </c>
      <c r="W51" s="5">
        <v>35536.129999999997</v>
      </c>
      <c r="X51" s="5">
        <v>18834.150000000001</v>
      </c>
      <c r="Y51" s="5">
        <v>11691.39</v>
      </c>
      <c r="Z51" s="5">
        <v>5010.59</v>
      </c>
      <c r="AA51" s="3">
        <v>0</v>
      </c>
    </row>
    <row r="52" spans="1:27" ht="28.5">
      <c r="A52" s="3" t="s">
        <v>28</v>
      </c>
      <c r="B52" s="3" t="s">
        <v>29</v>
      </c>
      <c r="C52" s="3" t="s">
        <v>41</v>
      </c>
      <c r="D52" s="3" t="s">
        <v>41</v>
      </c>
      <c r="E52" s="3" t="s">
        <v>30</v>
      </c>
      <c r="F52" s="3" t="s">
        <v>30</v>
      </c>
      <c r="G52" s="3">
        <v>2017</v>
      </c>
      <c r="H52" s="3" t="str">
        <f>CONCATENATE("54270346619")</f>
        <v>54270346619</v>
      </c>
      <c r="I52" s="3" t="s">
        <v>31</v>
      </c>
      <c r="J52" s="3" t="s">
        <v>32</v>
      </c>
      <c r="K52" s="3" t="str">
        <f t="shared" si="5"/>
        <v/>
      </c>
      <c r="L52" s="3" t="str">
        <f>CONCATENATE("19 19.2 6b")</f>
        <v>19 19.2 6b</v>
      </c>
      <c r="M52" s="3" t="str">
        <f>CONCATENATE("02451440446")</f>
        <v>02451440446</v>
      </c>
      <c r="N52" s="3" t="s">
        <v>126</v>
      </c>
      <c r="O52" s="3" t="s">
        <v>33</v>
      </c>
      <c r="P52" s="3" t="s">
        <v>127</v>
      </c>
      <c r="Q52" s="4">
        <v>45993</v>
      </c>
      <c r="R52" s="3" t="s">
        <v>34</v>
      </c>
      <c r="S52" s="3" t="s">
        <v>36</v>
      </c>
      <c r="T52" s="3" t="s">
        <v>35</v>
      </c>
      <c r="U52" s="3"/>
      <c r="V52" s="3" t="s">
        <v>33</v>
      </c>
      <c r="W52" s="5">
        <v>106621.99</v>
      </c>
      <c r="X52" s="5">
        <v>56509.65</v>
      </c>
      <c r="Y52" s="5">
        <v>35078.629999999997</v>
      </c>
      <c r="Z52" s="5">
        <v>15033.71</v>
      </c>
      <c r="AA52" s="3">
        <v>0</v>
      </c>
    </row>
    <row r="53" spans="1:27" ht="28.5">
      <c r="A53" s="3" t="s">
        <v>28</v>
      </c>
      <c r="B53" s="3" t="s">
        <v>29</v>
      </c>
      <c r="C53" s="3" t="s">
        <v>41</v>
      </c>
      <c r="D53" s="3" t="s">
        <v>51</v>
      </c>
      <c r="E53" s="3" t="s">
        <v>30</v>
      </c>
      <c r="F53" s="3" t="s">
        <v>30</v>
      </c>
      <c r="G53" s="3">
        <v>2017</v>
      </c>
      <c r="H53" s="3" t="str">
        <f>CONCATENATE("54270356402")</f>
        <v>54270356402</v>
      </c>
      <c r="I53" s="3" t="s">
        <v>31</v>
      </c>
      <c r="J53" s="3" t="s">
        <v>32</v>
      </c>
      <c r="K53" s="3" t="str">
        <f t="shared" si="5"/>
        <v/>
      </c>
      <c r="L53" s="3" t="str">
        <f>CONCATENATE("19 19.4 6b")</f>
        <v>19 19.4 6b</v>
      </c>
      <c r="M53" s="3" t="str">
        <f>CONCATENATE("01377760416")</f>
        <v>01377760416</v>
      </c>
      <c r="N53" s="3" t="s">
        <v>128</v>
      </c>
      <c r="O53" s="3" t="s">
        <v>33</v>
      </c>
      <c r="P53" s="3" t="s">
        <v>129</v>
      </c>
      <c r="Q53" s="4">
        <v>45992</v>
      </c>
      <c r="R53" s="3" t="s">
        <v>34</v>
      </c>
      <c r="S53" s="3" t="s">
        <v>36</v>
      </c>
      <c r="T53" s="3" t="s">
        <v>35</v>
      </c>
      <c r="U53" s="3"/>
      <c r="V53" s="3" t="s">
        <v>33</v>
      </c>
      <c r="W53" s="5">
        <v>122983.5</v>
      </c>
      <c r="X53" s="5">
        <v>65181.26</v>
      </c>
      <c r="Y53" s="5">
        <v>40461.57</v>
      </c>
      <c r="Z53" s="5">
        <v>17340.669999999998</v>
      </c>
      <c r="AA53" s="3">
        <v>0</v>
      </c>
    </row>
    <row r="54" spans="1:27" ht="28.5">
      <c r="A54" s="3" t="s">
        <v>28</v>
      </c>
      <c r="B54" s="3" t="s">
        <v>29</v>
      </c>
      <c r="C54" s="3" t="s">
        <v>41</v>
      </c>
      <c r="D54" s="3" t="s">
        <v>41</v>
      </c>
      <c r="E54" s="3" t="s">
        <v>30</v>
      </c>
      <c r="F54" s="3" t="s">
        <v>30</v>
      </c>
      <c r="G54" s="3">
        <v>2017</v>
      </c>
      <c r="H54" s="3" t="str">
        <f>CONCATENATE("54270234674")</f>
        <v>54270234674</v>
      </c>
      <c r="I54" s="3" t="s">
        <v>37</v>
      </c>
      <c r="J54" s="3" t="s">
        <v>32</v>
      </c>
      <c r="K54" s="3" t="str">
        <f t="shared" si="5"/>
        <v/>
      </c>
      <c r="L54" s="3" t="str">
        <f>CONCATENATE("19 19.2 6b")</f>
        <v>19 19.2 6b</v>
      </c>
      <c r="M54" s="3" t="str">
        <f>CONCATENATE("00114600422")</f>
        <v>00114600422</v>
      </c>
      <c r="N54" s="3" t="s">
        <v>130</v>
      </c>
      <c r="O54" s="3" t="s">
        <v>33</v>
      </c>
      <c r="P54" s="3" t="s">
        <v>131</v>
      </c>
      <c r="Q54" s="4">
        <v>45994</v>
      </c>
      <c r="R54" s="3" t="s">
        <v>34</v>
      </c>
      <c r="S54" s="3" t="s">
        <v>36</v>
      </c>
      <c r="T54" s="3" t="s">
        <v>35</v>
      </c>
      <c r="U54" s="3"/>
      <c r="V54" s="3" t="s">
        <v>33</v>
      </c>
      <c r="W54" s="5">
        <v>62492.4</v>
      </c>
      <c r="X54" s="5">
        <v>33120.97</v>
      </c>
      <c r="Y54" s="5">
        <v>20560</v>
      </c>
      <c r="Z54" s="5">
        <v>8811.43</v>
      </c>
      <c r="AA54" s="3">
        <v>0</v>
      </c>
    </row>
    <row r="55" spans="1:27" ht="28.5">
      <c r="A55" s="3" t="s">
        <v>28</v>
      </c>
      <c r="B55" s="3" t="s">
        <v>29</v>
      </c>
      <c r="C55" s="3" t="s">
        <v>41</v>
      </c>
      <c r="D55" s="3" t="s">
        <v>41</v>
      </c>
      <c r="E55" s="3" t="s">
        <v>30</v>
      </c>
      <c r="F55" s="3" t="s">
        <v>30</v>
      </c>
      <c r="G55" s="3">
        <v>2017</v>
      </c>
      <c r="H55" s="3" t="str">
        <f>CONCATENATE("54270352831")</f>
        <v>54270352831</v>
      </c>
      <c r="I55" s="3" t="s">
        <v>31</v>
      </c>
      <c r="J55" s="3" t="s">
        <v>32</v>
      </c>
      <c r="K55" s="3" t="str">
        <f t="shared" si="5"/>
        <v/>
      </c>
      <c r="L55" s="3" t="str">
        <f>CONCATENATE("19 19.2 6b")</f>
        <v>19 19.2 6b</v>
      </c>
      <c r="M55" s="3" t="str">
        <f>CONCATENATE("02228420416")</f>
        <v>02228420416</v>
      </c>
      <c r="N55" s="3" t="s">
        <v>132</v>
      </c>
      <c r="O55" s="3" t="s">
        <v>33</v>
      </c>
      <c r="P55" s="3" t="s">
        <v>133</v>
      </c>
      <c r="Q55" s="4">
        <v>45993</v>
      </c>
      <c r="R55" s="3" t="s">
        <v>34</v>
      </c>
      <c r="S55" s="3" t="s">
        <v>36</v>
      </c>
      <c r="T55" s="3" t="s">
        <v>35</v>
      </c>
      <c r="U55" s="3"/>
      <c r="V55" s="3" t="s">
        <v>33</v>
      </c>
      <c r="W55" s="5">
        <v>28393.279999999999</v>
      </c>
      <c r="X55" s="5">
        <v>15048.44</v>
      </c>
      <c r="Y55" s="5">
        <v>9341.39</v>
      </c>
      <c r="Z55" s="5">
        <v>4003.45</v>
      </c>
      <c r="AA55" s="3">
        <v>0</v>
      </c>
    </row>
    <row r="56" spans="1:27" ht="28.5">
      <c r="A56" s="3" t="s">
        <v>28</v>
      </c>
      <c r="B56" s="3" t="s">
        <v>29</v>
      </c>
      <c r="C56" s="3" t="s">
        <v>41</v>
      </c>
      <c r="D56" s="3" t="s">
        <v>41</v>
      </c>
      <c r="E56" s="3" t="s">
        <v>30</v>
      </c>
      <c r="F56" s="3" t="s">
        <v>30</v>
      </c>
      <c r="G56" s="3">
        <v>2017</v>
      </c>
      <c r="H56" s="3" t="str">
        <f>CONCATENATE("54270352849")</f>
        <v>54270352849</v>
      </c>
      <c r="I56" s="3" t="s">
        <v>31</v>
      </c>
      <c r="J56" s="3" t="s">
        <v>32</v>
      </c>
      <c r="K56" s="3" t="str">
        <f t="shared" si="5"/>
        <v/>
      </c>
      <c r="L56" s="3" t="str">
        <f>CONCATENATE("19 19.2 6b")</f>
        <v>19 19.2 6b</v>
      </c>
      <c r="M56" s="3" t="str">
        <f>CONCATENATE("02565260417")</f>
        <v>02565260417</v>
      </c>
      <c r="N56" s="3" t="s">
        <v>134</v>
      </c>
      <c r="O56" s="3" t="s">
        <v>33</v>
      </c>
      <c r="P56" s="3" t="s">
        <v>133</v>
      </c>
      <c r="Q56" s="4">
        <v>45993</v>
      </c>
      <c r="R56" s="3" t="s">
        <v>34</v>
      </c>
      <c r="S56" s="3" t="s">
        <v>36</v>
      </c>
      <c r="T56" s="3" t="s">
        <v>35</v>
      </c>
      <c r="U56" s="3"/>
      <c r="V56" s="3" t="s">
        <v>33</v>
      </c>
      <c r="W56" s="5">
        <v>23566.48</v>
      </c>
      <c r="X56" s="5">
        <v>12490.23</v>
      </c>
      <c r="Y56" s="5">
        <v>7753.37</v>
      </c>
      <c r="Z56" s="5">
        <v>3322.88</v>
      </c>
      <c r="AA56" s="3">
        <v>0</v>
      </c>
    </row>
    <row r="57" spans="1:27" ht="55.5">
      <c r="A57" s="3" t="s">
        <v>28</v>
      </c>
      <c r="B57" s="3" t="s">
        <v>29</v>
      </c>
      <c r="C57" s="3" t="s">
        <v>41</v>
      </c>
      <c r="D57" s="3" t="s">
        <v>44</v>
      </c>
      <c r="E57" s="3" t="s">
        <v>30</v>
      </c>
      <c r="F57" s="3" t="s">
        <v>30</v>
      </c>
      <c r="G57" s="3">
        <v>2017</v>
      </c>
      <c r="H57" s="3" t="str">
        <f>CONCATENATE("54270358184")</f>
        <v>54270358184</v>
      </c>
      <c r="I57" s="3" t="s">
        <v>31</v>
      </c>
      <c r="J57" s="3" t="s">
        <v>32</v>
      </c>
      <c r="K57" s="3" t="str">
        <f t="shared" si="5"/>
        <v/>
      </c>
      <c r="L57" s="3" t="str">
        <f>CONCATENATE("4 4.1 2a")</f>
        <v>4 4.1 2a</v>
      </c>
      <c r="M57" s="3" t="str">
        <f>CONCATENATE("MTTMRA57T19F524A")</f>
        <v>MTTMRA57T19F524A</v>
      </c>
      <c r="N57" s="3" t="s">
        <v>135</v>
      </c>
      <c r="O57" s="3" t="s">
        <v>33</v>
      </c>
      <c r="P57" s="3" t="s">
        <v>136</v>
      </c>
      <c r="Q57" s="4">
        <v>45993</v>
      </c>
      <c r="R57" s="3" t="s">
        <v>34</v>
      </c>
      <c r="S57" s="3" t="s">
        <v>36</v>
      </c>
      <c r="T57" s="3" t="s">
        <v>35</v>
      </c>
      <c r="U57" s="3"/>
      <c r="V57" s="3" t="s">
        <v>33</v>
      </c>
      <c r="W57" s="5">
        <v>29508.9</v>
      </c>
      <c r="X57" s="5">
        <v>15639.72</v>
      </c>
      <c r="Y57" s="5">
        <v>9708.43</v>
      </c>
      <c r="Z57" s="5">
        <v>4160.75</v>
      </c>
      <c r="AA57" s="3">
        <v>0</v>
      </c>
    </row>
    <row r="58" spans="1:27" ht="28.5">
      <c r="A58" s="3" t="s">
        <v>28</v>
      </c>
      <c r="B58" s="3" t="s">
        <v>29</v>
      </c>
      <c r="C58" s="3" t="s">
        <v>41</v>
      </c>
      <c r="D58" s="3" t="s">
        <v>44</v>
      </c>
      <c r="E58" s="3" t="s">
        <v>30</v>
      </c>
      <c r="F58" s="3" t="s">
        <v>30</v>
      </c>
      <c r="G58" s="3">
        <v>2017</v>
      </c>
      <c r="H58" s="3" t="str">
        <f>CONCATENATE("54270357004")</f>
        <v>54270357004</v>
      </c>
      <c r="I58" s="3" t="s">
        <v>31</v>
      </c>
      <c r="J58" s="3" t="s">
        <v>32</v>
      </c>
      <c r="K58" s="3" t="str">
        <f t="shared" si="5"/>
        <v/>
      </c>
      <c r="L58" s="3" t="str">
        <f>CONCATENATE("19 19.3 6b")</f>
        <v>19 19.3 6b</v>
      </c>
      <c r="M58" s="3" t="str">
        <f>CONCATENATE("01377760416")</f>
        <v>01377760416</v>
      </c>
      <c r="N58" s="3" t="s">
        <v>128</v>
      </c>
      <c r="O58" s="3" t="s">
        <v>33</v>
      </c>
      <c r="P58" s="3" t="s">
        <v>137</v>
      </c>
      <c r="Q58" s="4">
        <v>45992</v>
      </c>
      <c r="R58" s="3" t="s">
        <v>34</v>
      </c>
      <c r="S58" s="3" t="s">
        <v>36</v>
      </c>
      <c r="T58" s="3" t="s">
        <v>35</v>
      </c>
      <c r="U58" s="3"/>
      <c r="V58" s="3" t="s">
        <v>33</v>
      </c>
      <c r="W58" s="5">
        <v>39999.99</v>
      </c>
      <c r="X58" s="5">
        <v>21199.99</v>
      </c>
      <c r="Y58" s="5">
        <v>13160</v>
      </c>
      <c r="Z58" s="5">
        <v>5640</v>
      </c>
      <c r="AA58" s="3">
        <v>0</v>
      </c>
    </row>
    <row r="59" spans="1:27" ht="28.5">
      <c r="A59" s="3" t="s">
        <v>28</v>
      </c>
      <c r="B59" s="3" t="s">
        <v>29</v>
      </c>
      <c r="C59" s="3" t="s">
        <v>41</v>
      </c>
      <c r="D59" s="3" t="s">
        <v>41</v>
      </c>
      <c r="E59" s="3" t="s">
        <v>30</v>
      </c>
      <c r="F59" s="3" t="s">
        <v>30</v>
      </c>
      <c r="G59" s="3">
        <v>2017</v>
      </c>
      <c r="H59" s="3" t="str">
        <f>CONCATENATE("54270358879")</f>
        <v>54270358879</v>
      </c>
      <c r="I59" s="3" t="s">
        <v>31</v>
      </c>
      <c r="J59" s="3" t="s">
        <v>32</v>
      </c>
      <c r="K59" s="3" t="str">
        <f t="shared" si="5"/>
        <v/>
      </c>
      <c r="L59" s="3" t="str">
        <f>CONCATENATE("19 19.2 6b")</f>
        <v>19 19.2 6b</v>
      </c>
      <c r="M59" s="3" t="str">
        <f>CONCATENATE("82001930419")</f>
        <v>82001930419</v>
      </c>
      <c r="N59" s="3" t="s">
        <v>97</v>
      </c>
      <c r="O59" s="3" t="s">
        <v>33</v>
      </c>
      <c r="P59" s="3" t="s">
        <v>138</v>
      </c>
      <c r="Q59" s="4">
        <v>45993</v>
      </c>
      <c r="R59" s="3" t="s">
        <v>34</v>
      </c>
      <c r="S59" s="3" t="s">
        <v>36</v>
      </c>
      <c r="T59" s="3" t="s">
        <v>35</v>
      </c>
      <c r="U59" s="3"/>
      <c r="V59" s="3" t="s">
        <v>33</v>
      </c>
      <c r="W59" s="5">
        <v>60454.09</v>
      </c>
      <c r="X59" s="5">
        <v>32040.67</v>
      </c>
      <c r="Y59" s="5">
        <v>19889.400000000001</v>
      </c>
      <c r="Z59" s="5">
        <v>8524.02</v>
      </c>
      <c r="AA59" s="3">
        <v>0</v>
      </c>
    </row>
    <row r="60" spans="1:27" ht="28.5">
      <c r="A60" s="3" t="s">
        <v>28</v>
      </c>
      <c r="B60" s="3" t="s">
        <v>29</v>
      </c>
      <c r="C60" s="3" t="s">
        <v>41</v>
      </c>
      <c r="D60" s="3" t="s">
        <v>41</v>
      </c>
      <c r="E60" s="3" t="s">
        <v>30</v>
      </c>
      <c r="F60" s="3" t="s">
        <v>30</v>
      </c>
      <c r="G60" s="3">
        <v>2017</v>
      </c>
      <c r="H60" s="3" t="str">
        <f>CONCATENATE("54270353177")</f>
        <v>54270353177</v>
      </c>
      <c r="I60" s="3" t="s">
        <v>31</v>
      </c>
      <c r="J60" s="3" t="s">
        <v>32</v>
      </c>
      <c r="K60" s="3" t="str">
        <f t="shared" si="5"/>
        <v/>
      </c>
      <c r="L60" s="3" t="str">
        <f>CONCATENATE("19 19.2 6b")</f>
        <v>19 19.2 6b</v>
      </c>
      <c r="M60" s="3" t="str">
        <f>CONCATENATE("02069760433")</f>
        <v>02069760433</v>
      </c>
      <c r="N60" s="3" t="s">
        <v>139</v>
      </c>
      <c r="O60" s="3" t="s">
        <v>33</v>
      </c>
      <c r="P60" s="3" t="s">
        <v>140</v>
      </c>
      <c r="Q60" s="4">
        <v>45992</v>
      </c>
      <c r="R60" s="3" t="s">
        <v>34</v>
      </c>
      <c r="S60" s="3" t="s">
        <v>36</v>
      </c>
      <c r="T60" s="3" t="s">
        <v>35</v>
      </c>
      <c r="U60" s="3"/>
      <c r="V60" s="3" t="s">
        <v>33</v>
      </c>
      <c r="W60" s="5">
        <v>50000</v>
      </c>
      <c r="X60" s="5">
        <v>26500</v>
      </c>
      <c r="Y60" s="5">
        <v>16450</v>
      </c>
      <c r="Z60" s="5">
        <v>7050</v>
      </c>
      <c r="AA60" s="3">
        <v>0</v>
      </c>
    </row>
    <row r="61" spans="1:27" ht="46.5">
      <c r="A61" s="3" t="s">
        <v>28</v>
      </c>
      <c r="B61" s="3" t="s">
        <v>29</v>
      </c>
      <c r="C61" s="3" t="s">
        <v>41</v>
      </c>
      <c r="D61" s="3" t="s">
        <v>41</v>
      </c>
      <c r="E61" s="3" t="s">
        <v>30</v>
      </c>
      <c r="F61" s="3" t="s">
        <v>30</v>
      </c>
      <c r="G61" s="3">
        <v>2017</v>
      </c>
      <c r="H61" s="3" t="str">
        <f>CONCATENATE("54270353185")</f>
        <v>54270353185</v>
      </c>
      <c r="I61" s="3" t="s">
        <v>31</v>
      </c>
      <c r="J61" s="3" t="s">
        <v>32</v>
      </c>
      <c r="K61" s="3" t="str">
        <f t="shared" si="5"/>
        <v/>
      </c>
      <c r="L61" s="3" t="str">
        <f>CONCATENATE("19 19.2 6b")</f>
        <v>19 19.2 6b</v>
      </c>
      <c r="M61" s="3" t="str">
        <f>CONCATENATE("NTLDNL72R51D042S")</f>
        <v>NTLDNL72R51D042S</v>
      </c>
      <c r="N61" s="3" t="s">
        <v>141</v>
      </c>
      <c r="O61" s="3" t="s">
        <v>33</v>
      </c>
      <c r="P61" s="3" t="s">
        <v>140</v>
      </c>
      <c r="Q61" s="4">
        <v>45992</v>
      </c>
      <c r="R61" s="3" t="s">
        <v>34</v>
      </c>
      <c r="S61" s="3" t="s">
        <v>36</v>
      </c>
      <c r="T61" s="3" t="s">
        <v>35</v>
      </c>
      <c r="U61" s="3"/>
      <c r="V61" s="3" t="s">
        <v>33</v>
      </c>
      <c r="W61" s="5">
        <v>50000</v>
      </c>
      <c r="X61" s="5">
        <v>26500</v>
      </c>
      <c r="Y61" s="5">
        <v>16450</v>
      </c>
      <c r="Z61" s="5">
        <v>7050</v>
      </c>
      <c r="AA61" s="3">
        <v>0</v>
      </c>
    </row>
    <row r="62" spans="1:27" ht="28.5">
      <c r="A62" s="3" t="s">
        <v>28</v>
      </c>
      <c r="B62" s="3" t="s">
        <v>29</v>
      </c>
      <c r="C62" s="3" t="s">
        <v>41</v>
      </c>
      <c r="D62" s="3" t="s">
        <v>41</v>
      </c>
      <c r="E62" s="3" t="s">
        <v>30</v>
      </c>
      <c r="F62" s="3" t="s">
        <v>30</v>
      </c>
      <c r="G62" s="3">
        <v>2017</v>
      </c>
      <c r="H62" s="3" t="str">
        <f>CONCATENATE("44270309162")</f>
        <v>44270309162</v>
      </c>
      <c r="I62" s="3" t="s">
        <v>31</v>
      </c>
      <c r="J62" s="3" t="s">
        <v>32</v>
      </c>
      <c r="K62" s="3" t="str">
        <f t="shared" si="5"/>
        <v/>
      </c>
      <c r="L62" s="3" t="str">
        <f>CONCATENATE("19 19.2 6b")</f>
        <v>19 19.2 6b</v>
      </c>
      <c r="M62" s="3" t="str">
        <f>CONCATENATE("82000490415")</f>
        <v>82000490415</v>
      </c>
      <c r="N62" s="3" t="s">
        <v>142</v>
      </c>
      <c r="O62" s="3" t="s">
        <v>33</v>
      </c>
      <c r="P62" s="3" t="s">
        <v>143</v>
      </c>
      <c r="Q62" s="4">
        <v>45992</v>
      </c>
      <c r="R62" s="3" t="s">
        <v>34</v>
      </c>
      <c r="S62" s="3" t="s">
        <v>36</v>
      </c>
      <c r="T62" s="3" t="s">
        <v>35</v>
      </c>
      <c r="U62" s="3"/>
      <c r="V62" s="3" t="s">
        <v>33</v>
      </c>
      <c r="W62" s="5">
        <v>38048.559999999998</v>
      </c>
      <c r="X62" s="5">
        <v>20165.740000000002</v>
      </c>
      <c r="Y62" s="5">
        <v>12517.98</v>
      </c>
      <c r="Z62" s="5">
        <v>5364.84</v>
      </c>
      <c r="AA62" s="3">
        <v>0</v>
      </c>
    </row>
    <row r="63" spans="1:27" ht="28.5">
      <c r="A63" s="3" t="s">
        <v>28</v>
      </c>
      <c r="B63" s="3" t="s">
        <v>29</v>
      </c>
      <c r="C63" s="3" t="s">
        <v>41</v>
      </c>
      <c r="D63" s="3" t="s">
        <v>41</v>
      </c>
      <c r="E63" s="3" t="s">
        <v>30</v>
      </c>
      <c r="F63" s="3" t="s">
        <v>30</v>
      </c>
      <c r="G63" s="3">
        <v>2017</v>
      </c>
      <c r="H63" s="3" t="str">
        <f>CONCATENATE("44270309204")</f>
        <v>44270309204</v>
      </c>
      <c r="I63" s="3" t="s">
        <v>31</v>
      </c>
      <c r="J63" s="3" t="s">
        <v>32</v>
      </c>
      <c r="K63" s="3" t="str">
        <f t="shared" si="5"/>
        <v/>
      </c>
      <c r="L63" s="3" t="str">
        <f>CONCATENATE("19 19.2 6b")</f>
        <v>19 19.2 6b</v>
      </c>
      <c r="M63" s="3" t="str">
        <f>CONCATENATE("00360440416")</f>
        <v>00360440416</v>
      </c>
      <c r="N63" s="3" t="s">
        <v>144</v>
      </c>
      <c r="O63" s="3" t="s">
        <v>33</v>
      </c>
      <c r="P63" s="3" t="s">
        <v>145</v>
      </c>
      <c r="Q63" s="4">
        <v>45993</v>
      </c>
      <c r="R63" s="3" t="s">
        <v>34</v>
      </c>
      <c r="S63" s="3" t="s">
        <v>36</v>
      </c>
      <c r="T63" s="3" t="s">
        <v>35</v>
      </c>
      <c r="U63" s="3"/>
      <c r="V63" s="3" t="s">
        <v>33</v>
      </c>
      <c r="W63" s="5">
        <v>20357.68</v>
      </c>
      <c r="X63" s="5">
        <v>10789.57</v>
      </c>
      <c r="Y63" s="5">
        <v>6697.68</v>
      </c>
      <c r="Z63" s="5">
        <v>2870.43</v>
      </c>
      <c r="AA63" s="3">
        <v>0</v>
      </c>
    </row>
    <row r="64" spans="1:27" ht="28.5">
      <c r="A64" s="3" t="s">
        <v>28</v>
      </c>
      <c r="B64" s="3" t="s">
        <v>29</v>
      </c>
      <c r="C64" s="3" t="s">
        <v>41</v>
      </c>
      <c r="D64" s="3" t="s">
        <v>51</v>
      </c>
      <c r="E64" s="3" t="s">
        <v>30</v>
      </c>
      <c r="F64" s="3" t="s">
        <v>30</v>
      </c>
      <c r="G64" s="3">
        <v>2017</v>
      </c>
      <c r="H64" s="3" t="str">
        <f>CONCATENATE("54270362657")</f>
        <v>54270362657</v>
      </c>
      <c r="I64" s="3" t="s">
        <v>37</v>
      </c>
      <c r="J64" s="3" t="s">
        <v>32</v>
      </c>
      <c r="K64" s="3" t="str">
        <f t="shared" si="5"/>
        <v/>
      </c>
      <c r="L64" s="3" t="str">
        <f>CONCATENATE("2 2.1 2a")</f>
        <v>2 2.1 2a</v>
      </c>
      <c r="M64" s="3" t="str">
        <f>CONCATENATE("02858060425")</f>
        <v>02858060425</v>
      </c>
      <c r="N64" s="3" t="s">
        <v>146</v>
      </c>
      <c r="O64" s="3" t="s">
        <v>33</v>
      </c>
      <c r="P64" s="3" t="s">
        <v>147</v>
      </c>
      <c r="Q64" s="4">
        <v>45994</v>
      </c>
      <c r="R64" s="3" t="s">
        <v>34</v>
      </c>
      <c r="S64" s="3" t="s">
        <v>36</v>
      </c>
      <c r="T64" s="3" t="s">
        <v>35</v>
      </c>
      <c r="U64" s="3"/>
      <c r="V64" s="3" t="s">
        <v>33</v>
      </c>
      <c r="W64" s="5">
        <v>25500</v>
      </c>
      <c r="X64" s="5">
        <v>13515</v>
      </c>
      <c r="Y64" s="5">
        <v>8389.5</v>
      </c>
      <c r="Z64" s="5">
        <v>3595.5</v>
      </c>
      <c r="AA64" s="3">
        <v>0</v>
      </c>
    </row>
    <row r="65" spans="1:27" ht="28.5">
      <c r="A65" s="3" t="s">
        <v>28</v>
      </c>
      <c r="B65" s="3" t="s">
        <v>29</v>
      </c>
      <c r="C65" s="3" t="s">
        <v>41</v>
      </c>
      <c r="D65" s="3" t="s">
        <v>41</v>
      </c>
      <c r="E65" s="3" t="s">
        <v>30</v>
      </c>
      <c r="F65" s="3" t="s">
        <v>30</v>
      </c>
      <c r="G65" s="3">
        <v>2017</v>
      </c>
      <c r="H65" s="3" t="str">
        <f>CONCATENATE("54270346767")</f>
        <v>54270346767</v>
      </c>
      <c r="I65" s="3" t="s">
        <v>31</v>
      </c>
      <c r="J65" s="3" t="s">
        <v>32</v>
      </c>
      <c r="K65" s="3" t="str">
        <f t="shared" ref="K65:K70" si="6">CONCATENATE("")</f>
        <v/>
      </c>
      <c r="L65" s="3" t="str">
        <f>CONCATENATE("19 19.2 6b")</f>
        <v>19 19.2 6b</v>
      </c>
      <c r="M65" s="3" t="str">
        <f>CONCATENATE("83002470439")</f>
        <v>83002470439</v>
      </c>
      <c r="N65" s="3" t="s">
        <v>148</v>
      </c>
      <c r="O65" s="3" t="s">
        <v>33</v>
      </c>
      <c r="P65" s="3" t="s">
        <v>149</v>
      </c>
      <c r="Q65" s="4">
        <v>45993</v>
      </c>
      <c r="R65" s="3" t="s">
        <v>34</v>
      </c>
      <c r="S65" s="3" t="s">
        <v>36</v>
      </c>
      <c r="T65" s="3" t="s">
        <v>35</v>
      </c>
      <c r="U65" s="3"/>
      <c r="V65" s="3" t="s">
        <v>33</v>
      </c>
      <c r="W65" s="5">
        <v>27549.919999999998</v>
      </c>
      <c r="X65" s="5">
        <v>14601.46</v>
      </c>
      <c r="Y65" s="5">
        <v>9063.92</v>
      </c>
      <c r="Z65" s="5">
        <v>3884.54</v>
      </c>
      <c r="AA65" s="3">
        <v>0</v>
      </c>
    </row>
    <row r="66" spans="1:27" ht="28.5">
      <c r="A66" s="3" t="s">
        <v>28</v>
      </c>
      <c r="B66" s="3" t="s">
        <v>29</v>
      </c>
      <c r="C66" s="3" t="s">
        <v>41</v>
      </c>
      <c r="D66" s="3" t="s">
        <v>41</v>
      </c>
      <c r="E66" s="3" t="s">
        <v>30</v>
      </c>
      <c r="F66" s="3" t="s">
        <v>30</v>
      </c>
      <c r="G66" s="3">
        <v>2017</v>
      </c>
      <c r="H66" s="3" t="str">
        <f>CONCATENATE("54270363176")</f>
        <v>54270363176</v>
      </c>
      <c r="I66" s="3" t="s">
        <v>31</v>
      </c>
      <c r="J66" s="3" t="s">
        <v>32</v>
      </c>
      <c r="K66" s="3" t="str">
        <f t="shared" si="6"/>
        <v/>
      </c>
      <c r="L66" s="3" t="str">
        <f>CONCATENATE("19 19.2 6b")</f>
        <v>19 19.2 6b</v>
      </c>
      <c r="M66" s="3" t="str">
        <f>CONCATENATE("02624260416")</f>
        <v>02624260416</v>
      </c>
      <c r="N66" s="3" t="s">
        <v>73</v>
      </c>
      <c r="O66" s="3" t="s">
        <v>33</v>
      </c>
      <c r="P66" s="3" t="s">
        <v>150</v>
      </c>
      <c r="Q66" s="4">
        <v>45994</v>
      </c>
      <c r="R66" s="3" t="s">
        <v>34</v>
      </c>
      <c r="S66" s="3" t="s">
        <v>36</v>
      </c>
      <c r="T66" s="3" t="s">
        <v>35</v>
      </c>
      <c r="U66" s="3"/>
      <c r="V66" s="3" t="s">
        <v>33</v>
      </c>
      <c r="W66" s="5">
        <v>92332.91</v>
      </c>
      <c r="X66" s="5">
        <v>48936.44</v>
      </c>
      <c r="Y66" s="5">
        <v>30377.53</v>
      </c>
      <c r="Z66" s="5">
        <v>13018.94</v>
      </c>
      <c r="AA66" s="3">
        <v>0</v>
      </c>
    </row>
    <row r="67" spans="1:27" ht="28.5">
      <c r="A67" s="3" t="s">
        <v>28</v>
      </c>
      <c r="B67" s="3" t="s">
        <v>29</v>
      </c>
      <c r="C67" s="3" t="s">
        <v>41</v>
      </c>
      <c r="D67" s="3" t="s">
        <v>41</v>
      </c>
      <c r="E67" s="3" t="s">
        <v>30</v>
      </c>
      <c r="F67" s="3" t="s">
        <v>30</v>
      </c>
      <c r="G67" s="3">
        <v>2017</v>
      </c>
      <c r="H67" s="3" t="str">
        <f>CONCATENATE("54270363168")</f>
        <v>54270363168</v>
      </c>
      <c r="I67" s="3" t="s">
        <v>31</v>
      </c>
      <c r="J67" s="3" t="s">
        <v>32</v>
      </c>
      <c r="K67" s="3" t="str">
        <f t="shared" si="6"/>
        <v/>
      </c>
      <c r="L67" s="3" t="str">
        <f>CONCATENATE("19 19.2 6b")</f>
        <v>19 19.2 6b</v>
      </c>
      <c r="M67" s="3" t="str">
        <f>CONCATENATE("81005240411")</f>
        <v>81005240411</v>
      </c>
      <c r="N67" s="3" t="s">
        <v>151</v>
      </c>
      <c r="O67" s="3" t="s">
        <v>33</v>
      </c>
      <c r="P67" s="3" t="s">
        <v>150</v>
      </c>
      <c r="Q67" s="4">
        <v>45994</v>
      </c>
      <c r="R67" s="3" t="s">
        <v>34</v>
      </c>
      <c r="S67" s="3" t="s">
        <v>36</v>
      </c>
      <c r="T67" s="3" t="s">
        <v>35</v>
      </c>
      <c r="U67" s="3"/>
      <c r="V67" s="3" t="s">
        <v>33</v>
      </c>
      <c r="W67" s="5">
        <v>91504.71</v>
      </c>
      <c r="X67" s="5">
        <v>48497.5</v>
      </c>
      <c r="Y67" s="5">
        <v>30105.05</v>
      </c>
      <c r="Z67" s="5">
        <v>12902.16</v>
      </c>
      <c r="AA67" s="3">
        <v>0</v>
      </c>
    </row>
    <row r="68" spans="1:27" ht="28.5">
      <c r="A68" s="3" t="s">
        <v>28</v>
      </c>
      <c r="B68" s="3" t="s">
        <v>29</v>
      </c>
      <c r="C68" s="3" t="s">
        <v>41</v>
      </c>
      <c r="D68" s="3" t="s">
        <v>44</v>
      </c>
      <c r="E68" s="3" t="s">
        <v>30</v>
      </c>
      <c r="F68" s="3" t="s">
        <v>30</v>
      </c>
      <c r="G68" s="3">
        <v>2017</v>
      </c>
      <c r="H68" s="3" t="str">
        <f>CONCATENATE("54270358218")</f>
        <v>54270358218</v>
      </c>
      <c r="I68" s="3" t="s">
        <v>31</v>
      </c>
      <c r="J68" s="3" t="s">
        <v>32</v>
      </c>
      <c r="K68" s="3" t="str">
        <f t="shared" si="6"/>
        <v/>
      </c>
      <c r="L68" s="3" t="str">
        <f>CONCATENATE("4 4.2 3a")</f>
        <v>4 4.2 3a</v>
      </c>
      <c r="M68" s="3" t="str">
        <f>CONCATENATE("02055070417")</f>
        <v>02055070417</v>
      </c>
      <c r="N68" s="3" t="s">
        <v>152</v>
      </c>
      <c r="O68" s="3" t="s">
        <v>33</v>
      </c>
      <c r="P68" s="3" t="s">
        <v>153</v>
      </c>
      <c r="Q68" s="4">
        <v>45992</v>
      </c>
      <c r="R68" s="3" t="s">
        <v>34</v>
      </c>
      <c r="S68" s="3" t="s">
        <v>36</v>
      </c>
      <c r="T68" s="3" t="s">
        <v>35</v>
      </c>
      <c r="U68" s="3"/>
      <c r="V68" s="3" t="s">
        <v>33</v>
      </c>
      <c r="W68" s="5">
        <v>407021.27</v>
      </c>
      <c r="X68" s="5">
        <v>215721.27</v>
      </c>
      <c r="Y68" s="5">
        <v>133910</v>
      </c>
      <c r="Z68" s="5">
        <v>57390</v>
      </c>
      <c r="AA68" s="3">
        <v>0</v>
      </c>
    </row>
    <row r="69" spans="1:27" ht="28.5">
      <c r="A69" s="3" t="s">
        <v>28</v>
      </c>
      <c r="B69" s="3" t="s">
        <v>29</v>
      </c>
      <c r="C69" s="3" t="s">
        <v>41</v>
      </c>
      <c r="D69" s="3" t="s">
        <v>44</v>
      </c>
      <c r="E69" s="3" t="s">
        <v>30</v>
      </c>
      <c r="F69" s="3" t="s">
        <v>30</v>
      </c>
      <c r="G69" s="3">
        <v>2017</v>
      </c>
      <c r="H69" s="3" t="str">
        <f>CONCATENATE("54270357251")</f>
        <v>54270357251</v>
      </c>
      <c r="I69" s="3" t="s">
        <v>31</v>
      </c>
      <c r="J69" s="3" t="s">
        <v>32</v>
      </c>
      <c r="K69" s="3" t="str">
        <f t="shared" si="6"/>
        <v/>
      </c>
      <c r="L69" s="3" t="str">
        <f>CONCATENATE("3 3.2 3a")</f>
        <v>3 3.2 3a</v>
      </c>
      <c r="M69" s="3" t="str">
        <f>CONCATENATE("02464490420")</f>
        <v>02464490420</v>
      </c>
      <c r="N69" s="3" t="s">
        <v>154</v>
      </c>
      <c r="O69" s="3" t="s">
        <v>33</v>
      </c>
      <c r="P69" s="3" t="s">
        <v>155</v>
      </c>
      <c r="Q69" s="4">
        <v>45992</v>
      </c>
      <c r="R69" s="3" t="s">
        <v>34</v>
      </c>
      <c r="S69" s="3" t="s">
        <v>36</v>
      </c>
      <c r="T69" s="3" t="s">
        <v>35</v>
      </c>
      <c r="U69" s="3"/>
      <c r="V69" s="3" t="s">
        <v>33</v>
      </c>
      <c r="W69" s="5">
        <v>105937.44</v>
      </c>
      <c r="X69" s="5">
        <v>56146.84</v>
      </c>
      <c r="Y69" s="5">
        <v>34853.42</v>
      </c>
      <c r="Z69" s="5">
        <v>14937.18</v>
      </c>
      <c r="AA69" s="3">
        <v>0</v>
      </c>
    </row>
    <row r="70" spans="1:27" ht="28.5">
      <c r="A70" s="3" t="s">
        <v>28</v>
      </c>
      <c r="B70" s="3" t="s">
        <v>29</v>
      </c>
      <c r="C70" s="3" t="s">
        <v>41</v>
      </c>
      <c r="D70" s="3" t="s">
        <v>41</v>
      </c>
      <c r="E70" s="3" t="s">
        <v>30</v>
      </c>
      <c r="F70" s="3" t="s">
        <v>30</v>
      </c>
      <c r="G70" s="3">
        <v>2017</v>
      </c>
      <c r="H70" s="3" t="str">
        <f>CONCATENATE("54270346809")</f>
        <v>54270346809</v>
      </c>
      <c r="I70" s="3" t="s">
        <v>31</v>
      </c>
      <c r="J70" s="3" t="s">
        <v>32</v>
      </c>
      <c r="K70" s="3" t="str">
        <f t="shared" si="6"/>
        <v/>
      </c>
      <c r="L70" s="3" t="str">
        <f>CONCATENATE("19 19.2 6b")</f>
        <v>19 19.2 6b</v>
      </c>
      <c r="M70" s="3" t="str">
        <f>CONCATENATE("83002690432")</f>
        <v>83002690432</v>
      </c>
      <c r="N70" s="3" t="s">
        <v>156</v>
      </c>
      <c r="O70" s="3" t="s">
        <v>33</v>
      </c>
      <c r="P70" s="3" t="s">
        <v>157</v>
      </c>
      <c r="Q70" s="4">
        <v>45993</v>
      </c>
      <c r="R70" s="3" t="s">
        <v>34</v>
      </c>
      <c r="S70" s="3" t="s">
        <v>36</v>
      </c>
      <c r="T70" s="3" t="s">
        <v>35</v>
      </c>
      <c r="U70" s="3"/>
      <c r="V70" s="3" t="s">
        <v>33</v>
      </c>
      <c r="W70" s="5">
        <v>3395</v>
      </c>
      <c r="X70" s="5">
        <v>1799.35</v>
      </c>
      <c r="Y70" s="5">
        <v>1116.96</v>
      </c>
      <c r="Z70" s="3">
        <v>478.69</v>
      </c>
      <c r="AA70" s="3">
        <v>0</v>
      </c>
    </row>
    <row r="71" spans="1:27" ht="28.5">
      <c r="A71" s="3" t="s">
        <v>28</v>
      </c>
      <c r="B71" s="3" t="s">
        <v>29</v>
      </c>
      <c r="C71" s="3" t="s">
        <v>41</v>
      </c>
      <c r="D71" s="3" t="s">
        <v>51</v>
      </c>
      <c r="E71" s="3" t="s">
        <v>30</v>
      </c>
      <c r="F71" s="3" t="s">
        <v>30</v>
      </c>
      <c r="G71" s="3">
        <v>2017</v>
      </c>
      <c r="H71" s="3" t="str">
        <f>CONCATENATE("54270359158")</f>
        <v>54270359158</v>
      </c>
      <c r="I71" s="3" t="s">
        <v>31</v>
      </c>
      <c r="J71" s="3" t="s">
        <v>32</v>
      </c>
      <c r="K71" s="3" t="str">
        <f t="shared" ref="K71:K76" si="7">CONCATENATE("")</f>
        <v/>
      </c>
      <c r="L71" s="3" t="str">
        <f>CONCATENATE("16 16.9 2a")</f>
        <v>16 16.9 2a</v>
      </c>
      <c r="M71" s="3" t="str">
        <f>CONCATENATE("02816620427")</f>
        <v>02816620427</v>
      </c>
      <c r="N71" s="3" t="s">
        <v>158</v>
      </c>
      <c r="O71" s="3" t="s">
        <v>33</v>
      </c>
      <c r="P71" s="3" t="s">
        <v>159</v>
      </c>
      <c r="Q71" s="4">
        <v>45992</v>
      </c>
      <c r="R71" s="3" t="s">
        <v>34</v>
      </c>
      <c r="S71" s="3" t="s">
        <v>36</v>
      </c>
      <c r="T71" s="3" t="s">
        <v>35</v>
      </c>
      <c r="U71" s="3"/>
      <c r="V71" s="3" t="s">
        <v>33</v>
      </c>
      <c r="W71" s="5">
        <v>49862</v>
      </c>
      <c r="X71" s="5">
        <v>26426.86</v>
      </c>
      <c r="Y71" s="5">
        <v>16404.599999999999</v>
      </c>
      <c r="Z71" s="5">
        <v>7030.54</v>
      </c>
      <c r="AA71" s="3">
        <v>0</v>
      </c>
    </row>
    <row r="72" spans="1:27" ht="28.5">
      <c r="A72" s="3" t="s">
        <v>28</v>
      </c>
      <c r="B72" s="3" t="s">
        <v>29</v>
      </c>
      <c r="C72" s="3" t="s">
        <v>41</v>
      </c>
      <c r="D72" s="3" t="s">
        <v>56</v>
      </c>
      <c r="E72" s="3" t="s">
        <v>30</v>
      </c>
      <c r="F72" s="3" t="s">
        <v>30</v>
      </c>
      <c r="G72" s="3">
        <v>2017</v>
      </c>
      <c r="H72" s="3" t="str">
        <f>CONCATENATE("54270357020")</f>
        <v>54270357020</v>
      </c>
      <c r="I72" s="3" t="s">
        <v>31</v>
      </c>
      <c r="J72" s="3" t="s">
        <v>32</v>
      </c>
      <c r="K72" s="3" t="str">
        <f t="shared" si="7"/>
        <v/>
      </c>
      <c r="L72" s="3" t="str">
        <f>CONCATENATE("19 19.3 6b")</f>
        <v>19 19.3 6b</v>
      </c>
      <c r="M72" s="3" t="str">
        <f>CONCATENATE("01502360447")</f>
        <v>01502360447</v>
      </c>
      <c r="N72" s="3" t="s">
        <v>160</v>
      </c>
      <c r="O72" s="3" t="s">
        <v>33</v>
      </c>
      <c r="P72" s="3" t="s">
        <v>161</v>
      </c>
      <c r="Q72" s="4">
        <v>45992</v>
      </c>
      <c r="R72" s="3" t="s">
        <v>34</v>
      </c>
      <c r="S72" s="3" t="s">
        <v>36</v>
      </c>
      <c r="T72" s="3" t="s">
        <v>35</v>
      </c>
      <c r="U72" s="3"/>
      <c r="V72" s="3" t="s">
        <v>33</v>
      </c>
      <c r="W72" s="5">
        <v>39910.379999999997</v>
      </c>
      <c r="X72" s="5">
        <v>21152.5</v>
      </c>
      <c r="Y72" s="5">
        <v>13130.52</v>
      </c>
      <c r="Z72" s="5">
        <v>5627.36</v>
      </c>
      <c r="AA72" s="3">
        <v>0</v>
      </c>
    </row>
    <row r="73" spans="1:27" ht="46.5">
      <c r="A73" s="3" t="s">
        <v>28</v>
      </c>
      <c r="B73" s="3" t="s">
        <v>29</v>
      </c>
      <c r="C73" s="3" t="s">
        <v>41</v>
      </c>
      <c r="D73" s="3" t="s">
        <v>51</v>
      </c>
      <c r="E73" s="3" t="s">
        <v>30</v>
      </c>
      <c r="F73" s="3" t="s">
        <v>30</v>
      </c>
      <c r="G73" s="3">
        <v>2017</v>
      </c>
      <c r="H73" s="3" t="str">
        <f>CONCATENATE("54270359737")</f>
        <v>54270359737</v>
      </c>
      <c r="I73" s="3" t="s">
        <v>31</v>
      </c>
      <c r="J73" s="3" t="s">
        <v>32</v>
      </c>
      <c r="K73" s="3" t="str">
        <f t="shared" si="7"/>
        <v/>
      </c>
      <c r="L73" s="3" t="str">
        <f>CONCATENATE("2 2.1 2a")</f>
        <v>2 2.1 2a</v>
      </c>
      <c r="M73" s="3" t="str">
        <f>CONCATENATE("PLMLGU74H07E388P")</f>
        <v>PLMLGU74H07E388P</v>
      </c>
      <c r="N73" s="3" t="s">
        <v>162</v>
      </c>
      <c r="O73" s="3" t="s">
        <v>33</v>
      </c>
      <c r="P73" s="3" t="s">
        <v>163</v>
      </c>
      <c r="Q73" s="4">
        <v>45992</v>
      </c>
      <c r="R73" s="3" t="s">
        <v>34</v>
      </c>
      <c r="S73" s="3" t="s">
        <v>36</v>
      </c>
      <c r="T73" s="3" t="s">
        <v>35</v>
      </c>
      <c r="U73" s="3"/>
      <c r="V73" s="3" t="s">
        <v>33</v>
      </c>
      <c r="W73" s="5">
        <v>1296</v>
      </c>
      <c r="X73" s="3">
        <v>686.88</v>
      </c>
      <c r="Y73" s="3">
        <v>426.38</v>
      </c>
      <c r="Z73" s="3">
        <v>182.74</v>
      </c>
      <c r="AA73" s="3">
        <v>0</v>
      </c>
    </row>
    <row r="74" spans="1:27" ht="46.5">
      <c r="A74" s="3" t="s">
        <v>28</v>
      </c>
      <c r="B74" s="3" t="s">
        <v>29</v>
      </c>
      <c r="C74" s="3" t="s">
        <v>41</v>
      </c>
      <c r="D74" s="3" t="s">
        <v>51</v>
      </c>
      <c r="E74" s="3" t="s">
        <v>30</v>
      </c>
      <c r="F74" s="3" t="s">
        <v>30</v>
      </c>
      <c r="G74" s="3">
        <v>2017</v>
      </c>
      <c r="H74" s="3" t="str">
        <f>CONCATENATE("54270359729")</f>
        <v>54270359729</v>
      </c>
      <c r="I74" s="3" t="s">
        <v>31</v>
      </c>
      <c r="J74" s="3" t="s">
        <v>32</v>
      </c>
      <c r="K74" s="3" t="str">
        <f t="shared" si="7"/>
        <v/>
      </c>
      <c r="L74" s="3" t="str">
        <f>CONCATENATE("2 2.1 2a")</f>
        <v>2 2.1 2a</v>
      </c>
      <c r="M74" s="3" t="str">
        <f>CONCATENATE("PLMLGU74H07E388P")</f>
        <v>PLMLGU74H07E388P</v>
      </c>
      <c r="N74" s="3" t="s">
        <v>162</v>
      </c>
      <c r="O74" s="3" t="s">
        <v>33</v>
      </c>
      <c r="P74" s="3" t="s">
        <v>163</v>
      </c>
      <c r="Q74" s="4">
        <v>45992</v>
      </c>
      <c r="R74" s="3" t="s">
        <v>34</v>
      </c>
      <c r="S74" s="3" t="s">
        <v>36</v>
      </c>
      <c r="T74" s="3" t="s">
        <v>35</v>
      </c>
      <c r="U74" s="3"/>
      <c r="V74" s="3" t="s">
        <v>33</v>
      </c>
      <c r="W74" s="5">
        <v>1296</v>
      </c>
      <c r="X74" s="3">
        <v>686.88</v>
      </c>
      <c r="Y74" s="3">
        <v>426.38</v>
      </c>
      <c r="Z74" s="3">
        <v>182.74</v>
      </c>
      <c r="AA74" s="3">
        <v>0</v>
      </c>
    </row>
    <row r="75" spans="1:27" ht="46.5">
      <c r="A75" s="3" t="s">
        <v>28</v>
      </c>
      <c r="B75" s="3" t="s">
        <v>29</v>
      </c>
      <c r="C75" s="3" t="s">
        <v>41</v>
      </c>
      <c r="D75" s="3" t="s">
        <v>51</v>
      </c>
      <c r="E75" s="3" t="s">
        <v>30</v>
      </c>
      <c r="F75" s="3" t="s">
        <v>30</v>
      </c>
      <c r="G75" s="3">
        <v>2017</v>
      </c>
      <c r="H75" s="3" t="str">
        <f>CONCATENATE("54270359745")</f>
        <v>54270359745</v>
      </c>
      <c r="I75" s="3" t="s">
        <v>31</v>
      </c>
      <c r="J75" s="3" t="s">
        <v>32</v>
      </c>
      <c r="K75" s="3" t="str">
        <f t="shared" si="7"/>
        <v/>
      </c>
      <c r="L75" s="3" t="str">
        <f>CONCATENATE("2 2.1 2a")</f>
        <v>2 2.1 2a</v>
      </c>
      <c r="M75" s="3" t="str">
        <f>CONCATENATE("PLMLGU74H07E388P")</f>
        <v>PLMLGU74H07E388P</v>
      </c>
      <c r="N75" s="3" t="s">
        <v>162</v>
      </c>
      <c r="O75" s="3" t="s">
        <v>33</v>
      </c>
      <c r="P75" s="3" t="s">
        <v>163</v>
      </c>
      <c r="Q75" s="4">
        <v>45992</v>
      </c>
      <c r="R75" s="3" t="s">
        <v>34</v>
      </c>
      <c r="S75" s="3" t="s">
        <v>36</v>
      </c>
      <c r="T75" s="3" t="s">
        <v>35</v>
      </c>
      <c r="U75" s="3"/>
      <c r="V75" s="3" t="s">
        <v>33</v>
      </c>
      <c r="W75" s="5">
        <v>1296</v>
      </c>
      <c r="X75" s="3">
        <v>686.88</v>
      </c>
      <c r="Y75" s="3">
        <v>426.38</v>
      </c>
      <c r="Z75" s="3">
        <v>182.74</v>
      </c>
      <c r="AA75" s="3">
        <v>0</v>
      </c>
    </row>
    <row r="76" spans="1:27" ht="28.5">
      <c r="A76" s="3" t="s">
        <v>28</v>
      </c>
      <c r="B76" s="3" t="s">
        <v>29</v>
      </c>
      <c r="C76" s="3" t="s">
        <v>41</v>
      </c>
      <c r="D76" s="3" t="s">
        <v>41</v>
      </c>
      <c r="E76" s="3" t="s">
        <v>30</v>
      </c>
      <c r="F76" s="3" t="s">
        <v>30</v>
      </c>
      <c r="G76" s="3">
        <v>2017</v>
      </c>
      <c r="H76" s="3" t="str">
        <f>CONCATENATE("54270353201")</f>
        <v>54270353201</v>
      </c>
      <c r="I76" s="3" t="s">
        <v>31</v>
      </c>
      <c r="J76" s="3" t="s">
        <v>32</v>
      </c>
      <c r="K76" s="3" t="str">
        <f t="shared" si="7"/>
        <v/>
      </c>
      <c r="L76" s="3" t="str">
        <f>CONCATENATE("19 19.2 6b")</f>
        <v>19 19.2 6b</v>
      </c>
      <c r="M76" s="3" t="str">
        <f>CONCATENATE("00129020418")</f>
        <v>00129020418</v>
      </c>
      <c r="N76" s="3" t="s">
        <v>164</v>
      </c>
      <c r="O76" s="3" t="s">
        <v>33</v>
      </c>
      <c r="P76" s="3" t="s">
        <v>165</v>
      </c>
      <c r="Q76" s="4">
        <v>45992</v>
      </c>
      <c r="R76" s="3" t="s">
        <v>34</v>
      </c>
      <c r="S76" s="3" t="s">
        <v>36</v>
      </c>
      <c r="T76" s="3" t="s">
        <v>35</v>
      </c>
      <c r="U76" s="3"/>
      <c r="V76" s="3" t="s">
        <v>33</v>
      </c>
      <c r="W76" s="5">
        <v>26380.63</v>
      </c>
      <c r="X76" s="5">
        <v>13981.73</v>
      </c>
      <c r="Y76" s="5">
        <v>8679.23</v>
      </c>
      <c r="Z76" s="5">
        <v>3719.67</v>
      </c>
      <c r="AA76" s="3">
        <v>0</v>
      </c>
    </row>
    <row r="77" spans="1:27" ht="28.5">
      <c r="A77" s="3" t="s">
        <v>28</v>
      </c>
      <c r="B77" s="3" t="s">
        <v>29</v>
      </c>
      <c r="C77" s="3" t="s">
        <v>41</v>
      </c>
      <c r="D77" s="3" t="s">
        <v>59</v>
      </c>
      <c r="E77" s="3" t="s">
        <v>30</v>
      </c>
      <c r="F77" s="3" t="s">
        <v>30</v>
      </c>
      <c r="G77" s="3">
        <v>2017</v>
      </c>
      <c r="H77" s="3" t="str">
        <f>CONCATENATE("54270358903")</f>
        <v>54270358903</v>
      </c>
      <c r="I77" s="3" t="s">
        <v>31</v>
      </c>
      <c r="J77" s="3" t="s">
        <v>32</v>
      </c>
      <c r="K77" s="3" t="str">
        <f>CONCATENATE("")</f>
        <v/>
      </c>
      <c r="L77" s="3" t="str">
        <f>CONCATENATE("6 6.1 2b")</f>
        <v>6 6.1 2b</v>
      </c>
      <c r="M77" s="3" t="str">
        <f>CONCATENATE("02031400431")</f>
        <v>02031400431</v>
      </c>
      <c r="N77" s="3" t="s">
        <v>166</v>
      </c>
      <c r="O77" s="3" t="s">
        <v>33</v>
      </c>
      <c r="P77" s="3" t="s">
        <v>167</v>
      </c>
      <c r="Q77" s="4">
        <v>45993</v>
      </c>
      <c r="R77" s="3" t="s">
        <v>34</v>
      </c>
      <c r="S77" s="3" t="s">
        <v>36</v>
      </c>
      <c r="T77" s="3" t="s">
        <v>35</v>
      </c>
      <c r="U77" s="3"/>
      <c r="V77" s="3" t="s">
        <v>33</v>
      </c>
      <c r="W77" s="5">
        <v>15000</v>
      </c>
      <c r="X77" s="5">
        <v>7950</v>
      </c>
      <c r="Y77" s="5">
        <v>4935</v>
      </c>
      <c r="Z77" s="5">
        <v>2115</v>
      </c>
      <c r="AA77" s="3">
        <v>0</v>
      </c>
    </row>
  </sheetData>
  <autoFilter ref="A3:AA77"/>
  <mergeCells count="2">
    <mergeCell ref="A1:AA1"/>
    <mergeCell ref="A2:AA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Dettaglio_Domande_Pagabili_AGEA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Secreti</dc:creator>
  <cp:lastModifiedBy>Marco</cp:lastModifiedBy>
  <dcterms:created xsi:type="dcterms:W3CDTF">2025-12-12T21:14:22Z</dcterms:created>
  <dcterms:modified xsi:type="dcterms:W3CDTF">2025-12-15T09:25:49Z</dcterms:modified>
</cp:coreProperties>
</file>