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5\"/>
    </mc:Choice>
  </mc:AlternateContent>
  <xr:revisionPtr revIDLastSave="0" documentId="13_ncr:1_{129F581A-470F-45F2-82AA-821EABF2FF19}" xr6:coauthVersionLast="47" xr6:coauthVersionMax="47" xr10:uidLastSave="{00000000-0000-0000-0000-000000000000}"/>
  <bookViews>
    <workbookView xWindow="4890" yWindow="1440" windowWidth="23055" windowHeight="12945" xr2:uid="{00000000-000D-0000-FFFF-FFFF00000000}"/>
  </bookViews>
  <sheets>
    <sheet name="DOMANDE_PAGATE_REGI_PSR_Decreto" sheetId="1" r:id="rId1"/>
  </sheets>
  <definedNames>
    <definedName name="_xlnm._FilterDatabase" localSheetId="0" hidden="1">DOMANDE_PAGATE_REGI_PSR_Decreto!$A$3:$AA$45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5" i="1" l="1"/>
  <c r="H45" i="1"/>
  <c r="M44" i="1"/>
  <c r="H44" i="1"/>
  <c r="M43" i="1"/>
  <c r="H43" i="1"/>
  <c r="M42" i="1"/>
  <c r="H42" i="1"/>
  <c r="M41" i="1"/>
  <c r="H41" i="1"/>
  <c r="M40" i="1"/>
  <c r="H40" i="1"/>
  <c r="M39" i="1"/>
  <c r="H39" i="1"/>
  <c r="M38" i="1"/>
  <c r="H38" i="1"/>
  <c r="M37" i="1"/>
  <c r="H37" i="1"/>
  <c r="M36" i="1"/>
  <c r="H36" i="1"/>
  <c r="M35" i="1"/>
  <c r="H35" i="1"/>
  <c r="M34" i="1"/>
  <c r="H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M4" i="1"/>
  <c r="H4" i="1"/>
</calcChain>
</file>

<file path=xl/sharedStrings.xml><?xml version="1.0" encoding="utf-8"?>
<sst xmlns="http://schemas.openxmlformats.org/spreadsheetml/2006/main" count="671" uniqueCount="119">
  <si>
    <t>Domande Pagate Decreto 787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</si>
  <si>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</si>
  <si>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</si>
  <si>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</si>
  <si>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</si>
  <si>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</si>
  <si>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</si>
  <si>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</si>
  <si>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</si>
  <si>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</si>
  <si>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</si>
  <si>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</si>
  <si>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</si>
  <si>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</si>
  <si>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</si>
  <si>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</si>
  <si>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</si>
  <si>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</si>
  <si>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</si>
  <si>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</si>
  <si>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</si>
  <si>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</si>
  <si>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</si>
  <si>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</si>
  <si>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</si>
  <si>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</si>
  <si>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</si>
  <si>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</si>
  <si>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</si>
  <si>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</si>
  <si>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MARCHE</t>
  </si>
  <si>
    <t>SERV. DEC. AGRICOLTURA E ALIM. - MACERATA</t>
  </si>
  <si>
    <t>CAA LiberiAgricoltori srl già CAA AGCI srl</t>
  </si>
  <si>
    <t>CAA LiberiAgricoltori - MACERATA - 001</t>
  </si>
  <si>
    <t>NO</t>
  </si>
  <si>
    <t>PSR 2014/2022</t>
  </si>
  <si>
    <t>11 11.2 4b</t>
  </si>
  <si>
    <t>SOCIETA' AGRICOLA FIECCHI ADOLFO SOC. SEMPLICE</t>
  </si>
  <si>
    <t>Anticipo</t>
  </si>
  <si>
    <t>Erogata</t>
  </si>
  <si>
    <t>Co-Finanziato</t>
  </si>
  <si>
    <t>Ordinario</t>
  </si>
  <si>
    <t>SERV. DEC. AGRICOLTURA E ALIMENTAZIONE - PESARO</t>
  </si>
  <si>
    <t>CAA LiberiAgricoltori - PESARO E URBINO - 001</t>
  </si>
  <si>
    <t>13 13.1 4a</t>
  </si>
  <si>
    <t>SOCIETA' AGRICOLA F.LLI SPINACI S.S.</t>
  </si>
  <si>
    <t>AGEA.ASR.2025.1238480</t>
  </si>
  <si>
    <t>Saldo</t>
  </si>
  <si>
    <t>CAA LiberiAgricoltori - MACERATA - 003</t>
  </si>
  <si>
    <t>S.A.M. - SOCIETA' AGRICOLA MARCHIGIANA -S.R.L.</t>
  </si>
  <si>
    <t>CAA LiberiAgricoltori - PESARO E URBINO - 002</t>
  </si>
  <si>
    <t>MSOLLI SAOUSSEN</t>
  </si>
  <si>
    <t>CELESCHI CLAUDIO</t>
  </si>
  <si>
    <t>SERV. DEC. AGRICOLTURA E ALIMENTAZIONE - ANCONA</t>
  </si>
  <si>
    <t>CAA Coldiretti srl</t>
  </si>
  <si>
    <t>CAA Coldiretti - ANCONA - 008</t>
  </si>
  <si>
    <t>SFC SRL</t>
  </si>
  <si>
    <t>CAA CIA srl</t>
  </si>
  <si>
    <t>CAA CIA - MACERATA - 001</t>
  </si>
  <si>
    <t>MACCARI CESARE,LUIGI E ANTONIO</t>
  </si>
  <si>
    <t>CAA Confagricoltura srl</t>
  </si>
  <si>
    <t>CAA Confagricoltura - MACERATA - 001</t>
  </si>
  <si>
    <t>CONTENTI MARCELLO</t>
  </si>
  <si>
    <t>SERV. DEC. AGRICOLTURA E ALIM. -ASCOLI PICENO</t>
  </si>
  <si>
    <t>CAA UNICAA srl</t>
  </si>
  <si>
    <t>CAA UNICAA - ASCOLI PICENO - 004</t>
  </si>
  <si>
    <t>SOCIETA' AGRICOLA FEUDI SALADINI S.S. DI CELANI ALESSIO E CELANI GRAZI</t>
  </si>
  <si>
    <t>CAA Confagricoltura - ASCOLI PICENO - 001</t>
  </si>
  <si>
    <t>LODDO LEONARDO</t>
  </si>
  <si>
    <t>CAA Coldiretti - PESARO E URBINO - 013</t>
  </si>
  <si>
    <t>SOCIETA' AGRICOLA ROBERTI SRL</t>
  </si>
  <si>
    <t>CAA Coldiretti - PESARO E URBINO - 004</t>
  </si>
  <si>
    <t>SOCIETA' AGRICOLA SIMONCINI DI SIMONCINI PIERPAOLO E GIUNGI MANUELA SO</t>
  </si>
  <si>
    <t>MAZZOCCHI DANIELE</t>
  </si>
  <si>
    <t>SPERTI MASSIMILIANO</t>
  </si>
  <si>
    <t>CAA Coldiretti - FERMO - 001</t>
  </si>
  <si>
    <t>MANNOCCHI GABRIELE</t>
  </si>
  <si>
    <t>CAA Coldiretti - ANCONA - 003</t>
  </si>
  <si>
    <t>SOCIETA' AGRICOLA LE STAGIONI DI BOLOGNINI LORENZO &amp; C. SAS</t>
  </si>
  <si>
    <t>MONTIRONI LUCA</t>
  </si>
  <si>
    <t>CAA CIA - ASCOLI PICENO - 004</t>
  </si>
  <si>
    <t>ROSSI GIUSEPPE</t>
  </si>
  <si>
    <t>SOCIETA' AGRICOLA EMINUEL SRL</t>
  </si>
  <si>
    <t>CAA Coldiretti - PESARO E URBINO - 007</t>
  </si>
  <si>
    <t>FILIPPUCCI MICHELE ARCANGELO</t>
  </si>
  <si>
    <t>CAA CIA - ANCONA - 004</t>
  </si>
  <si>
    <t>STELLATO SALVATORE</t>
  </si>
  <si>
    <t>BISACCI SOCIETA' AGRICOLA SEMPLICE</t>
  </si>
  <si>
    <t>CAA CIA - ANCONA - 005</t>
  </si>
  <si>
    <t>CAPPELLINI ENRICO</t>
  </si>
  <si>
    <t>CAA Coldiretti - PESARO E URBINO - 008</t>
  </si>
  <si>
    <t>SI</t>
  </si>
  <si>
    <t>TIBERI GIANFRANCO E GALAVOTTI LINA SOCIETA' SEMPLICE</t>
  </si>
  <si>
    <t>RICOTTA ANDREA</t>
  </si>
  <si>
    <t>PIERANTONI CELESTINO</t>
  </si>
  <si>
    <t>CAA UNICAA - ASCOLI PICENO - 003</t>
  </si>
  <si>
    <t>AGRITARBIO SOCIETA' AGRICOLA SEMPLICE</t>
  </si>
  <si>
    <t>PALMUCCI DIEGO</t>
  </si>
  <si>
    <t>CAA Coldiretti - PESARO E URBINO - 010</t>
  </si>
  <si>
    <t>VENTURI ANTONIO</t>
  </si>
  <si>
    <t>CAA LiberiAgricoltori - MACERATA - 002</t>
  </si>
  <si>
    <t>BOLDRINI ALBINA</t>
  </si>
  <si>
    <t>AGEA.ASR.2025.1240593</t>
  </si>
  <si>
    <t>CAA Coldiretti - MACERATA - 017</t>
  </si>
  <si>
    <t>MATTEI GIANFRANCO</t>
  </si>
  <si>
    <t>CAA Coldiretti - ANCONA - 002</t>
  </si>
  <si>
    <t>MONTUSCHI GIANNI</t>
  </si>
  <si>
    <t>PEDICA MARIA TERESA</t>
  </si>
  <si>
    <t>SOCIETA' AGRICOLA VALLE DI RAGGIANO S.A.S. DI CAGNINI FABRIZIO &amp; C.</t>
  </si>
  <si>
    <t>SORRENTINO ANNA</t>
  </si>
  <si>
    <t>STROPPA RENZO</t>
  </si>
  <si>
    <t>LOIOLI SPURI NISI RICCARDO</t>
  </si>
  <si>
    <t>LORENZOTTI ALDO</t>
  </si>
  <si>
    <t>BONIFAZI MASSIMO</t>
  </si>
  <si>
    <t>CAA AGRISERVIZI s.r.l.</t>
  </si>
  <si>
    <t>CAA AGRISERVIZI - LATINA - 001</t>
  </si>
  <si>
    <t>DI CLAUDIO PATRIZIA</t>
  </si>
  <si>
    <t>TIRABASSI MARCO</t>
  </si>
  <si>
    <t>FIECCHI MASSIMO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</si>
</sst>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45"/>
  <sheetViews>
    <sheetView showGridLines="0" tabSelected="1" topLeftCell="N1" workbookViewId="0">
      <selection activeCell="W4" sqref="W4:Z45"/>
    </sheetView>
  </sheetViews>
  <sheetFormatPr defaultRowHeight="15" x14ac:dyDescent="0.25"/>
  <cols>
    <col min="1" max="1" width="15.5703125" style="1" bestFit="1" customWidth="1"/>
    <col min="2" max="2" width="16.28515625" style="1" bestFit="1" customWidth="1"/>
    <col min="3" max="3" width="7.28515625" style="1" bestFit="1" customWidth="1"/>
    <col min="4" max="4" width="36.5703125" style="1" bestFit="1" customWidth="1"/>
    <col min="5" max="5" width="32.42578125" style="1" bestFit="1" customWidth="1"/>
    <col min="6" max="6" width="36.4257812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0.140625" style="1" bestFit="1" customWidth="1"/>
    <col min="11" max="12" width="17" style="1" bestFit="1" customWidth="1"/>
    <col min="13" max="13" width="4.42578125" style="1" bestFit="1" customWidth="1"/>
    <col min="14" max="14" width="36.5703125" style="1" bestFit="1" customWidth="1"/>
    <col min="15" max="15" width="12.42578125" style="1" bestFit="1" customWidth="1"/>
    <col min="16" max="16" width="18.85546875" style="1" bestFit="1" customWidth="1"/>
    <col min="17" max="17" width="23" style="1" bestFit="1" customWidth="1"/>
    <col min="18" max="18" width="16.28515625" style="1" bestFit="1" customWidth="1"/>
    <col min="19" max="19" width="17.85546875" style="1" bestFit="1" customWidth="1"/>
    <col min="20" max="20" width="20.28515625" style="1" bestFit="1" customWidth="1"/>
    <col min="21" max="21" width="4.85546875" style="1" bestFit="1" customWidth="1"/>
    <col min="22" max="22" width="25.7109375" style="1" bestFit="1" customWidth="1"/>
    <col min="23" max="23" width="18.42578125" style="1" bestFit="1" customWidth="1"/>
    <col min="24" max="24" width="24.5703125" style="1" bestFit="1" customWidth="1"/>
    <col min="25" max="26" width="27.140625" style="1" bestFit="1" customWidth="1"/>
    <col min="27" max="27" width="33.85546875" style="1" bestFit="1" customWidth="1"/>
    <col min="28" max="16384" width="9.140625" style="1"/>
  </cols>
  <sheetData>
    <row r="1" spans="1:27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36.75" hidden="1" x14ac:dyDescent="0.2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>
        <v>2025</v>
      </c>
      <c r="H4" s="3" t="str">
        <f>CONCATENATE("54240501863")</f>
        <v>54240501863</v>
      </c>
      <c r="I4" s="3" t="s">
        <v>34</v>
      </c>
      <c r="J4" s="3" t="s">
        <v>35</v>
      </c>
      <c r="K4" s="3"/>
      <c r="L4" s="3" t="s">
        <v>36</v>
      </c>
      <c r="M4" s="3" t="str">
        <f>CONCATENATE("01089250433")</f>
        <v>01089250433</v>
      </c>
      <c r="N4" s="3" t="s">
        <v>37</v>
      </c>
      <c r="O4" s="3" t="s">
        <v>38</v>
      </c>
      <c r="P4" s="3"/>
      <c r="Q4" s="4">
        <v>45981</v>
      </c>
      <c r="R4" s="3" t="s">
        <v>39</v>
      </c>
      <c r="S4" s="3" t="s">
        <v>38</v>
      </c>
      <c r="T4" s="3" t="s">
        <v>40</v>
      </c>
      <c r="U4" s="3"/>
      <c r="V4" s="3" t="s">
        <v>41</v>
      </c>
      <c r="W4" s="5">
        <v>4318.09</v>
      </c>
      <c r="X4" s="5">
        <v>3238.57</v>
      </c>
      <c r="Y4" s="3">
        <v>755.67</v>
      </c>
      <c r="Z4" s="3">
        <v>323.85000000000002</v>
      </c>
      <c r="AA4" s="3">
        <v>0</v>
      </c>
    </row>
    <row r="5" spans="1:27" ht="36.75" x14ac:dyDescent="0.25">
      <c r="A5" s="3" t="s">
        <v>28</v>
      </c>
      <c r="B5" s="3" t="s">
        <v>29</v>
      </c>
      <c r="C5" s="3" t="s">
        <v>30</v>
      </c>
      <c r="D5" s="3" t="s">
        <v>42</v>
      </c>
      <c r="E5" s="3" t="s">
        <v>32</v>
      </c>
      <c r="F5" s="3" t="s">
        <v>43</v>
      </c>
      <c r="G5" s="3">
        <v>2024</v>
      </c>
      <c r="H5" s="3" t="str">
        <f>CONCATENATE("44210412696")</f>
        <v>44210412696</v>
      </c>
      <c r="I5" s="3" t="s">
        <v>34</v>
      </c>
      <c r="J5" s="3" t="s">
        <v>35</v>
      </c>
      <c r="K5" s="3"/>
      <c r="L5" s="3" t="s">
        <v>44</v>
      </c>
      <c r="M5" s="3" t="str">
        <f>CONCATENATE("02557860414")</f>
        <v>02557860414</v>
      </c>
      <c r="N5" s="3" t="s">
        <v>45</v>
      </c>
      <c r="O5" s="3" t="s">
        <v>41</v>
      </c>
      <c r="P5" s="3" t="s">
        <v>46</v>
      </c>
      <c r="Q5" s="4">
        <v>45975</v>
      </c>
      <c r="R5" s="3" t="s">
        <v>39</v>
      </c>
      <c r="S5" s="3" t="s">
        <v>47</v>
      </c>
      <c r="T5" s="3" t="s">
        <v>40</v>
      </c>
      <c r="U5" s="3"/>
      <c r="V5" s="3" t="s">
        <v>41</v>
      </c>
      <c r="W5" s="3">
        <v>607.85</v>
      </c>
      <c r="X5" s="3">
        <v>455.89</v>
      </c>
      <c r="Y5" s="3">
        <v>106.37</v>
      </c>
      <c r="Z5" s="3">
        <v>45.59</v>
      </c>
      <c r="AA5" s="3">
        <v>0</v>
      </c>
    </row>
    <row r="6" spans="1:27" ht="36.75" hidden="1" x14ac:dyDescent="0.25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48</v>
      </c>
      <c r="G6" s="3">
        <v>2025</v>
      </c>
      <c r="H6" s="3" t="str">
        <f>CONCATENATE("54240516895")</f>
        <v>54240516895</v>
      </c>
      <c r="I6" s="3" t="s">
        <v>34</v>
      </c>
      <c r="J6" s="3" t="s">
        <v>35</v>
      </c>
      <c r="K6" s="3"/>
      <c r="L6" s="3" t="s">
        <v>36</v>
      </c>
      <c r="M6" s="3" t="str">
        <f>CONCATENATE("00275150431")</f>
        <v>00275150431</v>
      </c>
      <c r="N6" s="3" t="s">
        <v>49</v>
      </c>
      <c r="O6" s="3" t="s">
        <v>38</v>
      </c>
      <c r="P6" s="3"/>
      <c r="Q6" s="4">
        <v>45981</v>
      </c>
      <c r="R6" s="3" t="s">
        <v>39</v>
      </c>
      <c r="S6" s="3" t="s">
        <v>38</v>
      </c>
      <c r="T6" s="3" t="s">
        <v>40</v>
      </c>
      <c r="U6" s="3"/>
      <c r="V6" s="3" t="s">
        <v>41</v>
      </c>
      <c r="W6" s="5">
        <v>42367.92</v>
      </c>
      <c r="X6" s="5">
        <v>31775.94</v>
      </c>
      <c r="Y6" s="5">
        <v>7414.39</v>
      </c>
      <c r="Z6" s="5">
        <v>3177.59</v>
      </c>
      <c r="AA6" s="3">
        <v>0</v>
      </c>
    </row>
    <row r="7" spans="1:27" ht="60.75" hidden="1" x14ac:dyDescent="0.25">
      <c r="A7" s="3" t="s">
        <v>28</v>
      </c>
      <c r="B7" s="3" t="s">
        <v>29</v>
      </c>
      <c r="C7" s="3" t="s">
        <v>30</v>
      </c>
      <c r="D7" s="3" t="s">
        <v>42</v>
      </c>
      <c r="E7" s="3" t="s">
        <v>32</v>
      </c>
      <c r="F7" s="3" t="s">
        <v>50</v>
      </c>
      <c r="G7" s="3">
        <v>2025</v>
      </c>
      <c r="H7" s="3" t="str">
        <f>CONCATENATE("54240517984")</f>
        <v>54240517984</v>
      </c>
      <c r="I7" s="3" t="s">
        <v>34</v>
      </c>
      <c r="J7" s="3" t="s">
        <v>35</v>
      </c>
      <c r="K7" s="3"/>
      <c r="L7" s="3" t="s">
        <v>36</v>
      </c>
      <c r="M7" s="3" t="str">
        <f>CONCATENATE("MSLSSN81C71Z352B")</f>
        <v>MSLSSN81C71Z352B</v>
      </c>
      <c r="N7" s="3" t="s">
        <v>51</v>
      </c>
      <c r="O7" s="3" t="s">
        <v>38</v>
      </c>
      <c r="P7" s="3"/>
      <c r="Q7" s="4">
        <v>45981</v>
      </c>
      <c r="R7" s="3" t="s">
        <v>39</v>
      </c>
      <c r="S7" s="3" t="s">
        <v>38</v>
      </c>
      <c r="T7" s="3" t="s">
        <v>40</v>
      </c>
      <c r="U7" s="3"/>
      <c r="V7" s="3" t="s">
        <v>41</v>
      </c>
      <c r="W7" s="3">
        <v>777.24</v>
      </c>
      <c r="X7" s="3">
        <v>582.92999999999995</v>
      </c>
      <c r="Y7" s="3">
        <v>136.02000000000001</v>
      </c>
      <c r="Z7" s="3">
        <v>58.29</v>
      </c>
      <c r="AA7" s="3">
        <v>0</v>
      </c>
    </row>
    <row r="8" spans="1:27" ht="60.75" hidden="1" x14ac:dyDescent="0.25">
      <c r="A8" s="3" t="s">
        <v>28</v>
      </c>
      <c r="B8" s="3" t="s">
        <v>29</v>
      </c>
      <c r="C8" s="3" t="s">
        <v>30</v>
      </c>
      <c r="D8" s="3" t="s">
        <v>42</v>
      </c>
      <c r="E8" s="3" t="s">
        <v>32</v>
      </c>
      <c r="F8" s="3" t="s">
        <v>50</v>
      </c>
      <c r="G8" s="3">
        <v>2025</v>
      </c>
      <c r="H8" s="3" t="str">
        <f>CONCATENATE("54240540879")</f>
        <v>54240540879</v>
      </c>
      <c r="I8" s="3" t="s">
        <v>34</v>
      </c>
      <c r="J8" s="3" t="s">
        <v>35</v>
      </c>
      <c r="K8" s="3"/>
      <c r="L8" s="3" t="s">
        <v>36</v>
      </c>
      <c r="M8" s="3" t="str">
        <f>CONCATENATE("CLSCLD65D10I287A")</f>
        <v>CLSCLD65D10I287A</v>
      </c>
      <c r="N8" s="3" t="s">
        <v>52</v>
      </c>
      <c r="O8" s="3" t="s">
        <v>38</v>
      </c>
      <c r="P8" s="3"/>
      <c r="Q8" s="4">
        <v>45981</v>
      </c>
      <c r="R8" s="3" t="s">
        <v>39</v>
      </c>
      <c r="S8" s="3" t="s">
        <v>38</v>
      </c>
      <c r="T8" s="3" t="s">
        <v>40</v>
      </c>
      <c r="U8" s="3"/>
      <c r="V8" s="3" t="s">
        <v>41</v>
      </c>
      <c r="W8" s="5">
        <v>1654.86</v>
      </c>
      <c r="X8" s="5">
        <v>1241.1500000000001</v>
      </c>
      <c r="Y8" s="3">
        <v>289.60000000000002</v>
      </c>
      <c r="Z8" s="3">
        <v>124.11</v>
      </c>
      <c r="AA8" s="3">
        <v>0</v>
      </c>
    </row>
    <row r="9" spans="1:27" ht="24.75" hidden="1" x14ac:dyDescent="0.25">
      <c r="A9" s="3" t="s">
        <v>28</v>
      </c>
      <c r="B9" s="3" t="s">
        <v>29</v>
      </c>
      <c r="C9" s="3" t="s">
        <v>30</v>
      </c>
      <c r="D9" s="3" t="s">
        <v>53</v>
      </c>
      <c r="E9" s="3" t="s">
        <v>54</v>
      </c>
      <c r="F9" s="3" t="s">
        <v>55</v>
      </c>
      <c r="G9" s="3">
        <v>2025</v>
      </c>
      <c r="H9" s="3" t="str">
        <f>CONCATENATE("54240542313")</f>
        <v>54240542313</v>
      </c>
      <c r="I9" s="3" t="s">
        <v>34</v>
      </c>
      <c r="J9" s="3" t="s">
        <v>35</v>
      </c>
      <c r="K9" s="3"/>
      <c r="L9" s="3" t="s">
        <v>36</v>
      </c>
      <c r="M9" s="3" t="str">
        <f>CONCATENATE("02927660429")</f>
        <v>02927660429</v>
      </c>
      <c r="N9" s="3" t="s">
        <v>56</v>
      </c>
      <c r="O9" s="3" t="s">
        <v>38</v>
      </c>
      <c r="P9" s="3"/>
      <c r="Q9" s="4">
        <v>45981</v>
      </c>
      <c r="R9" s="3" t="s">
        <v>39</v>
      </c>
      <c r="S9" s="3" t="s">
        <v>38</v>
      </c>
      <c r="T9" s="3" t="s">
        <v>40</v>
      </c>
      <c r="U9" s="3"/>
      <c r="V9" s="3" t="s">
        <v>41</v>
      </c>
      <c r="W9" s="3">
        <v>406.21</v>
      </c>
      <c r="X9" s="3">
        <v>304.66000000000003</v>
      </c>
      <c r="Y9" s="3">
        <v>71.09</v>
      </c>
      <c r="Z9" s="3">
        <v>30.46</v>
      </c>
      <c r="AA9" s="3">
        <v>0</v>
      </c>
    </row>
    <row r="10" spans="1:27" hidden="1" x14ac:dyDescent="0.25">
      <c r="A10" s="3" t="s">
        <v>28</v>
      </c>
      <c r="B10" s="3" t="s">
        <v>29</v>
      </c>
      <c r="C10" s="3" t="s">
        <v>30</v>
      </c>
      <c r="D10" s="3" t="s">
        <v>31</v>
      </c>
      <c r="E10" s="3" t="s">
        <v>57</v>
      </c>
      <c r="F10" s="3" t="s">
        <v>58</v>
      </c>
      <c r="G10" s="3">
        <v>2025</v>
      </c>
      <c r="H10" s="3" t="str">
        <f>CONCATENATE("54240546850")</f>
        <v>54240546850</v>
      </c>
      <c r="I10" s="3" t="s">
        <v>34</v>
      </c>
      <c r="J10" s="3" t="s">
        <v>35</v>
      </c>
      <c r="K10" s="3"/>
      <c r="L10" s="3" t="s">
        <v>36</v>
      </c>
      <c r="M10" s="3" t="str">
        <f>CONCATENATE("00316650431")</f>
        <v>00316650431</v>
      </c>
      <c r="N10" s="3" t="s">
        <v>59</v>
      </c>
      <c r="O10" s="3" t="s">
        <v>38</v>
      </c>
      <c r="P10" s="3"/>
      <c r="Q10" s="4">
        <v>45981</v>
      </c>
      <c r="R10" s="3" t="s">
        <v>39</v>
      </c>
      <c r="S10" s="3" t="s">
        <v>38</v>
      </c>
      <c r="T10" s="3" t="s">
        <v>40</v>
      </c>
      <c r="U10" s="3"/>
      <c r="V10" s="3" t="s">
        <v>41</v>
      </c>
      <c r="W10" s="5">
        <v>4909.26</v>
      </c>
      <c r="X10" s="5">
        <v>3681.95</v>
      </c>
      <c r="Y10" s="3">
        <v>859.12</v>
      </c>
      <c r="Z10" s="3">
        <v>368.19</v>
      </c>
      <c r="AA10" s="3">
        <v>0</v>
      </c>
    </row>
    <row r="11" spans="1:27" hidden="1" x14ac:dyDescent="0.25">
      <c r="A11" s="3" t="s">
        <v>28</v>
      </c>
      <c r="B11" s="3" t="s">
        <v>29</v>
      </c>
      <c r="C11" s="3" t="s">
        <v>30</v>
      </c>
      <c r="D11" s="3" t="s">
        <v>31</v>
      </c>
      <c r="E11" s="3" t="s">
        <v>60</v>
      </c>
      <c r="F11" s="3" t="s">
        <v>61</v>
      </c>
      <c r="G11" s="3">
        <v>2025</v>
      </c>
      <c r="H11" s="3" t="str">
        <f>CONCATENATE("54240559614")</f>
        <v>54240559614</v>
      </c>
      <c r="I11" s="3" t="s">
        <v>34</v>
      </c>
      <c r="J11" s="3" t="s">
        <v>35</v>
      </c>
      <c r="K11" s="3"/>
      <c r="L11" s="3" t="s">
        <v>36</v>
      </c>
      <c r="M11" s="3" t="str">
        <f>CONCATENATE("CNTMCL57T17C770J")</f>
        <v>CNTMCL57T17C770J</v>
      </c>
      <c r="N11" s="3" t="s">
        <v>62</v>
      </c>
      <c r="O11" s="3" t="s">
        <v>38</v>
      </c>
      <c r="P11" s="3"/>
      <c r="Q11" s="4">
        <v>45981</v>
      </c>
      <c r="R11" s="3" t="s">
        <v>39</v>
      </c>
      <c r="S11" s="3" t="s">
        <v>38</v>
      </c>
      <c r="T11" s="3" t="s">
        <v>40</v>
      </c>
      <c r="U11" s="3"/>
      <c r="V11" s="3" t="s">
        <v>41</v>
      </c>
      <c r="W11" s="5">
        <v>1140.68</v>
      </c>
      <c r="X11" s="3">
        <v>855.51</v>
      </c>
      <c r="Y11" s="3">
        <v>199.62</v>
      </c>
      <c r="Z11" s="3">
        <v>85.55</v>
      </c>
      <c r="AA11" s="3">
        <v>0</v>
      </c>
    </row>
    <row r="12" spans="1:27" ht="24.75" hidden="1" x14ac:dyDescent="0.25">
      <c r="A12" s="3" t="s">
        <v>28</v>
      </c>
      <c r="B12" s="3" t="s">
        <v>29</v>
      </c>
      <c r="C12" s="3" t="s">
        <v>30</v>
      </c>
      <c r="D12" s="3" t="s">
        <v>63</v>
      </c>
      <c r="E12" s="3" t="s">
        <v>64</v>
      </c>
      <c r="F12" s="3" t="s">
        <v>65</v>
      </c>
      <c r="G12" s="3">
        <v>2025</v>
      </c>
      <c r="H12" s="3" t="str">
        <f>CONCATENATE("54240627940")</f>
        <v>54240627940</v>
      </c>
      <c r="I12" s="3" t="s">
        <v>34</v>
      </c>
      <c r="J12" s="3" t="s">
        <v>35</v>
      </c>
      <c r="K12" s="3"/>
      <c r="L12" s="3" t="s">
        <v>36</v>
      </c>
      <c r="M12" s="3" t="str">
        <f>CONCATENATE("02367000441")</f>
        <v>02367000441</v>
      </c>
      <c r="N12" s="3" t="s">
        <v>66</v>
      </c>
      <c r="O12" s="3" t="s">
        <v>38</v>
      </c>
      <c r="P12" s="3"/>
      <c r="Q12" s="4">
        <v>45981</v>
      </c>
      <c r="R12" s="3" t="s">
        <v>39</v>
      </c>
      <c r="S12" s="3" t="s">
        <v>38</v>
      </c>
      <c r="T12" s="3" t="s">
        <v>40</v>
      </c>
      <c r="U12" s="3"/>
      <c r="V12" s="3" t="s">
        <v>41</v>
      </c>
      <c r="W12" s="5">
        <v>96223.41</v>
      </c>
      <c r="X12" s="5">
        <v>72167.56</v>
      </c>
      <c r="Y12" s="5">
        <v>16839.099999999999</v>
      </c>
      <c r="Z12" s="5">
        <v>7216.75</v>
      </c>
      <c r="AA12" s="3">
        <v>0</v>
      </c>
    </row>
    <row r="13" spans="1:27" ht="24.75" hidden="1" x14ac:dyDescent="0.25">
      <c r="A13" s="3" t="s">
        <v>28</v>
      </c>
      <c r="B13" s="3" t="s">
        <v>29</v>
      </c>
      <c r="C13" s="3" t="s">
        <v>30</v>
      </c>
      <c r="D13" s="3" t="s">
        <v>63</v>
      </c>
      <c r="E13" s="3" t="s">
        <v>60</v>
      </c>
      <c r="F13" s="3" t="s">
        <v>67</v>
      </c>
      <c r="G13" s="3">
        <v>2025</v>
      </c>
      <c r="H13" s="3" t="str">
        <f>CONCATENATE("54240666666")</f>
        <v>54240666666</v>
      </c>
      <c r="I13" s="3" t="s">
        <v>34</v>
      </c>
      <c r="J13" s="3" t="s">
        <v>35</v>
      </c>
      <c r="K13" s="3"/>
      <c r="L13" s="3" t="s">
        <v>36</v>
      </c>
      <c r="M13" s="3" t="str">
        <f>CONCATENATE("LDDLRD85C02D542R")</f>
        <v>LDDLRD85C02D542R</v>
      </c>
      <c r="N13" s="3" t="s">
        <v>68</v>
      </c>
      <c r="O13" s="3" t="s">
        <v>38</v>
      </c>
      <c r="P13" s="3"/>
      <c r="Q13" s="4">
        <v>45981</v>
      </c>
      <c r="R13" s="3" t="s">
        <v>39</v>
      </c>
      <c r="S13" s="3" t="s">
        <v>38</v>
      </c>
      <c r="T13" s="3" t="s">
        <v>40</v>
      </c>
      <c r="U13" s="3"/>
      <c r="V13" s="3" t="s">
        <v>41</v>
      </c>
      <c r="W13" s="5">
        <v>12987.78</v>
      </c>
      <c r="X13" s="5">
        <v>9740.84</v>
      </c>
      <c r="Y13" s="5">
        <v>2272.86</v>
      </c>
      <c r="Z13" s="3">
        <v>974.08</v>
      </c>
      <c r="AA13" s="3">
        <v>0</v>
      </c>
    </row>
    <row r="14" spans="1:27" ht="24.75" hidden="1" x14ac:dyDescent="0.25">
      <c r="A14" s="3" t="s">
        <v>28</v>
      </c>
      <c r="B14" s="3" t="s">
        <v>29</v>
      </c>
      <c r="C14" s="3" t="s">
        <v>30</v>
      </c>
      <c r="D14" s="3" t="s">
        <v>42</v>
      </c>
      <c r="E14" s="3" t="s">
        <v>54</v>
      </c>
      <c r="F14" s="3" t="s">
        <v>69</v>
      </c>
      <c r="G14" s="3">
        <v>2025</v>
      </c>
      <c r="H14" s="3" t="str">
        <f>CONCATENATE("54240671385")</f>
        <v>54240671385</v>
      </c>
      <c r="I14" s="3" t="s">
        <v>34</v>
      </c>
      <c r="J14" s="3" t="s">
        <v>35</v>
      </c>
      <c r="K14" s="3"/>
      <c r="L14" s="3" t="s">
        <v>36</v>
      </c>
      <c r="M14" s="3" t="str">
        <f>CONCATENATE("02457920417")</f>
        <v>02457920417</v>
      </c>
      <c r="N14" s="3" t="s">
        <v>70</v>
      </c>
      <c r="O14" s="3" t="s">
        <v>38</v>
      </c>
      <c r="P14" s="3"/>
      <c r="Q14" s="4">
        <v>45981</v>
      </c>
      <c r="R14" s="3" t="s">
        <v>39</v>
      </c>
      <c r="S14" s="3" t="s">
        <v>38</v>
      </c>
      <c r="T14" s="3" t="s">
        <v>40</v>
      </c>
      <c r="U14" s="3"/>
      <c r="V14" s="3" t="s">
        <v>41</v>
      </c>
      <c r="W14" s="5">
        <v>25971.4</v>
      </c>
      <c r="X14" s="5">
        <v>19478.55</v>
      </c>
      <c r="Y14" s="5">
        <v>4545</v>
      </c>
      <c r="Z14" s="5">
        <v>1947.85</v>
      </c>
      <c r="AA14" s="3">
        <v>0</v>
      </c>
    </row>
    <row r="15" spans="1:27" ht="24.75" hidden="1" x14ac:dyDescent="0.25">
      <c r="A15" s="3" t="s">
        <v>28</v>
      </c>
      <c r="B15" s="3" t="s">
        <v>29</v>
      </c>
      <c r="C15" s="3" t="s">
        <v>30</v>
      </c>
      <c r="D15" s="3" t="s">
        <v>42</v>
      </c>
      <c r="E15" s="3" t="s">
        <v>54</v>
      </c>
      <c r="F15" s="3" t="s">
        <v>71</v>
      </c>
      <c r="G15" s="3">
        <v>2025</v>
      </c>
      <c r="H15" s="3" t="str">
        <f>CONCATENATE("54240500485")</f>
        <v>54240500485</v>
      </c>
      <c r="I15" s="3" t="s">
        <v>34</v>
      </c>
      <c r="J15" s="3" t="s">
        <v>35</v>
      </c>
      <c r="K15" s="3"/>
      <c r="L15" s="3" t="s">
        <v>36</v>
      </c>
      <c r="M15" s="3" t="str">
        <f>CONCATENATE("01385210412")</f>
        <v>01385210412</v>
      </c>
      <c r="N15" s="3" t="s">
        <v>72</v>
      </c>
      <c r="O15" s="3" t="s">
        <v>38</v>
      </c>
      <c r="P15" s="3"/>
      <c r="Q15" s="4">
        <v>45981</v>
      </c>
      <c r="R15" s="3" t="s">
        <v>39</v>
      </c>
      <c r="S15" s="3" t="s">
        <v>38</v>
      </c>
      <c r="T15" s="3" t="s">
        <v>40</v>
      </c>
      <c r="U15" s="3"/>
      <c r="V15" s="3" t="s">
        <v>41</v>
      </c>
      <c r="W15" s="5">
        <v>27805.599999999999</v>
      </c>
      <c r="X15" s="5">
        <v>20854.2</v>
      </c>
      <c r="Y15" s="5">
        <v>4865.9799999999996</v>
      </c>
      <c r="Z15" s="5">
        <v>2085.42</v>
      </c>
      <c r="AA15" s="3">
        <v>0</v>
      </c>
    </row>
    <row r="16" spans="1:27" ht="24.75" hidden="1" x14ac:dyDescent="0.25">
      <c r="A16" s="3" t="s">
        <v>28</v>
      </c>
      <c r="B16" s="3" t="s">
        <v>29</v>
      </c>
      <c r="C16" s="3" t="s">
        <v>30</v>
      </c>
      <c r="D16" s="3" t="s">
        <v>42</v>
      </c>
      <c r="E16" s="3" t="s">
        <v>54</v>
      </c>
      <c r="F16" s="3" t="s">
        <v>71</v>
      </c>
      <c r="G16" s="3">
        <v>2025</v>
      </c>
      <c r="H16" s="3" t="str">
        <f>CONCATENATE("54240501038")</f>
        <v>54240501038</v>
      </c>
      <c r="I16" s="3" t="s">
        <v>34</v>
      </c>
      <c r="J16" s="3" t="s">
        <v>35</v>
      </c>
      <c r="K16" s="3"/>
      <c r="L16" s="3" t="s">
        <v>36</v>
      </c>
      <c r="M16" s="3" t="str">
        <f>CONCATENATE("MZZDNL68M27I459V")</f>
        <v>MZZDNL68M27I459V</v>
      </c>
      <c r="N16" s="3" t="s">
        <v>73</v>
      </c>
      <c r="O16" s="3" t="s">
        <v>38</v>
      </c>
      <c r="P16" s="3"/>
      <c r="Q16" s="4">
        <v>45981</v>
      </c>
      <c r="R16" s="3" t="s">
        <v>39</v>
      </c>
      <c r="S16" s="3" t="s">
        <v>38</v>
      </c>
      <c r="T16" s="3" t="s">
        <v>40</v>
      </c>
      <c r="U16" s="3"/>
      <c r="V16" s="3" t="s">
        <v>41</v>
      </c>
      <c r="W16" s="3">
        <v>912.03</v>
      </c>
      <c r="X16" s="3">
        <v>684.02</v>
      </c>
      <c r="Y16" s="3">
        <v>159.61000000000001</v>
      </c>
      <c r="Z16" s="3">
        <v>68.400000000000006</v>
      </c>
      <c r="AA16" s="3">
        <v>0</v>
      </c>
    </row>
    <row r="17" spans="1:27" ht="60.75" hidden="1" x14ac:dyDescent="0.25">
      <c r="A17" s="3" t="s">
        <v>28</v>
      </c>
      <c r="B17" s="3" t="s">
        <v>29</v>
      </c>
      <c r="C17" s="3" t="s">
        <v>30</v>
      </c>
      <c r="D17" s="3" t="s">
        <v>42</v>
      </c>
      <c r="E17" s="3" t="s">
        <v>32</v>
      </c>
      <c r="F17" s="3" t="s">
        <v>50</v>
      </c>
      <c r="G17" s="3">
        <v>2025</v>
      </c>
      <c r="H17" s="3" t="str">
        <f>CONCATENATE("54240502317")</f>
        <v>54240502317</v>
      </c>
      <c r="I17" s="3" t="s">
        <v>34</v>
      </c>
      <c r="J17" s="3" t="s">
        <v>35</v>
      </c>
      <c r="K17" s="3"/>
      <c r="L17" s="3" t="s">
        <v>36</v>
      </c>
      <c r="M17" s="3" t="str">
        <f>CONCATENATE("SPRMSM77C30F205X")</f>
        <v>SPRMSM77C30F205X</v>
      </c>
      <c r="N17" s="3" t="s">
        <v>74</v>
      </c>
      <c r="O17" s="3" t="s">
        <v>38</v>
      </c>
      <c r="P17" s="3"/>
      <c r="Q17" s="4">
        <v>45981</v>
      </c>
      <c r="R17" s="3" t="s">
        <v>39</v>
      </c>
      <c r="S17" s="3" t="s">
        <v>38</v>
      </c>
      <c r="T17" s="3" t="s">
        <v>40</v>
      </c>
      <c r="U17" s="3"/>
      <c r="V17" s="3" t="s">
        <v>41</v>
      </c>
      <c r="W17" s="5">
        <v>3370.41</v>
      </c>
      <c r="X17" s="5">
        <v>2527.81</v>
      </c>
      <c r="Y17" s="3">
        <v>589.82000000000005</v>
      </c>
      <c r="Z17" s="3">
        <v>252.78</v>
      </c>
      <c r="AA17" s="3">
        <v>0</v>
      </c>
    </row>
    <row r="18" spans="1:27" ht="24.75" hidden="1" x14ac:dyDescent="0.25">
      <c r="A18" s="3" t="s">
        <v>28</v>
      </c>
      <c r="B18" s="3" t="s">
        <v>29</v>
      </c>
      <c r="C18" s="3" t="s">
        <v>30</v>
      </c>
      <c r="D18" s="3" t="s">
        <v>63</v>
      </c>
      <c r="E18" s="3" t="s">
        <v>54</v>
      </c>
      <c r="F18" s="3" t="s">
        <v>75</v>
      </c>
      <c r="G18" s="3">
        <v>2025</v>
      </c>
      <c r="H18" s="3" t="str">
        <f>CONCATENATE("54240512621")</f>
        <v>54240512621</v>
      </c>
      <c r="I18" s="3" t="s">
        <v>34</v>
      </c>
      <c r="J18" s="3" t="s">
        <v>35</v>
      </c>
      <c r="K18" s="3"/>
      <c r="L18" s="3" t="s">
        <v>36</v>
      </c>
      <c r="M18" s="3" t="str">
        <f>CONCATENATE("MNNGRL65A07F501C")</f>
        <v>MNNGRL65A07F501C</v>
      </c>
      <c r="N18" s="3" t="s">
        <v>76</v>
      </c>
      <c r="O18" s="3" t="s">
        <v>38</v>
      </c>
      <c r="P18" s="3"/>
      <c r="Q18" s="4">
        <v>45981</v>
      </c>
      <c r="R18" s="3" t="s">
        <v>39</v>
      </c>
      <c r="S18" s="3" t="s">
        <v>38</v>
      </c>
      <c r="T18" s="3" t="s">
        <v>40</v>
      </c>
      <c r="U18" s="3"/>
      <c r="V18" s="3" t="s">
        <v>41</v>
      </c>
      <c r="W18" s="5">
        <v>21709.01</v>
      </c>
      <c r="X18" s="5">
        <v>16281.76</v>
      </c>
      <c r="Y18" s="5">
        <v>3799.08</v>
      </c>
      <c r="Z18" s="5">
        <v>1628.17</v>
      </c>
      <c r="AA18" s="3">
        <v>0</v>
      </c>
    </row>
    <row r="19" spans="1:27" ht="24.75" hidden="1" x14ac:dyDescent="0.25">
      <c r="A19" s="3" t="s">
        <v>28</v>
      </c>
      <c r="B19" s="3" t="s">
        <v>29</v>
      </c>
      <c r="C19" s="3" t="s">
        <v>30</v>
      </c>
      <c r="D19" s="3" t="s">
        <v>53</v>
      </c>
      <c r="E19" s="3" t="s">
        <v>54</v>
      </c>
      <c r="F19" s="3" t="s">
        <v>77</v>
      </c>
      <c r="G19" s="3">
        <v>2025</v>
      </c>
      <c r="H19" s="3" t="str">
        <f>CONCATENATE("54240582632")</f>
        <v>54240582632</v>
      </c>
      <c r="I19" s="3" t="s">
        <v>34</v>
      </c>
      <c r="J19" s="3" t="s">
        <v>35</v>
      </c>
      <c r="K19" s="3"/>
      <c r="L19" s="3" t="s">
        <v>36</v>
      </c>
      <c r="M19" s="3" t="str">
        <f>CONCATENATE("01079040422")</f>
        <v>01079040422</v>
      </c>
      <c r="N19" s="3" t="s">
        <v>78</v>
      </c>
      <c r="O19" s="3" t="s">
        <v>38</v>
      </c>
      <c r="P19" s="3"/>
      <c r="Q19" s="4">
        <v>45981</v>
      </c>
      <c r="R19" s="3" t="s">
        <v>39</v>
      </c>
      <c r="S19" s="3" t="s">
        <v>38</v>
      </c>
      <c r="T19" s="3" t="s">
        <v>40</v>
      </c>
      <c r="U19" s="3"/>
      <c r="V19" s="3" t="s">
        <v>41</v>
      </c>
      <c r="W19" s="3">
        <v>230.49</v>
      </c>
      <c r="X19" s="3">
        <v>172.87</v>
      </c>
      <c r="Y19" s="3">
        <v>40.340000000000003</v>
      </c>
      <c r="Z19" s="3">
        <v>17.28</v>
      </c>
      <c r="AA19" s="3">
        <v>0</v>
      </c>
    </row>
    <row r="20" spans="1:27" ht="60.75" hidden="1" x14ac:dyDescent="0.25">
      <c r="A20" s="3" t="s">
        <v>28</v>
      </c>
      <c r="B20" s="3" t="s">
        <v>29</v>
      </c>
      <c r="C20" s="3" t="s">
        <v>30</v>
      </c>
      <c r="D20" s="3" t="s">
        <v>31</v>
      </c>
      <c r="E20" s="3" t="s">
        <v>32</v>
      </c>
      <c r="F20" s="3" t="s">
        <v>48</v>
      </c>
      <c r="G20" s="3">
        <v>2025</v>
      </c>
      <c r="H20" s="3" t="str">
        <f>CONCATENATE("54240557394")</f>
        <v>54240557394</v>
      </c>
      <c r="I20" s="3" t="s">
        <v>34</v>
      </c>
      <c r="J20" s="3" t="s">
        <v>35</v>
      </c>
      <c r="K20" s="3"/>
      <c r="L20" s="3" t="s">
        <v>36</v>
      </c>
      <c r="M20" s="3" t="str">
        <f>CONCATENATE("MNTLCU85E16H211N")</f>
        <v>MNTLCU85E16H211N</v>
      </c>
      <c r="N20" s="3" t="s">
        <v>79</v>
      </c>
      <c r="O20" s="3" t="s">
        <v>38</v>
      </c>
      <c r="P20" s="3"/>
      <c r="Q20" s="4">
        <v>45981</v>
      </c>
      <c r="R20" s="3" t="s">
        <v>39</v>
      </c>
      <c r="S20" s="3" t="s">
        <v>38</v>
      </c>
      <c r="T20" s="3" t="s">
        <v>40</v>
      </c>
      <c r="U20" s="3"/>
      <c r="V20" s="3" t="s">
        <v>41</v>
      </c>
      <c r="W20" s="5">
        <v>18480.849999999999</v>
      </c>
      <c r="X20" s="5">
        <v>13860.64</v>
      </c>
      <c r="Y20" s="5">
        <v>3234.15</v>
      </c>
      <c r="Z20" s="5">
        <v>1386.06</v>
      </c>
      <c r="AA20" s="3">
        <v>0</v>
      </c>
    </row>
    <row r="21" spans="1:27" ht="72.75" hidden="1" x14ac:dyDescent="0.25">
      <c r="A21" s="3" t="s">
        <v>28</v>
      </c>
      <c r="B21" s="3" t="s">
        <v>29</v>
      </c>
      <c r="C21" s="3" t="s">
        <v>30</v>
      </c>
      <c r="D21" s="3" t="s">
        <v>63</v>
      </c>
      <c r="E21" s="3" t="s">
        <v>57</v>
      </c>
      <c r="F21" s="3" t="s">
        <v>80</v>
      </c>
      <c r="G21" s="3">
        <v>2025</v>
      </c>
      <c r="H21" s="3" t="str">
        <f>CONCATENATE("54240539343")</f>
        <v>54240539343</v>
      </c>
      <c r="I21" s="3" t="s">
        <v>34</v>
      </c>
      <c r="J21" s="3" t="s">
        <v>35</v>
      </c>
      <c r="K21" s="3"/>
      <c r="L21" s="3" t="s">
        <v>36</v>
      </c>
      <c r="M21" s="3" t="str">
        <f>CONCATENATE("RSSGPP49B08A047R")</f>
        <v>RSSGPP49B08A047R</v>
      </c>
      <c r="N21" s="3" t="s">
        <v>81</v>
      </c>
      <c r="O21" s="3" t="s">
        <v>38</v>
      </c>
      <c r="P21" s="3"/>
      <c r="Q21" s="4">
        <v>45981</v>
      </c>
      <c r="R21" s="3" t="s">
        <v>39</v>
      </c>
      <c r="S21" s="3" t="s">
        <v>38</v>
      </c>
      <c r="T21" s="3" t="s">
        <v>40</v>
      </c>
      <c r="U21" s="3"/>
      <c r="V21" s="3" t="s">
        <v>41</v>
      </c>
      <c r="W21" s="5">
        <v>3096.98</v>
      </c>
      <c r="X21" s="5">
        <v>2322.7399999999998</v>
      </c>
      <c r="Y21" s="3">
        <v>541.97</v>
      </c>
      <c r="Z21" s="3">
        <v>232.27</v>
      </c>
      <c r="AA21" s="3">
        <v>0</v>
      </c>
    </row>
    <row r="22" spans="1:27" ht="36.75" hidden="1" x14ac:dyDescent="0.25">
      <c r="A22" s="3" t="s">
        <v>28</v>
      </c>
      <c r="B22" s="3" t="s">
        <v>29</v>
      </c>
      <c r="C22" s="3" t="s">
        <v>30</v>
      </c>
      <c r="D22" s="3" t="s">
        <v>42</v>
      </c>
      <c r="E22" s="3" t="s">
        <v>32</v>
      </c>
      <c r="F22" s="3" t="s">
        <v>50</v>
      </c>
      <c r="G22" s="3">
        <v>2025</v>
      </c>
      <c r="H22" s="3" t="str">
        <f>CONCATENATE("54240519352")</f>
        <v>54240519352</v>
      </c>
      <c r="I22" s="3" t="s">
        <v>34</v>
      </c>
      <c r="J22" s="3" t="s">
        <v>35</v>
      </c>
      <c r="K22" s="3"/>
      <c r="L22" s="3" t="s">
        <v>36</v>
      </c>
      <c r="M22" s="3" t="str">
        <f>CONCATENATE("01048540411")</f>
        <v>01048540411</v>
      </c>
      <c r="N22" s="3" t="s">
        <v>82</v>
      </c>
      <c r="O22" s="3" t="s">
        <v>38</v>
      </c>
      <c r="P22" s="3"/>
      <c r="Q22" s="4">
        <v>45981</v>
      </c>
      <c r="R22" s="3" t="s">
        <v>39</v>
      </c>
      <c r="S22" s="3" t="s">
        <v>38</v>
      </c>
      <c r="T22" s="3" t="s">
        <v>40</v>
      </c>
      <c r="U22" s="3"/>
      <c r="V22" s="3" t="s">
        <v>41</v>
      </c>
      <c r="W22" s="5">
        <v>7533.3</v>
      </c>
      <c r="X22" s="5">
        <v>5649.98</v>
      </c>
      <c r="Y22" s="5">
        <v>1318.33</v>
      </c>
      <c r="Z22" s="3">
        <v>564.99</v>
      </c>
      <c r="AA22" s="3">
        <v>0</v>
      </c>
    </row>
    <row r="23" spans="1:27" ht="60.75" hidden="1" x14ac:dyDescent="0.25">
      <c r="A23" s="3" t="s">
        <v>28</v>
      </c>
      <c r="B23" s="3" t="s">
        <v>29</v>
      </c>
      <c r="C23" s="3" t="s">
        <v>30</v>
      </c>
      <c r="D23" s="3" t="s">
        <v>42</v>
      </c>
      <c r="E23" s="3" t="s">
        <v>54</v>
      </c>
      <c r="F23" s="3" t="s">
        <v>83</v>
      </c>
      <c r="G23" s="3">
        <v>2025</v>
      </c>
      <c r="H23" s="3" t="str">
        <f>CONCATENATE("54240530136")</f>
        <v>54240530136</v>
      </c>
      <c r="I23" s="3" t="s">
        <v>34</v>
      </c>
      <c r="J23" s="3" t="s">
        <v>35</v>
      </c>
      <c r="K23" s="3"/>
      <c r="L23" s="3" t="s">
        <v>36</v>
      </c>
      <c r="M23" s="3" t="str">
        <f>CONCATENATE("FLPMHL55A18G479T")</f>
        <v>FLPMHL55A18G479T</v>
      </c>
      <c r="N23" s="3" t="s">
        <v>84</v>
      </c>
      <c r="O23" s="3" t="s">
        <v>38</v>
      </c>
      <c r="P23" s="3"/>
      <c r="Q23" s="4">
        <v>45981</v>
      </c>
      <c r="R23" s="3" t="s">
        <v>39</v>
      </c>
      <c r="S23" s="3" t="s">
        <v>38</v>
      </c>
      <c r="T23" s="3" t="s">
        <v>40</v>
      </c>
      <c r="U23" s="3"/>
      <c r="V23" s="3" t="s">
        <v>41</v>
      </c>
      <c r="W23" s="5">
        <v>1342.16</v>
      </c>
      <c r="X23" s="5">
        <v>1006.62</v>
      </c>
      <c r="Y23" s="3">
        <v>234.88</v>
      </c>
      <c r="Z23" s="3">
        <v>100.66</v>
      </c>
      <c r="AA23" s="3">
        <v>0</v>
      </c>
    </row>
    <row r="24" spans="1:27" ht="60.75" hidden="1" x14ac:dyDescent="0.25">
      <c r="A24" s="3" t="s">
        <v>28</v>
      </c>
      <c r="B24" s="3" t="s">
        <v>29</v>
      </c>
      <c r="C24" s="3" t="s">
        <v>30</v>
      </c>
      <c r="D24" s="3" t="s">
        <v>53</v>
      </c>
      <c r="E24" s="3" t="s">
        <v>57</v>
      </c>
      <c r="F24" s="3" t="s">
        <v>85</v>
      </c>
      <c r="G24" s="3">
        <v>2025</v>
      </c>
      <c r="H24" s="3" t="str">
        <f>CONCATENATE("54240537537")</f>
        <v>54240537537</v>
      </c>
      <c r="I24" s="3" t="s">
        <v>34</v>
      </c>
      <c r="J24" s="3" t="s">
        <v>35</v>
      </c>
      <c r="K24" s="3"/>
      <c r="L24" s="3" t="s">
        <v>36</v>
      </c>
      <c r="M24" s="3" t="str">
        <f>CONCATENATE("STLSVT80E22B519X")</f>
        <v>STLSVT80E22B519X</v>
      </c>
      <c r="N24" s="3" t="s">
        <v>86</v>
      </c>
      <c r="O24" s="3" t="s">
        <v>38</v>
      </c>
      <c r="P24" s="3"/>
      <c r="Q24" s="4">
        <v>45981</v>
      </c>
      <c r="R24" s="3" t="s">
        <v>39</v>
      </c>
      <c r="S24" s="3" t="s">
        <v>38</v>
      </c>
      <c r="T24" s="3" t="s">
        <v>40</v>
      </c>
      <c r="U24" s="3"/>
      <c r="V24" s="3" t="s">
        <v>41</v>
      </c>
      <c r="W24" s="3">
        <v>798</v>
      </c>
      <c r="X24" s="3">
        <v>598.5</v>
      </c>
      <c r="Y24" s="3">
        <v>139.65</v>
      </c>
      <c r="Z24" s="3">
        <v>59.85</v>
      </c>
      <c r="AA24" s="3">
        <v>0</v>
      </c>
    </row>
    <row r="25" spans="1:27" ht="36.75" hidden="1" x14ac:dyDescent="0.25">
      <c r="A25" s="3" t="s">
        <v>28</v>
      </c>
      <c r="B25" s="3" t="s">
        <v>29</v>
      </c>
      <c r="C25" s="3" t="s">
        <v>30</v>
      </c>
      <c r="D25" s="3" t="s">
        <v>63</v>
      </c>
      <c r="E25" s="3" t="s">
        <v>60</v>
      </c>
      <c r="F25" s="3" t="s">
        <v>61</v>
      </c>
      <c r="G25" s="3">
        <v>2025</v>
      </c>
      <c r="H25" s="3" t="str">
        <f>CONCATENATE("54240541968")</f>
        <v>54240541968</v>
      </c>
      <c r="I25" s="3" t="s">
        <v>34</v>
      </c>
      <c r="J25" s="3" t="s">
        <v>35</v>
      </c>
      <c r="K25" s="3"/>
      <c r="L25" s="3" t="s">
        <v>36</v>
      </c>
      <c r="M25" s="3" t="str">
        <f>CONCATENATE("01061420442")</f>
        <v>01061420442</v>
      </c>
      <c r="N25" s="3" t="s">
        <v>87</v>
      </c>
      <c r="O25" s="3" t="s">
        <v>38</v>
      </c>
      <c r="P25" s="3"/>
      <c r="Q25" s="4">
        <v>45981</v>
      </c>
      <c r="R25" s="3" t="s">
        <v>39</v>
      </c>
      <c r="S25" s="3" t="s">
        <v>38</v>
      </c>
      <c r="T25" s="3" t="s">
        <v>40</v>
      </c>
      <c r="U25" s="3"/>
      <c r="V25" s="3" t="s">
        <v>41</v>
      </c>
      <c r="W25" s="5">
        <v>22802.94</v>
      </c>
      <c r="X25" s="5">
        <v>17102.21</v>
      </c>
      <c r="Y25" s="5">
        <v>3990.51</v>
      </c>
      <c r="Z25" s="5">
        <v>1710.22</v>
      </c>
      <c r="AA25" s="3">
        <v>0</v>
      </c>
    </row>
    <row r="26" spans="1:27" ht="60.75" hidden="1" x14ac:dyDescent="0.25">
      <c r="A26" s="3" t="s">
        <v>28</v>
      </c>
      <c r="B26" s="3" t="s">
        <v>29</v>
      </c>
      <c r="C26" s="3" t="s">
        <v>30</v>
      </c>
      <c r="D26" s="3" t="s">
        <v>53</v>
      </c>
      <c r="E26" s="3" t="s">
        <v>57</v>
      </c>
      <c r="F26" s="3" t="s">
        <v>88</v>
      </c>
      <c r="G26" s="3">
        <v>2025</v>
      </c>
      <c r="H26" s="3" t="str">
        <f>CONCATENATE("54240559275")</f>
        <v>54240559275</v>
      </c>
      <c r="I26" s="3" t="s">
        <v>34</v>
      </c>
      <c r="J26" s="3" t="s">
        <v>35</v>
      </c>
      <c r="K26" s="3"/>
      <c r="L26" s="3" t="s">
        <v>36</v>
      </c>
      <c r="M26" s="3" t="str">
        <f>CONCATENATE("CPPNRC73P28I461J")</f>
        <v>CPPNRC73P28I461J</v>
      </c>
      <c r="N26" s="3" t="s">
        <v>89</v>
      </c>
      <c r="O26" s="3" t="s">
        <v>38</v>
      </c>
      <c r="P26" s="3"/>
      <c r="Q26" s="4">
        <v>45981</v>
      </c>
      <c r="R26" s="3" t="s">
        <v>39</v>
      </c>
      <c r="S26" s="3" t="s">
        <v>38</v>
      </c>
      <c r="T26" s="3" t="s">
        <v>40</v>
      </c>
      <c r="U26" s="3"/>
      <c r="V26" s="3" t="s">
        <v>41</v>
      </c>
      <c r="W26" s="3">
        <v>461.01</v>
      </c>
      <c r="X26" s="3">
        <v>345.76</v>
      </c>
      <c r="Y26" s="3">
        <v>80.680000000000007</v>
      </c>
      <c r="Z26" s="3">
        <v>34.57</v>
      </c>
      <c r="AA26" s="3">
        <v>0</v>
      </c>
    </row>
    <row r="27" spans="1:27" ht="36.75" hidden="1" x14ac:dyDescent="0.25">
      <c r="A27" s="3" t="s">
        <v>28</v>
      </c>
      <c r="B27" s="3" t="s">
        <v>29</v>
      </c>
      <c r="C27" s="3" t="s">
        <v>30</v>
      </c>
      <c r="D27" s="3" t="s">
        <v>42</v>
      </c>
      <c r="E27" s="3" t="s">
        <v>54</v>
      </c>
      <c r="F27" s="3" t="s">
        <v>90</v>
      </c>
      <c r="G27" s="3">
        <v>2025</v>
      </c>
      <c r="H27" s="3" t="str">
        <f>CONCATENATE("54240574894")</f>
        <v>54240574894</v>
      </c>
      <c r="I27" s="3" t="s">
        <v>91</v>
      </c>
      <c r="J27" s="3" t="s">
        <v>35</v>
      </c>
      <c r="K27" s="3"/>
      <c r="L27" s="3" t="s">
        <v>36</v>
      </c>
      <c r="M27" s="3" t="str">
        <f>CONCATENATE("01003490412")</f>
        <v>01003490412</v>
      </c>
      <c r="N27" s="3" t="s">
        <v>92</v>
      </c>
      <c r="O27" s="3" t="s">
        <v>38</v>
      </c>
      <c r="P27" s="3"/>
      <c r="Q27" s="4">
        <v>45981</v>
      </c>
      <c r="R27" s="3" t="s">
        <v>39</v>
      </c>
      <c r="S27" s="3" t="s">
        <v>38</v>
      </c>
      <c r="T27" s="3" t="s">
        <v>40</v>
      </c>
      <c r="U27" s="3"/>
      <c r="V27" s="3" t="s">
        <v>41</v>
      </c>
      <c r="W27" s="5">
        <v>7903.57</v>
      </c>
      <c r="X27" s="5">
        <v>5927.68</v>
      </c>
      <c r="Y27" s="5">
        <v>1383.12</v>
      </c>
      <c r="Z27" s="3">
        <v>592.77</v>
      </c>
      <c r="AA27" s="3">
        <v>0</v>
      </c>
    </row>
    <row r="28" spans="1:27" ht="60.75" hidden="1" x14ac:dyDescent="0.25">
      <c r="A28" s="3" t="s">
        <v>28</v>
      </c>
      <c r="B28" s="3" t="s">
        <v>29</v>
      </c>
      <c r="C28" s="3" t="s">
        <v>30</v>
      </c>
      <c r="D28" s="3" t="s">
        <v>31</v>
      </c>
      <c r="E28" s="3" t="s">
        <v>60</v>
      </c>
      <c r="F28" s="3" t="s">
        <v>61</v>
      </c>
      <c r="G28" s="3">
        <v>2025</v>
      </c>
      <c r="H28" s="3" t="str">
        <f>CONCATENATE("54240578234")</f>
        <v>54240578234</v>
      </c>
      <c r="I28" s="3" t="s">
        <v>34</v>
      </c>
      <c r="J28" s="3" t="s">
        <v>35</v>
      </c>
      <c r="K28" s="3"/>
      <c r="L28" s="3" t="s">
        <v>36</v>
      </c>
      <c r="M28" s="3" t="str">
        <f>CONCATENATE("RCTNDR04P21E783D")</f>
        <v>RCTNDR04P21E783D</v>
      </c>
      <c r="N28" s="3" t="s">
        <v>93</v>
      </c>
      <c r="O28" s="3" t="s">
        <v>38</v>
      </c>
      <c r="P28" s="3"/>
      <c r="Q28" s="4">
        <v>45981</v>
      </c>
      <c r="R28" s="3" t="s">
        <v>39</v>
      </c>
      <c r="S28" s="3" t="s">
        <v>38</v>
      </c>
      <c r="T28" s="3" t="s">
        <v>40</v>
      </c>
      <c r="U28" s="3"/>
      <c r="V28" s="3" t="s">
        <v>41</v>
      </c>
      <c r="W28" s="5">
        <v>7552.27</v>
      </c>
      <c r="X28" s="5">
        <v>5664.2</v>
      </c>
      <c r="Y28" s="5">
        <v>1321.65</v>
      </c>
      <c r="Z28" s="3">
        <v>566.41999999999996</v>
      </c>
      <c r="AA28" s="3">
        <v>0</v>
      </c>
    </row>
    <row r="29" spans="1:27" ht="60.75" hidden="1" x14ac:dyDescent="0.25">
      <c r="A29" s="3" t="s">
        <v>28</v>
      </c>
      <c r="B29" s="3" t="s">
        <v>29</v>
      </c>
      <c r="C29" s="3" t="s">
        <v>30</v>
      </c>
      <c r="D29" s="3" t="s">
        <v>31</v>
      </c>
      <c r="E29" s="3" t="s">
        <v>60</v>
      </c>
      <c r="F29" s="3" t="s">
        <v>61</v>
      </c>
      <c r="G29" s="3">
        <v>2025</v>
      </c>
      <c r="H29" s="3" t="str">
        <f>CONCATENATE("54240604311")</f>
        <v>54240604311</v>
      </c>
      <c r="I29" s="3" t="s">
        <v>34</v>
      </c>
      <c r="J29" s="3" t="s">
        <v>35</v>
      </c>
      <c r="K29" s="3"/>
      <c r="L29" s="3" t="s">
        <v>36</v>
      </c>
      <c r="M29" s="3" t="str">
        <f>CONCATENATE("PRNCST53C08D042W")</f>
        <v>PRNCST53C08D042W</v>
      </c>
      <c r="N29" s="3" t="s">
        <v>94</v>
      </c>
      <c r="O29" s="3" t="s">
        <v>38</v>
      </c>
      <c r="P29" s="3"/>
      <c r="Q29" s="4">
        <v>45981</v>
      </c>
      <c r="R29" s="3" t="s">
        <v>39</v>
      </c>
      <c r="S29" s="3" t="s">
        <v>38</v>
      </c>
      <c r="T29" s="3" t="s">
        <v>40</v>
      </c>
      <c r="U29" s="3"/>
      <c r="V29" s="3" t="s">
        <v>41</v>
      </c>
      <c r="W29" s="5">
        <v>4202.8</v>
      </c>
      <c r="X29" s="5">
        <v>3152.1</v>
      </c>
      <c r="Y29" s="3">
        <v>735.49</v>
      </c>
      <c r="Z29" s="3">
        <v>315.20999999999998</v>
      </c>
      <c r="AA29" s="3">
        <v>0</v>
      </c>
    </row>
    <row r="30" spans="1:27" ht="36.75" hidden="1" x14ac:dyDescent="0.25">
      <c r="A30" s="3" t="s">
        <v>28</v>
      </c>
      <c r="B30" s="3" t="s">
        <v>29</v>
      </c>
      <c r="C30" s="3" t="s">
        <v>30</v>
      </c>
      <c r="D30" s="3" t="s">
        <v>63</v>
      </c>
      <c r="E30" s="3" t="s">
        <v>64</v>
      </c>
      <c r="F30" s="3" t="s">
        <v>95</v>
      </c>
      <c r="G30" s="3">
        <v>2025</v>
      </c>
      <c r="H30" s="3" t="str">
        <f>CONCATENATE("54240629847")</f>
        <v>54240629847</v>
      </c>
      <c r="I30" s="3" t="s">
        <v>34</v>
      </c>
      <c r="J30" s="3" t="s">
        <v>35</v>
      </c>
      <c r="K30" s="3"/>
      <c r="L30" s="3" t="s">
        <v>36</v>
      </c>
      <c r="M30" s="3" t="str">
        <f>CONCATENATE("02387790443")</f>
        <v>02387790443</v>
      </c>
      <c r="N30" s="3" t="s">
        <v>96</v>
      </c>
      <c r="O30" s="3" t="s">
        <v>38</v>
      </c>
      <c r="P30" s="3"/>
      <c r="Q30" s="4">
        <v>45981</v>
      </c>
      <c r="R30" s="3" t="s">
        <v>39</v>
      </c>
      <c r="S30" s="3" t="s">
        <v>38</v>
      </c>
      <c r="T30" s="3" t="s">
        <v>40</v>
      </c>
      <c r="U30" s="3"/>
      <c r="V30" s="3" t="s">
        <v>41</v>
      </c>
      <c r="W30" s="5">
        <v>2911.8</v>
      </c>
      <c r="X30" s="5">
        <v>2183.85</v>
      </c>
      <c r="Y30" s="3">
        <v>509.57</v>
      </c>
      <c r="Z30" s="3">
        <v>218.38</v>
      </c>
      <c r="AA30" s="3">
        <v>0</v>
      </c>
    </row>
    <row r="31" spans="1:27" ht="60.75" hidden="1" x14ac:dyDescent="0.25">
      <c r="A31" s="3" t="s">
        <v>28</v>
      </c>
      <c r="B31" s="3" t="s">
        <v>29</v>
      </c>
      <c r="C31" s="3" t="s">
        <v>30</v>
      </c>
      <c r="D31" s="3" t="s">
        <v>31</v>
      </c>
      <c r="E31" s="3" t="s">
        <v>32</v>
      </c>
      <c r="F31" s="3" t="s">
        <v>48</v>
      </c>
      <c r="G31" s="3">
        <v>2025</v>
      </c>
      <c r="H31" s="3" t="str">
        <f>CONCATENATE("54240631231")</f>
        <v>54240631231</v>
      </c>
      <c r="I31" s="3" t="s">
        <v>34</v>
      </c>
      <c r="J31" s="3" t="s">
        <v>35</v>
      </c>
      <c r="K31" s="3"/>
      <c r="L31" s="3" t="s">
        <v>36</v>
      </c>
      <c r="M31" s="3" t="str">
        <f>CONCATENATE("PLMDGI81A18L366I")</f>
        <v>PLMDGI81A18L366I</v>
      </c>
      <c r="N31" s="3" t="s">
        <v>97</v>
      </c>
      <c r="O31" s="3" t="s">
        <v>38</v>
      </c>
      <c r="P31" s="3"/>
      <c r="Q31" s="4">
        <v>45981</v>
      </c>
      <c r="R31" s="3" t="s">
        <v>39</v>
      </c>
      <c r="S31" s="3" t="s">
        <v>38</v>
      </c>
      <c r="T31" s="3" t="s">
        <v>40</v>
      </c>
      <c r="U31" s="3"/>
      <c r="V31" s="3" t="s">
        <v>41</v>
      </c>
      <c r="W31" s="5">
        <v>1902.49</v>
      </c>
      <c r="X31" s="5">
        <v>1426.87</v>
      </c>
      <c r="Y31" s="3">
        <v>332.94</v>
      </c>
      <c r="Z31" s="3">
        <v>142.68</v>
      </c>
      <c r="AA31" s="3">
        <v>0</v>
      </c>
    </row>
    <row r="32" spans="1:27" ht="60.75" hidden="1" x14ac:dyDescent="0.25">
      <c r="A32" s="3" t="s">
        <v>28</v>
      </c>
      <c r="B32" s="3" t="s">
        <v>29</v>
      </c>
      <c r="C32" s="3" t="s">
        <v>30</v>
      </c>
      <c r="D32" s="3" t="s">
        <v>42</v>
      </c>
      <c r="E32" s="3" t="s">
        <v>54</v>
      </c>
      <c r="F32" s="3" t="s">
        <v>98</v>
      </c>
      <c r="G32" s="3">
        <v>2025</v>
      </c>
      <c r="H32" s="3" t="str">
        <f>CONCATENATE("54240644408")</f>
        <v>54240644408</v>
      </c>
      <c r="I32" s="3" t="s">
        <v>34</v>
      </c>
      <c r="J32" s="3" t="s">
        <v>35</v>
      </c>
      <c r="K32" s="3"/>
      <c r="L32" s="3" t="s">
        <v>36</v>
      </c>
      <c r="M32" s="3" t="str">
        <f>CONCATENATE("VNTNTN74H08F135Z")</f>
        <v>VNTNTN74H08F135Z</v>
      </c>
      <c r="N32" s="3" t="s">
        <v>99</v>
      </c>
      <c r="O32" s="3" t="s">
        <v>38</v>
      </c>
      <c r="P32" s="3"/>
      <c r="Q32" s="4">
        <v>45981</v>
      </c>
      <c r="R32" s="3" t="s">
        <v>39</v>
      </c>
      <c r="S32" s="3" t="s">
        <v>38</v>
      </c>
      <c r="T32" s="3" t="s">
        <v>40</v>
      </c>
      <c r="U32" s="3"/>
      <c r="V32" s="3" t="s">
        <v>41</v>
      </c>
      <c r="W32" s="5">
        <v>7394.85</v>
      </c>
      <c r="X32" s="5">
        <v>5546.14</v>
      </c>
      <c r="Y32" s="5">
        <v>1294.0999999999999</v>
      </c>
      <c r="Z32" s="3">
        <v>554.61</v>
      </c>
      <c r="AA32" s="3">
        <v>0</v>
      </c>
    </row>
    <row r="33" spans="1:27" ht="60.75" x14ac:dyDescent="0.25">
      <c r="A33" s="3" t="s">
        <v>28</v>
      </c>
      <c r="B33" s="3" t="s">
        <v>29</v>
      </c>
      <c r="C33" s="3" t="s">
        <v>30</v>
      </c>
      <c r="D33" s="3" t="s">
        <v>31</v>
      </c>
      <c r="E33" s="3" t="s">
        <v>32</v>
      </c>
      <c r="F33" s="3" t="s">
        <v>100</v>
      </c>
      <c r="G33" s="3">
        <v>2024</v>
      </c>
      <c r="H33" s="3" t="str">
        <f>CONCATENATE("44210070700")</f>
        <v>44210070700</v>
      </c>
      <c r="I33" s="3" t="s">
        <v>91</v>
      </c>
      <c r="J33" s="3" t="s">
        <v>35</v>
      </c>
      <c r="K33" s="3"/>
      <c r="L33" s="3" t="s">
        <v>44</v>
      </c>
      <c r="M33" s="3" t="str">
        <f>CONCATENATE("BLDLBN51A68I661H")</f>
        <v>BLDLBN51A68I661H</v>
      </c>
      <c r="N33" s="3" t="s">
        <v>101</v>
      </c>
      <c r="O33" s="3" t="s">
        <v>41</v>
      </c>
      <c r="P33" s="3" t="s">
        <v>102</v>
      </c>
      <c r="Q33" s="4">
        <v>45975</v>
      </c>
      <c r="R33" s="3" t="s">
        <v>39</v>
      </c>
      <c r="S33" s="3" t="s">
        <v>47</v>
      </c>
      <c r="T33" s="3" t="s">
        <v>40</v>
      </c>
      <c r="U33" s="3"/>
      <c r="V33" s="3" t="s">
        <v>41</v>
      </c>
      <c r="W33" s="3">
        <v>557.29</v>
      </c>
      <c r="X33" s="3">
        <v>417.97</v>
      </c>
      <c r="Y33" s="3">
        <v>97.53</v>
      </c>
      <c r="Z33" s="3">
        <v>41.79</v>
      </c>
      <c r="AA33" s="3">
        <v>0</v>
      </c>
    </row>
    <row r="34" spans="1:27" ht="72.75" x14ac:dyDescent="0.25">
      <c r="A34" s="3" t="s">
        <v>28</v>
      </c>
      <c r="B34" s="3" t="s">
        <v>29</v>
      </c>
      <c r="C34" s="3" t="s">
        <v>30</v>
      </c>
      <c r="D34" s="3" t="s">
        <v>31</v>
      </c>
      <c r="E34" s="3" t="s">
        <v>54</v>
      </c>
      <c r="F34" s="3" t="s">
        <v>103</v>
      </c>
      <c r="G34" s="3">
        <v>2024</v>
      </c>
      <c r="H34" s="3" t="str">
        <f>CONCATENATE("44210099964")</f>
        <v>44210099964</v>
      </c>
      <c r="I34" s="3" t="s">
        <v>34</v>
      </c>
      <c r="J34" s="3" t="s">
        <v>35</v>
      </c>
      <c r="K34" s="3"/>
      <c r="L34" s="3" t="s">
        <v>44</v>
      </c>
      <c r="M34" s="3" t="str">
        <f>CONCATENATE("MTTGFR41R06G690V")</f>
        <v>MTTGFR41R06G690V</v>
      </c>
      <c r="N34" s="3" t="s">
        <v>104</v>
      </c>
      <c r="O34" s="3" t="s">
        <v>41</v>
      </c>
      <c r="P34" s="3" t="s">
        <v>102</v>
      </c>
      <c r="Q34" s="4">
        <v>45975</v>
      </c>
      <c r="R34" s="3" t="s">
        <v>39</v>
      </c>
      <c r="S34" s="3" t="s">
        <v>47</v>
      </c>
      <c r="T34" s="3" t="s">
        <v>40</v>
      </c>
      <c r="U34" s="3"/>
      <c r="V34" s="3" t="s">
        <v>41</v>
      </c>
      <c r="W34" s="3">
        <v>467.29</v>
      </c>
      <c r="X34" s="3">
        <v>350.47</v>
      </c>
      <c r="Y34" s="3">
        <v>81.78</v>
      </c>
      <c r="Z34" s="3">
        <v>35.04</v>
      </c>
      <c r="AA34" s="3">
        <v>0</v>
      </c>
    </row>
    <row r="35" spans="1:27" ht="60.75" x14ac:dyDescent="0.25">
      <c r="A35" s="3" t="s">
        <v>28</v>
      </c>
      <c r="B35" s="3" t="s">
        <v>29</v>
      </c>
      <c r="C35" s="3" t="s">
        <v>30</v>
      </c>
      <c r="D35" s="3" t="s">
        <v>53</v>
      </c>
      <c r="E35" s="3" t="s">
        <v>54</v>
      </c>
      <c r="F35" s="3" t="s">
        <v>105</v>
      </c>
      <c r="G35" s="3">
        <v>2024</v>
      </c>
      <c r="H35" s="3" t="str">
        <f>CONCATENATE("44210167936")</f>
        <v>44210167936</v>
      </c>
      <c r="I35" s="3" t="s">
        <v>91</v>
      </c>
      <c r="J35" s="3" t="s">
        <v>35</v>
      </c>
      <c r="K35" s="3"/>
      <c r="L35" s="3" t="s">
        <v>44</v>
      </c>
      <c r="M35" s="3" t="str">
        <f>CONCATENATE("MNTGNN52S10D451A")</f>
        <v>MNTGNN52S10D451A</v>
      </c>
      <c r="N35" s="3" t="s">
        <v>106</v>
      </c>
      <c r="O35" s="3" t="s">
        <v>41</v>
      </c>
      <c r="P35" s="3" t="s">
        <v>102</v>
      </c>
      <c r="Q35" s="4">
        <v>45975</v>
      </c>
      <c r="R35" s="3" t="s">
        <v>39</v>
      </c>
      <c r="S35" s="3" t="s">
        <v>47</v>
      </c>
      <c r="T35" s="3" t="s">
        <v>40</v>
      </c>
      <c r="U35" s="3"/>
      <c r="V35" s="3" t="s">
        <v>41</v>
      </c>
      <c r="W35" s="3">
        <v>337.33</v>
      </c>
      <c r="X35" s="3">
        <v>253</v>
      </c>
      <c r="Y35" s="3">
        <v>59.03</v>
      </c>
      <c r="Z35" s="3">
        <v>25.3</v>
      </c>
      <c r="AA35" s="3">
        <v>0</v>
      </c>
    </row>
    <row r="36" spans="1:27" ht="72.75" x14ac:dyDescent="0.25">
      <c r="A36" s="3" t="s">
        <v>28</v>
      </c>
      <c r="B36" s="3" t="s">
        <v>29</v>
      </c>
      <c r="C36" s="3" t="s">
        <v>30</v>
      </c>
      <c r="D36" s="3" t="s">
        <v>53</v>
      </c>
      <c r="E36" s="3" t="s">
        <v>54</v>
      </c>
      <c r="F36" s="3" t="s">
        <v>105</v>
      </c>
      <c r="G36" s="3">
        <v>2024</v>
      </c>
      <c r="H36" s="3" t="str">
        <f>CONCATENATE("44210452239")</f>
        <v>44210452239</v>
      </c>
      <c r="I36" s="3" t="s">
        <v>91</v>
      </c>
      <c r="J36" s="3" t="s">
        <v>35</v>
      </c>
      <c r="K36" s="3"/>
      <c r="L36" s="3" t="s">
        <v>44</v>
      </c>
      <c r="M36" s="3" t="str">
        <f>CONCATENATE("PDCMTR50A63D451U")</f>
        <v>PDCMTR50A63D451U</v>
      </c>
      <c r="N36" s="3" t="s">
        <v>107</v>
      </c>
      <c r="O36" s="3" t="s">
        <v>41</v>
      </c>
      <c r="P36" s="3" t="s">
        <v>102</v>
      </c>
      <c r="Q36" s="4">
        <v>45975</v>
      </c>
      <c r="R36" s="3" t="s">
        <v>39</v>
      </c>
      <c r="S36" s="3" t="s">
        <v>47</v>
      </c>
      <c r="T36" s="3" t="s">
        <v>40</v>
      </c>
      <c r="U36" s="3"/>
      <c r="V36" s="3" t="s">
        <v>41</v>
      </c>
      <c r="W36" s="3">
        <v>729.13</v>
      </c>
      <c r="X36" s="3">
        <v>546.85</v>
      </c>
      <c r="Y36" s="3">
        <v>127.6</v>
      </c>
      <c r="Z36" s="3">
        <v>54.68</v>
      </c>
      <c r="AA36" s="3">
        <v>0</v>
      </c>
    </row>
    <row r="37" spans="1:27" ht="36.75" x14ac:dyDescent="0.25">
      <c r="A37" s="3" t="s">
        <v>28</v>
      </c>
      <c r="B37" s="3" t="s">
        <v>29</v>
      </c>
      <c r="C37" s="3" t="s">
        <v>30</v>
      </c>
      <c r="D37" s="3" t="s">
        <v>31</v>
      </c>
      <c r="E37" s="3" t="s">
        <v>32</v>
      </c>
      <c r="F37" s="3" t="s">
        <v>100</v>
      </c>
      <c r="G37" s="3">
        <v>2023</v>
      </c>
      <c r="H37" s="3" t="str">
        <f>CONCATENATE("34210367347")</f>
        <v>34210367347</v>
      </c>
      <c r="I37" s="3" t="s">
        <v>34</v>
      </c>
      <c r="J37" s="3" t="s">
        <v>35</v>
      </c>
      <c r="K37" s="3"/>
      <c r="L37" s="3" t="s">
        <v>44</v>
      </c>
      <c r="M37" s="3" t="str">
        <f>CONCATENATE("01648640439")</f>
        <v>01648640439</v>
      </c>
      <c r="N37" s="3" t="s">
        <v>108</v>
      </c>
      <c r="O37" s="3" t="s">
        <v>41</v>
      </c>
      <c r="P37" s="3" t="s">
        <v>102</v>
      </c>
      <c r="Q37" s="4">
        <v>45975</v>
      </c>
      <c r="R37" s="3" t="s">
        <v>39</v>
      </c>
      <c r="S37" s="3" t="s">
        <v>47</v>
      </c>
      <c r="T37" s="3" t="s">
        <v>40</v>
      </c>
      <c r="U37" s="3"/>
      <c r="V37" s="3" t="s">
        <v>41</v>
      </c>
      <c r="W37" s="5">
        <v>11250</v>
      </c>
      <c r="X37" s="5">
        <v>8437.5</v>
      </c>
      <c r="Y37" s="5">
        <v>1968.75</v>
      </c>
      <c r="Z37" s="3">
        <v>843.75</v>
      </c>
      <c r="AA37" s="3">
        <v>0</v>
      </c>
    </row>
    <row r="38" spans="1:27" ht="60.75" x14ac:dyDescent="0.25">
      <c r="A38" s="3" t="s">
        <v>28</v>
      </c>
      <c r="B38" s="3" t="s">
        <v>29</v>
      </c>
      <c r="C38" s="3" t="s">
        <v>30</v>
      </c>
      <c r="D38" s="3" t="s">
        <v>31</v>
      </c>
      <c r="E38" s="3" t="s">
        <v>54</v>
      </c>
      <c r="F38" s="3" t="s">
        <v>103</v>
      </c>
      <c r="G38" s="3">
        <v>2024</v>
      </c>
      <c r="H38" s="3" t="str">
        <f>CONCATENATE("44210199152")</f>
        <v>44210199152</v>
      </c>
      <c r="I38" s="3" t="s">
        <v>34</v>
      </c>
      <c r="J38" s="3" t="s">
        <v>35</v>
      </c>
      <c r="K38" s="3"/>
      <c r="L38" s="3" t="s">
        <v>44</v>
      </c>
      <c r="M38" s="3" t="str">
        <f>CONCATENATE("SRRNNA55S70G230T")</f>
        <v>SRRNNA55S70G230T</v>
      </c>
      <c r="N38" s="3" t="s">
        <v>109</v>
      </c>
      <c r="O38" s="3" t="s">
        <v>41</v>
      </c>
      <c r="P38" s="3" t="s">
        <v>102</v>
      </c>
      <c r="Q38" s="4">
        <v>45975</v>
      </c>
      <c r="R38" s="3" t="s">
        <v>39</v>
      </c>
      <c r="S38" s="3" t="s">
        <v>47</v>
      </c>
      <c r="T38" s="3" t="s">
        <v>40</v>
      </c>
      <c r="U38" s="3"/>
      <c r="V38" s="3" t="s">
        <v>41</v>
      </c>
      <c r="W38" s="5">
        <v>1797.75</v>
      </c>
      <c r="X38" s="5">
        <v>1348.31</v>
      </c>
      <c r="Y38" s="3">
        <v>314.61</v>
      </c>
      <c r="Z38" s="3">
        <v>134.83000000000001</v>
      </c>
      <c r="AA38" s="3">
        <v>0</v>
      </c>
    </row>
    <row r="39" spans="1:27" ht="60.75" x14ac:dyDescent="0.25">
      <c r="A39" s="3" t="s">
        <v>28</v>
      </c>
      <c r="B39" s="3" t="s">
        <v>29</v>
      </c>
      <c r="C39" s="3" t="s">
        <v>30</v>
      </c>
      <c r="D39" s="3" t="s">
        <v>53</v>
      </c>
      <c r="E39" s="3" t="s">
        <v>54</v>
      </c>
      <c r="F39" s="3" t="s">
        <v>105</v>
      </c>
      <c r="G39" s="3">
        <v>2024</v>
      </c>
      <c r="H39" s="3" t="str">
        <f>CONCATENATE("44211260060")</f>
        <v>44211260060</v>
      </c>
      <c r="I39" s="3" t="s">
        <v>34</v>
      </c>
      <c r="J39" s="3" t="s">
        <v>35</v>
      </c>
      <c r="K39" s="3"/>
      <c r="L39" s="3" t="s">
        <v>44</v>
      </c>
      <c r="M39" s="3" t="str">
        <f>CONCATENATE("STRRNZ60S18D451J")</f>
        <v>STRRNZ60S18D451J</v>
      </c>
      <c r="N39" s="3" t="s">
        <v>110</v>
      </c>
      <c r="O39" s="3" t="s">
        <v>41</v>
      </c>
      <c r="P39" s="3" t="s">
        <v>102</v>
      </c>
      <c r="Q39" s="4">
        <v>45975</v>
      </c>
      <c r="R39" s="3" t="s">
        <v>39</v>
      </c>
      <c r="S39" s="3" t="s">
        <v>47</v>
      </c>
      <c r="T39" s="3" t="s">
        <v>40</v>
      </c>
      <c r="U39" s="3"/>
      <c r="V39" s="3" t="s">
        <v>41</v>
      </c>
      <c r="W39" s="5">
        <v>1266.77</v>
      </c>
      <c r="X39" s="3">
        <v>950.08</v>
      </c>
      <c r="Y39" s="3">
        <v>221.68</v>
      </c>
      <c r="Z39" s="3">
        <v>95.01</v>
      </c>
      <c r="AA39" s="3">
        <v>0</v>
      </c>
    </row>
    <row r="40" spans="1:27" ht="60.75" x14ac:dyDescent="0.25">
      <c r="A40" s="3" t="s">
        <v>28</v>
      </c>
      <c r="B40" s="3" t="s">
        <v>29</v>
      </c>
      <c r="C40" s="3" t="s">
        <v>30</v>
      </c>
      <c r="D40" s="3" t="s">
        <v>53</v>
      </c>
      <c r="E40" s="3" t="s">
        <v>54</v>
      </c>
      <c r="F40" s="3" t="s">
        <v>105</v>
      </c>
      <c r="G40" s="3">
        <v>2024</v>
      </c>
      <c r="H40" s="3" t="str">
        <f>CONCATENATE("44210175244")</f>
        <v>44210175244</v>
      </c>
      <c r="I40" s="3" t="s">
        <v>91</v>
      </c>
      <c r="J40" s="3" t="s">
        <v>35</v>
      </c>
      <c r="K40" s="3"/>
      <c r="L40" s="3" t="s">
        <v>44</v>
      </c>
      <c r="M40" s="3" t="str">
        <f>CONCATENATE("LLSRCR89R03D451W")</f>
        <v>LLSRCR89R03D451W</v>
      </c>
      <c r="N40" s="3" t="s">
        <v>111</v>
      </c>
      <c r="O40" s="3" t="s">
        <v>41</v>
      </c>
      <c r="P40" s="3" t="s">
        <v>102</v>
      </c>
      <c r="Q40" s="4">
        <v>45975</v>
      </c>
      <c r="R40" s="3" t="s">
        <v>39</v>
      </c>
      <c r="S40" s="3" t="s">
        <v>47</v>
      </c>
      <c r="T40" s="3" t="s">
        <v>40</v>
      </c>
      <c r="U40" s="3"/>
      <c r="V40" s="3" t="s">
        <v>41</v>
      </c>
      <c r="W40" s="5">
        <v>1382.96</v>
      </c>
      <c r="X40" s="5">
        <v>1037.22</v>
      </c>
      <c r="Y40" s="3">
        <v>242.02</v>
      </c>
      <c r="Z40" s="3">
        <v>103.72</v>
      </c>
      <c r="AA40" s="3">
        <v>0</v>
      </c>
    </row>
    <row r="41" spans="1:27" ht="60.75" x14ac:dyDescent="0.25">
      <c r="A41" s="3" t="s">
        <v>28</v>
      </c>
      <c r="B41" s="3" t="s">
        <v>29</v>
      </c>
      <c r="C41" s="3" t="s">
        <v>30</v>
      </c>
      <c r="D41" s="3" t="s">
        <v>31</v>
      </c>
      <c r="E41" s="3" t="s">
        <v>54</v>
      </c>
      <c r="F41" s="3" t="s">
        <v>103</v>
      </c>
      <c r="G41" s="3">
        <v>2024</v>
      </c>
      <c r="H41" s="3" t="str">
        <f>CONCATENATE("44210153803")</f>
        <v>44210153803</v>
      </c>
      <c r="I41" s="3" t="s">
        <v>34</v>
      </c>
      <c r="J41" s="3" t="s">
        <v>35</v>
      </c>
      <c r="K41" s="3"/>
      <c r="L41" s="3" t="s">
        <v>44</v>
      </c>
      <c r="M41" s="3" t="str">
        <f>CONCATENATE("LRNLDA58R01F051V")</f>
        <v>LRNLDA58R01F051V</v>
      </c>
      <c r="N41" s="3" t="s">
        <v>112</v>
      </c>
      <c r="O41" s="3" t="s">
        <v>41</v>
      </c>
      <c r="P41" s="3" t="s">
        <v>102</v>
      </c>
      <c r="Q41" s="4">
        <v>45975</v>
      </c>
      <c r="R41" s="3" t="s">
        <v>39</v>
      </c>
      <c r="S41" s="3" t="s">
        <v>47</v>
      </c>
      <c r="T41" s="3" t="s">
        <v>40</v>
      </c>
      <c r="U41" s="3"/>
      <c r="V41" s="3" t="s">
        <v>41</v>
      </c>
      <c r="W41" s="3">
        <v>304.17</v>
      </c>
      <c r="X41" s="3">
        <v>228.13</v>
      </c>
      <c r="Y41" s="3">
        <v>53.23</v>
      </c>
      <c r="Z41" s="3">
        <v>22.81</v>
      </c>
      <c r="AA41" s="3">
        <v>0</v>
      </c>
    </row>
    <row r="42" spans="1:27" ht="72.75" x14ac:dyDescent="0.25">
      <c r="A42" s="3" t="s">
        <v>28</v>
      </c>
      <c r="B42" s="3" t="s">
        <v>29</v>
      </c>
      <c r="C42" s="3" t="s">
        <v>30</v>
      </c>
      <c r="D42" s="3" t="s">
        <v>63</v>
      </c>
      <c r="E42" s="3" t="s">
        <v>54</v>
      </c>
      <c r="F42" s="3" t="s">
        <v>75</v>
      </c>
      <c r="G42" s="3">
        <v>2024</v>
      </c>
      <c r="H42" s="3" t="str">
        <f>CONCATENATE("44210148548")</f>
        <v>44210148548</v>
      </c>
      <c r="I42" s="3" t="s">
        <v>91</v>
      </c>
      <c r="J42" s="3" t="s">
        <v>35</v>
      </c>
      <c r="K42" s="3"/>
      <c r="L42" s="3" t="s">
        <v>44</v>
      </c>
      <c r="M42" s="3" t="str">
        <f>CONCATENATE("BNFMSM75D10A252E")</f>
        <v>BNFMSM75D10A252E</v>
      </c>
      <c r="N42" s="3" t="s">
        <v>113</v>
      </c>
      <c r="O42" s="3" t="s">
        <v>41</v>
      </c>
      <c r="P42" s="3" t="s">
        <v>46</v>
      </c>
      <c r="Q42" s="4">
        <v>45975</v>
      </c>
      <c r="R42" s="3" t="s">
        <v>39</v>
      </c>
      <c r="S42" s="3" t="s">
        <v>47</v>
      </c>
      <c r="T42" s="3" t="s">
        <v>40</v>
      </c>
      <c r="U42" s="3"/>
      <c r="V42" s="3" t="s">
        <v>41</v>
      </c>
      <c r="W42" s="3">
        <v>80.19</v>
      </c>
      <c r="X42" s="3">
        <v>60.14</v>
      </c>
      <c r="Y42" s="3">
        <v>14.03</v>
      </c>
      <c r="Z42" s="3">
        <v>6.02</v>
      </c>
      <c r="AA42" s="3">
        <v>0</v>
      </c>
    </row>
    <row r="43" spans="1:27" ht="72.75" x14ac:dyDescent="0.25">
      <c r="A43" s="3" t="s">
        <v>28</v>
      </c>
      <c r="B43" s="3" t="s">
        <v>29</v>
      </c>
      <c r="C43" s="3" t="s">
        <v>30</v>
      </c>
      <c r="D43" s="3" t="s">
        <v>63</v>
      </c>
      <c r="E43" s="3" t="s">
        <v>114</v>
      </c>
      <c r="F43" s="3" t="s">
        <v>115</v>
      </c>
      <c r="G43" s="3">
        <v>2024</v>
      </c>
      <c r="H43" s="3" t="str">
        <f>CONCATENATE("44210475560")</f>
        <v>44210475560</v>
      </c>
      <c r="I43" s="3" t="s">
        <v>91</v>
      </c>
      <c r="J43" s="3" t="s">
        <v>35</v>
      </c>
      <c r="K43" s="3"/>
      <c r="L43" s="3" t="s">
        <v>44</v>
      </c>
      <c r="M43" s="3" t="str">
        <f>CONCATENATE("DCLPRZ68M54A252B")</f>
        <v>DCLPRZ68M54A252B</v>
      </c>
      <c r="N43" s="3" t="s">
        <v>116</v>
      </c>
      <c r="O43" s="3" t="s">
        <v>41</v>
      </c>
      <c r="P43" s="3" t="s">
        <v>46</v>
      </c>
      <c r="Q43" s="4">
        <v>45975</v>
      </c>
      <c r="R43" s="3" t="s">
        <v>39</v>
      </c>
      <c r="S43" s="3" t="s">
        <v>47</v>
      </c>
      <c r="T43" s="3" t="s">
        <v>40</v>
      </c>
      <c r="U43" s="3"/>
      <c r="V43" s="3" t="s">
        <v>41</v>
      </c>
      <c r="W43" s="3">
        <v>79.81</v>
      </c>
      <c r="X43" s="3">
        <v>59.86</v>
      </c>
      <c r="Y43" s="3">
        <v>13.97</v>
      </c>
      <c r="Z43" s="3">
        <v>5.98</v>
      </c>
      <c r="AA43" s="3">
        <v>0</v>
      </c>
    </row>
    <row r="44" spans="1:27" ht="72.75" x14ac:dyDescent="0.25">
      <c r="A44" s="3" t="s">
        <v>28</v>
      </c>
      <c r="B44" s="3" t="s">
        <v>29</v>
      </c>
      <c r="C44" s="3" t="s">
        <v>30</v>
      </c>
      <c r="D44" s="3" t="s">
        <v>63</v>
      </c>
      <c r="E44" s="3" t="s">
        <v>54</v>
      </c>
      <c r="F44" s="3" t="s">
        <v>75</v>
      </c>
      <c r="G44" s="3">
        <v>2024</v>
      </c>
      <c r="H44" s="3" t="str">
        <f>CONCATENATE("44210260244")</f>
        <v>44210260244</v>
      </c>
      <c r="I44" s="3" t="s">
        <v>34</v>
      </c>
      <c r="J44" s="3" t="s">
        <v>35</v>
      </c>
      <c r="K44" s="3"/>
      <c r="L44" s="3" t="s">
        <v>44</v>
      </c>
      <c r="M44" s="3" t="str">
        <f>CONCATENATE("TRBMRC69B19H588Q")</f>
        <v>TRBMRC69B19H588Q</v>
      </c>
      <c r="N44" s="3" t="s">
        <v>117</v>
      </c>
      <c r="O44" s="3" t="s">
        <v>41</v>
      </c>
      <c r="P44" s="3" t="s">
        <v>46</v>
      </c>
      <c r="Q44" s="4">
        <v>45975</v>
      </c>
      <c r="R44" s="3" t="s">
        <v>39</v>
      </c>
      <c r="S44" s="3" t="s">
        <v>47</v>
      </c>
      <c r="T44" s="3" t="s">
        <v>40</v>
      </c>
      <c r="U44" s="3"/>
      <c r="V44" s="3" t="s">
        <v>41</v>
      </c>
      <c r="W44" s="5">
        <v>2867.9</v>
      </c>
      <c r="X44" s="5">
        <v>2150.9299999999998</v>
      </c>
      <c r="Y44" s="3">
        <v>501.88</v>
      </c>
      <c r="Z44" s="3">
        <v>215.09</v>
      </c>
      <c r="AA44" s="3">
        <v>0</v>
      </c>
    </row>
    <row r="45" spans="1:27" ht="72.75" hidden="1" x14ac:dyDescent="0.25">
      <c r="A45" s="3" t="s">
        <v>28</v>
      </c>
      <c r="B45" s="3" t="s">
        <v>29</v>
      </c>
      <c r="C45" s="3" t="s">
        <v>30</v>
      </c>
      <c r="D45" s="3" t="s">
        <v>31</v>
      </c>
      <c r="E45" s="3" t="s">
        <v>32</v>
      </c>
      <c r="F45" s="3" t="s">
        <v>33</v>
      </c>
      <c r="G45" s="3">
        <v>2025</v>
      </c>
      <c r="H45" s="3" t="str">
        <f>CONCATENATE("54240504891")</f>
        <v>54240504891</v>
      </c>
      <c r="I45" s="3" t="s">
        <v>34</v>
      </c>
      <c r="J45" s="3" t="s">
        <v>35</v>
      </c>
      <c r="K45" s="3"/>
      <c r="L45" s="3" t="s">
        <v>36</v>
      </c>
      <c r="M45" s="3" t="str">
        <f>CONCATENATE("FCCMSM81R24B474R")</f>
        <v>FCCMSM81R24B474R</v>
      </c>
      <c r="N45" s="3" t="s">
        <v>118</v>
      </c>
      <c r="O45" s="3" t="s">
        <v>38</v>
      </c>
      <c r="P45" s="3"/>
      <c r="Q45" s="4">
        <v>45981</v>
      </c>
      <c r="R45" s="3" t="s">
        <v>39</v>
      </c>
      <c r="S45" s="3" t="s">
        <v>38</v>
      </c>
      <c r="T45" s="3" t="s">
        <v>40</v>
      </c>
      <c r="U45" s="3"/>
      <c r="V45" s="3" t="s">
        <v>41</v>
      </c>
      <c r="W45" s="5">
        <v>10781.51</v>
      </c>
      <c r="X45" s="5">
        <v>8086.13</v>
      </c>
      <c r="Y45" s="5">
        <v>1886.76</v>
      </c>
      <c r="Z45" s="3">
        <v>808.62</v>
      </c>
      <c r="AA45" s="3">
        <v>0</v>
      </c>
    </row>
  </sheetData>
  <autoFilter ref="A3:AA45" xr:uid="{00000000-0001-0000-0000-000000000000}">
    <filterColumn colId="14">
      <filters>
        <filter val="Ordinario"/>
      </filters>
    </filterColumn>
  </autoFilter>
  <mergeCells count="2">
    <mergeCell ref="A1:AA1"/>
    <mergeCell ref="A2:A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DOMANDE_PAGATE_REGI_PSR_Decreto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2025-12-12T15:56:54Z</dcterms:created>
  <dcterms:modified xsi:type="dcterms:W3CDTF">2025-12-15T14:48:11Z</dcterms:modified>
</cp:coreProperties>
</file>