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1_{AE88AA9D-0137-4D5A-82B3-13394C4DC18A}" xr6:coauthVersionLast="47" xr6:coauthVersionMax="47" xr10:uidLastSave="{00000000-0000-0000-0000-000000000000}"/>
  <bookViews>
    <workbookView xWindow="945" yWindow="1440" windowWidth="27780" windowHeight="12720" xr2:uid="{00000000-000D-0000-FFFF-FFFF00000000}"/>
  </bookViews>
  <sheets>
    <sheet name="DOMANDE_PAGATE_REGI_PSR_Decreto" sheetId="1" r:id="rId1"/>
  </sheets>
  <definedNames>
    <definedName name="_xlnm._FilterDatabase" localSheetId="0" hidden="1">DOMANDE_PAGATE_REGI_PSR_Decreto!$A$3:$AA$1152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52" i="1" l="1"/>
  <c r="H1152" i="1"/>
  <c r="M1151" i="1"/>
  <c r="H1151" i="1"/>
  <c r="M1150" i="1"/>
  <c r="H1150" i="1"/>
  <c r="M1149" i="1"/>
  <c r="H1149" i="1"/>
  <c r="M1148" i="1"/>
  <c r="H1148" i="1"/>
  <c r="M1147" i="1"/>
  <c r="H1147" i="1"/>
  <c r="M1146" i="1"/>
  <c r="H1146" i="1"/>
  <c r="M1145" i="1"/>
  <c r="H1145" i="1"/>
  <c r="M1144" i="1"/>
  <c r="H1144" i="1"/>
  <c r="M1143" i="1"/>
  <c r="H1143" i="1"/>
  <c r="M1142" i="1"/>
  <c r="H1142" i="1"/>
  <c r="M1141" i="1"/>
  <c r="H1141" i="1"/>
  <c r="M1140" i="1"/>
  <c r="H1140" i="1"/>
  <c r="M1139" i="1"/>
  <c r="H1139" i="1"/>
  <c r="M1138" i="1"/>
  <c r="H1138" i="1"/>
  <c r="M1137" i="1"/>
  <c r="H1137" i="1"/>
  <c r="M1136" i="1"/>
  <c r="H1136" i="1"/>
  <c r="M1135" i="1"/>
  <c r="H1135" i="1"/>
  <c r="M1134" i="1"/>
  <c r="H1134" i="1"/>
  <c r="M1133" i="1"/>
  <c r="H1133" i="1"/>
  <c r="M1132" i="1"/>
  <c r="H1132" i="1"/>
  <c r="M1131" i="1"/>
  <c r="H1131" i="1"/>
  <c r="M1130" i="1"/>
  <c r="H1130" i="1"/>
  <c r="M1129" i="1"/>
  <c r="H1129" i="1"/>
  <c r="M1128" i="1"/>
  <c r="H1128" i="1"/>
  <c r="M1127" i="1"/>
  <c r="H1127" i="1"/>
  <c r="M1126" i="1"/>
  <c r="H1126" i="1"/>
  <c r="M1125" i="1"/>
  <c r="H1125" i="1"/>
  <c r="M1124" i="1"/>
  <c r="H1124" i="1"/>
  <c r="M1123" i="1"/>
  <c r="H1123" i="1"/>
  <c r="M1122" i="1"/>
  <c r="H1122" i="1"/>
  <c r="M1121" i="1"/>
  <c r="H1121" i="1"/>
  <c r="M1120" i="1"/>
  <c r="H1120" i="1"/>
  <c r="M1119" i="1"/>
  <c r="H1119" i="1"/>
  <c r="M1118" i="1"/>
  <c r="H1118" i="1"/>
  <c r="M1117" i="1"/>
  <c r="H1117" i="1"/>
  <c r="M1116" i="1"/>
  <c r="H1116" i="1"/>
  <c r="M1115" i="1"/>
  <c r="H1115" i="1"/>
  <c r="M1114" i="1"/>
  <c r="H1114" i="1"/>
  <c r="M1113" i="1"/>
  <c r="H1113" i="1"/>
  <c r="M1112" i="1"/>
  <c r="H1112" i="1"/>
  <c r="M1111" i="1"/>
  <c r="H1111" i="1"/>
  <c r="M1110" i="1"/>
  <c r="H1110" i="1"/>
  <c r="M1109" i="1"/>
  <c r="H1109" i="1"/>
  <c r="M1108" i="1"/>
  <c r="H1108" i="1"/>
  <c r="M1107" i="1"/>
  <c r="H1107" i="1"/>
  <c r="M1106" i="1"/>
  <c r="H1106" i="1"/>
  <c r="M1105" i="1"/>
  <c r="H1105" i="1"/>
  <c r="M1104" i="1"/>
  <c r="H1104" i="1"/>
  <c r="M1103" i="1"/>
  <c r="H1103" i="1"/>
  <c r="M1102" i="1"/>
  <c r="H1102" i="1"/>
  <c r="M1101" i="1"/>
  <c r="H1101" i="1"/>
  <c r="M1100" i="1"/>
  <c r="H1100" i="1"/>
  <c r="M1099" i="1"/>
  <c r="H1099" i="1"/>
  <c r="M1098" i="1"/>
  <c r="H1098" i="1"/>
  <c r="M1097" i="1"/>
  <c r="H1097" i="1"/>
  <c r="M1096" i="1"/>
  <c r="H1096" i="1"/>
  <c r="M1095" i="1"/>
  <c r="H1095" i="1"/>
  <c r="M1094" i="1"/>
  <c r="H1094" i="1"/>
  <c r="M1093" i="1"/>
  <c r="H1093" i="1"/>
  <c r="M1092" i="1"/>
  <c r="H1092" i="1"/>
  <c r="M1091" i="1"/>
  <c r="H1091" i="1"/>
  <c r="M1090" i="1"/>
  <c r="H1090" i="1"/>
  <c r="M1089" i="1"/>
  <c r="H1089" i="1"/>
  <c r="M1088" i="1"/>
  <c r="H1088" i="1"/>
  <c r="M1087" i="1"/>
  <c r="H1087" i="1"/>
  <c r="M1086" i="1"/>
  <c r="H1086" i="1"/>
  <c r="M1085" i="1"/>
  <c r="H1085" i="1"/>
  <c r="M1084" i="1"/>
  <c r="H1084" i="1"/>
  <c r="M1083" i="1"/>
  <c r="H1083" i="1"/>
  <c r="M1082" i="1"/>
  <c r="H1082" i="1"/>
  <c r="M1081" i="1"/>
  <c r="H1081" i="1"/>
  <c r="M1080" i="1"/>
  <c r="H1080" i="1"/>
  <c r="M1079" i="1"/>
  <c r="H1079" i="1"/>
  <c r="M1078" i="1"/>
  <c r="H1078" i="1"/>
  <c r="M1077" i="1"/>
  <c r="H1077" i="1"/>
  <c r="M1076" i="1"/>
  <c r="H1076" i="1"/>
  <c r="M1075" i="1"/>
  <c r="H1075" i="1"/>
  <c r="M1074" i="1"/>
  <c r="H1074" i="1"/>
  <c r="M1073" i="1"/>
  <c r="H1073" i="1"/>
  <c r="M1072" i="1"/>
  <c r="H1072" i="1"/>
  <c r="M1071" i="1"/>
  <c r="H1071" i="1"/>
  <c r="M1070" i="1"/>
  <c r="H1070" i="1"/>
  <c r="M1069" i="1"/>
  <c r="H1069" i="1"/>
  <c r="M1068" i="1"/>
  <c r="H1068" i="1"/>
  <c r="M1067" i="1"/>
  <c r="H1067" i="1"/>
  <c r="M1066" i="1"/>
  <c r="H1066" i="1"/>
  <c r="M1065" i="1"/>
  <c r="H1065" i="1"/>
  <c r="M1064" i="1"/>
  <c r="H1064" i="1"/>
  <c r="M1063" i="1"/>
  <c r="H1063" i="1"/>
  <c r="M1062" i="1"/>
  <c r="H1062" i="1"/>
  <c r="M1061" i="1"/>
  <c r="H1061" i="1"/>
  <c r="M1060" i="1"/>
  <c r="H1060" i="1"/>
  <c r="M1059" i="1"/>
  <c r="H1059" i="1"/>
  <c r="M1058" i="1"/>
  <c r="H1058" i="1"/>
  <c r="M1057" i="1"/>
  <c r="H1057" i="1"/>
  <c r="M1056" i="1"/>
  <c r="H1056" i="1"/>
  <c r="M1055" i="1"/>
  <c r="H1055" i="1"/>
  <c r="M1054" i="1"/>
  <c r="H1054" i="1"/>
  <c r="M1053" i="1"/>
  <c r="H1053" i="1"/>
  <c r="M1052" i="1"/>
  <c r="H1052" i="1"/>
  <c r="M1051" i="1"/>
  <c r="H1051" i="1"/>
  <c r="M1050" i="1"/>
  <c r="H1050" i="1"/>
  <c r="M1049" i="1"/>
  <c r="H1049" i="1"/>
  <c r="M1048" i="1"/>
  <c r="H1048" i="1"/>
  <c r="M1047" i="1"/>
  <c r="H1047" i="1"/>
  <c r="M1046" i="1"/>
  <c r="H1046" i="1"/>
  <c r="M1045" i="1"/>
  <c r="H1045" i="1"/>
  <c r="M1044" i="1"/>
  <c r="H1044" i="1"/>
  <c r="M1043" i="1"/>
  <c r="H1043" i="1"/>
  <c r="M1042" i="1"/>
  <c r="H1042" i="1"/>
  <c r="M1041" i="1"/>
  <c r="H1041" i="1"/>
  <c r="M1040" i="1"/>
  <c r="H1040" i="1"/>
  <c r="M1039" i="1"/>
  <c r="H1039" i="1"/>
  <c r="M1038" i="1"/>
  <c r="H1038" i="1"/>
  <c r="M1037" i="1"/>
  <c r="H1037" i="1"/>
  <c r="M1036" i="1"/>
  <c r="H1036" i="1"/>
  <c r="M1035" i="1"/>
  <c r="H1035" i="1"/>
  <c r="M1034" i="1"/>
  <c r="H1034" i="1"/>
  <c r="M1033" i="1"/>
  <c r="H1033" i="1"/>
  <c r="M1032" i="1"/>
  <c r="H1032" i="1"/>
  <c r="M1031" i="1"/>
  <c r="H1031" i="1"/>
  <c r="M1030" i="1"/>
  <c r="H1030" i="1"/>
  <c r="M1029" i="1"/>
  <c r="H1029" i="1"/>
  <c r="M1028" i="1"/>
  <c r="H1028" i="1"/>
  <c r="M1027" i="1"/>
  <c r="H1027" i="1"/>
  <c r="M1026" i="1"/>
  <c r="H1026" i="1"/>
  <c r="M1025" i="1"/>
  <c r="H1025" i="1"/>
  <c r="M1024" i="1"/>
  <c r="H1024" i="1"/>
  <c r="M1023" i="1"/>
  <c r="H1023" i="1"/>
  <c r="M1022" i="1"/>
  <c r="H1022" i="1"/>
  <c r="M1021" i="1"/>
  <c r="H1021" i="1"/>
  <c r="M1020" i="1"/>
  <c r="H1020" i="1"/>
  <c r="M1019" i="1"/>
  <c r="H1019" i="1"/>
  <c r="M1018" i="1"/>
  <c r="H1018" i="1"/>
  <c r="M1017" i="1"/>
  <c r="H1017" i="1"/>
  <c r="M1016" i="1"/>
  <c r="H1016" i="1"/>
  <c r="M1015" i="1"/>
  <c r="H1015" i="1"/>
  <c r="M1014" i="1"/>
  <c r="H1014" i="1"/>
  <c r="M1013" i="1"/>
  <c r="H1013" i="1"/>
  <c r="M1012" i="1"/>
  <c r="H1012" i="1"/>
  <c r="M1011" i="1"/>
  <c r="H1011" i="1"/>
  <c r="M1010" i="1"/>
  <c r="H1010" i="1"/>
  <c r="M1009" i="1"/>
  <c r="H1009" i="1"/>
  <c r="M1008" i="1"/>
  <c r="H1008" i="1"/>
  <c r="M1007" i="1"/>
  <c r="H1007" i="1"/>
  <c r="M1006" i="1"/>
  <c r="H1006" i="1"/>
  <c r="M1005" i="1"/>
  <c r="H1005" i="1"/>
  <c r="M1004" i="1"/>
  <c r="H1004" i="1"/>
  <c r="M1003" i="1"/>
  <c r="H1003" i="1"/>
  <c r="M1002" i="1"/>
  <c r="H1002" i="1"/>
  <c r="M1001" i="1"/>
  <c r="H1001" i="1"/>
  <c r="M1000" i="1"/>
  <c r="H1000" i="1"/>
  <c r="M999" i="1"/>
  <c r="H999" i="1"/>
  <c r="M998" i="1"/>
  <c r="H998" i="1"/>
  <c r="M997" i="1"/>
  <c r="H997" i="1"/>
  <c r="M996" i="1"/>
  <c r="H996" i="1"/>
  <c r="M995" i="1"/>
  <c r="H995" i="1"/>
  <c r="M994" i="1"/>
  <c r="H994" i="1"/>
  <c r="M993" i="1"/>
  <c r="H993" i="1"/>
  <c r="M992" i="1"/>
  <c r="H992" i="1"/>
  <c r="M991" i="1"/>
  <c r="H991" i="1"/>
  <c r="M990" i="1"/>
  <c r="H990" i="1"/>
  <c r="M989" i="1"/>
  <c r="H989" i="1"/>
  <c r="M988" i="1"/>
  <c r="H988" i="1"/>
  <c r="M987" i="1"/>
  <c r="H987" i="1"/>
  <c r="M986" i="1"/>
  <c r="H986" i="1"/>
  <c r="M985" i="1"/>
  <c r="H985" i="1"/>
  <c r="M984" i="1"/>
  <c r="H984" i="1"/>
  <c r="M983" i="1"/>
  <c r="H983" i="1"/>
  <c r="M982" i="1"/>
  <c r="H982" i="1"/>
  <c r="M981" i="1"/>
  <c r="H981" i="1"/>
  <c r="M980" i="1"/>
  <c r="H980" i="1"/>
  <c r="M979" i="1"/>
  <c r="H979" i="1"/>
  <c r="M978" i="1"/>
  <c r="H978" i="1"/>
  <c r="M977" i="1"/>
  <c r="H977" i="1"/>
  <c r="M976" i="1"/>
  <c r="H976" i="1"/>
  <c r="M975" i="1"/>
  <c r="H975" i="1"/>
  <c r="M974" i="1"/>
  <c r="H974" i="1"/>
  <c r="M973" i="1"/>
  <c r="H973" i="1"/>
  <c r="M972" i="1"/>
  <c r="H972" i="1"/>
  <c r="M971" i="1"/>
  <c r="H971" i="1"/>
  <c r="M970" i="1"/>
  <c r="H970" i="1"/>
  <c r="M969" i="1"/>
  <c r="H969" i="1"/>
  <c r="M968" i="1"/>
  <c r="H968" i="1"/>
  <c r="M967" i="1"/>
  <c r="H967" i="1"/>
  <c r="M966" i="1"/>
  <c r="H966" i="1"/>
  <c r="M965" i="1"/>
  <c r="H965" i="1"/>
  <c r="M964" i="1"/>
  <c r="H964" i="1"/>
  <c r="M963" i="1"/>
  <c r="H963" i="1"/>
  <c r="M962" i="1"/>
  <c r="H962" i="1"/>
  <c r="M961" i="1"/>
  <c r="H961" i="1"/>
  <c r="M960" i="1"/>
  <c r="H960" i="1"/>
  <c r="M959" i="1"/>
  <c r="H959" i="1"/>
  <c r="M958" i="1"/>
  <c r="H958" i="1"/>
  <c r="M957" i="1"/>
  <c r="H957" i="1"/>
  <c r="M956" i="1"/>
  <c r="H956" i="1"/>
  <c r="M955" i="1"/>
  <c r="H955" i="1"/>
  <c r="M954" i="1"/>
  <c r="H954" i="1"/>
  <c r="M953" i="1"/>
  <c r="H953" i="1"/>
  <c r="M952" i="1"/>
  <c r="H952" i="1"/>
  <c r="M951" i="1"/>
  <c r="H951" i="1"/>
  <c r="M950" i="1"/>
  <c r="H950" i="1"/>
  <c r="M949" i="1"/>
  <c r="H949" i="1"/>
  <c r="M948" i="1"/>
  <c r="H948" i="1"/>
  <c r="M947" i="1"/>
  <c r="H947" i="1"/>
  <c r="M946" i="1"/>
  <c r="H946" i="1"/>
  <c r="M945" i="1"/>
  <c r="H945" i="1"/>
  <c r="M944" i="1"/>
  <c r="H944" i="1"/>
  <c r="M943" i="1"/>
  <c r="H943" i="1"/>
  <c r="M942" i="1"/>
  <c r="H942" i="1"/>
  <c r="M941" i="1"/>
  <c r="H941" i="1"/>
  <c r="M940" i="1"/>
  <c r="H940" i="1"/>
  <c r="M939" i="1"/>
  <c r="H939" i="1"/>
  <c r="M938" i="1"/>
  <c r="H938" i="1"/>
  <c r="M937" i="1"/>
  <c r="H937" i="1"/>
  <c r="M936" i="1"/>
  <c r="H936" i="1"/>
  <c r="M935" i="1"/>
  <c r="H935" i="1"/>
  <c r="M934" i="1"/>
  <c r="H934" i="1"/>
  <c r="M933" i="1"/>
  <c r="H933" i="1"/>
  <c r="M932" i="1"/>
  <c r="H932" i="1"/>
  <c r="M931" i="1"/>
  <c r="H931" i="1"/>
  <c r="M930" i="1"/>
  <c r="H930" i="1"/>
  <c r="M929" i="1"/>
  <c r="H929" i="1"/>
  <c r="M928" i="1"/>
  <c r="H928" i="1"/>
  <c r="M927" i="1"/>
  <c r="H927" i="1"/>
  <c r="M926" i="1"/>
  <c r="H926" i="1"/>
  <c r="M925" i="1"/>
  <c r="H925" i="1"/>
  <c r="M924" i="1"/>
  <c r="H924" i="1"/>
  <c r="M923" i="1"/>
  <c r="H923" i="1"/>
  <c r="M922" i="1"/>
  <c r="H922" i="1"/>
  <c r="M921" i="1"/>
  <c r="H921" i="1"/>
  <c r="M920" i="1"/>
  <c r="H920" i="1"/>
  <c r="M919" i="1"/>
  <c r="H919" i="1"/>
  <c r="M918" i="1"/>
  <c r="H918" i="1"/>
  <c r="M917" i="1"/>
  <c r="H917" i="1"/>
  <c r="M916" i="1"/>
  <c r="H916" i="1"/>
  <c r="M915" i="1"/>
  <c r="H915" i="1"/>
  <c r="M914" i="1"/>
  <c r="H914" i="1"/>
  <c r="M913" i="1"/>
  <c r="H913" i="1"/>
  <c r="M912" i="1"/>
  <c r="H912" i="1"/>
  <c r="M911" i="1"/>
  <c r="H911" i="1"/>
  <c r="M910" i="1"/>
  <c r="H910" i="1"/>
  <c r="M909" i="1"/>
  <c r="H909" i="1"/>
  <c r="M908" i="1"/>
  <c r="H908" i="1"/>
  <c r="M907" i="1"/>
  <c r="H907" i="1"/>
  <c r="M906" i="1"/>
  <c r="H906" i="1"/>
  <c r="M905" i="1"/>
  <c r="H905" i="1"/>
  <c r="M904" i="1"/>
  <c r="H904" i="1"/>
  <c r="M903" i="1"/>
  <c r="H903" i="1"/>
  <c r="M902" i="1"/>
  <c r="H902" i="1"/>
  <c r="M901" i="1"/>
  <c r="H901" i="1"/>
  <c r="M900" i="1"/>
  <c r="H900" i="1"/>
  <c r="M899" i="1"/>
  <c r="H899" i="1"/>
  <c r="M898" i="1"/>
  <c r="H898" i="1"/>
  <c r="M897" i="1"/>
  <c r="H897" i="1"/>
  <c r="M896" i="1"/>
  <c r="H896" i="1"/>
  <c r="M895" i="1"/>
  <c r="H895" i="1"/>
  <c r="M894" i="1"/>
  <c r="H894" i="1"/>
  <c r="M893" i="1"/>
  <c r="H893" i="1"/>
  <c r="M892" i="1"/>
  <c r="H892" i="1"/>
  <c r="M891" i="1"/>
  <c r="H891" i="1"/>
  <c r="M890" i="1"/>
  <c r="H890" i="1"/>
  <c r="M889" i="1"/>
  <c r="H889" i="1"/>
  <c r="M888" i="1"/>
  <c r="H888" i="1"/>
  <c r="M887" i="1"/>
  <c r="H887" i="1"/>
  <c r="M886" i="1"/>
  <c r="H886" i="1"/>
  <c r="M885" i="1"/>
  <c r="H885" i="1"/>
  <c r="M884" i="1"/>
  <c r="H884" i="1"/>
  <c r="M883" i="1"/>
  <c r="H883" i="1"/>
  <c r="M882" i="1"/>
  <c r="H882" i="1"/>
  <c r="M881" i="1"/>
  <c r="H881" i="1"/>
  <c r="M880" i="1"/>
  <c r="H880" i="1"/>
  <c r="M879" i="1"/>
  <c r="H879" i="1"/>
  <c r="M878" i="1"/>
  <c r="H878" i="1"/>
  <c r="M877" i="1"/>
  <c r="H877" i="1"/>
  <c r="M876" i="1"/>
  <c r="H876" i="1"/>
  <c r="M875" i="1"/>
  <c r="H875" i="1"/>
  <c r="M874" i="1"/>
  <c r="H874" i="1"/>
  <c r="M873" i="1"/>
  <c r="H873" i="1"/>
  <c r="M872" i="1"/>
  <c r="H872" i="1"/>
  <c r="M871" i="1"/>
  <c r="H871" i="1"/>
  <c r="M870" i="1"/>
  <c r="H870" i="1"/>
  <c r="M869" i="1"/>
  <c r="H869" i="1"/>
  <c r="M868" i="1"/>
  <c r="H868" i="1"/>
  <c r="M867" i="1"/>
  <c r="H867" i="1"/>
  <c r="M866" i="1"/>
  <c r="H866" i="1"/>
  <c r="M865" i="1"/>
  <c r="H865" i="1"/>
  <c r="M864" i="1"/>
  <c r="H864" i="1"/>
  <c r="M863" i="1"/>
  <c r="H863" i="1"/>
  <c r="M862" i="1"/>
  <c r="H862" i="1"/>
  <c r="M861" i="1"/>
  <c r="H861" i="1"/>
  <c r="M860" i="1"/>
  <c r="H860" i="1"/>
  <c r="M859" i="1"/>
  <c r="H859" i="1"/>
  <c r="M858" i="1"/>
  <c r="H858" i="1"/>
  <c r="M857" i="1"/>
  <c r="H857" i="1"/>
  <c r="M856" i="1"/>
  <c r="H856" i="1"/>
  <c r="M855" i="1"/>
  <c r="H855" i="1"/>
  <c r="M854" i="1"/>
  <c r="H854" i="1"/>
  <c r="M853" i="1"/>
  <c r="H853" i="1"/>
  <c r="M852" i="1"/>
  <c r="H852" i="1"/>
  <c r="M851" i="1"/>
  <c r="H851" i="1"/>
  <c r="M850" i="1"/>
  <c r="H850" i="1"/>
  <c r="M849" i="1"/>
  <c r="H849" i="1"/>
  <c r="M848" i="1"/>
  <c r="H848" i="1"/>
  <c r="M847" i="1"/>
  <c r="H847" i="1"/>
  <c r="M846" i="1"/>
  <c r="H846" i="1"/>
  <c r="M845" i="1"/>
  <c r="H845" i="1"/>
  <c r="M844" i="1"/>
  <c r="H844" i="1"/>
  <c r="M843" i="1"/>
  <c r="H843" i="1"/>
  <c r="M842" i="1"/>
  <c r="H842" i="1"/>
  <c r="M841" i="1"/>
  <c r="H841" i="1"/>
  <c r="M840" i="1"/>
  <c r="H840" i="1"/>
  <c r="M839" i="1"/>
  <c r="H839" i="1"/>
  <c r="M838" i="1"/>
  <c r="H838" i="1"/>
  <c r="M837" i="1"/>
  <c r="H837" i="1"/>
  <c r="M836" i="1"/>
  <c r="H836" i="1"/>
  <c r="M835" i="1"/>
  <c r="H835" i="1"/>
  <c r="M834" i="1"/>
  <c r="H834" i="1"/>
  <c r="M833" i="1"/>
  <c r="H833" i="1"/>
  <c r="M832" i="1"/>
  <c r="H832" i="1"/>
  <c r="M831" i="1"/>
  <c r="H831" i="1"/>
  <c r="M830" i="1"/>
  <c r="H830" i="1"/>
  <c r="M829" i="1"/>
  <c r="H829" i="1"/>
  <c r="M828" i="1"/>
  <c r="H828" i="1"/>
  <c r="M827" i="1"/>
  <c r="H827" i="1"/>
  <c r="M826" i="1"/>
  <c r="H826" i="1"/>
  <c r="M825" i="1"/>
  <c r="H825" i="1"/>
  <c r="M824" i="1"/>
  <c r="H824" i="1"/>
  <c r="M823" i="1"/>
  <c r="H823" i="1"/>
  <c r="M822" i="1"/>
  <c r="H822" i="1"/>
  <c r="M821" i="1"/>
  <c r="H821" i="1"/>
  <c r="M820" i="1"/>
  <c r="H820" i="1"/>
  <c r="M819" i="1"/>
  <c r="H819" i="1"/>
  <c r="M818" i="1"/>
  <c r="H818" i="1"/>
  <c r="M817" i="1"/>
  <c r="H817" i="1"/>
  <c r="M816" i="1"/>
  <c r="H816" i="1"/>
  <c r="M815" i="1"/>
  <c r="H815" i="1"/>
  <c r="M814" i="1"/>
  <c r="H814" i="1"/>
  <c r="M813" i="1"/>
  <c r="H813" i="1"/>
  <c r="M812" i="1"/>
  <c r="H812" i="1"/>
  <c r="M811" i="1"/>
  <c r="H811" i="1"/>
  <c r="M810" i="1"/>
  <c r="H810" i="1"/>
  <c r="M809" i="1"/>
  <c r="H809" i="1"/>
  <c r="M808" i="1"/>
  <c r="H808" i="1"/>
  <c r="M807" i="1"/>
  <c r="H807" i="1"/>
  <c r="M806" i="1"/>
  <c r="H806" i="1"/>
  <c r="M805" i="1"/>
  <c r="H805" i="1"/>
  <c r="M804" i="1"/>
  <c r="H804" i="1"/>
  <c r="M803" i="1"/>
  <c r="H803" i="1"/>
  <c r="M802" i="1"/>
  <c r="H802" i="1"/>
  <c r="M801" i="1"/>
  <c r="H801" i="1"/>
  <c r="M800" i="1"/>
  <c r="H800" i="1"/>
  <c r="M799" i="1"/>
  <c r="H799" i="1"/>
  <c r="M798" i="1"/>
  <c r="H798" i="1"/>
  <c r="M797" i="1"/>
  <c r="H797" i="1"/>
  <c r="M796" i="1"/>
  <c r="H796" i="1"/>
  <c r="M795" i="1"/>
  <c r="H795" i="1"/>
  <c r="M794" i="1"/>
  <c r="H794" i="1"/>
  <c r="M793" i="1"/>
  <c r="H793" i="1"/>
  <c r="M792" i="1"/>
  <c r="H792" i="1"/>
  <c r="M791" i="1"/>
  <c r="H791" i="1"/>
  <c r="M790" i="1"/>
  <c r="H790" i="1"/>
  <c r="M789" i="1"/>
  <c r="H789" i="1"/>
  <c r="M788" i="1"/>
  <c r="H788" i="1"/>
  <c r="M787" i="1"/>
  <c r="H787" i="1"/>
  <c r="M786" i="1"/>
  <c r="H786" i="1"/>
  <c r="M785" i="1"/>
  <c r="H785" i="1"/>
  <c r="M784" i="1"/>
  <c r="H784" i="1"/>
  <c r="M783" i="1"/>
  <c r="H783" i="1"/>
  <c r="M782" i="1"/>
  <c r="H782" i="1"/>
  <c r="M781" i="1"/>
  <c r="H781" i="1"/>
  <c r="M780" i="1"/>
  <c r="H780" i="1"/>
  <c r="M779" i="1"/>
  <c r="H779" i="1"/>
  <c r="M778" i="1"/>
  <c r="H778" i="1"/>
  <c r="M777" i="1"/>
  <c r="H777" i="1"/>
  <c r="M776" i="1"/>
  <c r="H776" i="1"/>
  <c r="M775" i="1"/>
  <c r="H775" i="1"/>
  <c r="M774" i="1"/>
  <c r="H774" i="1"/>
  <c r="M773" i="1"/>
  <c r="H773" i="1"/>
  <c r="M772" i="1"/>
  <c r="H772" i="1"/>
  <c r="M771" i="1"/>
  <c r="H771" i="1"/>
  <c r="M770" i="1"/>
  <c r="H770" i="1"/>
  <c r="M769" i="1"/>
  <c r="H769" i="1"/>
  <c r="M768" i="1"/>
  <c r="H768" i="1"/>
  <c r="M767" i="1"/>
  <c r="H767" i="1"/>
  <c r="M766" i="1"/>
  <c r="H766" i="1"/>
  <c r="M765" i="1"/>
  <c r="H765" i="1"/>
  <c r="M764" i="1"/>
  <c r="H764" i="1"/>
  <c r="M763" i="1"/>
  <c r="H763" i="1"/>
  <c r="M762" i="1"/>
  <c r="H762" i="1"/>
  <c r="M761" i="1"/>
  <c r="H761" i="1"/>
  <c r="M760" i="1"/>
  <c r="H760" i="1"/>
  <c r="M759" i="1"/>
  <c r="H759" i="1"/>
  <c r="M758" i="1"/>
  <c r="H758" i="1"/>
  <c r="M757" i="1"/>
  <c r="H757" i="1"/>
  <c r="M756" i="1"/>
  <c r="H756" i="1"/>
  <c r="M755" i="1"/>
  <c r="H755" i="1"/>
  <c r="M754" i="1"/>
  <c r="H754" i="1"/>
  <c r="M753" i="1"/>
  <c r="H753" i="1"/>
  <c r="M752" i="1"/>
  <c r="H752" i="1"/>
  <c r="M751" i="1"/>
  <c r="H751" i="1"/>
  <c r="M750" i="1"/>
  <c r="H750" i="1"/>
  <c r="M749" i="1"/>
  <c r="H749" i="1"/>
  <c r="M748" i="1"/>
  <c r="H748" i="1"/>
  <c r="M747" i="1"/>
  <c r="H747" i="1"/>
  <c r="M746" i="1"/>
  <c r="H746" i="1"/>
  <c r="M745" i="1"/>
  <c r="H745" i="1"/>
  <c r="M744" i="1"/>
  <c r="H744" i="1"/>
  <c r="M743" i="1"/>
  <c r="H743" i="1"/>
  <c r="M742" i="1"/>
  <c r="H742" i="1"/>
  <c r="M741" i="1"/>
  <c r="H741" i="1"/>
  <c r="M740" i="1"/>
  <c r="H740" i="1"/>
  <c r="M739" i="1"/>
  <c r="H739" i="1"/>
  <c r="M738" i="1"/>
  <c r="H738" i="1"/>
  <c r="M737" i="1"/>
  <c r="H737" i="1"/>
  <c r="M736" i="1"/>
  <c r="H736" i="1"/>
  <c r="M735" i="1"/>
  <c r="H735" i="1"/>
  <c r="M734" i="1"/>
  <c r="H734" i="1"/>
  <c r="M733" i="1"/>
  <c r="H733" i="1"/>
  <c r="M732" i="1"/>
  <c r="H732" i="1"/>
  <c r="M731" i="1"/>
  <c r="H731" i="1"/>
  <c r="M730" i="1"/>
  <c r="H730" i="1"/>
  <c r="M729" i="1"/>
  <c r="H729" i="1"/>
  <c r="M728" i="1"/>
  <c r="H728" i="1"/>
  <c r="M727" i="1"/>
  <c r="H727" i="1"/>
  <c r="M726" i="1"/>
  <c r="H726" i="1"/>
  <c r="M725" i="1"/>
  <c r="H725" i="1"/>
  <c r="M724" i="1"/>
  <c r="H724" i="1"/>
  <c r="M723" i="1"/>
  <c r="H723" i="1"/>
  <c r="M722" i="1"/>
  <c r="H722" i="1"/>
  <c r="M721" i="1"/>
  <c r="H721" i="1"/>
  <c r="M720" i="1"/>
  <c r="H720" i="1"/>
  <c r="M719" i="1"/>
  <c r="H719" i="1"/>
  <c r="M718" i="1"/>
  <c r="H718" i="1"/>
  <c r="M717" i="1"/>
  <c r="H717" i="1"/>
  <c r="M716" i="1"/>
  <c r="H716" i="1"/>
  <c r="M715" i="1"/>
  <c r="H715" i="1"/>
  <c r="M714" i="1"/>
  <c r="H714" i="1"/>
  <c r="M713" i="1"/>
  <c r="H713" i="1"/>
  <c r="M712" i="1"/>
  <c r="H712" i="1"/>
  <c r="M711" i="1"/>
  <c r="H711" i="1"/>
  <c r="M710" i="1"/>
  <c r="H710" i="1"/>
  <c r="M709" i="1"/>
  <c r="H709" i="1"/>
  <c r="M708" i="1"/>
  <c r="H708" i="1"/>
  <c r="M707" i="1"/>
  <c r="H707" i="1"/>
  <c r="M706" i="1"/>
  <c r="H706" i="1"/>
  <c r="M705" i="1"/>
  <c r="H705" i="1"/>
  <c r="M704" i="1"/>
  <c r="H704" i="1"/>
  <c r="M703" i="1"/>
  <c r="H703" i="1"/>
  <c r="M702" i="1"/>
  <c r="H702" i="1"/>
  <c r="M701" i="1"/>
  <c r="H701" i="1"/>
  <c r="M700" i="1"/>
  <c r="H700" i="1"/>
  <c r="M699" i="1"/>
  <c r="H699" i="1"/>
  <c r="M698" i="1"/>
  <c r="H698" i="1"/>
  <c r="M697" i="1"/>
  <c r="H697" i="1"/>
  <c r="M696" i="1"/>
  <c r="H696" i="1"/>
  <c r="M695" i="1"/>
  <c r="H695" i="1"/>
  <c r="M694" i="1"/>
  <c r="H694" i="1"/>
  <c r="M693" i="1"/>
  <c r="H693" i="1"/>
  <c r="M692" i="1"/>
  <c r="H692" i="1"/>
  <c r="M691" i="1"/>
  <c r="H691" i="1"/>
  <c r="M690" i="1"/>
  <c r="H690" i="1"/>
  <c r="M689" i="1"/>
  <c r="H689" i="1"/>
  <c r="M688" i="1"/>
  <c r="H688" i="1"/>
  <c r="M687" i="1"/>
  <c r="H687" i="1"/>
  <c r="M686" i="1"/>
  <c r="H686" i="1"/>
  <c r="M685" i="1"/>
  <c r="H685" i="1"/>
  <c r="M684" i="1"/>
  <c r="H684" i="1"/>
  <c r="M683" i="1"/>
  <c r="H683" i="1"/>
  <c r="M682" i="1"/>
  <c r="H682" i="1"/>
  <c r="M681" i="1"/>
  <c r="H681" i="1"/>
  <c r="M680" i="1"/>
  <c r="H680" i="1"/>
  <c r="M679" i="1"/>
  <c r="H679" i="1"/>
  <c r="M678" i="1"/>
  <c r="H678" i="1"/>
  <c r="M677" i="1"/>
  <c r="H677" i="1"/>
  <c r="M676" i="1"/>
  <c r="H676" i="1"/>
  <c r="M675" i="1"/>
  <c r="H675" i="1"/>
  <c r="M674" i="1"/>
  <c r="H674" i="1"/>
  <c r="M673" i="1"/>
  <c r="H673" i="1"/>
  <c r="M672" i="1"/>
  <c r="H672" i="1"/>
  <c r="M671" i="1"/>
  <c r="H671" i="1"/>
  <c r="M670" i="1"/>
  <c r="H670" i="1"/>
  <c r="M669" i="1"/>
  <c r="H669" i="1"/>
  <c r="M668" i="1"/>
  <c r="H668" i="1"/>
  <c r="M667" i="1"/>
  <c r="H667" i="1"/>
  <c r="M666" i="1"/>
  <c r="H666" i="1"/>
  <c r="M665" i="1"/>
  <c r="H665" i="1"/>
  <c r="M664" i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M596" i="1"/>
  <c r="H596" i="1"/>
  <c r="M595" i="1"/>
  <c r="H595" i="1"/>
  <c r="M594" i="1"/>
  <c r="H594" i="1"/>
  <c r="M593" i="1"/>
  <c r="H593" i="1"/>
  <c r="M592" i="1"/>
  <c r="H592" i="1"/>
  <c r="M591" i="1"/>
  <c r="H591" i="1"/>
  <c r="M590" i="1"/>
  <c r="H590" i="1"/>
  <c r="M589" i="1"/>
  <c r="H589" i="1"/>
  <c r="M588" i="1"/>
  <c r="H588" i="1"/>
  <c r="M587" i="1"/>
  <c r="H587" i="1"/>
  <c r="M586" i="1"/>
  <c r="H586" i="1"/>
  <c r="M585" i="1"/>
  <c r="H585" i="1"/>
  <c r="M584" i="1"/>
  <c r="H584" i="1"/>
  <c r="M583" i="1"/>
  <c r="H583" i="1"/>
  <c r="M582" i="1"/>
  <c r="H582" i="1"/>
  <c r="M581" i="1"/>
  <c r="H581" i="1"/>
  <c r="M580" i="1"/>
  <c r="H580" i="1"/>
  <c r="M579" i="1"/>
  <c r="H579" i="1"/>
  <c r="M578" i="1"/>
  <c r="H578" i="1"/>
  <c r="M577" i="1"/>
  <c r="H577" i="1"/>
  <c r="M576" i="1"/>
  <c r="H576" i="1"/>
  <c r="M575" i="1"/>
  <c r="H575" i="1"/>
  <c r="M574" i="1"/>
  <c r="H574" i="1"/>
  <c r="M573" i="1"/>
  <c r="H573" i="1"/>
  <c r="M572" i="1"/>
  <c r="H572" i="1"/>
  <c r="M571" i="1"/>
  <c r="H571" i="1"/>
  <c r="M570" i="1"/>
  <c r="H570" i="1"/>
  <c r="M569" i="1"/>
  <c r="H569" i="1"/>
  <c r="M568" i="1"/>
  <c r="H568" i="1"/>
  <c r="M567" i="1"/>
  <c r="H567" i="1"/>
  <c r="M566" i="1"/>
  <c r="H566" i="1"/>
  <c r="M565" i="1"/>
  <c r="H565" i="1"/>
  <c r="M564" i="1"/>
  <c r="H564" i="1"/>
  <c r="M563" i="1"/>
  <c r="H563" i="1"/>
  <c r="M562" i="1"/>
  <c r="H562" i="1"/>
  <c r="M561" i="1"/>
  <c r="H561" i="1"/>
  <c r="M560" i="1"/>
  <c r="H560" i="1"/>
  <c r="M559" i="1"/>
  <c r="H559" i="1"/>
  <c r="M558" i="1"/>
  <c r="H558" i="1"/>
  <c r="M557" i="1"/>
  <c r="H557" i="1"/>
  <c r="M556" i="1"/>
  <c r="H556" i="1"/>
  <c r="M555" i="1"/>
  <c r="H555" i="1"/>
  <c r="M554" i="1"/>
  <c r="H554" i="1"/>
  <c r="M553" i="1"/>
  <c r="H553" i="1"/>
  <c r="M552" i="1"/>
  <c r="H552" i="1"/>
  <c r="M551" i="1"/>
  <c r="H551" i="1"/>
  <c r="M550" i="1"/>
  <c r="H550" i="1"/>
  <c r="M549" i="1"/>
  <c r="H549" i="1"/>
  <c r="M548" i="1"/>
  <c r="H548" i="1"/>
  <c r="M547" i="1"/>
  <c r="H547" i="1"/>
  <c r="M546" i="1"/>
  <c r="H546" i="1"/>
  <c r="M545" i="1"/>
  <c r="H545" i="1"/>
  <c r="M544" i="1"/>
  <c r="H544" i="1"/>
  <c r="M543" i="1"/>
  <c r="H543" i="1"/>
  <c r="M542" i="1"/>
  <c r="H542" i="1"/>
  <c r="M541" i="1"/>
  <c r="H541" i="1"/>
  <c r="M540" i="1"/>
  <c r="H540" i="1"/>
  <c r="M539" i="1"/>
  <c r="H539" i="1"/>
  <c r="M538" i="1"/>
  <c r="H538" i="1"/>
  <c r="M537" i="1"/>
  <c r="H537" i="1"/>
  <c r="M536" i="1"/>
  <c r="H536" i="1"/>
  <c r="M535" i="1"/>
  <c r="H535" i="1"/>
  <c r="M534" i="1"/>
  <c r="H534" i="1"/>
  <c r="M533" i="1"/>
  <c r="H533" i="1"/>
  <c r="M532" i="1"/>
  <c r="H532" i="1"/>
  <c r="M531" i="1"/>
  <c r="H531" i="1"/>
  <c r="M530" i="1"/>
  <c r="H530" i="1"/>
  <c r="M529" i="1"/>
  <c r="H529" i="1"/>
  <c r="M528" i="1"/>
  <c r="H528" i="1"/>
  <c r="M527" i="1"/>
  <c r="H527" i="1"/>
  <c r="M526" i="1"/>
  <c r="H526" i="1"/>
  <c r="M525" i="1"/>
  <c r="H525" i="1"/>
  <c r="M524" i="1"/>
  <c r="H524" i="1"/>
  <c r="M523" i="1"/>
  <c r="H523" i="1"/>
  <c r="M522" i="1"/>
  <c r="H522" i="1"/>
  <c r="M521" i="1"/>
  <c r="H521" i="1"/>
  <c r="M520" i="1"/>
  <c r="H520" i="1"/>
  <c r="M519" i="1"/>
  <c r="H519" i="1"/>
  <c r="M518" i="1"/>
  <c r="H518" i="1"/>
  <c r="M517" i="1"/>
  <c r="H517" i="1"/>
  <c r="M516" i="1"/>
  <c r="H516" i="1"/>
  <c r="M515" i="1"/>
  <c r="H515" i="1"/>
  <c r="M514" i="1"/>
  <c r="H514" i="1"/>
  <c r="M513" i="1"/>
  <c r="H513" i="1"/>
  <c r="M512" i="1"/>
  <c r="H512" i="1"/>
  <c r="M511" i="1"/>
  <c r="H511" i="1"/>
  <c r="M510" i="1"/>
  <c r="H510" i="1"/>
  <c r="M509" i="1"/>
  <c r="H509" i="1"/>
  <c r="M508" i="1"/>
  <c r="H508" i="1"/>
  <c r="M507" i="1"/>
  <c r="H507" i="1"/>
  <c r="M506" i="1"/>
  <c r="H506" i="1"/>
  <c r="M505" i="1"/>
  <c r="H505" i="1"/>
  <c r="M504" i="1"/>
  <c r="H504" i="1"/>
  <c r="M503" i="1"/>
  <c r="H503" i="1"/>
  <c r="M502" i="1"/>
  <c r="H502" i="1"/>
  <c r="M501" i="1"/>
  <c r="H501" i="1"/>
  <c r="M500" i="1"/>
  <c r="H500" i="1"/>
  <c r="M499" i="1"/>
  <c r="H499" i="1"/>
  <c r="M498" i="1"/>
  <c r="H498" i="1"/>
  <c r="M497" i="1"/>
  <c r="H497" i="1"/>
  <c r="M496" i="1"/>
  <c r="H496" i="1"/>
  <c r="M495" i="1"/>
  <c r="H495" i="1"/>
  <c r="M494" i="1"/>
  <c r="H494" i="1"/>
  <c r="M493" i="1"/>
  <c r="H493" i="1"/>
  <c r="M492" i="1"/>
  <c r="H492" i="1"/>
  <c r="M491" i="1"/>
  <c r="H491" i="1"/>
  <c r="M490" i="1"/>
  <c r="H490" i="1"/>
  <c r="M489" i="1"/>
  <c r="H489" i="1"/>
  <c r="M488" i="1"/>
  <c r="H488" i="1"/>
  <c r="M487" i="1"/>
  <c r="H487" i="1"/>
  <c r="M486" i="1"/>
  <c r="H486" i="1"/>
  <c r="M485" i="1"/>
  <c r="H485" i="1"/>
  <c r="M484" i="1"/>
  <c r="H484" i="1"/>
  <c r="M483" i="1"/>
  <c r="H483" i="1"/>
  <c r="M482" i="1"/>
  <c r="H482" i="1"/>
  <c r="M481" i="1"/>
  <c r="H481" i="1"/>
  <c r="M480" i="1"/>
  <c r="H480" i="1"/>
  <c r="M479" i="1"/>
  <c r="H479" i="1"/>
  <c r="M478" i="1"/>
  <c r="H478" i="1"/>
  <c r="M477" i="1"/>
  <c r="H477" i="1"/>
  <c r="M476" i="1"/>
  <c r="H476" i="1"/>
  <c r="M475" i="1"/>
  <c r="H475" i="1"/>
  <c r="M474" i="1"/>
  <c r="H474" i="1"/>
  <c r="M473" i="1"/>
  <c r="H473" i="1"/>
  <c r="M472" i="1"/>
  <c r="H472" i="1"/>
  <c r="M471" i="1"/>
  <c r="H471" i="1"/>
  <c r="M470" i="1"/>
  <c r="H470" i="1"/>
  <c r="M469" i="1"/>
  <c r="H469" i="1"/>
  <c r="M468" i="1"/>
  <c r="H468" i="1"/>
  <c r="M467" i="1"/>
  <c r="H467" i="1"/>
  <c r="M466" i="1"/>
  <c r="H466" i="1"/>
  <c r="M465" i="1"/>
  <c r="H465" i="1"/>
  <c r="M464" i="1"/>
  <c r="H464" i="1"/>
  <c r="M463" i="1"/>
  <c r="H463" i="1"/>
  <c r="M462" i="1"/>
  <c r="H462" i="1"/>
  <c r="M461" i="1"/>
  <c r="H461" i="1"/>
  <c r="M460" i="1"/>
  <c r="H460" i="1"/>
  <c r="M459" i="1"/>
  <c r="H459" i="1"/>
  <c r="M458" i="1"/>
  <c r="H458" i="1"/>
  <c r="M457" i="1"/>
  <c r="H457" i="1"/>
  <c r="M456" i="1"/>
  <c r="H456" i="1"/>
  <c r="M455" i="1"/>
  <c r="H455" i="1"/>
  <c r="M454" i="1"/>
  <c r="H454" i="1"/>
  <c r="M453" i="1"/>
  <c r="H453" i="1"/>
  <c r="M452" i="1"/>
  <c r="H452" i="1"/>
  <c r="M451" i="1"/>
  <c r="H451" i="1"/>
  <c r="M450" i="1"/>
  <c r="H450" i="1"/>
  <c r="M449" i="1"/>
  <c r="H449" i="1"/>
  <c r="M448" i="1"/>
  <c r="H448" i="1"/>
  <c r="M447" i="1"/>
  <c r="H447" i="1"/>
  <c r="M446" i="1"/>
  <c r="H446" i="1"/>
  <c r="M445" i="1"/>
  <c r="H445" i="1"/>
  <c r="M444" i="1"/>
  <c r="H444" i="1"/>
  <c r="M443" i="1"/>
  <c r="H443" i="1"/>
  <c r="M442" i="1"/>
  <c r="H442" i="1"/>
  <c r="M441" i="1"/>
  <c r="H441" i="1"/>
  <c r="M440" i="1"/>
  <c r="H440" i="1"/>
  <c r="M439" i="1"/>
  <c r="H439" i="1"/>
  <c r="M438" i="1"/>
  <c r="H438" i="1"/>
  <c r="M437" i="1"/>
  <c r="H437" i="1"/>
  <c r="M436" i="1"/>
  <c r="H436" i="1"/>
  <c r="M435" i="1"/>
  <c r="H435" i="1"/>
  <c r="M434" i="1"/>
  <c r="H434" i="1"/>
  <c r="M433" i="1"/>
  <c r="H433" i="1"/>
  <c r="M432" i="1"/>
  <c r="H432" i="1"/>
  <c r="M431" i="1"/>
  <c r="H431" i="1"/>
  <c r="M430" i="1"/>
  <c r="H430" i="1"/>
  <c r="M429" i="1"/>
  <c r="H429" i="1"/>
  <c r="M428" i="1"/>
  <c r="H428" i="1"/>
  <c r="M427" i="1"/>
  <c r="H427" i="1"/>
  <c r="M426" i="1"/>
  <c r="H426" i="1"/>
  <c r="M425" i="1"/>
  <c r="H425" i="1"/>
  <c r="M424" i="1"/>
  <c r="H424" i="1"/>
  <c r="M423" i="1"/>
  <c r="H423" i="1"/>
  <c r="M422" i="1"/>
  <c r="H422" i="1"/>
  <c r="M421" i="1"/>
  <c r="H421" i="1"/>
  <c r="M420" i="1"/>
  <c r="H420" i="1"/>
  <c r="M419" i="1"/>
  <c r="H419" i="1"/>
  <c r="M418" i="1"/>
  <c r="H418" i="1"/>
  <c r="M417" i="1"/>
  <c r="H417" i="1"/>
  <c r="M416" i="1"/>
  <c r="H416" i="1"/>
  <c r="M415" i="1"/>
  <c r="H415" i="1"/>
  <c r="M414" i="1"/>
  <c r="H414" i="1"/>
  <c r="M413" i="1"/>
  <c r="H413" i="1"/>
  <c r="M412" i="1"/>
  <c r="H412" i="1"/>
  <c r="M411" i="1"/>
  <c r="H411" i="1"/>
  <c r="M410" i="1"/>
  <c r="H410" i="1"/>
  <c r="M409" i="1"/>
  <c r="H409" i="1"/>
  <c r="M408" i="1"/>
  <c r="H408" i="1"/>
  <c r="M407" i="1"/>
  <c r="H407" i="1"/>
  <c r="M406" i="1"/>
  <c r="H406" i="1"/>
  <c r="M405" i="1"/>
  <c r="H405" i="1"/>
  <c r="M404" i="1"/>
  <c r="H404" i="1"/>
  <c r="M403" i="1"/>
  <c r="H403" i="1"/>
  <c r="M402" i="1"/>
  <c r="H402" i="1"/>
  <c r="M401" i="1"/>
  <c r="H401" i="1"/>
  <c r="M400" i="1"/>
  <c r="H400" i="1"/>
  <c r="M399" i="1"/>
  <c r="H399" i="1"/>
  <c r="M398" i="1"/>
  <c r="H398" i="1"/>
  <c r="M397" i="1"/>
  <c r="H397" i="1"/>
  <c r="M396" i="1"/>
  <c r="H396" i="1"/>
  <c r="M395" i="1"/>
  <c r="H395" i="1"/>
  <c r="M394" i="1"/>
  <c r="H394" i="1"/>
  <c r="M393" i="1"/>
  <c r="H393" i="1"/>
  <c r="M392" i="1"/>
  <c r="H392" i="1"/>
  <c r="M391" i="1"/>
  <c r="H391" i="1"/>
  <c r="M390" i="1"/>
  <c r="H390" i="1"/>
  <c r="M389" i="1"/>
  <c r="H389" i="1"/>
  <c r="M388" i="1"/>
  <c r="H388" i="1"/>
  <c r="M387" i="1"/>
  <c r="H387" i="1"/>
  <c r="M386" i="1"/>
  <c r="H386" i="1"/>
  <c r="M385" i="1"/>
  <c r="H385" i="1"/>
  <c r="M384" i="1"/>
  <c r="H384" i="1"/>
  <c r="M383" i="1"/>
  <c r="H383" i="1"/>
  <c r="M382" i="1"/>
  <c r="H382" i="1"/>
  <c r="M381" i="1"/>
  <c r="H381" i="1"/>
  <c r="M380" i="1"/>
  <c r="H380" i="1"/>
  <c r="M379" i="1"/>
  <c r="H379" i="1"/>
  <c r="M378" i="1"/>
  <c r="H378" i="1"/>
  <c r="M377" i="1"/>
  <c r="H377" i="1"/>
  <c r="M376" i="1"/>
  <c r="H376" i="1"/>
  <c r="M375" i="1"/>
  <c r="H375" i="1"/>
  <c r="M374" i="1"/>
  <c r="H374" i="1"/>
  <c r="M373" i="1"/>
  <c r="H373" i="1"/>
  <c r="M372" i="1"/>
  <c r="H372" i="1"/>
  <c r="M371" i="1"/>
  <c r="H371" i="1"/>
  <c r="M370" i="1"/>
  <c r="H370" i="1"/>
  <c r="M369" i="1"/>
  <c r="H369" i="1"/>
  <c r="M368" i="1"/>
  <c r="H368" i="1"/>
  <c r="M367" i="1"/>
  <c r="H367" i="1"/>
  <c r="M366" i="1"/>
  <c r="H366" i="1"/>
  <c r="M365" i="1"/>
  <c r="H365" i="1"/>
  <c r="M364" i="1"/>
  <c r="H364" i="1"/>
  <c r="M363" i="1"/>
  <c r="H363" i="1"/>
  <c r="M362" i="1"/>
  <c r="H362" i="1"/>
  <c r="M361" i="1"/>
  <c r="H361" i="1"/>
  <c r="M360" i="1"/>
  <c r="H360" i="1"/>
  <c r="M359" i="1"/>
  <c r="H359" i="1"/>
  <c r="M358" i="1"/>
  <c r="H358" i="1"/>
  <c r="M357" i="1"/>
  <c r="H357" i="1"/>
  <c r="M356" i="1"/>
  <c r="H356" i="1"/>
  <c r="M355" i="1"/>
  <c r="H355" i="1"/>
  <c r="M354" i="1"/>
  <c r="H354" i="1"/>
  <c r="M353" i="1"/>
  <c r="H353" i="1"/>
  <c r="M352" i="1"/>
  <c r="H352" i="1"/>
  <c r="M351" i="1"/>
  <c r="H351" i="1"/>
  <c r="M350" i="1"/>
  <c r="H350" i="1"/>
  <c r="M349" i="1"/>
  <c r="H349" i="1"/>
  <c r="M348" i="1"/>
  <c r="H348" i="1"/>
  <c r="M347" i="1"/>
  <c r="H347" i="1"/>
  <c r="M346" i="1"/>
  <c r="H346" i="1"/>
  <c r="M345" i="1"/>
  <c r="H345" i="1"/>
  <c r="M344" i="1"/>
  <c r="H344" i="1"/>
  <c r="M343" i="1"/>
  <c r="H343" i="1"/>
  <c r="M342" i="1"/>
  <c r="H342" i="1"/>
  <c r="M341" i="1"/>
  <c r="H341" i="1"/>
  <c r="M340" i="1"/>
  <c r="H340" i="1"/>
  <c r="M339" i="1"/>
  <c r="H339" i="1"/>
  <c r="M338" i="1"/>
  <c r="H338" i="1"/>
  <c r="M337" i="1"/>
  <c r="H337" i="1"/>
  <c r="M336" i="1"/>
  <c r="H336" i="1"/>
  <c r="M335" i="1"/>
  <c r="H335" i="1"/>
  <c r="M334" i="1"/>
  <c r="H334" i="1"/>
  <c r="M333" i="1"/>
  <c r="H333" i="1"/>
  <c r="M332" i="1"/>
  <c r="H332" i="1"/>
  <c r="M331" i="1"/>
  <c r="H331" i="1"/>
  <c r="M330" i="1"/>
  <c r="H330" i="1"/>
  <c r="M329" i="1"/>
  <c r="H329" i="1"/>
  <c r="M328" i="1"/>
  <c r="H328" i="1"/>
  <c r="M327" i="1"/>
  <c r="H327" i="1"/>
  <c r="M326" i="1"/>
  <c r="H326" i="1"/>
  <c r="M325" i="1"/>
  <c r="H325" i="1"/>
  <c r="M324" i="1"/>
  <c r="H324" i="1"/>
  <c r="M323" i="1"/>
  <c r="H323" i="1"/>
  <c r="M322" i="1"/>
  <c r="H322" i="1"/>
  <c r="M321" i="1"/>
  <c r="H321" i="1"/>
  <c r="M320" i="1"/>
  <c r="H320" i="1"/>
  <c r="M319" i="1"/>
  <c r="H319" i="1"/>
  <c r="M318" i="1"/>
  <c r="H318" i="1"/>
  <c r="M317" i="1"/>
  <c r="H317" i="1"/>
  <c r="M316" i="1"/>
  <c r="H316" i="1"/>
  <c r="M315" i="1"/>
  <c r="H315" i="1"/>
  <c r="M314" i="1"/>
  <c r="H314" i="1"/>
  <c r="M313" i="1"/>
  <c r="H313" i="1"/>
  <c r="M312" i="1"/>
  <c r="H312" i="1"/>
  <c r="M311" i="1"/>
  <c r="H311" i="1"/>
  <c r="M310" i="1"/>
  <c r="H310" i="1"/>
  <c r="M309" i="1"/>
  <c r="H309" i="1"/>
  <c r="M308" i="1"/>
  <c r="H308" i="1"/>
  <c r="M307" i="1"/>
  <c r="H307" i="1"/>
  <c r="M306" i="1"/>
  <c r="H306" i="1"/>
  <c r="M305" i="1"/>
  <c r="H305" i="1"/>
  <c r="M304" i="1"/>
  <c r="H304" i="1"/>
  <c r="M303" i="1"/>
  <c r="H303" i="1"/>
  <c r="M302" i="1"/>
  <c r="H302" i="1"/>
  <c r="M301" i="1"/>
  <c r="H301" i="1"/>
  <c r="M300" i="1"/>
  <c r="H300" i="1"/>
  <c r="M299" i="1"/>
  <c r="H299" i="1"/>
  <c r="M298" i="1"/>
  <c r="H298" i="1"/>
  <c r="M297" i="1"/>
  <c r="H297" i="1"/>
  <c r="M296" i="1"/>
  <c r="H296" i="1"/>
  <c r="M295" i="1"/>
  <c r="H295" i="1"/>
  <c r="M294" i="1"/>
  <c r="H294" i="1"/>
  <c r="M293" i="1"/>
  <c r="H293" i="1"/>
  <c r="M292" i="1"/>
  <c r="H292" i="1"/>
  <c r="M291" i="1"/>
  <c r="H291" i="1"/>
  <c r="M290" i="1"/>
  <c r="H290" i="1"/>
  <c r="M289" i="1"/>
  <c r="H289" i="1"/>
  <c r="M288" i="1"/>
  <c r="H288" i="1"/>
  <c r="M287" i="1"/>
  <c r="H287" i="1"/>
  <c r="M286" i="1"/>
  <c r="H286" i="1"/>
  <c r="M285" i="1"/>
  <c r="H285" i="1"/>
  <c r="M284" i="1"/>
  <c r="H284" i="1"/>
  <c r="M283" i="1"/>
  <c r="H283" i="1"/>
  <c r="M282" i="1"/>
  <c r="H282" i="1"/>
  <c r="M281" i="1"/>
  <c r="H281" i="1"/>
  <c r="M280" i="1"/>
  <c r="H280" i="1"/>
  <c r="M279" i="1"/>
  <c r="H279" i="1"/>
  <c r="M278" i="1"/>
  <c r="H278" i="1"/>
  <c r="M277" i="1"/>
  <c r="H277" i="1"/>
  <c r="M276" i="1"/>
  <c r="H276" i="1"/>
  <c r="M275" i="1"/>
  <c r="H275" i="1"/>
  <c r="M274" i="1"/>
  <c r="H274" i="1"/>
  <c r="M273" i="1"/>
  <c r="H273" i="1"/>
  <c r="M272" i="1"/>
  <c r="H272" i="1"/>
  <c r="M271" i="1"/>
  <c r="H271" i="1"/>
  <c r="M270" i="1"/>
  <c r="H270" i="1"/>
  <c r="M269" i="1"/>
  <c r="H269" i="1"/>
  <c r="M268" i="1"/>
  <c r="H268" i="1"/>
  <c r="M267" i="1"/>
  <c r="H267" i="1"/>
  <c r="M266" i="1"/>
  <c r="H266" i="1"/>
  <c r="M265" i="1"/>
  <c r="H265" i="1"/>
  <c r="M264" i="1"/>
  <c r="H264" i="1"/>
  <c r="M263" i="1"/>
  <c r="H263" i="1"/>
  <c r="M262" i="1"/>
  <c r="H262" i="1"/>
  <c r="M261" i="1"/>
  <c r="H261" i="1"/>
  <c r="M260" i="1"/>
  <c r="H260" i="1"/>
  <c r="M259" i="1"/>
  <c r="H259" i="1"/>
  <c r="M258" i="1"/>
  <c r="H258" i="1"/>
  <c r="M257" i="1"/>
  <c r="H257" i="1"/>
  <c r="M256" i="1"/>
  <c r="H256" i="1"/>
  <c r="M255" i="1"/>
  <c r="H255" i="1"/>
  <c r="M254" i="1"/>
  <c r="H254" i="1"/>
  <c r="M253" i="1"/>
  <c r="H253" i="1"/>
  <c r="M252" i="1"/>
  <c r="H252" i="1"/>
  <c r="M251" i="1"/>
  <c r="H251" i="1"/>
  <c r="M250" i="1"/>
  <c r="H250" i="1"/>
  <c r="M249" i="1"/>
  <c r="H249" i="1"/>
  <c r="M248" i="1"/>
  <c r="H248" i="1"/>
  <c r="M247" i="1"/>
  <c r="H247" i="1"/>
  <c r="M246" i="1"/>
  <c r="H246" i="1"/>
  <c r="M245" i="1"/>
  <c r="H245" i="1"/>
  <c r="M244" i="1"/>
  <c r="H244" i="1"/>
  <c r="M243" i="1"/>
  <c r="H243" i="1"/>
  <c r="M242" i="1"/>
  <c r="H242" i="1"/>
  <c r="M241" i="1"/>
  <c r="H241" i="1"/>
  <c r="M240" i="1"/>
  <c r="H240" i="1"/>
  <c r="M239" i="1"/>
  <c r="H239" i="1"/>
  <c r="M238" i="1"/>
  <c r="H238" i="1"/>
  <c r="M237" i="1"/>
  <c r="H237" i="1"/>
  <c r="M236" i="1"/>
  <c r="H236" i="1"/>
  <c r="M235" i="1"/>
  <c r="H235" i="1"/>
  <c r="M234" i="1"/>
  <c r="H234" i="1"/>
  <c r="M233" i="1"/>
  <c r="H233" i="1"/>
  <c r="M232" i="1"/>
  <c r="H232" i="1"/>
  <c r="M231" i="1"/>
  <c r="H231" i="1"/>
  <c r="M230" i="1"/>
  <c r="H230" i="1"/>
  <c r="M229" i="1"/>
  <c r="H229" i="1"/>
  <c r="M228" i="1"/>
  <c r="H228" i="1"/>
  <c r="M227" i="1"/>
  <c r="H227" i="1"/>
  <c r="M226" i="1"/>
  <c r="H226" i="1"/>
  <c r="M225" i="1"/>
  <c r="H225" i="1"/>
  <c r="M224" i="1"/>
  <c r="H224" i="1"/>
  <c r="M223" i="1"/>
  <c r="H223" i="1"/>
  <c r="M222" i="1"/>
  <c r="H222" i="1"/>
  <c r="M221" i="1"/>
  <c r="H221" i="1"/>
  <c r="M220" i="1"/>
  <c r="H220" i="1"/>
  <c r="M219" i="1"/>
  <c r="H219" i="1"/>
  <c r="M218" i="1"/>
  <c r="H218" i="1"/>
  <c r="M217" i="1"/>
  <c r="H217" i="1"/>
  <c r="M216" i="1"/>
  <c r="H216" i="1"/>
  <c r="M215" i="1"/>
  <c r="H215" i="1"/>
  <c r="M214" i="1"/>
  <c r="H214" i="1"/>
  <c r="M213" i="1"/>
  <c r="H213" i="1"/>
  <c r="M212" i="1"/>
  <c r="H212" i="1"/>
  <c r="M211" i="1"/>
  <c r="H211" i="1"/>
  <c r="M210" i="1"/>
  <c r="H210" i="1"/>
  <c r="M209" i="1"/>
  <c r="H209" i="1"/>
  <c r="M208" i="1"/>
  <c r="H208" i="1"/>
  <c r="M207" i="1"/>
  <c r="H207" i="1"/>
  <c r="M206" i="1"/>
  <c r="H206" i="1"/>
  <c r="M205" i="1"/>
  <c r="H205" i="1"/>
  <c r="M204" i="1"/>
  <c r="H204" i="1"/>
  <c r="M203" i="1"/>
  <c r="H203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94" i="1"/>
  <c r="H194" i="1"/>
  <c r="M193" i="1"/>
  <c r="H193" i="1"/>
  <c r="M192" i="1"/>
  <c r="H192" i="1"/>
  <c r="M191" i="1"/>
  <c r="H191" i="1"/>
  <c r="M190" i="1"/>
  <c r="H190" i="1"/>
  <c r="M189" i="1"/>
  <c r="H189" i="1"/>
  <c r="M188" i="1"/>
  <c r="H188" i="1"/>
  <c r="M187" i="1"/>
  <c r="H187" i="1"/>
  <c r="M186" i="1"/>
  <c r="H186" i="1"/>
  <c r="M185" i="1"/>
  <c r="H185" i="1"/>
  <c r="M184" i="1"/>
  <c r="H184" i="1"/>
  <c r="M183" i="1"/>
  <c r="H183" i="1"/>
  <c r="M182" i="1"/>
  <c r="H182" i="1"/>
  <c r="M181" i="1"/>
  <c r="H181" i="1"/>
  <c r="M180" i="1"/>
  <c r="H180" i="1"/>
  <c r="M179" i="1"/>
  <c r="H179" i="1"/>
  <c r="M178" i="1"/>
  <c r="H178" i="1"/>
  <c r="M177" i="1"/>
  <c r="H177" i="1"/>
  <c r="M176" i="1"/>
  <c r="H176" i="1"/>
  <c r="M175" i="1"/>
  <c r="H175" i="1"/>
  <c r="M174" i="1"/>
  <c r="H174" i="1"/>
  <c r="M173" i="1"/>
  <c r="H173" i="1"/>
  <c r="M172" i="1"/>
  <c r="H172" i="1"/>
  <c r="M171" i="1"/>
  <c r="H171" i="1"/>
  <c r="M170" i="1"/>
  <c r="H170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4" i="1"/>
  <c r="H154" i="1"/>
  <c r="M153" i="1"/>
  <c r="H153" i="1"/>
  <c r="M152" i="1"/>
  <c r="H152" i="1"/>
  <c r="M151" i="1"/>
  <c r="H151" i="1"/>
  <c r="M150" i="1"/>
  <c r="H150" i="1"/>
  <c r="M149" i="1"/>
  <c r="H149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42" i="1"/>
  <c r="H142" i="1"/>
  <c r="M141" i="1"/>
  <c r="H141" i="1"/>
  <c r="M140" i="1"/>
  <c r="H140" i="1"/>
  <c r="M139" i="1"/>
  <c r="H139" i="1"/>
  <c r="M138" i="1"/>
  <c r="H138" i="1"/>
  <c r="M137" i="1"/>
  <c r="H137" i="1"/>
  <c r="M136" i="1"/>
  <c r="H136" i="1"/>
  <c r="M135" i="1"/>
  <c r="H135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1" i="1"/>
  <c r="H121" i="1"/>
  <c r="M120" i="1"/>
  <c r="H120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109" i="1"/>
  <c r="H109" i="1"/>
  <c r="M108" i="1"/>
  <c r="H108" i="1"/>
  <c r="M107" i="1"/>
  <c r="H107" i="1"/>
  <c r="M106" i="1"/>
  <c r="H106" i="1"/>
  <c r="M105" i="1"/>
  <c r="H105" i="1"/>
  <c r="M104" i="1"/>
  <c r="H104" i="1"/>
  <c r="M103" i="1"/>
  <c r="H103" i="1"/>
  <c r="M102" i="1"/>
  <c r="H102" i="1"/>
  <c r="M101" i="1"/>
  <c r="H101" i="1"/>
  <c r="M100" i="1"/>
  <c r="H100" i="1"/>
  <c r="M99" i="1"/>
  <c r="H99" i="1"/>
  <c r="M98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7" i="1"/>
  <c r="H87" i="1"/>
  <c r="M86" i="1"/>
  <c r="H86" i="1"/>
  <c r="M85" i="1"/>
  <c r="H85" i="1"/>
  <c r="M84" i="1"/>
  <c r="H84" i="1"/>
  <c r="M83" i="1"/>
  <c r="H83" i="1"/>
  <c r="M82" i="1"/>
  <c r="H82" i="1"/>
  <c r="M81" i="1"/>
  <c r="H81" i="1"/>
  <c r="M80" i="1"/>
  <c r="H80" i="1"/>
  <c r="M79" i="1"/>
  <c r="H79" i="1"/>
  <c r="M78" i="1"/>
  <c r="H78" i="1"/>
  <c r="M77" i="1"/>
  <c r="H77" i="1"/>
  <c r="M76" i="1"/>
  <c r="H76" i="1"/>
  <c r="M75" i="1"/>
  <c r="H75" i="1"/>
  <c r="M74" i="1"/>
  <c r="H74" i="1"/>
  <c r="M73" i="1"/>
  <c r="H73" i="1"/>
  <c r="M72" i="1"/>
  <c r="H72" i="1"/>
  <c r="M71" i="1"/>
  <c r="H71" i="1"/>
  <c r="M70" i="1"/>
  <c r="H70" i="1"/>
  <c r="M69" i="1"/>
  <c r="H69" i="1"/>
  <c r="M68" i="1"/>
  <c r="H68" i="1"/>
  <c r="M67" i="1"/>
  <c r="H67" i="1"/>
  <c r="M66" i="1"/>
  <c r="H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4" i="1"/>
  <c r="H54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<sst xmlns="http://schemas.openxmlformats.org/spreadsheetml/2006/main" count="17267" uniqueCount="1289">
  <si>
    <t>Domande Pagate Decreto 784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</si>
  <si>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</si>
  <si>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</si>
  <si>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</si>
  <si>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</si>
  <si>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</si>
  <si>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</si>
  <si>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</si>
  <si>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</si>
  <si>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</si>
  <si>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</si>
  <si>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</si>
  <si>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</si>
  <si>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</si>
  <si>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</si>
  <si>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</si>
  <si>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</si>
  <si>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</si>
  <si>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</si>
  <si>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</si>
  <si>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</si>
  <si>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</si>
  <si>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</si>
  <si>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</si>
  <si>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</si>
  <si>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</si>
  <si>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</si>
  <si>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</si>
  <si>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</si>
  <si>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</si>
  <si>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</si>
  <si>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ALIMENTAZIONE - ANCONA</t>
  </si>
  <si>
    <t>CAA CIA srl</t>
  </si>
  <si>
    <t>CAA CIA - ANCONA - 005</t>
  </si>
  <si>
    <t>NO</t>
  </si>
  <si>
    <t>PSR 2014/2022</t>
  </si>
  <si>
    <t>11 11.2 4b</t>
  </si>
  <si>
    <t>GIORGI PAOLETTA</t>
  </si>
  <si>
    <t>Anticipo</t>
  </si>
  <si>
    <t>Erogata</t>
  </si>
  <si>
    <t>Co-Finanziato</t>
  </si>
  <si>
    <t>Ordinario</t>
  </si>
  <si>
    <t>SERV. DEC. AGRICOLTURA E ALIM. -ASCOLI PICENO</t>
  </si>
  <si>
    <t>IN PROPRIO</t>
  </si>
  <si>
    <t>SI</t>
  </si>
  <si>
    <t>D'ANGELO DANIELE</t>
  </si>
  <si>
    <t>DI PASQUALE FILIPPO</t>
  </si>
  <si>
    <t>SERV. DEC. AGRICOLTURA E ALIM. - MACERATA</t>
  </si>
  <si>
    <t>CAA LiberiAgricoltori srl già CAA AGCI srl</t>
  </si>
  <si>
    <t>CAA LiberiAgricoltori - MACERATA - 002</t>
  </si>
  <si>
    <t>MARCHETTI ALESSIO</t>
  </si>
  <si>
    <t>CAA Coldiretti srl</t>
  </si>
  <si>
    <t>CAA Coldiretti - FERMO - 001</t>
  </si>
  <si>
    <t>PAAGMAN YVO MICHAEL JOHANNES MARIA</t>
  </si>
  <si>
    <t>PETRACCI CARLO</t>
  </si>
  <si>
    <t>MASILI SEBASTIANO</t>
  </si>
  <si>
    <t>SANTARONI EROS</t>
  </si>
  <si>
    <t>LUCIANI GABRIELE E RUGGERI GRAZIELLA SOC. SEMPLICE</t>
  </si>
  <si>
    <t>VIRGILI SIMONA &amp; C. SOCIETA' AGRICOLA SEMPLICE</t>
  </si>
  <si>
    <t>DILETTI GIOVANNI</t>
  </si>
  <si>
    <t>CAA Confagricoltura srl</t>
  </si>
  <si>
    <t>CAA Confagricoltura - ANCONA - 001</t>
  </si>
  <si>
    <t>EREDI GOBBI GIANNINA SOCIETA' AGRICOLA SOCIETA' SEMPLICE</t>
  </si>
  <si>
    <t>CAA CIA - ANCONA - 002</t>
  </si>
  <si>
    <t>CALAMANTE GIORGIO</t>
  </si>
  <si>
    <t>SERV. DEC. AGRICOLTURA E ALIMENTAZIONE - PESARO</t>
  </si>
  <si>
    <t>CAA LiberiAgricoltori - PESARO E URBINO - 001</t>
  </si>
  <si>
    <t>CAL SOLE SOCIETA' AGRICOLA</t>
  </si>
  <si>
    <t>SOCIETA' AGRICOLA TROTICOLTURA CHERUBINI S.N.C. DI CHERUBINI STEFANO E</t>
  </si>
  <si>
    <t>CAA Coldiretti - ANCONA - 004</t>
  </si>
  <si>
    <t>FATTORINI LUISELLA</t>
  </si>
  <si>
    <t>CAA Coldiretti - PESARO E URBINO - 004</t>
  </si>
  <si>
    <t>MATTEI MAURO</t>
  </si>
  <si>
    <t>SOCIETA' AGRICOLA TERRA E SAPORI DI BALDACCIONI ROMINA E RAIMONDO S.S.</t>
  </si>
  <si>
    <t>CAA Coldiretti - ANCONA - 008</t>
  </si>
  <si>
    <t>CESARONI DANIELA</t>
  </si>
  <si>
    <t>CAA LiberiAgricoltori - PESARO E URBINO - 002</t>
  </si>
  <si>
    <t>GIOVANNELLI FRANCESCO</t>
  </si>
  <si>
    <t>TERRE BONE SOCIETA' AGRICOLA S.R.L.</t>
  </si>
  <si>
    <t>CAA LiberiAgricoltori - MACERATA - 003</t>
  </si>
  <si>
    <t>SOCIETA' AGRICOLA EREDI VOLPINI GUIDO SOCIETA' SEMPLICE</t>
  </si>
  <si>
    <t>CAA Confagricoltura - MACERATA - 001</t>
  </si>
  <si>
    <t>CONGIONTI AUGUSTO</t>
  </si>
  <si>
    <t>CAA Coldiretti - MACERATA - 017</t>
  </si>
  <si>
    <t>SBARDELLATI LAMBERTO</t>
  </si>
  <si>
    <t>CAA Confagricoltura - PESARO E URBINO - 001</t>
  </si>
  <si>
    <t>F.LLI DONATI S.S. SOCIETA' AGRICOLA</t>
  </si>
  <si>
    <t>VIRGILI GABRIELE</t>
  </si>
  <si>
    <t>S.C.A.C.SOCIETA' COOPERATIVA AGRICOLA</t>
  </si>
  <si>
    <t>MARONI CLEMENTINA</t>
  </si>
  <si>
    <t>CAA LiberiAgricoltori - MACERATA - 005</t>
  </si>
  <si>
    <t>SOCIETA' AGRICOLA SAN NICOLA S.S.</t>
  </si>
  <si>
    <t>SOCIETA' AGRICOLA FABRIZI VENANZO FABRIZIO E LIBERTI ENZA S.S.</t>
  </si>
  <si>
    <t>CAA Coldiretti - ANCONA - 003</t>
  </si>
  <si>
    <t>SOCIETA' AGRICOLA E FORESTALE SAN MARCELLO S.S.</t>
  </si>
  <si>
    <t>CAA CIA - PESARO E URBINO - 007</t>
  </si>
  <si>
    <t>ABBONDANZIERI MARIA-LETIZIA</t>
  </si>
  <si>
    <t>BARONA ALDA AMALIA CLAUDIA</t>
  </si>
  <si>
    <t>DALLAGO DOMENICO</t>
  </si>
  <si>
    <t>CAA Coldiretti - ANCONA - 002</t>
  </si>
  <si>
    <t>POCOGNOLI RENATO</t>
  </si>
  <si>
    <t>CAA CIA - ASCOLI PICENO - 004</t>
  </si>
  <si>
    <t>GAGLIARDI GIOVANNI</t>
  </si>
  <si>
    <t>CAA Coldiretti - MACERATA - 007</t>
  </si>
  <si>
    <t>COMPAGNUCCI EMILIANO</t>
  </si>
  <si>
    <t>CAA Coldiretti - PESARO E URBINO - 013</t>
  </si>
  <si>
    <t>VITA DA PACOS SOCIETA' AGRICOLA S.S.</t>
  </si>
  <si>
    <t>CAA Coldiretti - MACERATA - 010</t>
  </si>
  <si>
    <t>AGOSTINELLI VALENTINA</t>
  </si>
  <si>
    <t>AGRICOLA G&amp;G SRLS</t>
  </si>
  <si>
    <t>CAA CIA - ASCOLI PICENO - 001</t>
  </si>
  <si>
    <t>10 10.1 4a</t>
  </si>
  <si>
    <t>FRATELLI LAURI S.S.AGRICOLA</t>
  </si>
  <si>
    <t>AGEA.ASR.2025.1238385</t>
  </si>
  <si>
    <t>Saldo</t>
  </si>
  <si>
    <t>CAA Coldiretti - ASCOLI PICENO - 040</t>
  </si>
  <si>
    <t>VALLORANI VALERIANO</t>
  </si>
  <si>
    <t>LATINI SILVIA</t>
  </si>
  <si>
    <t>RAGGI GIUSEPPINA</t>
  </si>
  <si>
    <t>VILLA SAN PELLEGRINO SOCIETA' SEMPLICE</t>
  </si>
  <si>
    <t>CAA Coldiretti - ANCONA - 006</t>
  </si>
  <si>
    <t>SOCIETA' AGRICOLA TERRE VERDI DI ZINGARETTI E SOCI S.S.</t>
  </si>
  <si>
    <t>RINALDI GIUSEPPE</t>
  </si>
  <si>
    <t>CAA CIA - ASCOLI PICENO - 006</t>
  </si>
  <si>
    <t>LILLA SIMONE</t>
  </si>
  <si>
    <t>SOCIETA' AGRICOLA D'ERCOLI ROBERTO E DANIELE SOCIETA' SEMPLICE</t>
  </si>
  <si>
    <t>CAA Coldiretti - PESARO E URBINO - 006</t>
  </si>
  <si>
    <t>STORONI CESARE</t>
  </si>
  <si>
    <t>SOCIETA' AGRICOLA COLLE BAETO S.S.</t>
  </si>
  <si>
    <t>MEROLLI ALESSIA</t>
  </si>
  <si>
    <t>COMPAGNONI GABRIO</t>
  </si>
  <si>
    <t>SOCIETA' AGRICOLA POGGIO ROSSO S.S.</t>
  </si>
  <si>
    <t>CAA-CAF AGRI S.R.L.</t>
  </si>
  <si>
    <t>CAA CAF AGRI - ANCONA - 225</t>
  </si>
  <si>
    <t>FILIPPETTI GIACOMO</t>
  </si>
  <si>
    <t>CAA CIA - PESARO E URBINO - 005</t>
  </si>
  <si>
    <t>BATTISTELLI LUCIA</t>
  </si>
  <si>
    <t>MAGNONI DOMENICO</t>
  </si>
  <si>
    <t>SILVERI LUCA</t>
  </si>
  <si>
    <t>SOC.AGR.VILLA LE CASE DI ARNAUTOVICI C.</t>
  </si>
  <si>
    <t>ALESSANDRINI ALESSANDRO</t>
  </si>
  <si>
    <t>CONCA D'ORO BIO SOCIETA' SEMPLICE AGRICOLA</t>
  </si>
  <si>
    <t>FILIPPOLI DAVIDE</t>
  </si>
  <si>
    <t>LAMONA GIUSEPPE</t>
  </si>
  <si>
    <t>CAA CIA - PESARO E URBINO - 002</t>
  </si>
  <si>
    <t>DUCHI GIANCARLO</t>
  </si>
  <si>
    <t>AZIENDA AGRARIA FLAMINIA</t>
  </si>
  <si>
    <t>CAA Coldiretti - MACERATA - 009</t>
  </si>
  <si>
    <t>SOCIETA' AGRICOLA GIRO DI VENTO DI RANANDI STEFANIA E C.S.S.</t>
  </si>
  <si>
    <t>SOC.AGR.SARNANO BIO DI TAMANTI R. - TOSI G. - BECCERICA E. - BECCERICA</t>
  </si>
  <si>
    <t>CARBONI ALESSANDRO</t>
  </si>
  <si>
    <t>CAA Coldiretti - MACERATA - 002</t>
  </si>
  <si>
    <t>TOGNI GIORGIO</t>
  </si>
  <si>
    <t>OTTAVIANI FLORIANO</t>
  </si>
  <si>
    <t>CAA AGRISERVIZI s.r.l.</t>
  </si>
  <si>
    <t>CAA AGRISERVIZI - LATINA - 001</t>
  </si>
  <si>
    <t>CRISTALLINI ANDREA</t>
  </si>
  <si>
    <t>CAA Coldiretti - ASCOLI PICENO - 015</t>
  </si>
  <si>
    <t>IL FALCO DI RENZI ANDREA &amp; C. SOCIETA' AGRICOLA SEMPLICE</t>
  </si>
  <si>
    <t>SOCIETA' AGRICOLA GRANDONI MAURIZIO E C. S.S.</t>
  </si>
  <si>
    <t>SOCIETA' AGRICOLA TENUTA COLLI DI MATELICA DI CORRENTI MICHELE SOCIETA</t>
  </si>
  <si>
    <t>CAA Coldiretti - MACERATA - 008</t>
  </si>
  <si>
    <t>BERRIA BARBARA</t>
  </si>
  <si>
    <t>FRATINI MASSIMO</t>
  </si>
  <si>
    <t>PEZZUOLI LUIGI</t>
  </si>
  <si>
    <t>ROSSINI LORETTA</t>
  </si>
  <si>
    <t>MAROZZI ANNA</t>
  </si>
  <si>
    <t>NARDINI GIOVANNA</t>
  </si>
  <si>
    <t>AZIENDA AGRICOLA LE FONTANE DI SAPORITI STEFANO &amp; C. S.N.C.</t>
  </si>
  <si>
    <t>SOCIETA' AGRICOLA S.URBANO DI FUCILI S.S.</t>
  </si>
  <si>
    <t>ABDERHALDEN FLAVIA</t>
  </si>
  <si>
    <t>CAPRIOTTI MARIA</t>
  </si>
  <si>
    <t>CANTUCCI ARIANNA</t>
  </si>
  <si>
    <t>SOCIETA AGRICOLA BISCI SOCIETA SEMPLICE</t>
  </si>
  <si>
    <t>EREDI GIOMBI SANTA SOCIETA' SEMPLICE</t>
  </si>
  <si>
    <t>SOCIETA' AGRICOLA IL PIANO S.S.</t>
  </si>
  <si>
    <t>GAMBINI MAURIZIO</t>
  </si>
  <si>
    <t>FAZIOLI FILIPPO</t>
  </si>
  <si>
    <t>CANALI MARIA</t>
  </si>
  <si>
    <t>SOCIETA' AGRICOLA CA' LA MONACA S.S.</t>
  </si>
  <si>
    <t>LA MARCA NELLE MARCHE SOCIETA' SEMPLICE AGRICOLA</t>
  </si>
  <si>
    <t>CANCELLIERI ANDREA</t>
  </si>
  <si>
    <t>SOCIETA' AGRICOLA CANCELLIERI LUIGI &amp; MARINO S.S.</t>
  </si>
  <si>
    <t>LANCIOTTI DORIANA</t>
  </si>
  <si>
    <t>ARCANGELI ELEONORA</t>
  </si>
  <si>
    <t>MONTEBOVE SOCIETA' SEMPLICE AGRICOLA</t>
  </si>
  <si>
    <t>SERINI ELVEZIO</t>
  </si>
  <si>
    <t>SOCIETA' AGRICOLA ACCADIA S.S.</t>
  </si>
  <si>
    <t>CAPRIOTTI CLAUDIO</t>
  </si>
  <si>
    <t>ARMANDI ANDREA</t>
  </si>
  <si>
    <t>CAA CAF AGRI - ANCONA - 223</t>
  </si>
  <si>
    <t>BELTRAMI E TELLENIO SOCIETA' AGRICOLA S.S.</t>
  </si>
  <si>
    <t>CAA Coldiretti - ANCONA - 005</t>
  </si>
  <si>
    <t>MILANO SILVIA</t>
  </si>
  <si>
    <t>NITISOR DUMITRU</t>
  </si>
  <si>
    <t>CARBONI DONNINO</t>
  </si>
  <si>
    <t>MANOCCHI MARCO</t>
  </si>
  <si>
    <t>NUCCI MARIA ROSITA</t>
  </si>
  <si>
    <t>F.LLI CIAVATTINI SOCIETA' AGRICOLA S.S.</t>
  </si>
  <si>
    <t>CAMPETELLA ILARIA</t>
  </si>
  <si>
    <t>BUCCOLINI MARCO</t>
  </si>
  <si>
    <t>CARBONI EUGENIO</t>
  </si>
  <si>
    <t>TURCHI RENZO</t>
  </si>
  <si>
    <t>SOCIETA' AGRICOLA FLAMINI LORENZO E C SOC SEMPLICE</t>
  </si>
  <si>
    <t>BETTI DAVID</t>
  </si>
  <si>
    <t>MORICO STEFANO</t>
  </si>
  <si>
    <t>SOCIETA' AGRICOLA PALLINO S.S.</t>
  </si>
  <si>
    <t>CAA UNICAA srl</t>
  </si>
  <si>
    <t>CAA UNICAA - PESARO E URBINO - 003</t>
  </si>
  <si>
    <t>GUERRA GREGORIO</t>
  </si>
  <si>
    <t>SOCIETA' AGRICOLA CRUCIANI RUGGERO &amp; C. SOCIETA' SEMPLICE</t>
  </si>
  <si>
    <t>ROMAGNOLI EUGENIO</t>
  </si>
  <si>
    <t>DE ANGELIS MAURIZIO</t>
  </si>
  <si>
    <t>AMABILI GINO</t>
  </si>
  <si>
    <t>BREZZA DI SERA SOCIETA' AGRICOLA SEMPLICE</t>
  </si>
  <si>
    <t>CAA UNICAA - ANCONA - 003</t>
  </si>
  <si>
    <t>TENAGLIA MAURA</t>
  </si>
  <si>
    <t>CAA UNICAA - ASCOLI PICENO - 003</t>
  </si>
  <si>
    <t>POSTACCHINI PAOLO</t>
  </si>
  <si>
    <t>PODERE SANTA LUCIA DI STEFANO BALDUCCI E C. SAS SOCIETA' AGRICOLA</t>
  </si>
  <si>
    <t>IL SENTIERO DI SPACCAPANICCIA FABIO E GUIDO SOCIETA' AGRICOLA SEMPLICE</t>
  </si>
  <si>
    <t>COGNINI GIULIANO</t>
  </si>
  <si>
    <t>PESARESI CASA VINICOLA S.S. SOCIETA' AGRICOLA</t>
  </si>
  <si>
    <t>SELVA SOCIETA' COOPERATIVA SOCIALE</t>
  </si>
  <si>
    <t>URBANI DIEGO URBANI ANNA MELANIA &amp; MONNIELLO ANDREA SOCIETA' SEMPLICE</t>
  </si>
  <si>
    <t>SOCIETA' AGRICOLA FIORETTI BRERA S.S.</t>
  </si>
  <si>
    <t>CAMPANA PIERLUIGI</t>
  </si>
  <si>
    <t>CAA LiberiAgricoltori - CHIETI - 001</t>
  </si>
  <si>
    <t>SOCIETA' AGRICOLA ANTICA TENUTA PIETRAMORE S.S. ANCHE VILLA BARCAROLI</t>
  </si>
  <si>
    <t>SOCIETA' AGRICOLA L'ISTRICE</t>
  </si>
  <si>
    <t>TIRANTI GRAZIANO</t>
  </si>
  <si>
    <t>POCOGNOLI DENIS</t>
  </si>
  <si>
    <t>TRANQUILLI GIANCARLO</t>
  </si>
  <si>
    <t>TEODORI FRANCESCO</t>
  </si>
  <si>
    <t>PATTI VANOCCI LIDIA</t>
  </si>
  <si>
    <t>ROGANI SOCIETA' AGRICOLA A R.L.</t>
  </si>
  <si>
    <t>GALASSI MICHELE</t>
  </si>
  <si>
    <t>SANTACCHI SERENA</t>
  </si>
  <si>
    <t>I.R.C.E.R. ASSUNTA DI RECANATI</t>
  </si>
  <si>
    <t>AZIENDA AGRARIA DELL'ISTITUTO TECNICO AGRARIO A.CECCHI</t>
  </si>
  <si>
    <t>CAA Coldiretti - PESARO E URBINO - 007</t>
  </si>
  <si>
    <t>CLEMENTI GABRIELE</t>
  </si>
  <si>
    <t>MESCHINI GIOVANNI</t>
  </si>
  <si>
    <t>SOCIETA' AGRICOLA BECCERICA DI BECCERICA MARCO, OTTAVIO E C. S.S.</t>
  </si>
  <si>
    <t>POLINI VINCENZO</t>
  </si>
  <si>
    <t>CAA Confagricoltura - ASCOLI PICENO - 001</t>
  </si>
  <si>
    <t>FERRETTI FRANCESCO</t>
  </si>
  <si>
    <t>MIGIANI TIZIANO</t>
  </si>
  <si>
    <t>BOMPREZZI ALBERTO</t>
  </si>
  <si>
    <t>CAA LiberiAgricoltori - MACERATA - 001</t>
  </si>
  <si>
    <t>ILARI GIULIANO</t>
  </si>
  <si>
    <t>CAA LiberiAgricoltori - MACERATA - 006</t>
  </si>
  <si>
    <t>RAPACCINI PASQUALE</t>
  </si>
  <si>
    <t>BENIGNI ALESSIA</t>
  </si>
  <si>
    <t>FICCADENTI ALESSIA</t>
  </si>
  <si>
    <t>PIOTTI ANGIOLINA</t>
  </si>
  <si>
    <t>CRUCIANI TONINO</t>
  </si>
  <si>
    <t>GIDIUCCI CAROLINA</t>
  </si>
  <si>
    <t>FIORONI MAURO</t>
  </si>
  <si>
    <t>SALVUCCI ELIO</t>
  </si>
  <si>
    <t>GRANDONI REGINA</t>
  </si>
  <si>
    <t>MAOLONI GIUSEPPINA</t>
  </si>
  <si>
    <t>MARONI ANNA</t>
  </si>
  <si>
    <t>CAA CAF AGRI - ASCOLI PICENO - 223</t>
  </si>
  <si>
    <t>MORESCHINI PIERLUIGI</t>
  </si>
  <si>
    <t>CALVANI LAURA</t>
  </si>
  <si>
    <t>CONTADINI ANNA MARIA</t>
  </si>
  <si>
    <t>BRECCIA MIRELLA</t>
  </si>
  <si>
    <t>SOCIETA' AGRICOLA GEMINI SRL</t>
  </si>
  <si>
    <t>BASSO ROBIN</t>
  </si>
  <si>
    <t>CAA CIA - PESARO E URBINO - 001</t>
  </si>
  <si>
    <t>TADDEI ALESSANDRO</t>
  </si>
  <si>
    <t>TADDEI ALBERTO</t>
  </si>
  <si>
    <t>LA FATTORIA DEI CANTORI SOCIETA' AGRICOLA SS</t>
  </si>
  <si>
    <t>LISI ARGO</t>
  </si>
  <si>
    <t>SACCHI ANDREA</t>
  </si>
  <si>
    <t>CAA CIA - PESARO E URBINO - 008</t>
  </si>
  <si>
    <t>CECCAROLI GRAZIANO</t>
  </si>
  <si>
    <t>CAA Coldiretti - PESARO E URBINO - 001</t>
  </si>
  <si>
    <t>BALK CHRISTIANE</t>
  </si>
  <si>
    <t>INFRICCIOLI GIUSEPPE</t>
  </si>
  <si>
    <t>CAVERNI FRANCESCO</t>
  </si>
  <si>
    <t>CAA Coldiretti - MACERATA - 018</t>
  </si>
  <si>
    <t>SOCIETA' AGRICOLA TAMANTI RENZO E C. S.S.</t>
  </si>
  <si>
    <t>CUGURU ANNA</t>
  </si>
  <si>
    <t>BUSCO ALDO</t>
  </si>
  <si>
    <t>SOCIETA' AGRICOLA GOSTOLI &amp; C. S.S.</t>
  </si>
  <si>
    <t>FLAMMA LAURETTA</t>
  </si>
  <si>
    <t>RANELLI MARCO</t>
  </si>
  <si>
    <t>AGEA.ASR.2025.1193924</t>
  </si>
  <si>
    <t>TENUTA SAN BIAGIO SOCIETA' AGRICOLA S.R.L.</t>
  </si>
  <si>
    <t>SOCIETA' AGR. IL CONVENTINO DI MONTECICCARDO SAS DI MARCANTO</t>
  </si>
  <si>
    <t>VICARI SOCIETA' SEMPLICE AGRICOLA DI VICARI NAZZARENO, VICO E VALENTIN</t>
  </si>
  <si>
    <t>EREDI EMIDI STANISLAO SOCIETA' SEMPLICE AGRICOLA</t>
  </si>
  <si>
    <t>MARCHETTI LUIGINO</t>
  </si>
  <si>
    <t>CRUCIANI LUCA</t>
  </si>
  <si>
    <t>POETA MASSIMO</t>
  </si>
  <si>
    <t>FULVI FRANCESCO</t>
  </si>
  <si>
    <t>ALUNNI ANDREA</t>
  </si>
  <si>
    <t>VALENTINI ENRICO MARIA</t>
  </si>
  <si>
    <t>CAA Coldiretti - ANCONA - 001</t>
  </si>
  <si>
    <t>MARINI PAOLO</t>
  </si>
  <si>
    <t>VALLORANI BERNARDINA</t>
  </si>
  <si>
    <t>LANCIOTTI ORIANA</t>
  </si>
  <si>
    <t>OCCHIODORO ALESSIO</t>
  </si>
  <si>
    <t>VALLORANI FABIO</t>
  </si>
  <si>
    <t>TALLE' SERGIO</t>
  </si>
  <si>
    <t>LOMBARDI EDDY</t>
  </si>
  <si>
    <t>SOCIETA' AGRICOLA MANCINI MICHELE E C. S.S</t>
  </si>
  <si>
    <t>SOCIETA' AGRICOLA TERRAPROSPERA S.S.</t>
  </si>
  <si>
    <t>CAI VENETO</t>
  </si>
  <si>
    <t>CAI VENETO - TREVISO - 003</t>
  </si>
  <si>
    <t>CONTRADA CASE ROSSE SOCIETA' AGRICOLA S.S.</t>
  </si>
  <si>
    <t>DI CARO CLAUDIO</t>
  </si>
  <si>
    <t>ARPINI MIRKO</t>
  </si>
  <si>
    <t>LA CANTINA DEI COLLI RIPANI - SOCIETA' COOPERATIVA (IN FORMA ABBREVIAT</t>
  </si>
  <si>
    <t>BELTRAME GEMMA</t>
  </si>
  <si>
    <t>CORRENTI MARCELLO</t>
  </si>
  <si>
    <t>SOCIETA' AGRICOLA GUIDI RICCARDO E MATTEO S.S.</t>
  </si>
  <si>
    <t>MARCONI LAVINIA</t>
  </si>
  <si>
    <t>GABRIELLI SANTE</t>
  </si>
  <si>
    <t>BARBIZZI PAOLA</t>
  </si>
  <si>
    <t>CAA CIA - ASCOLI PICENO - 005</t>
  </si>
  <si>
    <t>ANTOGNOZZI GABRIELLA</t>
  </si>
  <si>
    <t>MARINOZZI MAURO</t>
  </si>
  <si>
    <t>DELLE FAVE RAFFAELE</t>
  </si>
  <si>
    <t>GERMONI FRANCESCA</t>
  </si>
  <si>
    <t>PERUGINI MARIA</t>
  </si>
  <si>
    <t>SOCIETA' AGRICOLA IL MULINO DI PONTANI GIULIA E C. SS</t>
  </si>
  <si>
    <t>POLI BARBARA</t>
  </si>
  <si>
    <t>AZIENDA AGRICOLA SAN BENEDETTO SOCIETA' SEMPLICE</t>
  </si>
  <si>
    <t>MASSI LAURA</t>
  </si>
  <si>
    <t>CORRADETTI GIAMPIERO</t>
  </si>
  <si>
    <t>AZ.AGR.FIORENIRE DI COCCI P.F. E COCCI C. S.S. SOC. AGRICOLA</t>
  </si>
  <si>
    <t>CAA CIA - PESARO E URBINO - 003</t>
  </si>
  <si>
    <t>ANNIBALLI DIEGO</t>
  </si>
  <si>
    <t>MERENDA STEFANIA</t>
  </si>
  <si>
    <t>PETTINARI FEDERICO</t>
  </si>
  <si>
    <t>SOCIETA' AGRICOLA L'ESINANTE</t>
  </si>
  <si>
    <t>CORRENTI SIMONE</t>
  </si>
  <si>
    <t>CAA CIA - ASCOLI PICENO - 002</t>
  </si>
  <si>
    <t>CAMPANELLA NELLO</t>
  </si>
  <si>
    <t>SOCIETA' AGRICOLA VALTURIO DI SANTARELLI ISABELLA E GALLI ISABELLA S.S</t>
  </si>
  <si>
    <t>VAGNONI MARIO</t>
  </si>
  <si>
    <t>FIORAVANTI MICHELE</t>
  </si>
  <si>
    <t>SOCIETA' AGRICOLA BIO DI NUCCELLI BARBARA E SERENA S.R.L.</t>
  </si>
  <si>
    <t>CENTRO ZOOTECNICO COLLE TONDO SOCIETA' AGRICOLA SEMPLICE</t>
  </si>
  <si>
    <t>AGRICOLA PAGNONI DI BRUSCOLI ORNELLA &amp; C. SNC</t>
  </si>
  <si>
    <t>BADIALI ANDREA</t>
  </si>
  <si>
    <t>VELENOSI SOCIETA' A RESPONSABILITA' LIMITATA PER BREVITA' VELENOSI S.R</t>
  </si>
  <si>
    <t>FUNARI ANTONIO</t>
  </si>
  <si>
    <t>FIECCHI GIUSEPPE</t>
  </si>
  <si>
    <t>MARCHIONNI ENZO</t>
  </si>
  <si>
    <t>MENZIETTI RICCARDO</t>
  </si>
  <si>
    <t>M.PIA CASTELLI SOC.AGRICOLA SEMP</t>
  </si>
  <si>
    <t>KERN PETER</t>
  </si>
  <si>
    <t>CARDINALETTI LEONARDO</t>
  </si>
  <si>
    <t>FERRETTI ALESSANDRO</t>
  </si>
  <si>
    <t>MENGHI GIOVANNA-MARIA</t>
  </si>
  <si>
    <t>ROMMOZZI GIANMARCO</t>
  </si>
  <si>
    <t>VALLORANI MARIA PLACIDA</t>
  </si>
  <si>
    <t>MONTESI MAURIZIO</t>
  </si>
  <si>
    <t>SOCIETA' AGRICOLA CASULA</t>
  </si>
  <si>
    <t>APICOLTURA IL PODERE DI ALUNNI A. &amp; S. SOCIETA' AGRICOLA SEMPLICE</t>
  </si>
  <si>
    <t>PAPETTI LORENZO</t>
  </si>
  <si>
    <t>VIGNETI PICENI DI MANNOCCHI A. E AURELI D. SOC.AGR.SEMPLICE</t>
  </si>
  <si>
    <t>ANGELICI RENZO</t>
  </si>
  <si>
    <t>PERSICI FRANCESCO</t>
  </si>
  <si>
    <t>MARCHIONNI FABIO</t>
  </si>
  <si>
    <t>SIMONELLA EDOARDO</t>
  </si>
  <si>
    <t>SOCIETA AGRICOLA SANTA CROCE S.S.</t>
  </si>
  <si>
    <t>OLEARIUM S.R.L. SEMPLIFICATA SOCIETA' AGRICOLA</t>
  </si>
  <si>
    <t>SOCIETA' AGRICOLA FORESTALE LE COLLINE SOCIETA' SEMPLICE</t>
  </si>
  <si>
    <t>SOCIETA' AGRICOLA MINUTELLI S.S. DI BARBIERI MASSIMO &amp; C.</t>
  </si>
  <si>
    <t>AZIENDA AGRICOLA DEL MONTE CASTELLO DI FEDELI MYRIAM &amp; C. S.A.S.</t>
  </si>
  <si>
    <t>CAA Coldiretti - ASCOLI PICENO - 030</t>
  </si>
  <si>
    <t>VITTORI MANUELA</t>
  </si>
  <si>
    <t>LISI ADALBERTO</t>
  </si>
  <si>
    <t>MORONI MIKAEL</t>
  </si>
  <si>
    <t>CAA CIA - ANCONA - 003</t>
  </si>
  <si>
    <t>D'IGNAZI MATTEO</t>
  </si>
  <si>
    <t>ROHL WEYDEMANN KIRSTEN</t>
  </si>
  <si>
    <t>APPIGNANESI JURI</t>
  </si>
  <si>
    <t>MAZZANTI MASSIMO</t>
  </si>
  <si>
    <t>NERI ROBERTO</t>
  </si>
  <si>
    <t>POGGIASPALLA SILVIA</t>
  </si>
  <si>
    <t>CROGNALETTI NATALINO</t>
  </si>
  <si>
    <t>SOCIETA' AGRICOLA SPARAPANI DI SPARAPANI FRANCESCA &amp; C. SOCIETA' SEMPL</t>
  </si>
  <si>
    <t>SPADINI ATTILIO</t>
  </si>
  <si>
    <t>DOTTORI ANDREA</t>
  </si>
  <si>
    <t>PATREGNANI FRANCESCO</t>
  </si>
  <si>
    <t>LATINI OTELLO</t>
  </si>
  <si>
    <t>LANCIOTTI FABIO</t>
  </si>
  <si>
    <t>MARCONI SCIARRONI LUCA</t>
  </si>
  <si>
    <t>PIPPONZI RANIERO</t>
  </si>
  <si>
    <t>I.I.S. "GARIBALDI-BRAMANTE-PANNAGGI"</t>
  </si>
  <si>
    <t>IMPRESA AGRICOLA VITO CELESTE &amp; C.</t>
  </si>
  <si>
    <t>CANTUCCI ROBERTO</t>
  </si>
  <si>
    <t>BALTARIU MARIA BIANCA</t>
  </si>
  <si>
    <t>KLINGENHAGE SABINE ASTRID</t>
  </si>
  <si>
    <t>SIMONETTI LILIANA</t>
  </si>
  <si>
    <t>GRASSELLI SIMONE</t>
  </si>
  <si>
    <t>GIANANGELI MARISA</t>
  </si>
  <si>
    <t>FIZZONI MARTINA</t>
  </si>
  <si>
    <t>MENCARONI FEDERICO</t>
  </si>
  <si>
    <t>VINI SIMONETTI SOCIETA' SEMPLICE AGRICOLA</t>
  </si>
  <si>
    <t>BALDUCCI PATRIZIA</t>
  </si>
  <si>
    <t>BIAGIOLI VITTORINO</t>
  </si>
  <si>
    <t>MARCANTONI ROBERTO</t>
  </si>
  <si>
    <t>PETRELLINI MARCO</t>
  </si>
  <si>
    <t>GIARDINI ALEKSIEJ</t>
  </si>
  <si>
    <t>CATENA GRAZIANO</t>
  </si>
  <si>
    <t>CARMINUCCI LEARDO</t>
  </si>
  <si>
    <t>PERUZZI COLETTE</t>
  </si>
  <si>
    <t>SGALLA LAMBERTO</t>
  </si>
  <si>
    <t>FELIZIANI ORESTE</t>
  </si>
  <si>
    <t>FERRI PAOLO</t>
  </si>
  <si>
    <t>BIANCHI ANNALISA</t>
  </si>
  <si>
    <t>BENIGNI FRANCESCO</t>
  </si>
  <si>
    <t>JANNI ETTORE</t>
  </si>
  <si>
    <t>SOCIETA' AGRICOLA FATTORIA SAN MARTINO DI BORDO' FLAVIANO &amp; C. SOCIETA</t>
  </si>
  <si>
    <t>DAMIANI LUCIA</t>
  </si>
  <si>
    <t>TONTINI PAOLA</t>
  </si>
  <si>
    <t>SOCIETA' AGRICOLA LUZI AGRI S.S.</t>
  </si>
  <si>
    <t>URBINATI NILDE</t>
  </si>
  <si>
    <t>ZAMPARINI SILVANA RITA</t>
  </si>
  <si>
    <t>SOCIETA' AGRICOLA VIGNA DEGLI ESTENSI S.S.</t>
  </si>
  <si>
    <t>GAGLIARDI RENZO</t>
  </si>
  <si>
    <t>GOFFI ANDREA</t>
  </si>
  <si>
    <t>GRISOSTOMI ENIO E BRUNI DANIELA SOC.SEMPL.</t>
  </si>
  <si>
    <t>AGRICOLA FORESTALE CASIGLIANO DEI SIBILLINI DI POGGI HELOISE E C. S.N.</t>
  </si>
  <si>
    <t>GHERGO STEFANO</t>
  </si>
  <si>
    <t>PEROTTI GIAMPIERO</t>
  </si>
  <si>
    <t>LANCIOTTI MARCO</t>
  </si>
  <si>
    <t>AGRITURISMO PARADISO SOCIETA' AGRICOLA SRL</t>
  </si>
  <si>
    <t>FABIONERI GALILEO</t>
  </si>
  <si>
    <t>SOCIETA' AGRICOLA TENUTA 27 S.S.</t>
  </si>
  <si>
    <t>PIERMATTEI JURI</t>
  </si>
  <si>
    <t>SOCIETA' AGRICOLA MONTI SOCIETA' SEMPLICE</t>
  </si>
  <si>
    <t>BAGALINI ROBERTO</t>
  </si>
  <si>
    <t>SOCIETA' AGRICOLA AMIATA S.S.</t>
  </si>
  <si>
    <t>IMPRESA AGRICOLA IL COLLE DI ZAMPONI ORIETTA E ZUFFATI MAURIZIO SOCIET</t>
  </si>
  <si>
    <t>CAA CIA - ANCONA - 001</t>
  </si>
  <si>
    <t>DOPPIERI CRISTIANA</t>
  </si>
  <si>
    <t>SOCIETA' AGRICOLA MONTEBELLO S.R.L.</t>
  </si>
  <si>
    <t>CARDINALI BARBARA</t>
  </si>
  <si>
    <t>VALLORANI ROBERTO</t>
  </si>
  <si>
    <t>PAZZAGLINI PAOLO</t>
  </si>
  <si>
    <t>MAGNANI RENZO</t>
  </si>
  <si>
    <t>AZ.AG.SOTGIA E CADONI S.S.</t>
  </si>
  <si>
    <t>AZ. AGR. MONSANTO DI BARDEGGIA CARBONARI SOCIETA' AGRICOLA SS</t>
  </si>
  <si>
    <t>BARTOLINI MANUELA</t>
  </si>
  <si>
    <t>FRA COCCI SRL</t>
  </si>
  <si>
    <t>VANNUCCI AUGUSTO</t>
  </si>
  <si>
    <t>PIRCHIO FABRIZIO</t>
  </si>
  <si>
    <t>SPINELLI FABIO</t>
  </si>
  <si>
    <t>SOC.AGR.FATTORIA DELLA BONTA'-L'OASI DI PIERINO DI ANTOLINI SIMONE &amp; L</t>
  </si>
  <si>
    <t>DUCHI PAOLO E ALVINO SOC. SEMPLICE</t>
  </si>
  <si>
    <t>CRUCIANI LAURA</t>
  </si>
  <si>
    <t>PODERE MIRAY SOCIETA' AGRICOLA SEMPLICE</t>
  </si>
  <si>
    <t>CAA Coldiretti - PESARO E URBINO - 008</t>
  </si>
  <si>
    <t>PALAZZETTI RODOLFO</t>
  </si>
  <si>
    <t>SORCINELLI LUCA</t>
  </si>
  <si>
    <t>ARCANGELI FABIOLA</t>
  </si>
  <si>
    <t>ROSSI FOSCO MARIA</t>
  </si>
  <si>
    <t>FADDA STEFANO</t>
  </si>
  <si>
    <t>CARTECHINI SANDRO</t>
  </si>
  <si>
    <t>FULVI ERMANNO</t>
  </si>
  <si>
    <t>SOCIETA' AGRICOLA F.LLI LONDEI S.S.</t>
  </si>
  <si>
    <t>DI LORENZO MARCO E SANDRO SOC. SEMPLICE</t>
  </si>
  <si>
    <t>SOCIETA' AGRICOLA GREENMAVA SOCIETA' SEMPLICE</t>
  </si>
  <si>
    <t>AZIENDA AGRICOLA FORESTALE DE ANGELIS DI DE ANGELIS FEDERICA &amp; C. S.S.</t>
  </si>
  <si>
    <t>CONTI MARIA</t>
  </si>
  <si>
    <t>CECCHINI DANILO</t>
  </si>
  <si>
    <t>SCALBI VITTORIO</t>
  </si>
  <si>
    <t>MATTEUCCI MICHELE</t>
  </si>
  <si>
    <t>BILANZOLA MARIA</t>
  </si>
  <si>
    <t>SANTONI FRANCESCO</t>
  </si>
  <si>
    <t>CAA C.A.N.A.P.A. srl</t>
  </si>
  <si>
    <t>CAA C.A.N.A.P.A. - TERAMO - 003</t>
  </si>
  <si>
    <t>PETRINI FRANCESCA</t>
  </si>
  <si>
    <t>SOCIETA' AGRICOLA ELISAPETTA</t>
  </si>
  <si>
    <t>AZIENDA AGRICOLA BIOLOGICA LA GHITA DI MANOCCHI MARCELLO E MARCO S.S.</t>
  </si>
  <si>
    <t>MEREU GIANCARLO</t>
  </si>
  <si>
    <t>BRUNETTI CARLO</t>
  </si>
  <si>
    <t>SOCIETA' AGRICOLA ASOLANA DI DOMENICO CATTOGLIO &amp; MARIA ZACCHETTI S.S.</t>
  </si>
  <si>
    <t>ROSSI PIERINA</t>
  </si>
  <si>
    <t>TRAGNI GABRINA</t>
  </si>
  <si>
    <t>BIO DEGLI AZZONI SOCIETA' SEMPLICE SOCIETA' AGRICOLA</t>
  </si>
  <si>
    <t>FIORONI GIULIO</t>
  </si>
  <si>
    <t>POLINI LUIGI</t>
  </si>
  <si>
    <t>VILLALBA SOCIETA' SEMPLICE AGRICOLA</t>
  </si>
  <si>
    <t>SILVESTRI DANIELE</t>
  </si>
  <si>
    <t>MECOZZI VINCENZO</t>
  </si>
  <si>
    <t>TENIMENTI LE GINESTRE S.R.L. SOCIETA' AGRICOLA</t>
  </si>
  <si>
    <t>SOCIETA' AGRICOLA VIGNA CAVA SOCIETA' SEMPLICE</t>
  </si>
  <si>
    <t>SOCIETA' AGRICOLA IL RITORNO S.A.S. DI CLEMENTI MIRCO E CLEMENTI FEDER</t>
  </si>
  <si>
    <t>MOMIST SOCIETA AGRICOLA DI PARIS MICHELA E C. S.S.</t>
  </si>
  <si>
    <t>LAURI FABIO</t>
  </si>
  <si>
    <t>PARIS MICHELA</t>
  </si>
  <si>
    <t>BASSETTI EMIDIO</t>
  </si>
  <si>
    <t>SANTOLINI SANTA SOCIETA' AGRICOLA SEMPLICE</t>
  </si>
  <si>
    <t>VALLESI CRISTIANA</t>
  </si>
  <si>
    <t>MONGARDI SERENA</t>
  </si>
  <si>
    <t>SOCIETA' AGRICOLA IL SALTO S.S.</t>
  </si>
  <si>
    <t>MARINUCCI BARBARA</t>
  </si>
  <si>
    <t>STROPPA RENZO</t>
  </si>
  <si>
    <t>OLIVIERI GIUSEPPE</t>
  </si>
  <si>
    <t>STROVEGLI GIACOMO</t>
  </si>
  <si>
    <t>PIERANTONI ROBERTO</t>
  </si>
  <si>
    <t>EUSEPI NICOLA</t>
  </si>
  <si>
    <t>PAPAVERI ENRICO</t>
  </si>
  <si>
    <t>CIARONI MASSIMO</t>
  </si>
  <si>
    <t>MARCANTOGNINI EMANUELE</t>
  </si>
  <si>
    <t>BECCHETTI FEDERICA</t>
  </si>
  <si>
    <t>BARBIERI ARMANDO</t>
  </si>
  <si>
    <t>FADDA SAMUELE</t>
  </si>
  <si>
    <t>IONNI SILVERIO OTTAVIO</t>
  </si>
  <si>
    <t>PASQUALINI GIANNA</t>
  </si>
  <si>
    <t>CALIENDI FRANCESCO</t>
  </si>
  <si>
    <t>SOCIETA' AGRICOLA ALEANDRI PAOLA &amp; TIZIANO SOCIETA' SEMPLICE</t>
  </si>
  <si>
    <t>AZ.AGR.SANNA E MONI</t>
  </si>
  <si>
    <t>COMOLLA ALESSANDRA</t>
  </si>
  <si>
    <t>CONTI ORNELLA</t>
  </si>
  <si>
    <t>CAA Coldiretti - ASCOLI PICENO - 025</t>
  </si>
  <si>
    <t>TORQUATI ANGELO E MARZIALI SILVANA SOC.SEMPLICE</t>
  </si>
  <si>
    <t>MCA SOCIETA' AGRICOLA SEMPLICE</t>
  </si>
  <si>
    <t>MORA DUILIA</t>
  </si>
  <si>
    <t>VITA JACOPO</t>
  </si>
  <si>
    <t>RECCHI FRANCESCHINI MARIO ANTONIO</t>
  </si>
  <si>
    <t>SERVIZI CONSUELO</t>
  </si>
  <si>
    <t>SOCIETA AGRICOLA TERRE IN ARMONIA S.S.</t>
  </si>
  <si>
    <t>SOCIETA' AGRICOLA ORTO FELICE DI CICCALE' SARA &amp; DE PAOLIS CLAUDIO SOC</t>
  </si>
  <si>
    <t>SOCIETA' AGRICOLA ABC DI GUERRA S.S.</t>
  </si>
  <si>
    <t>CAA Coldiretti - PESARO E URBINO - 010</t>
  </si>
  <si>
    <t>SOCIETA' AGRICOLA BENEDETTI MASSIMO E NAZZARENO SS</t>
  </si>
  <si>
    <t>SOCIETA' AGRICOLA CASELLA DI GUERRA S. C S.S.</t>
  </si>
  <si>
    <t>AGRIFORAGGI SOC. AGRICOLA DI CARESTIA DANIELE &amp; C. S.S.</t>
  </si>
  <si>
    <t>FATTORI PIERFRANCESCO</t>
  </si>
  <si>
    <t>COCCI NICOLINO</t>
  </si>
  <si>
    <t>SOCIETA' AGRICOLA MONTEBIANCO120 S.S.</t>
  </si>
  <si>
    <t>ERCOLANI LORENZO</t>
  </si>
  <si>
    <t>IL TALENTO - COOPERATIVA SOCIALE - ONLUS</t>
  </si>
  <si>
    <t>AZIENDA AGRICOLA AGRITURISTICA IERVASCIO' DI GIANNETTI ATTIL</t>
  </si>
  <si>
    <t>GEMINIANI MARINO</t>
  </si>
  <si>
    <t>CAA CIA - MACERATA - 001</t>
  </si>
  <si>
    <t>SAGRIPANTI CLAUDIO</t>
  </si>
  <si>
    <t>CAA CAF AGRI - ANCONA - 221</t>
  </si>
  <si>
    <t>SOCIETA' AGRICOLA BIO LE TERRE DEL LAGO S.S.</t>
  </si>
  <si>
    <t>MERIGGI ANTONELLA</t>
  </si>
  <si>
    <t>BOCCI MARCO</t>
  </si>
  <si>
    <t>SOCIETA' AGRICOLA LUZI GIANLUIGI E ANDREA S.S.</t>
  </si>
  <si>
    <t>PAZZAGLIA NICOLA</t>
  </si>
  <si>
    <t>BONETTI BRUNO</t>
  </si>
  <si>
    <t>BALDARELLI DONATELLA</t>
  </si>
  <si>
    <t>ROCCA MONTEVARMINE SOCIETA' AGRICOLA SEMPLICE</t>
  </si>
  <si>
    <t>SOCIETA' AGRICOLA D.M.M. AGRI</t>
  </si>
  <si>
    <t>SASSETTI MARCO</t>
  </si>
  <si>
    <t>PIGNOCCHI MARCO</t>
  </si>
  <si>
    <t>CITERONI GIOACCHINO</t>
  </si>
  <si>
    <t>CONTI CLAUDIO</t>
  </si>
  <si>
    <t>FALSETTI GABRIELE</t>
  </si>
  <si>
    <t>MERLETTI VINCENZO</t>
  </si>
  <si>
    <t>MANCINI ANDREA</t>
  </si>
  <si>
    <t>SERGIACOMI MARIA</t>
  </si>
  <si>
    <t>ALLIERI DANIELE</t>
  </si>
  <si>
    <t>LE CORTI DEI FARFENSI SOCIETA' AGRICOLA SRL</t>
  </si>
  <si>
    <t>LUBIAN S.A.S. AGRICOLA DI LUZI VALERIO &amp; C.</t>
  </si>
  <si>
    <t>CALDARI CHRISTIAN</t>
  </si>
  <si>
    <t>COLONNELLA OLIVA</t>
  </si>
  <si>
    <t>VITALI LUISELLA</t>
  </si>
  <si>
    <t>VISTA FERMO SOCIETA' AGRICOLA SEMPLICE</t>
  </si>
  <si>
    <t>GAL ENIKO MARIA</t>
  </si>
  <si>
    <t>SCARPETTI SERENELLA</t>
  </si>
  <si>
    <t>BERRETTA LILIANA</t>
  </si>
  <si>
    <t>MARONI LUCIA</t>
  </si>
  <si>
    <t>CAVALIERI ANDREA</t>
  </si>
  <si>
    <t>PISCINI CARLO</t>
  </si>
  <si>
    <t>CESARETTI JURI</t>
  </si>
  <si>
    <t>VERDICCHIO SIMONE</t>
  </si>
  <si>
    <t>SAVINI GIULIA MARCELLA</t>
  </si>
  <si>
    <t>PIRANI ELISABETTA</t>
  </si>
  <si>
    <t>HEKATE TRE C DELLE SORELLE MARTA E CAMILLA CAPRIOTTI &amp; C. SAS SOCIETA'</t>
  </si>
  <si>
    <t>MERCIAI ANNALISA</t>
  </si>
  <si>
    <t>MARONI ONORATO</t>
  </si>
  <si>
    <t>BALLERINI FRANCO</t>
  </si>
  <si>
    <t>CIARAMICOLI PAOLO</t>
  </si>
  <si>
    <t>MOSCA FEDERICA</t>
  </si>
  <si>
    <t>GRADOZZI PRIMO</t>
  </si>
  <si>
    <t>SCHIAVONI AMABILIA</t>
  </si>
  <si>
    <t>RESENTE FILIPPO</t>
  </si>
  <si>
    <t>FRASCOLINO ANNAMARIA</t>
  </si>
  <si>
    <t>PITTALIS BASTIANINO MARCO</t>
  </si>
  <si>
    <t>ROSELLI MARIA GABRIELLA</t>
  </si>
  <si>
    <t>SGARIGLIA DAVIDE</t>
  </si>
  <si>
    <t>SOCIETA' AGRICOLA SAN GIROLAMO S.S.</t>
  </si>
  <si>
    <t>VAGNONI TONINO</t>
  </si>
  <si>
    <t>VISSANI MIRKO</t>
  </si>
  <si>
    <t>FOSSAROLI ANNA-MARIA</t>
  </si>
  <si>
    <t>SORCE VALENTINA</t>
  </si>
  <si>
    <t>BERDOZZI VALENTINA</t>
  </si>
  <si>
    <t>TENUTA MONALDI SOCIETA' AGRICOLA S.S.</t>
  </si>
  <si>
    <t>MARONCELLI MASSIMO</t>
  </si>
  <si>
    <t>ZILIOTTO ROSALIA</t>
  </si>
  <si>
    <t>PIERLEONI MARCO</t>
  </si>
  <si>
    <t>CIARROCCHI MARINELLA</t>
  </si>
  <si>
    <t>AGRARIA MONTENOVO</t>
  </si>
  <si>
    <t>TALE' GIOVANNI</t>
  </si>
  <si>
    <t>AGRICOLA TELLUS</t>
  </si>
  <si>
    <t>MINUTELLI SEMIKOLENNYKH ILYA</t>
  </si>
  <si>
    <t>BIONDI SOCIETA' AGRICOLA SEMPLICE</t>
  </si>
  <si>
    <t>ARRAS MARIO</t>
  </si>
  <si>
    <t>GIORGI UMBERTO</t>
  </si>
  <si>
    <t>SERGIACOMI MARIO</t>
  </si>
  <si>
    <t>GEMINIANI GIUSI</t>
  </si>
  <si>
    <t>SOCIETA' AGRICOLA GREGORI GIOVANNI E LUIGI</t>
  </si>
  <si>
    <t>GIOSUE' ENDRIO</t>
  </si>
  <si>
    <t>SOCIETA' AGRICOLA CONERO VERDE S.S.</t>
  </si>
  <si>
    <t>M. G. DI MAGGIORANA CINZIA &amp; C. SOCIETA' AGRICOLA SEMPLICE</t>
  </si>
  <si>
    <t>SCIAMANNA FEDERICO</t>
  </si>
  <si>
    <t>GOBBI TIZIANA</t>
  </si>
  <si>
    <t>CAA CIA - ANCONA - 004</t>
  </si>
  <si>
    <t>GIULIETTI OSCAR</t>
  </si>
  <si>
    <t>GAGGIOTTINI EMILIO</t>
  </si>
  <si>
    <t>SECCHIAROLI MARIA-TERESA</t>
  </si>
  <si>
    <t>CAA CIA - PESARO E URBINO - 006</t>
  </si>
  <si>
    <t>PIETRUCCI IVAN</t>
  </si>
  <si>
    <t>MARCOBELLI ALBERICO</t>
  </si>
  <si>
    <t>PICCHIO MATTIA</t>
  </si>
  <si>
    <t>MASSI PAOLO</t>
  </si>
  <si>
    <t>SOCIETA' AGRICOLA CASEARIA COLLE OSTRENSE S.S.</t>
  </si>
  <si>
    <t>AMADIO ROSA</t>
  </si>
  <si>
    <t>ROSATELLI NICOLA</t>
  </si>
  <si>
    <t>ESPOSTO ANDREA</t>
  </si>
  <si>
    <t>PUCCI ALESSANDRA</t>
  </si>
  <si>
    <t>COCCI PATRIZIO</t>
  </si>
  <si>
    <t>ROMITI SIMONE</t>
  </si>
  <si>
    <t>VESPERINI SIMONE</t>
  </si>
  <si>
    <t>CAA CIA - PERUGIA - 005</t>
  </si>
  <si>
    <t>ITERNOVA SOCIETA' AGRICOLA S.R.L.</t>
  </si>
  <si>
    <t>PRIORI BRUNELLA</t>
  </si>
  <si>
    <t>GARDONI MARIA LETIZIA</t>
  </si>
  <si>
    <t>BERLONI GIULIANO</t>
  </si>
  <si>
    <t>FALCIONI SIMONE</t>
  </si>
  <si>
    <t>LE VIGNE DI CLEMENTINA FABI SOCIETA' AGRICOLA A R. L.</t>
  </si>
  <si>
    <t>SCOCCO MARISA</t>
  </si>
  <si>
    <t>MARANGONI GIOVANNI</t>
  </si>
  <si>
    <t>TONUCCI ANTONIO</t>
  </si>
  <si>
    <t>ING. AGAR SORBATTI 1900 S.R.L. SOCIETA' AGRICOLA</t>
  </si>
  <si>
    <t>ORCIARI SIMONE</t>
  </si>
  <si>
    <t>BERTANI MARIA PASQUINA</t>
  </si>
  <si>
    <t>I PODERI DEL POGGIO SOCIETA' AGRICOLA</t>
  </si>
  <si>
    <t>LUCIANI SILVANA</t>
  </si>
  <si>
    <t>LOMBONI DANIELE</t>
  </si>
  <si>
    <t>MARINELLI PAOLO</t>
  </si>
  <si>
    <t>CORSI RAFFAELE</t>
  </si>
  <si>
    <t>FLORIS FRANCESCO</t>
  </si>
  <si>
    <t>SOCIETA' AGRICOLA SANT'ANDREA S.S.</t>
  </si>
  <si>
    <t>VITALI LORENZO</t>
  </si>
  <si>
    <t>BIANCOPECORA SOCIETA' AGRICOLA SEMPLICE DI CISCATO DAVIDE MASSIMO E CI</t>
  </si>
  <si>
    <t>MASSI ROBERTO</t>
  </si>
  <si>
    <t>CAA Coldiretti - ASCOLI PICENO - 010</t>
  </si>
  <si>
    <t>PAOLINA SOCIETA' AGRICOLA SEMPLICE DEI FRATELLI CAMACCI</t>
  </si>
  <si>
    <t>MARIANI SANDRO</t>
  </si>
  <si>
    <t>GREGORINI LUCA</t>
  </si>
  <si>
    <t>DEMETRA SOCIETA' AGRICOLA S.S.</t>
  </si>
  <si>
    <t>CESARETTI GIOVANNI BATISTA</t>
  </si>
  <si>
    <t>SCAGNOLI LILIA</t>
  </si>
  <si>
    <t>SOCIETA' AGRICOLA MOROBIANCO S.R.L.</t>
  </si>
  <si>
    <t>ROSELLI DANIELE</t>
  </si>
  <si>
    <t>MARCOLINI SIMONE</t>
  </si>
  <si>
    <t>GABRIELLI LORENZO</t>
  </si>
  <si>
    <t>FABRINI RAOUL MASSIMO</t>
  </si>
  <si>
    <t>F.LLI BIANCHI DI BIANCHI PAOLO E GIACOMO</t>
  </si>
  <si>
    <t>GROTTINI SOCIETA' AGRICOLA</t>
  </si>
  <si>
    <t>GAROSI MANUELA</t>
  </si>
  <si>
    <t>VIOLA DINO</t>
  </si>
  <si>
    <t>ACCIARRI MARIA LAURA</t>
  </si>
  <si>
    <t>TOMASSETTI MATTEO</t>
  </si>
  <si>
    <t>LARGHETTI ANTONIO</t>
  </si>
  <si>
    <t>MARTELLI DANIELE</t>
  </si>
  <si>
    <t>MARIANI FRANCESCO MASSIMO</t>
  </si>
  <si>
    <t>SOCIETA' AGRICOLA CASOLARE TERRE DEI SIBILLINI S.S.</t>
  </si>
  <si>
    <t>SERGOLINI FABRIZIO</t>
  </si>
  <si>
    <t>RICCIOTTI LUCIANO</t>
  </si>
  <si>
    <t>SANTINI JACOPO</t>
  </si>
  <si>
    <t>FUCILI FRANCO</t>
  </si>
  <si>
    <t>ALNHILAN DI OLIVIA BIZZARRI &amp; C. - SOCIETA' AGRICOLA IN ACCOMANDITA SE</t>
  </si>
  <si>
    <t>GIULIANI PATRIZIO</t>
  </si>
  <si>
    <t>LA GREPPA SOCIETA' AGRICOLA S.S.</t>
  </si>
  <si>
    <t>SOCIETA AGRICOLA AGRI FILPU S.S.</t>
  </si>
  <si>
    <t>SOCIETA AGRICOLA FUSARI S.S.</t>
  </si>
  <si>
    <t>SOCIETA' AGRICOLA LE ROTE S.R.L.S.</t>
  </si>
  <si>
    <t>ZACCAGNINI ROSELLA</t>
  </si>
  <si>
    <t>ROBERTI ALESSANDRO</t>
  </si>
  <si>
    <t>AZIENDA AGRARIA BIANCARDA SOCIETA' AGRICOLA</t>
  </si>
  <si>
    <t>FALCIONI MAURIZIO</t>
  </si>
  <si>
    <t>FARAONI SAMUEL</t>
  </si>
  <si>
    <t>GOLINI ANNA</t>
  </si>
  <si>
    <t>LUPINI LARISA</t>
  </si>
  <si>
    <t>MOGNON FLORIANO</t>
  </si>
  <si>
    <t>MASCIOLI MIRCO</t>
  </si>
  <si>
    <t>FALASCA ZAMPONI STEFANIA</t>
  </si>
  <si>
    <t>ERCOLI CRISTIAN</t>
  </si>
  <si>
    <t>CINTI CINZIA</t>
  </si>
  <si>
    <t>RENALDI SIMONA</t>
  </si>
  <si>
    <t>MONTI GIUSEPPE</t>
  </si>
  <si>
    <t>CONTI OLGA</t>
  </si>
  <si>
    <t>FORANI LUCA</t>
  </si>
  <si>
    <t>SOLFANELLI GIULIANO</t>
  </si>
  <si>
    <t>CAA CAF AGRI - MACERATA - 224</t>
  </si>
  <si>
    <t>CETORETTA PAOLA</t>
  </si>
  <si>
    <t>QUADRAROLI SANDRINO</t>
  </si>
  <si>
    <t>ROSSI GIORGIA LAURA</t>
  </si>
  <si>
    <t>CASTIGLIONI LUCA</t>
  </si>
  <si>
    <t>MARI RENZO</t>
  </si>
  <si>
    <t>SOCIETA' AGRICOLA BRUSCIA S.S.</t>
  </si>
  <si>
    <t>IL MASTIO SOCIETA' AGRICOLA</t>
  </si>
  <si>
    <t>SOCIETA' AGRICOLA MERELLI MARCELLO E C. S.S.</t>
  </si>
  <si>
    <t>NATALIZI ROBERTO</t>
  </si>
  <si>
    <t>CANTENNE ANGELO</t>
  </si>
  <si>
    <t>GABRIELLONI CESARINA</t>
  </si>
  <si>
    <t>CAMBERTONI DENISE</t>
  </si>
  <si>
    <t>MORETTI ADELE</t>
  </si>
  <si>
    <t>MERIGGI FRANCO</t>
  </si>
  <si>
    <t>GAGLIARDINI MAURO</t>
  </si>
  <si>
    <t>MENGONI MARIA TERESA</t>
  </si>
  <si>
    <t>RAPANELLI RENZO</t>
  </si>
  <si>
    <t>GIACOMONI MARZIANA</t>
  </si>
  <si>
    <t>GARULLI MARIA PIA</t>
  </si>
  <si>
    <t>LUZI GIUSEPPE</t>
  </si>
  <si>
    <t>COMPAGNUCCI-COMPAGNONI-FLORIANI CARLA-DANIELA</t>
  </si>
  <si>
    <t>CAPRIOTTI ALESSANDRO</t>
  </si>
  <si>
    <t>CATALDI ERSILIA</t>
  </si>
  <si>
    <t>VIRGILI ANNA</t>
  </si>
  <si>
    <t>MARCHEI MANUELA</t>
  </si>
  <si>
    <t>CIARONI GIOVANNI</t>
  </si>
  <si>
    <t>VERKLEIJ WILHELMUS JACOBUS</t>
  </si>
  <si>
    <t>CARDUCCI LONGINO</t>
  </si>
  <si>
    <t>PESARESI SAURO</t>
  </si>
  <si>
    <t>SINIGAGLIA ANNA</t>
  </si>
  <si>
    <t>CASA VISTA FIORE SOCIETA' AGRICOLA SEMPLICE</t>
  </si>
  <si>
    <t>SOCIETA' AGRICOLA RUGINI S.S.</t>
  </si>
  <si>
    <t>GUBINELLI JONATHAN</t>
  </si>
  <si>
    <t>CORA DI CARBONI SANTE &amp; C. SAS</t>
  </si>
  <si>
    <t>DE FRANCESCO DANIELE</t>
  </si>
  <si>
    <t>SOCIETA' AGRICOLA LA GUSCIERIA S.S.</t>
  </si>
  <si>
    <t>CRESCENTINI PARIDE</t>
  </si>
  <si>
    <t>GABRIELLI MARCO</t>
  </si>
  <si>
    <t>SPADONI GIUSEPPE</t>
  </si>
  <si>
    <t>TORRE DEGLI ANGELI SOCIETA' AGRICOLA A R.L.</t>
  </si>
  <si>
    <t>PIUNTI GIOVANNI</t>
  </si>
  <si>
    <t>GUERRA ANDREA</t>
  </si>
  <si>
    <t>COCCI STEFANO</t>
  </si>
  <si>
    <t>SOCIETA' AGRICOLA F.LLI MULAS S.S.</t>
  </si>
  <si>
    <t>CAMELI FEDERICA</t>
  </si>
  <si>
    <t>SCHWAGER HERBERT MATTHIAS</t>
  </si>
  <si>
    <t>SOCIETA' AGRICOLA SEMPLICE GIARDINO AGRICOLO</t>
  </si>
  <si>
    <t>MUROLA - ING. TEODORO BONATI 1724 SRL SOCIETA' AGRICOLA</t>
  </si>
  <si>
    <t>ROSATI EDOARDO</t>
  </si>
  <si>
    <t>SOCIETA' AGRICOLA STRAPPAVECCIA SOCIETA' SEMPLICE</t>
  </si>
  <si>
    <t>CRISPICIANI SARA</t>
  </si>
  <si>
    <t>SCARPACCI MICHELE</t>
  </si>
  <si>
    <t>SOCIETA' AGRICOLA LE BORETTE DI PIEROBON ARNALDO E C. S.A.S.</t>
  </si>
  <si>
    <t>CAA UNICAA - ASCOLI PICENO - 004</t>
  </si>
  <si>
    <t>CANNELLA MILENA</t>
  </si>
  <si>
    <t>FERRARESI ADOLFO</t>
  </si>
  <si>
    <t>CAA Liberi Prof.</t>
  </si>
  <si>
    <t>CAA Liberi Prof. - PESARO E URBINO - 001</t>
  </si>
  <si>
    <t>CLEMENTI FEDERICO</t>
  </si>
  <si>
    <t>ORAZI LEONARDO</t>
  </si>
  <si>
    <t>FOGLIA RENZO</t>
  </si>
  <si>
    <t>ANTICO ULIVETO SAS DI CIMINI MICHELA</t>
  </si>
  <si>
    <t>FENIGLI UNO - SOCIETA AGRICOLA SEMPLICE DI GLAESSGEN KARL HEINZ E MASS</t>
  </si>
  <si>
    <t>CARBONI SAMANTA</t>
  </si>
  <si>
    <t>DEPLANU SALVATORE &amp; ALESSANDRO SOC.SEMPL.AGRICOLA</t>
  </si>
  <si>
    <t>CAA LiberiAgricoltori - MACERATA - 004</t>
  </si>
  <si>
    <t>LUCARELLI VALERIO</t>
  </si>
  <si>
    <t>URBINELLI MARIA LAURA</t>
  </si>
  <si>
    <t>CAA CONFAGRIC. TOSCANA</t>
  </si>
  <si>
    <t>CAA CONFAGRIC. TOSCANA - AREZZO - 001</t>
  </si>
  <si>
    <t>FATTORIA LA VIALLA DI GIANNI, ANTONIO E BANDINO LO FRANCO - SOCIE TA'</t>
  </si>
  <si>
    <t>SOCIETA' AGRICOLA CIU' CIU' DI BARTOLOMEI MASSIMILIANO E BARTOLOMEI WA</t>
  </si>
  <si>
    <t>FELICETTI MARCO</t>
  </si>
  <si>
    <t>SOCIETA' AGRICOLA BIOLOGICA SANTO STEFANO DI RENGA ROBERTA E RENGA RIC</t>
  </si>
  <si>
    <t>FOGLIA DALMAZIO</t>
  </si>
  <si>
    <t>BRACCI FEDERICA</t>
  </si>
  <si>
    <t>CECCHI LUCIA</t>
  </si>
  <si>
    <t>CESARONI CLAUDIO</t>
  </si>
  <si>
    <t>MANCINI TOMMASO</t>
  </si>
  <si>
    <t>CAVATORTA GIOVANNA</t>
  </si>
  <si>
    <t>BONGINI GIAN MARIO</t>
  </si>
  <si>
    <t>CAPPELLETTI GIULIANO</t>
  </si>
  <si>
    <t>SOCIETA' AGRICOLA GIROLAMI STEFANIA E SONIA S.S.</t>
  </si>
  <si>
    <t>SPINA FRANCO</t>
  </si>
  <si>
    <t>BRANCIARI CRISTINA</t>
  </si>
  <si>
    <t>MASSI GENTILONI SILVERI EMANUELE</t>
  </si>
  <si>
    <t>DI FELICE MAURO</t>
  </si>
  <si>
    <t>SOCIETA' AGRICOLA ZU' ZU' DI ALESSIA E VALERIA DI NICOLO' SOCIETA' SEM</t>
  </si>
  <si>
    <t>CORRADETTI RENATO</t>
  </si>
  <si>
    <t>ACCIARRI GIOVANNA</t>
  </si>
  <si>
    <t>LAURI GIANCARLO</t>
  </si>
  <si>
    <t>PIERMATTEI MARIANO</t>
  </si>
  <si>
    <t>BIGNAMI CLAUDIO</t>
  </si>
  <si>
    <t>GIACOMONI CESARE</t>
  </si>
  <si>
    <t>LOCCIONI RENATO</t>
  </si>
  <si>
    <t>LUNA BONA SOCIETA' AGRICOLA - DI MAGI FEDERICO MARIA &amp; C. S.A.S.</t>
  </si>
  <si>
    <t>MARIANI LORENZO</t>
  </si>
  <si>
    <t>BENEDETTI ANDREA</t>
  </si>
  <si>
    <t>CECCHINI FRANCO</t>
  </si>
  <si>
    <t>LAURI LUIGI</t>
  </si>
  <si>
    <t>CAPANNINI SIMONE</t>
  </si>
  <si>
    <t>DA ROS GUALBERTO</t>
  </si>
  <si>
    <t>SOCIETA' AGRICOLA IL RAGGIO DI SOLE DI ORPELLO S.S.</t>
  </si>
  <si>
    <t>ABBRUZZETTI AGRICOLA SOCIETA' AGRICOLA SEMPLICE</t>
  </si>
  <si>
    <t>CASTELLI STEFANO</t>
  </si>
  <si>
    <t>TROTTA DOMENICO PIO</t>
  </si>
  <si>
    <t>GRIFI FRANCO</t>
  </si>
  <si>
    <t>DE ANGELIS SAMUELE</t>
  </si>
  <si>
    <t>TENUTE DEL MONTEFELTRO SOCIETA' AGRICOLA S.S.</t>
  </si>
  <si>
    <t>FORLANI MILVA</t>
  </si>
  <si>
    <t>GIUSTOZZI ANDREA</t>
  </si>
  <si>
    <t>SOCIETA' AGRICOLA TERRAVIVA S.S</t>
  </si>
  <si>
    <t>SEBASTIANI DAMIANO</t>
  </si>
  <si>
    <t>GUGLIELMI MASSIMO</t>
  </si>
  <si>
    <t>MONTEROSSO S.A.S. DI FARRO BIO INTERNATIONAL SRLS &amp; C.</t>
  </si>
  <si>
    <t>SI BIO DI PREMICI SILVIA E ALEANDRI VINCENZO SOCIETA SEMPLICE AGR ICOL</t>
  </si>
  <si>
    <t>GUATIERI CHRISTIAN</t>
  </si>
  <si>
    <t>CAA Coldiretti - VITERBO - 007</t>
  </si>
  <si>
    <t>SCOLASTICI RAIMONDO</t>
  </si>
  <si>
    <t>CARRARA PAOLO</t>
  </si>
  <si>
    <t>SOCIETA'AGRICOLA FEDUZI GIANCARLO &amp; C SS</t>
  </si>
  <si>
    <t>SOCIETA' AGRICOLA "CAPODIMONTE" DI FERRETTI MARIANNA E FRANCESCA S.S.</t>
  </si>
  <si>
    <t>FALCONI CARLA</t>
  </si>
  <si>
    <t>SOCIETA' AGRICOLA "LA PERLA DEL TRONTO" S.S.</t>
  </si>
  <si>
    <t>JACHINI MARZIALI CATERINA</t>
  </si>
  <si>
    <t>SOC.AGRICOLA "ZUCCHERA" SOC.SEMPLICE</t>
  </si>
  <si>
    <t>FABBRIZI DAVID</t>
  </si>
  <si>
    <t>AURORA DI GABRIELLI-SPACCASASSI-PIGNATI-CIOMMI SOCIETA'SEMPLICE AGRICO</t>
  </si>
  <si>
    <t>PIERANTOZZI SIMONE</t>
  </si>
  <si>
    <t>DI NICOLO' SILVANO</t>
  </si>
  <si>
    <t>ERMANNI GIANLUCA</t>
  </si>
  <si>
    <t>PRO.AGRI S.R.L.</t>
  </si>
  <si>
    <t>EMIDI ANDREA</t>
  </si>
  <si>
    <t>ILLUMINATI DANIELA</t>
  </si>
  <si>
    <t>BALZANI FRANCESCA</t>
  </si>
  <si>
    <t>MORODER MARCO</t>
  </si>
  <si>
    <t>BROCANI GIUSEPPE</t>
  </si>
  <si>
    <t>CARRIVALE DOMENICO</t>
  </si>
  <si>
    <t>BATTESTINI SIMONE</t>
  </si>
  <si>
    <t>SOCIETA' AGRICOLA ALBAMOCCO S.S. DI RUSSOTTO FILIPPO E MATILDE</t>
  </si>
  <si>
    <t>FABI MARCO</t>
  </si>
  <si>
    <t>BERTI ELENA</t>
  </si>
  <si>
    <t>VALOTA STEFANO</t>
  </si>
  <si>
    <t>SPACCAPANICCIA PIERO</t>
  </si>
  <si>
    <t>FRATONI GABRIELE</t>
  </si>
  <si>
    <t>MULATTIERI MELISSA</t>
  </si>
  <si>
    <t>MANCINI DANILO</t>
  </si>
  <si>
    <t>VALTORTA RAVI</t>
  </si>
  <si>
    <t>IONNI ETTORE</t>
  </si>
  <si>
    <t>CARLINI CLEMENTE</t>
  </si>
  <si>
    <t>CATENA GIUSEPPE</t>
  </si>
  <si>
    <t>GORGOLINI KEVIN</t>
  </si>
  <si>
    <t>SOCIETA' AGRICOLA AZIENDE BIOLOGICHE RIUNITE MARCHE S.S.</t>
  </si>
  <si>
    <t>BRUSCHI ALBERTO</t>
  </si>
  <si>
    <t>BRACCI ANDREA</t>
  </si>
  <si>
    <t>LARDELLI FRANCO</t>
  </si>
  <si>
    <t>LA TENUTA DI MATTIA SOCIETA' SEMPLICE AGROFORESTALE DI FORMENTINI IVAN</t>
  </si>
  <si>
    <t>FERRARI ROBERTA</t>
  </si>
  <si>
    <t>CICCHESE PAOLA</t>
  </si>
  <si>
    <t>BERGAMINI LUCIANO</t>
  </si>
  <si>
    <t>AURELI MORENO</t>
  </si>
  <si>
    <t>SOCIETA' AGRICOLA ROMITI SOCIETA' SEMPLICE</t>
  </si>
  <si>
    <t>BASCONI SILVANO</t>
  </si>
  <si>
    <t>SOCIETA AGRICOLA ALESSANDRI E PIERELLI SOCIETA SEMPLICE</t>
  </si>
  <si>
    <t>LE CAPANNACCE SOCIETA' AGRICOLA S.S.</t>
  </si>
  <si>
    <t>SILVESTRINI ISABELLA</t>
  </si>
  <si>
    <t>SOCIETA' AGRICOLA LA CASA ROSA DI CESARONI MARCO &amp; C. S.S.</t>
  </si>
  <si>
    <t>CALENTI DARIO</t>
  </si>
  <si>
    <t>RAGNI RICCARDO</t>
  </si>
  <si>
    <t>TITTONI GIOVANNI</t>
  </si>
  <si>
    <t>CRINELLA LUCA</t>
  </si>
  <si>
    <t>MOSTO SELVATICO SOCIETA' SEMPLICE AGRICOLA DI CESONI RAFFAELLO E PARME</t>
  </si>
  <si>
    <t>DE ANGELIS PIERFRANCESCO</t>
  </si>
  <si>
    <t>CAMPOLUCCI MARCO</t>
  </si>
  <si>
    <t>LA QUERCIA DELLA MEMORIA DI DI LUCA F. &amp; C. SOC. AGR. SEMPL.</t>
  </si>
  <si>
    <t>NICOLELLI DANILO</t>
  </si>
  <si>
    <t>D'ANGELO MARIELLA</t>
  </si>
  <si>
    <t>COACCI ORIETTA</t>
  </si>
  <si>
    <t>PROCACCINI ALFONSO</t>
  </si>
  <si>
    <t>FICCADENTI IRENE</t>
  </si>
  <si>
    <t>FELIZIANI GIANNI</t>
  </si>
  <si>
    <t>MORLACCA ERRI</t>
  </si>
  <si>
    <t>TAMBURINI GIANCARLO E VALENTINO SOCIETA' SEMPLICE</t>
  </si>
  <si>
    <t>SOCIETA' AGRICOLA MICOZZI VALENTINA E C. S. S.</t>
  </si>
  <si>
    <t>BIANCUCCI MICHELE</t>
  </si>
  <si>
    <t>PAZZAGLIA ADRIANO</t>
  </si>
  <si>
    <t>PIPERNO FULVIO</t>
  </si>
  <si>
    <t>SCIBE' DORIANO</t>
  </si>
  <si>
    <t>SOCIETA' AGRICOLA PONTE VALLE S.S.</t>
  </si>
  <si>
    <t>DE SCRILLI ZITA MARIA ROSA</t>
  </si>
  <si>
    <t>MUSIGHIN S.A.S. DI PIZZONI OBERDAN &amp; C.</t>
  </si>
  <si>
    <t>BUSSAGLIA GIADA</t>
  </si>
  <si>
    <t>ROSSI ALESSANDRO</t>
  </si>
  <si>
    <t>MATTIOLI LEDA</t>
  </si>
  <si>
    <t>MATTONI VALTER</t>
  </si>
  <si>
    <t>NUCCI LUCIANO</t>
  </si>
  <si>
    <t>CONCETTONI PAOLO</t>
  </si>
  <si>
    <t>CARDELLINI GIORGIO</t>
  </si>
  <si>
    <t>VERDECCHIA LUIGINO</t>
  </si>
  <si>
    <t>SOCIETA AGRICOLA NO E MI S.S.</t>
  </si>
  <si>
    <t>CARBONI LUIGINA</t>
  </si>
  <si>
    <t>IVES KEITH LESLIE</t>
  </si>
  <si>
    <t>UNDICESIMAORA SOCIETA' COOPERATIVA SOCIALE</t>
  </si>
  <si>
    <t>FORLUCCI AGNESE</t>
  </si>
  <si>
    <t>DADI LORIETTA</t>
  </si>
  <si>
    <t>MARI BRUNA</t>
  </si>
  <si>
    <t>BUCCI MORENO</t>
  </si>
  <si>
    <t>SOCIETA' AGRICOLA IL SOTTOBOSCO DI ACQUALAGNA S.S.</t>
  </si>
  <si>
    <t>"AGRIFOREST SOCIETA'AGRICOLA S.S."</t>
  </si>
  <si>
    <t>MARI ANNA MARIA</t>
  </si>
  <si>
    <t>VALORI GUIDO</t>
  </si>
  <si>
    <t>ANTONINI ALESSANDRO</t>
  </si>
  <si>
    <t>MARAVIGLIA ALBERTO</t>
  </si>
  <si>
    <t>PIERGENTILI STEFANO</t>
  </si>
  <si>
    <t>I MANDORLI DI MARSILI EBE &amp; ANNA S.S.AGRICOLA</t>
  </si>
  <si>
    <t>BELLAGAMBA FILIPPO</t>
  </si>
  <si>
    <t>EGIDI SERGIO</t>
  </si>
  <si>
    <t>CANNAS MARIARITA</t>
  </si>
  <si>
    <t>PONTE DELL'ARMELLINA SOCIETA' AGRICOLA A R.L.</t>
  </si>
  <si>
    <t>FILIPPONI GIUSEPPE</t>
  </si>
  <si>
    <t>CARFAGNA ANDREA</t>
  </si>
  <si>
    <t>COLLETTA NADIA</t>
  </si>
  <si>
    <t>ANTOLINI GIOVANNI</t>
  </si>
  <si>
    <t>CUCCHI EMANUELA</t>
  </si>
  <si>
    <t>DI PASQUA PINA</t>
  </si>
  <si>
    <t>UGOLINI FERRUCCIO</t>
  </si>
  <si>
    <t>DE ANGELIS ENRICO</t>
  </si>
  <si>
    <t>DI BUO' SATURNINO</t>
  </si>
  <si>
    <t>CHESSA GIOVANNI</t>
  </si>
  <si>
    <t>VALENTINI VALERIANA</t>
  </si>
  <si>
    <t>AGRIBIOLOGICA SOCIETA' AGRICOLA SEMPLICE</t>
  </si>
  <si>
    <t>CAA UNSIC s.r.l.</t>
  </si>
  <si>
    <t>CAA UNSIC - ASCOLI PICENO - 001</t>
  </si>
  <si>
    <t>PETRUCCI GIOVANNI</t>
  </si>
  <si>
    <t>CADABO' SOCIETA' AGRICOLA DI BUSCHI MATTEO E LANDI ROSSANO S.N.C.</t>
  </si>
  <si>
    <t>SOCIETA' AGRICOLA INCANTO DI TISI CINZIA E C. S.S.</t>
  </si>
  <si>
    <t>SCHIAVI LORENZO</t>
  </si>
  <si>
    <t>ROSSINI ENRICO</t>
  </si>
  <si>
    <t>EREDI DI PIRANI EUGENIO SOCIETA' AGRICOLA S.S.</t>
  </si>
  <si>
    <t>MORELLI CESARE</t>
  </si>
  <si>
    <t>SOC.AGR. F.LLI SANTI S.S.</t>
  </si>
  <si>
    <t>CERQUETTINO SOCIETA' AGRICOLA S.R.L.</t>
  </si>
  <si>
    <t>VALENTINI LUCIANO</t>
  </si>
  <si>
    <t>PACCUSSE GIANNI</t>
  </si>
  <si>
    <t>DEANGELIS LUCA</t>
  </si>
  <si>
    <t>ZEPPILLI PIETRO</t>
  </si>
  <si>
    <t>CHIUMENTI MARIA CRISTINA</t>
  </si>
  <si>
    <t>VERDUCCI MASSIMO</t>
  </si>
  <si>
    <t>TOSSICI UMBERTO</t>
  </si>
  <si>
    <t>CECCARELLI MARIA TERESA</t>
  </si>
  <si>
    <t>AZIENDA AGRICOLA TREPONTI S.R.L.</t>
  </si>
  <si>
    <t>SOCIETA' AGRICOLA LIBERTI ALBANO E STOIAN RAMONA-MIHAELA SOCIETA' SEMP</t>
  </si>
  <si>
    <t>GIACOMAZZI LUCA</t>
  </si>
  <si>
    <t>SOCIETA' AGRICOLA MI.LU.KA. SNC DI MIGLIOZZI LUDOVICO E KARIN</t>
  </si>
  <si>
    <t>ANTOLINI FARM SOCIETA' AGRICOLA SEMPLICE</t>
  </si>
  <si>
    <t>PALA GIORGIO</t>
  </si>
  <si>
    <t>SOCIETA' AGRICOLA SABBATINI S.S.</t>
  </si>
  <si>
    <t>AURELI DANIELE</t>
  </si>
  <si>
    <t>SPONZA SILVIA</t>
  </si>
  <si>
    <t>SOCIETA' AGRICOLA HECTOR DI CALVIGIONI SILVIO &amp; TOMBESI GIORGIA S .S.</t>
  </si>
  <si>
    <t>D'ANGELO LIANA</t>
  </si>
  <si>
    <t>EREDI SALVATORE CANNAS SOCIETA' SEMPLICE AGRICOLA</t>
  </si>
  <si>
    <t>FUTURE S.A.S. DI SALVUCCI EMANUELE &amp; C.</t>
  </si>
  <si>
    <t>DOTTORI CORRADO</t>
  </si>
  <si>
    <t>DOTTORI EDOARDO</t>
  </si>
  <si>
    <t>CONTI SAURO</t>
  </si>
  <si>
    <t>SOCIETA' AGRICOLA EREDI PANDOLFI DOMENICO S.S.</t>
  </si>
  <si>
    <t>MARIANI FRANCESCO</t>
  </si>
  <si>
    <t>MARONI FAUSTO</t>
  </si>
  <si>
    <t>EVANGELISTI GIUSEPPINA</t>
  </si>
  <si>
    <t>AZIENDA AGRICOLA AGOSTINI DI AGOSTINI MATTEO &amp; C. S.N.C.</t>
  </si>
  <si>
    <t>MARCHETTI MICHELE</t>
  </si>
  <si>
    <t>DI LORENZO ALESSANDRO</t>
  </si>
  <si>
    <t>D'ERASMO GIANLUCA</t>
  </si>
  <si>
    <t>GAMBINI S.S. SOCIETA' AGRICOLA</t>
  </si>
  <si>
    <t>BARTOLUCCI DANIELE</t>
  </si>
  <si>
    <t>MAGNANELLI SILVANO</t>
  </si>
  <si>
    <t>TERRA PREMIATA DI GRAZIANO MAZZA &amp; FIGLI SOCIETA' AGRICOLA SEMPLICE</t>
  </si>
  <si>
    <t>GREGORINI MARIA ADRIANA</t>
  </si>
  <si>
    <t>CIPRIANI LUANA</t>
  </si>
  <si>
    <t>LEONARDI ROSARITA</t>
  </si>
  <si>
    <t>LONDEI MARCO</t>
  </si>
  <si>
    <t>AESA SOCIETA' AGRICOLA S.S.</t>
  </si>
  <si>
    <t>CANCELLIERI GIANFRANCO</t>
  </si>
  <si>
    <t>BONCI BEATRICE</t>
  </si>
  <si>
    <t>TROIANI MARIO</t>
  </si>
  <si>
    <t>LOZZI LEONARDO</t>
  </si>
  <si>
    <t>BRANDONI ALESSIO</t>
  </si>
  <si>
    <t>SILVESTER MATILDE</t>
  </si>
  <si>
    <t>SOCIETA' AGRICOLA ROSASPINA S.S.</t>
  </si>
  <si>
    <t>ROSSI LUCA</t>
  </si>
  <si>
    <t>GNASSI ITALO</t>
  </si>
  <si>
    <t>GRILLI GIOVANNI</t>
  </si>
  <si>
    <t>SOCIETA' AGRICOLA "LE GENGHE DI NONNO ANGELO" S.S.</t>
  </si>
  <si>
    <t>GROSSI RINO</t>
  </si>
  <si>
    <t>CASAVECCHIA LORENZA</t>
  </si>
  <si>
    <t>CONOCCHIARI MARCO</t>
  </si>
  <si>
    <t>MAURIZI ROBERTO</t>
  </si>
  <si>
    <t>CINGOLANI ROSANNA</t>
  </si>
  <si>
    <t>FACCHINI GRAZIELLA</t>
  </si>
  <si>
    <t>CIPRIANI MARISA</t>
  </si>
  <si>
    <t>SOCIETA' AGRICOLA MARTINOZZE S.S.</t>
  </si>
  <si>
    <t>SENSOLI EMILIA</t>
  </si>
  <si>
    <t>VITALI ASCENZA</t>
  </si>
  <si>
    <t>MORODER ALESSANDRO</t>
  </si>
  <si>
    <t>MELIFFI FABIO &amp; GIAMPAOLO SNC</t>
  </si>
  <si>
    <t>FAZZINI PAOLA</t>
  </si>
  <si>
    <t>TIBERI FRANCO</t>
  </si>
  <si>
    <t>SOCIETA' AGRICOLA VILLANUOVA DI GIAMPAOLI LORIS E ANGELO S.S.</t>
  </si>
  <si>
    <t>MAZZONI GIANNI</t>
  </si>
  <si>
    <t>SABBATINI EGIDIO</t>
  </si>
  <si>
    <t>ANCILLANI ALESSIO</t>
  </si>
  <si>
    <t>MICHETTI MARCELLO</t>
  </si>
  <si>
    <t>MOLTEDO ANNA-MADDALENA</t>
  </si>
  <si>
    <t>FELICI STEFANIA</t>
  </si>
  <si>
    <t>CATALDI ANTONIO</t>
  </si>
  <si>
    <t>TALAMONTI GEREMIA</t>
  </si>
  <si>
    <t>DE MARCHI LUCIANA</t>
  </si>
  <si>
    <t>VAGNONI FABIO</t>
  </si>
  <si>
    <t>GHIMIS DUMITRESCU MIRELA</t>
  </si>
  <si>
    <t>CURINA ANNA-GRAZIA</t>
  </si>
  <si>
    <t>VILLA COLLEPERE SOCIETA' AGRICOLA SEMPLICE</t>
  </si>
  <si>
    <t>BRAVI PATRIZIA</t>
  </si>
  <si>
    <t>CASTELLETTI SERGIO</t>
  </si>
  <si>
    <t>DE ANGELIS PAOLO</t>
  </si>
  <si>
    <t>CENSI ANNALISA</t>
  </si>
  <si>
    <t>MARCOLINI ANGELO</t>
  </si>
  <si>
    <t>SOCIETA' AGRICOLA "SANA FRUX" DI ANTOGNOZZI S.S.</t>
  </si>
  <si>
    <t>ARPINI EMANUELE MARIA</t>
  </si>
  <si>
    <t>TAGNANI DANIELE</t>
  </si>
  <si>
    <t>PISCIOLINI LUCA</t>
  </si>
  <si>
    <t>SCARPANTONIO MARCO</t>
  </si>
  <si>
    <t>GAMBINI GRETA</t>
  </si>
  <si>
    <t>MICHELINI TOCCI ANTONIETTA</t>
  </si>
  <si>
    <t>MALAIGIA MAURIZIO</t>
  </si>
  <si>
    <t>VAGNINI ALFIERO</t>
  </si>
  <si>
    <t>SOCIETA' AGRICOLA PISELLI PIETRO E C.S.S.</t>
  </si>
  <si>
    <t>SOCIETA' AGRICOLA - ALESSANDRI ANGELO E GIUSEPPE SOC. SEMPLICE</t>
  </si>
  <si>
    <t>BELLEGGIA TIBERIO</t>
  </si>
  <si>
    <t>BRUTTI IGINO</t>
  </si>
  <si>
    <t>CAA CAF AGRI - FERMO - 222</t>
  </si>
  <si>
    <t>LUCIANI NATASCIA</t>
  </si>
  <si>
    <t>ROSSI VALENTINA</t>
  </si>
  <si>
    <t>MAZZA CARLOTTA</t>
  </si>
  <si>
    <t>BUSETTO VICARI ANDREA</t>
  </si>
  <si>
    <t>BARTOLOMEI MARCO</t>
  </si>
  <si>
    <t>MORETTI ALESSANDRO</t>
  </si>
  <si>
    <t>COFANI GIANLUCA</t>
  </si>
  <si>
    <t>BATTISTELLI ELEONORA</t>
  </si>
  <si>
    <t>LATINI ADRIANO</t>
  </si>
  <si>
    <t>BRUSCOLI NADIA</t>
  </si>
  <si>
    <t>SOC.AGR.NUOVA HERA DI BOTTARO ANNA E C. S.A.S.</t>
  </si>
  <si>
    <t>HOFFMANN KARL THOMAS</t>
  </si>
  <si>
    <t>AGROBIOLOGICA FOGLINI LIVIA E AMURRI PIERINO BRUNO SOCIETA' AGRICOLA S</t>
  </si>
  <si>
    <t>BORGIA MARTINA</t>
  </si>
  <si>
    <t>TENNA CEREALI SOCIETA' AGRICOLA SEMPLICE</t>
  </si>
  <si>
    <t>MAROZZI MARIO</t>
  </si>
  <si>
    <t>BICCHIARELLI GABRIELE</t>
  </si>
  <si>
    <t>CARTAGINE VERONICA</t>
  </si>
  <si>
    <t>TERRE D'ECCEZIONE SOCIETA' AGRICOLA A RESPONSABILITA' LIMITATA</t>
  </si>
  <si>
    <t>RANOCCHI LUCA</t>
  </si>
  <si>
    <t>ROSCIOLI BRUNO</t>
  </si>
  <si>
    <t>GASPARI ROSANNA</t>
  </si>
  <si>
    <t>AMABILI GIANLUCA</t>
  </si>
  <si>
    <t>FAUSTI ELISA</t>
  </si>
  <si>
    <t>SOCIETA' AGRICOLA FAUSTI S.R.L.</t>
  </si>
  <si>
    <t>PAOLONI GIANFRANCO</t>
  </si>
  <si>
    <t>PAZZAGLIA GIUSEPPE</t>
  </si>
  <si>
    <t>CINTI MICHELE</t>
  </si>
  <si>
    <t>AGROMECCANICA SOCIETA' A RESPONSABILITA' LIMITATA</t>
  </si>
  <si>
    <t>CONVERTINO CHIARA</t>
  </si>
  <si>
    <t>TRAINI ALESSANDRO</t>
  </si>
  <si>
    <t>SCHIAROLI SIMONE</t>
  </si>
  <si>
    <t>PENNESI GIUSEPPE</t>
  </si>
  <si>
    <t>ORLANDI SABRINA</t>
  </si>
  <si>
    <t>CIAMPANELLA VITTORIA</t>
  </si>
  <si>
    <t>TOZZI-SPADONI LUIGI GIUSEPPE MARIA</t>
  </si>
  <si>
    <t>FIORETTI ALBERTO</t>
  </si>
  <si>
    <t>FERRERI SERGIO</t>
  </si>
  <si>
    <t>LE STROPPIGLIOSE SOCIETA' AGRICOLA SEMPLICE</t>
  </si>
  <si>
    <t>FANESI FILIPPO</t>
  </si>
  <si>
    <t>BERTOTTI ALESSANDRO</t>
  </si>
  <si>
    <t>SOCIETA' AGRICOLA E FORESTALE BELVEDERE SOCIETA' SEMPLICE</t>
  </si>
  <si>
    <t>MERLETTI HELGA</t>
  </si>
  <si>
    <t>FERRATO MICHELE</t>
  </si>
  <si>
    <t>GIORGI STEFANO</t>
  </si>
  <si>
    <t>TANFANI GABRIELE</t>
  </si>
  <si>
    <t>D'ANGELO GIUSEPPE</t>
  </si>
  <si>
    <t>GALLI FRANCO</t>
  </si>
  <si>
    <t>"OLIVE GREGORI" SOCIETA' AGRICOLA SEMPLICE</t>
  </si>
  <si>
    <t>SOCIETA' AGRICOLA CARDUCCI DI CARDUCCI MIKI &amp; C. S.S.</t>
  </si>
  <si>
    <t>FIUMI SERMATTEI CHIARA</t>
  </si>
  <si>
    <t>SOCIETA' AGRICOLA ALLA VECCHIA QUERCIA DI MEYER CORINNE E C. S.N.C.</t>
  </si>
  <si>
    <t>MANGANI ERAGLIO</t>
  </si>
  <si>
    <t>VARTY - CLEAVER - S.R.L.</t>
  </si>
  <si>
    <t>SABBATINI PEVERIERI CRISTIAN</t>
  </si>
  <si>
    <t>CARLONI MAURIZIO</t>
  </si>
  <si>
    <t>SOCIETA' AGRICOLA BIO-VITALY S.S.</t>
  </si>
  <si>
    <t>SACRIPANTI AFRA</t>
  </si>
  <si>
    <t>CECCACCI ALICE</t>
  </si>
  <si>
    <t>GALEAZZI ROBERTO</t>
  </si>
  <si>
    <t>EREDI GAUDENZI GIORGIO SOCIETA' AGRICOLA BIOLOGICA S.S.</t>
  </si>
  <si>
    <t>SOCIETA' AGRICOLA CRETE SENESI S.S.</t>
  </si>
  <si>
    <t>SCARDALA MARIA</t>
  </si>
  <si>
    <t>BORGOGELLI-OTTAVIANI MATTEO MARIA</t>
  </si>
  <si>
    <t>BALDELLI ANDREA</t>
  </si>
  <si>
    <t>CATANI SONIA</t>
  </si>
  <si>
    <t>SOCIETA' AGRICOLA FRATTEROSA S.S.</t>
  </si>
  <si>
    <t>SOCIETA' AGRICOLA BASTIA S.R.L.</t>
  </si>
  <si>
    <t>STRADA PAOLO</t>
  </si>
  <si>
    <t>VAGNERINI PIER GIORGIO</t>
  </si>
  <si>
    <t>SOCIETA' AGRICOLA MONTEFELTRO S.S.</t>
  </si>
  <si>
    <t>SOCIETA'AGRICOLA F.LLI VENNARUCCI DI VENNARUCCI GIACOMO E VALERIO SOC.</t>
  </si>
  <si>
    <t>CIAPPELLONI ASSUNTA</t>
  </si>
  <si>
    <t>IL BIOLOGICO DEL PERSICO SOCIETA' AGRICOLA S.S.</t>
  </si>
  <si>
    <t>SPERANZINI GIAN-ANSELMO</t>
  </si>
  <si>
    <t>IEZZI GIOVANNI</t>
  </si>
  <si>
    <t>LEPRI FLORIANA</t>
  </si>
  <si>
    <t>BATTISTINI MASSIMO</t>
  </si>
  <si>
    <t>MORICONI ALFONSO</t>
  </si>
  <si>
    <t>DELLACASA GIOVANNI</t>
  </si>
  <si>
    <t>AZIENDA AGRICOLA PIEVE DI SELVANERA S.A.S. - PIERETTI E BENEDETTI - DI</t>
  </si>
  <si>
    <t>CIARROCCHI MARTINA</t>
  </si>
  <si>
    <t>PACI GIUSEPPE</t>
  </si>
  <si>
    <t>CAPRIOTTI ELENA</t>
  </si>
  <si>
    <t>CELANI GRAZIANO</t>
  </si>
  <si>
    <t>SOCIETA' AGRICOLA AGRIENERGETICA S.R.L.</t>
  </si>
  <si>
    <t>OTTALEVI GIANLUCA</t>
  </si>
  <si>
    <t>POLINI ENZO</t>
  </si>
  <si>
    <t>LANCIOTTI IVANA</t>
  </si>
  <si>
    <t>VENNARUCCI MASSIMO</t>
  </si>
  <si>
    <t>MONTI FILIPPO</t>
  </si>
  <si>
    <t>SOCIETA' AGRICOLA DE SCRILLI RODOLFO &amp; C. SNC</t>
  </si>
  <si>
    <t>GROSSI SIMONETTA</t>
  </si>
  <si>
    <t>MANCINELLI BEATRICE</t>
  </si>
  <si>
    <t>SANNA ANTONIO</t>
  </si>
  <si>
    <t>BELLEGGIA FABIO</t>
  </si>
  <si>
    <t>FRATONI SABRINA</t>
  </si>
  <si>
    <t>PIERMATTEI MANUELA</t>
  </si>
  <si>
    <t>LAUREATI ENRICO</t>
  </si>
  <si>
    <t>AGOSTINELLI CESARINA</t>
  </si>
  <si>
    <t>DE FILIPPIS MARIA LUCIA</t>
  </si>
  <si>
    <t>DOMODIMONTI S.R.L. SOCIETA' AGRICOLA</t>
  </si>
  <si>
    <t>CAI Lombardia</t>
  </si>
  <si>
    <t>CAI Lombardia - BRESCIA - 017</t>
  </si>
  <si>
    <t>LA VALLE SOCIETA' AGRICOLA DI PEZZOLA S.S.</t>
  </si>
  <si>
    <t>GIULIANI LAURA</t>
  </si>
  <si>
    <t>ANGIOLETTI SOCIETA' AGRICOLA SEMPLICE</t>
  </si>
  <si>
    <t>AZIENDA AGRICOLA FIORANO DI MASSI P. E BERETTA P. SOCIETA' AGRICOLA SE</t>
  </si>
  <si>
    <t>SOCIETA' AGRICOLA LA.CRI.MA. VERDE S.S.</t>
  </si>
  <si>
    <t>MISTURI VALENTINA</t>
  </si>
  <si>
    <t>PIERONI FRANCESCA</t>
  </si>
  <si>
    <t>MAURIZI LUIGINA MARIA</t>
  </si>
  <si>
    <t>FIN SERVICE DI PIERINI RENZO &amp; C. SAS IN LIQUIDAZIONE</t>
  </si>
  <si>
    <t>PIERONI GIAMMARIO</t>
  </si>
  <si>
    <t>CECCACCI SATIA</t>
  </si>
  <si>
    <t>MARCHIONNI SILVIA</t>
  </si>
  <si>
    <t>CINAGLIA LUIGI</t>
  </si>
  <si>
    <t>SALVI GIOVANNI</t>
  </si>
  <si>
    <t>AGRIFOOD LE CAJOTELLE SOCIETA' AGRICOLA DI BOTTA ALICE E ALESSIA S.S.</t>
  </si>
  <si>
    <t>BETTI ALESSANDRO</t>
  </si>
  <si>
    <t>GAMBINI GABRIELE</t>
  </si>
  <si>
    <t>SOCIETA' AGRICOLA SAN FLORIANO - S.A.S. - DI CICULI FRANCESCO &amp; C .</t>
  </si>
  <si>
    <t>MARZETTI LEANDRO</t>
  </si>
  <si>
    <t>QUACQUARINI LANFRANCO</t>
  </si>
  <si>
    <t>CARDELLINI ROBERTO</t>
  </si>
  <si>
    <t>ROSSETTI MAURIZIO</t>
  </si>
  <si>
    <t>SOCIETA' AGRICOLA MORELLO AUSTERA DI LUPATELLI IGOR E IVAN</t>
  </si>
  <si>
    <t>PIERANTONI OTELLO</t>
  </si>
  <si>
    <t>POCOGNOLI REMIGIO</t>
  </si>
  <si>
    <t>MARCHESE MARINO</t>
  </si>
  <si>
    <t>IMPECORA ALESSANDRO</t>
  </si>
  <si>
    <t>CIACCI MASSIMO</t>
  </si>
  <si>
    <t>CHERRI PAOLO</t>
  </si>
  <si>
    <t>SOCIETA' AGRICOLA LIBERTI GABRIELE E C. S.S.</t>
  </si>
  <si>
    <t>APIUA SOCIETA' AGRICOLA SEMPLICE DI BERTIN FRANCESCA E CASTIGNANI ROBE</t>
  </si>
  <si>
    <t>FORTUNA GIANFRANCO</t>
  </si>
  <si>
    <t>CAA degli Agricoltori Srl</t>
  </si>
  <si>
    <t>CAA Degli Agricoltori - ANCONA - 101</t>
  </si>
  <si>
    <t>MAGI MASSIMO</t>
  </si>
  <si>
    <t>CIMARELLI GABRIELE</t>
  </si>
  <si>
    <t>PODERE LA CACCETTA SOCIETA' AGRICOLA SEMPLICE</t>
  </si>
  <si>
    <t>CAMPILIA LUCREZIA</t>
  </si>
  <si>
    <t>AZIENDA AGRICOLA CIRIACI DI SCENDONI PAOLO &amp; C SAS</t>
  </si>
  <si>
    <t>LUCARINI GIACOMO</t>
  </si>
  <si>
    <t>AZIENDA AGRICOLA SAN SEVERO SOCIETA' SEMPLICE AGRICOLA - DI FUMAGALLI</t>
  </si>
  <si>
    <t>CAMBERTONI ENRICO</t>
  </si>
  <si>
    <t>SPLENDIANI STEFANO</t>
  </si>
  <si>
    <t>COL DI CORTE S.R.L. SOCIETA' AGRICOLA</t>
  </si>
  <si>
    <t>SENZACQUA GIACOMO</t>
  </si>
  <si>
    <t>MAGRINI CATIA</t>
  </si>
  <si>
    <t>AZIENDA AGRICOLA RESAGRI DI RESPARAMBIA LUCA E C. S.S.</t>
  </si>
  <si>
    <t>SOCIETA' AGRICOLA "F.LLI RUGGERI" DI RUGGERI STEFANO E RUGGERI SIMONE</t>
  </si>
  <si>
    <t>CARSETTI PASQUALE</t>
  </si>
  <si>
    <t>TROITO PIETRO</t>
  </si>
  <si>
    <t>VALLE VERDE SOCIETA' AGRICOLA SEMPLICE</t>
  </si>
  <si>
    <t>FILANTI NICOLA</t>
  </si>
  <si>
    <t>RINOZZI AURELIO</t>
  </si>
  <si>
    <t>AZIENDA ANTONELLI UMBERTO SOCIETA' AGRICOLA</t>
  </si>
  <si>
    <t>LUNGHI ANTONELLA MANUELA</t>
  </si>
  <si>
    <t>SGALIPPA TOMMASO</t>
  </si>
  <si>
    <t>COSSIGNANI GIONE</t>
  </si>
  <si>
    <t>GIACANI FILIPPO</t>
  </si>
  <si>
    <t>GIOVAGNOLI STEFANO</t>
  </si>
  <si>
    <t>MANCINI NADIA</t>
  </si>
  <si>
    <t>MAZZIERI AURORA</t>
  </si>
  <si>
    <t>GIULIANA CAMPOLUCCI &amp; C. S.A.S.</t>
  </si>
  <si>
    <t>CANIBBIO SOCIETA' SEMPLICE AGRICOLA</t>
  </si>
  <si>
    <t>FONDAZIONE DON MAURIZIO SANTI</t>
  </si>
  <si>
    <t>GENTILINI SOCIETA' AGRICOLA DI GENTILINI CESARINO, DANIELA E LUCIA S.S</t>
  </si>
  <si>
    <t>SOCIETA' AGRICOLA BARZAGHI S.N.C. DI VITTORINA CAPPI E CLAUDIA MAGGI</t>
  </si>
  <si>
    <t>COMPAGNONI GIANLUIGI</t>
  </si>
  <si>
    <t>SOCCI ANDREA</t>
  </si>
  <si>
    <t>SOC. AGR. MAGNANI LEONARDO E AGOSTINO S.S.</t>
  </si>
  <si>
    <t>AZIENDA AGRICOLA TRAU' DI SCHIBUOLA STEFANIA E SILVANA SOC. AGR.</t>
  </si>
  <si>
    <t>CAI Toscana</t>
  </si>
  <si>
    <t>CAI Toscana - AREZZO - 008</t>
  </si>
  <si>
    <t>LA FONTE SOCIETA' AGRICOLA S.S.</t>
  </si>
  <si>
    <t>SOCIETA' AGRICOLA VALLE DI RAGGIANO S.A.S. DI CAGNINI FABRIZIO &amp; C.</t>
  </si>
  <si>
    <t>SOCIETA' AGRICOLA STEFANO ZOLI SAS</t>
  </si>
  <si>
    <t>TENUTE COSSIGNANI SOCIETA' AGRICOLA SEMPLICE</t>
  </si>
  <si>
    <t>BODART DIANE YVES M P M G</t>
  </si>
  <si>
    <t>AZ. AGR. E AGRITURISTICA "LA CEGNA" S.S.</t>
  </si>
  <si>
    <t>PORTELLI VALENTINA</t>
  </si>
  <si>
    <t>BALDELLI THOMAS</t>
  </si>
  <si>
    <t>RUGOLETTI CARLA</t>
  </si>
  <si>
    <t>GAMBINI LARA</t>
  </si>
  <si>
    <t>TENUTE POLINI SOCIETA' AGRICOLA SEMPLICE</t>
  </si>
  <si>
    <t>EREDI ARMANDO FAGIOLI</t>
  </si>
  <si>
    <t>MATTEI SIMONE</t>
  </si>
  <si>
    <t>SALINARI PIETRO</t>
  </si>
  <si>
    <t>MENTUCCI MARCO</t>
  </si>
  <si>
    <t>BANCI STEFANO</t>
  </si>
  <si>
    <t>ROSSI LUIGI</t>
  </si>
  <si>
    <t>FERRANTI MASSIMO</t>
  </si>
  <si>
    <t>RIDOLFI GABRIELE</t>
  </si>
  <si>
    <t>COLONELLI LILIANA</t>
  </si>
  <si>
    <t>TANFANI NELLO</t>
  </si>
  <si>
    <t>BORA GIUSEPPE</t>
  </si>
  <si>
    <t>CONSIA - AGRI SRL</t>
  </si>
  <si>
    <t>COOPERATIVA SOCIALE "TERRA E VITA"</t>
  </si>
  <si>
    <t>LEOPARDI DITTAJUTI PIERVITTORIO FRANCESCO</t>
  </si>
  <si>
    <t>BALZI ALESSIO</t>
  </si>
  <si>
    <t>SOCIETA' AGRICOLA LA VITA BELLA S.S.</t>
  </si>
  <si>
    <t>CHIUSELLI GRAZIANO</t>
  </si>
  <si>
    <t>SCOTTI MADDALENA</t>
  </si>
  <si>
    <t>SPADONI ROBERTINO</t>
  </si>
  <si>
    <t>DE SCRILLI RODOLFO</t>
  </si>
  <si>
    <t>AGRIFILBIO SOCIETA' AGRICOLA SEMPLICE</t>
  </si>
  <si>
    <t>CANNELLINI DANIELE</t>
  </si>
  <si>
    <t>BARILOTTI PIETRO</t>
  </si>
  <si>
    <t>SOCIETA' AGRICOLA SAN BIAGIOLO S.R.L.</t>
  </si>
  <si>
    <t>SOCIETA' AGRICOLA ANDROMEDA SRL</t>
  </si>
  <si>
    <t>TENUTA AGRICOLA LA RISERVA DI MATTIOLI DINA &amp; C. SAS - SOCIETA' AGRICO</t>
  </si>
  <si>
    <t>CANALI ISA MIRANDA</t>
  </si>
  <si>
    <t>SOCIETA'AGRICOLA MARONI S.S. DI MARONI DAVIDE &amp; GIUSEPPE</t>
  </si>
  <si>
    <t>PODERI DE MARTE DEI F.LLI CAPANNELLI MARINO E ROBERTO S.S.- SOCIE TA'</t>
  </si>
  <si>
    <t>CAA Coldiretti - TERAMO - 006</t>
  </si>
  <si>
    <t>DEL SOLE DAVIDE</t>
  </si>
  <si>
    <t>CAI Emilia Rom.</t>
  </si>
  <si>
    <t>CAI Emilia Rom. - RIMINI - 002</t>
  </si>
  <si>
    <t>SOCIETA' AGRICOLA ZAVOLI S.S.</t>
  </si>
  <si>
    <t>GENTILOTTI GIUSEPPE</t>
  </si>
  <si>
    <t>PASSIONE VERDE SOCIETA' SEMPLICE AGRICOLA</t>
  </si>
  <si>
    <t>CAPOTONDI MARIA-ANTONIETTA</t>
  </si>
  <si>
    <t>HORBATA MARIIA</t>
  </si>
  <si>
    <t>VITALI MASSIMO</t>
  </si>
  <si>
    <t>SIMONCINI GIANLUCA</t>
  </si>
  <si>
    <t>MANOCCHI MARCELLO</t>
  </si>
  <si>
    <t>SOCIETA' AGRICOLA BELLEFONTI SRL</t>
  </si>
  <si>
    <t>PARIS GIOVANNI</t>
  </si>
  <si>
    <t>PIGNA MARCO</t>
  </si>
  <si>
    <t>SOCIETA' AGRICOLA LUVIA DI PERUGINI LORENA C. S.S.</t>
  </si>
  <si>
    <t>PACCHETTI MATTIA</t>
  </si>
  <si>
    <t>PERLA LUDOVICO</t>
  </si>
  <si>
    <t>MAISANO PAOLO</t>
  </si>
  <si>
    <t>KERSHTEYNER ANTON</t>
  </si>
  <si>
    <t>SOCIETA' AGRICOLA ROSSI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</si>
</sst>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52"/>
  <sheetViews>
    <sheetView showGridLines="0" tabSelected="1" workbookViewId="0">
      <selection activeCell="A3" sqref="A3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2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0.2851562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4.75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2025</v>
      </c>
      <c r="H4" s="3" t="str">
        <f>CONCATENATE("54240614443")</f>
        <v>54240614443</v>
      </c>
      <c r="I4" s="3" t="s">
        <v>34</v>
      </c>
      <c r="J4" s="3" t="s">
        <v>35</v>
      </c>
      <c r="K4" s="3"/>
      <c r="L4" s="3" t="s">
        <v>36</v>
      </c>
      <c r="M4" s="3" t="str">
        <f>CONCATENATE("GRGPTT59S57F401J")</f>
        <v>GRGPTT59S57F401J</v>
      </c>
      <c r="N4" s="3" t="s">
        <v>37</v>
      </c>
      <c r="O4" s="3" t="s">
        <v>38</v>
      </c>
      <c r="P4" s="3"/>
      <c r="Q4" s="4">
        <v>45968</v>
      </c>
      <c r="R4" s="3" t="s">
        <v>39</v>
      </c>
      <c r="S4" s="3" t="s">
        <v>38</v>
      </c>
      <c r="T4" s="3" t="s">
        <v>40</v>
      </c>
      <c r="U4" s="3"/>
      <c r="V4" s="3" t="s">
        <v>41</v>
      </c>
      <c r="W4" s="5">
        <v>1493.89</v>
      </c>
      <c r="X4" s="5">
        <v>1120.42</v>
      </c>
      <c r="Y4" s="3">
        <v>261.43</v>
      </c>
      <c r="Z4" s="3">
        <v>112.04</v>
      </c>
      <c r="AA4" s="3">
        <v>0</v>
      </c>
    </row>
    <row r="5" spans="1:27" ht="24.75" x14ac:dyDescent="0.25">
      <c r="A5" s="3" t="s">
        <v>28</v>
      </c>
      <c r="B5" s="3" t="s">
        <v>29</v>
      </c>
      <c r="C5" s="3" t="s">
        <v>30</v>
      </c>
      <c r="D5" s="3" t="s">
        <v>42</v>
      </c>
      <c r="E5" s="3" t="s">
        <v>43</v>
      </c>
      <c r="F5" s="3" t="s">
        <v>43</v>
      </c>
      <c r="G5" s="3">
        <v>2025</v>
      </c>
      <c r="H5" s="3" t="str">
        <f>CONCATENATE("54240611472")</f>
        <v>54240611472</v>
      </c>
      <c r="I5" s="3" t="s">
        <v>44</v>
      </c>
      <c r="J5" s="3" t="s">
        <v>35</v>
      </c>
      <c r="K5" s="3"/>
      <c r="L5" s="3" t="s">
        <v>36</v>
      </c>
      <c r="M5" s="3" t="str">
        <f>CONCATENATE("DNGDNL79P18H769N")</f>
        <v>DNGDNL79P18H769N</v>
      </c>
      <c r="N5" s="3" t="s">
        <v>45</v>
      </c>
      <c r="O5" s="3" t="s">
        <v>38</v>
      </c>
      <c r="P5" s="3"/>
      <c r="Q5" s="4">
        <v>45968</v>
      </c>
      <c r="R5" s="3" t="s">
        <v>39</v>
      </c>
      <c r="S5" s="3" t="s">
        <v>38</v>
      </c>
      <c r="T5" s="3" t="s">
        <v>40</v>
      </c>
      <c r="U5" s="3"/>
      <c r="V5" s="3" t="s">
        <v>41</v>
      </c>
      <c r="W5" s="5">
        <v>2038.96</v>
      </c>
      <c r="X5" s="5">
        <v>1529.22</v>
      </c>
      <c r="Y5" s="3">
        <v>356.82</v>
      </c>
      <c r="Z5" s="3">
        <v>152.91999999999999</v>
      </c>
      <c r="AA5" s="3">
        <v>0</v>
      </c>
    </row>
    <row r="6" spans="1:27" ht="24.75" x14ac:dyDescent="0.25">
      <c r="A6" s="3" t="s">
        <v>28</v>
      </c>
      <c r="B6" s="3" t="s">
        <v>29</v>
      </c>
      <c r="C6" s="3" t="s">
        <v>30</v>
      </c>
      <c r="D6" s="3" t="s">
        <v>42</v>
      </c>
      <c r="E6" s="3" t="s">
        <v>43</v>
      </c>
      <c r="F6" s="3" t="s">
        <v>43</v>
      </c>
      <c r="G6" s="3">
        <v>2025</v>
      </c>
      <c r="H6" s="3" t="str">
        <f>CONCATENATE("54240611498")</f>
        <v>54240611498</v>
      </c>
      <c r="I6" s="3" t="s">
        <v>34</v>
      </c>
      <c r="J6" s="3" t="s">
        <v>35</v>
      </c>
      <c r="K6" s="3"/>
      <c r="L6" s="3" t="s">
        <v>36</v>
      </c>
      <c r="M6" s="3" t="str">
        <f>CONCATENATE("DPSFPP76C06H769V")</f>
        <v>DPSFPP76C06H769V</v>
      </c>
      <c r="N6" s="3" t="s">
        <v>46</v>
      </c>
      <c r="O6" s="3" t="s">
        <v>38</v>
      </c>
      <c r="P6" s="3"/>
      <c r="Q6" s="4">
        <v>45968</v>
      </c>
      <c r="R6" s="3" t="s">
        <v>39</v>
      </c>
      <c r="S6" s="3" t="s">
        <v>38</v>
      </c>
      <c r="T6" s="3" t="s">
        <v>40</v>
      </c>
      <c r="U6" s="3"/>
      <c r="V6" s="3" t="s">
        <v>41</v>
      </c>
      <c r="W6" s="5">
        <v>12813.86</v>
      </c>
      <c r="X6" s="5">
        <v>9610.4</v>
      </c>
      <c r="Y6" s="5">
        <v>2242.4299999999998</v>
      </c>
      <c r="Z6" s="3">
        <v>961.03</v>
      </c>
      <c r="AA6" s="3">
        <v>0</v>
      </c>
    </row>
    <row r="7" spans="1:27" ht="60.75" x14ac:dyDescent="0.25">
      <c r="A7" s="3" t="s">
        <v>28</v>
      </c>
      <c r="B7" s="3" t="s">
        <v>29</v>
      </c>
      <c r="C7" s="3" t="s">
        <v>30</v>
      </c>
      <c r="D7" s="3" t="s">
        <v>47</v>
      </c>
      <c r="E7" s="3" t="s">
        <v>48</v>
      </c>
      <c r="F7" s="3" t="s">
        <v>49</v>
      </c>
      <c r="G7" s="3">
        <v>2025</v>
      </c>
      <c r="H7" s="3" t="str">
        <f>CONCATENATE("54240502663")</f>
        <v>54240502663</v>
      </c>
      <c r="I7" s="3" t="s">
        <v>34</v>
      </c>
      <c r="J7" s="3" t="s">
        <v>35</v>
      </c>
      <c r="K7" s="3"/>
      <c r="L7" s="3" t="s">
        <v>36</v>
      </c>
      <c r="M7" s="3" t="str">
        <f>CONCATENATE("MRCLSS34S24G637A")</f>
        <v>MRCLSS34S24G637A</v>
      </c>
      <c r="N7" s="3" t="s">
        <v>50</v>
      </c>
      <c r="O7" s="3" t="s">
        <v>38</v>
      </c>
      <c r="P7" s="3"/>
      <c r="Q7" s="4">
        <v>45968</v>
      </c>
      <c r="R7" s="3" t="s">
        <v>39</v>
      </c>
      <c r="S7" s="3" t="s">
        <v>38</v>
      </c>
      <c r="T7" s="3" t="s">
        <v>40</v>
      </c>
      <c r="U7" s="3"/>
      <c r="V7" s="3" t="s">
        <v>41</v>
      </c>
      <c r="W7" s="5">
        <v>4031.01</v>
      </c>
      <c r="X7" s="5">
        <v>3023.26</v>
      </c>
      <c r="Y7" s="3">
        <v>705.43</v>
      </c>
      <c r="Z7" s="3">
        <v>302.32</v>
      </c>
      <c r="AA7" s="3">
        <v>0</v>
      </c>
    </row>
    <row r="8" spans="1:27" ht="24.75" x14ac:dyDescent="0.25">
      <c r="A8" s="3" t="s">
        <v>28</v>
      </c>
      <c r="B8" s="3" t="s">
        <v>29</v>
      </c>
      <c r="C8" s="3" t="s">
        <v>30</v>
      </c>
      <c r="D8" s="3" t="s">
        <v>42</v>
      </c>
      <c r="E8" s="3" t="s">
        <v>51</v>
      </c>
      <c r="F8" s="3" t="s">
        <v>52</v>
      </c>
      <c r="G8" s="3">
        <v>2025</v>
      </c>
      <c r="H8" s="3" t="str">
        <f>CONCATENATE("54240502747")</f>
        <v>54240502747</v>
      </c>
      <c r="I8" s="3" t="s">
        <v>34</v>
      </c>
      <c r="J8" s="3" t="s">
        <v>35</v>
      </c>
      <c r="K8" s="3"/>
      <c r="L8" s="3" t="s">
        <v>36</v>
      </c>
      <c r="M8" s="3" t="str">
        <f>CONCATENATE("PGMYMC63H24Z126D")</f>
        <v>PGMYMC63H24Z126D</v>
      </c>
      <c r="N8" s="3" t="s">
        <v>53</v>
      </c>
      <c r="O8" s="3" t="s">
        <v>38</v>
      </c>
      <c r="P8" s="3"/>
      <c r="Q8" s="4">
        <v>45968</v>
      </c>
      <c r="R8" s="3" t="s">
        <v>39</v>
      </c>
      <c r="S8" s="3" t="s">
        <v>38</v>
      </c>
      <c r="T8" s="3" t="s">
        <v>40</v>
      </c>
      <c r="U8" s="3"/>
      <c r="V8" s="3" t="s">
        <v>41</v>
      </c>
      <c r="W8" s="5">
        <v>1712.38</v>
      </c>
      <c r="X8" s="5">
        <v>1284.29</v>
      </c>
      <c r="Y8" s="3">
        <v>299.67</v>
      </c>
      <c r="Z8" s="3">
        <v>128.41999999999999</v>
      </c>
      <c r="AA8" s="3">
        <v>0</v>
      </c>
    </row>
    <row r="9" spans="1:27" ht="24.75" x14ac:dyDescent="0.25">
      <c r="A9" s="3" t="s">
        <v>28</v>
      </c>
      <c r="B9" s="3" t="s">
        <v>29</v>
      </c>
      <c r="C9" s="3" t="s">
        <v>30</v>
      </c>
      <c r="D9" s="3" t="s">
        <v>42</v>
      </c>
      <c r="E9" s="3" t="s">
        <v>43</v>
      </c>
      <c r="F9" s="3" t="s">
        <v>43</v>
      </c>
      <c r="G9" s="3">
        <v>2025</v>
      </c>
      <c r="H9" s="3" t="str">
        <f>CONCATENATE("54240616679")</f>
        <v>54240616679</v>
      </c>
      <c r="I9" s="3" t="s">
        <v>34</v>
      </c>
      <c r="J9" s="3" t="s">
        <v>35</v>
      </c>
      <c r="K9" s="3"/>
      <c r="L9" s="3" t="s">
        <v>36</v>
      </c>
      <c r="M9" s="3" t="str">
        <f>CONCATENATE("PTRCRL94T11A271Z")</f>
        <v>PTRCRL94T11A271Z</v>
      </c>
      <c r="N9" s="3" t="s">
        <v>54</v>
      </c>
      <c r="O9" s="3" t="s">
        <v>38</v>
      </c>
      <c r="P9" s="3"/>
      <c r="Q9" s="4">
        <v>45968</v>
      </c>
      <c r="R9" s="3" t="s">
        <v>39</v>
      </c>
      <c r="S9" s="3" t="s">
        <v>38</v>
      </c>
      <c r="T9" s="3" t="s">
        <v>40</v>
      </c>
      <c r="U9" s="3"/>
      <c r="V9" s="3" t="s">
        <v>41</v>
      </c>
      <c r="W9" s="5">
        <v>4545.97</v>
      </c>
      <c r="X9" s="5">
        <v>3409.48</v>
      </c>
      <c r="Y9" s="3">
        <v>795.54</v>
      </c>
      <c r="Z9" s="3">
        <v>340.95</v>
      </c>
      <c r="AA9" s="3">
        <v>0</v>
      </c>
    </row>
    <row r="10" spans="1:27" ht="24.75" x14ac:dyDescent="0.25">
      <c r="A10" s="3" t="s">
        <v>28</v>
      </c>
      <c r="B10" s="3" t="s">
        <v>29</v>
      </c>
      <c r="C10" s="3" t="s">
        <v>30</v>
      </c>
      <c r="D10" s="3" t="s">
        <v>42</v>
      </c>
      <c r="E10" s="3" t="s">
        <v>51</v>
      </c>
      <c r="F10" s="3" t="s">
        <v>52</v>
      </c>
      <c r="G10" s="3">
        <v>2025</v>
      </c>
      <c r="H10" s="3" t="str">
        <f>CONCATENATE("54240503075")</f>
        <v>54240503075</v>
      </c>
      <c r="I10" s="3" t="s">
        <v>34</v>
      </c>
      <c r="J10" s="3" t="s">
        <v>35</v>
      </c>
      <c r="K10" s="3"/>
      <c r="L10" s="3" t="s">
        <v>36</v>
      </c>
      <c r="M10" s="3" t="str">
        <f>CONCATENATE("MSLSST56D16L992V")</f>
        <v>MSLSST56D16L992V</v>
      </c>
      <c r="N10" s="3" t="s">
        <v>55</v>
      </c>
      <c r="O10" s="3" t="s">
        <v>38</v>
      </c>
      <c r="P10" s="3"/>
      <c r="Q10" s="4">
        <v>45968</v>
      </c>
      <c r="R10" s="3" t="s">
        <v>39</v>
      </c>
      <c r="S10" s="3" t="s">
        <v>38</v>
      </c>
      <c r="T10" s="3" t="s">
        <v>40</v>
      </c>
      <c r="U10" s="3"/>
      <c r="V10" s="3" t="s">
        <v>41</v>
      </c>
      <c r="W10" s="5">
        <v>1503.94</v>
      </c>
      <c r="X10" s="5">
        <v>1127.96</v>
      </c>
      <c r="Y10" s="3">
        <v>263.19</v>
      </c>
      <c r="Z10" s="3">
        <v>112.79</v>
      </c>
      <c r="AA10" s="3">
        <v>0</v>
      </c>
    </row>
    <row r="11" spans="1:27" ht="60.75" x14ac:dyDescent="0.25">
      <c r="A11" s="3" t="s">
        <v>28</v>
      </c>
      <c r="B11" s="3" t="s">
        <v>29</v>
      </c>
      <c r="C11" s="3" t="s">
        <v>30</v>
      </c>
      <c r="D11" s="3" t="s">
        <v>47</v>
      </c>
      <c r="E11" s="3" t="s">
        <v>48</v>
      </c>
      <c r="F11" s="3" t="s">
        <v>49</v>
      </c>
      <c r="G11" s="3">
        <v>2025</v>
      </c>
      <c r="H11" s="3" t="str">
        <f>CONCATENATE("54240503257")</f>
        <v>54240503257</v>
      </c>
      <c r="I11" s="3" t="s">
        <v>34</v>
      </c>
      <c r="J11" s="3" t="s">
        <v>35</v>
      </c>
      <c r="K11" s="3"/>
      <c r="L11" s="3" t="s">
        <v>36</v>
      </c>
      <c r="M11" s="3" t="str">
        <f>CONCATENATE("SNTRSE84M11E388W")</f>
        <v>SNTRSE84M11E388W</v>
      </c>
      <c r="N11" s="3" t="s">
        <v>56</v>
      </c>
      <c r="O11" s="3" t="s">
        <v>38</v>
      </c>
      <c r="P11" s="3"/>
      <c r="Q11" s="4">
        <v>45968</v>
      </c>
      <c r="R11" s="3" t="s">
        <v>39</v>
      </c>
      <c r="S11" s="3" t="s">
        <v>38</v>
      </c>
      <c r="T11" s="3" t="s">
        <v>40</v>
      </c>
      <c r="U11" s="3"/>
      <c r="V11" s="3" t="s">
        <v>41</v>
      </c>
      <c r="W11" s="5">
        <v>2364.6799999999998</v>
      </c>
      <c r="X11" s="5">
        <v>1773.51</v>
      </c>
      <c r="Y11" s="3">
        <v>413.82</v>
      </c>
      <c r="Z11" s="3">
        <v>177.35</v>
      </c>
      <c r="AA11" s="3">
        <v>0</v>
      </c>
    </row>
    <row r="12" spans="1:27" ht="24.75" x14ac:dyDescent="0.25">
      <c r="A12" s="3" t="s">
        <v>28</v>
      </c>
      <c r="B12" s="3" t="s">
        <v>29</v>
      </c>
      <c r="C12" s="3" t="s">
        <v>30</v>
      </c>
      <c r="D12" s="3" t="s">
        <v>42</v>
      </c>
      <c r="E12" s="3" t="s">
        <v>51</v>
      </c>
      <c r="F12" s="3" t="s">
        <v>52</v>
      </c>
      <c r="G12" s="3">
        <v>2025</v>
      </c>
      <c r="H12" s="3" t="str">
        <f>CONCATENATE("54240503406")</f>
        <v>54240503406</v>
      </c>
      <c r="I12" s="3" t="s">
        <v>34</v>
      </c>
      <c r="J12" s="3" t="s">
        <v>35</v>
      </c>
      <c r="K12" s="3"/>
      <c r="L12" s="3" t="s">
        <v>36</v>
      </c>
      <c r="M12" s="3" t="str">
        <f>CONCATENATE("00826940447")</f>
        <v>00826940447</v>
      </c>
      <c r="N12" s="3" t="s">
        <v>57</v>
      </c>
      <c r="O12" s="3" t="s">
        <v>38</v>
      </c>
      <c r="P12" s="3"/>
      <c r="Q12" s="4">
        <v>45968</v>
      </c>
      <c r="R12" s="3" t="s">
        <v>39</v>
      </c>
      <c r="S12" s="3" t="s">
        <v>38</v>
      </c>
      <c r="T12" s="3" t="s">
        <v>40</v>
      </c>
      <c r="U12" s="3"/>
      <c r="V12" s="3" t="s">
        <v>41</v>
      </c>
      <c r="W12" s="5">
        <v>1863.18</v>
      </c>
      <c r="X12" s="5">
        <v>1397.39</v>
      </c>
      <c r="Y12" s="3">
        <v>326.06</v>
      </c>
      <c r="Z12" s="3">
        <v>139.72999999999999</v>
      </c>
      <c r="AA12" s="3">
        <v>0</v>
      </c>
    </row>
    <row r="13" spans="1:27" ht="24.75" x14ac:dyDescent="0.25">
      <c r="A13" s="3" t="s">
        <v>28</v>
      </c>
      <c r="B13" s="3" t="s">
        <v>29</v>
      </c>
      <c r="C13" s="3" t="s">
        <v>30</v>
      </c>
      <c r="D13" s="3" t="s">
        <v>42</v>
      </c>
      <c r="E13" s="3" t="s">
        <v>51</v>
      </c>
      <c r="F13" s="3" t="s">
        <v>52</v>
      </c>
      <c r="G13" s="3">
        <v>2025</v>
      </c>
      <c r="H13" s="3" t="str">
        <f>CONCATENATE("54240503414")</f>
        <v>54240503414</v>
      </c>
      <c r="I13" s="3" t="s">
        <v>34</v>
      </c>
      <c r="J13" s="3" t="s">
        <v>35</v>
      </c>
      <c r="K13" s="3"/>
      <c r="L13" s="3" t="s">
        <v>36</v>
      </c>
      <c r="M13" s="3" t="str">
        <f>CONCATENATE("02343300444")</f>
        <v>02343300444</v>
      </c>
      <c r="N13" s="3" t="s">
        <v>58</v>
      </c>
      <c r="O13" s="3" t="s">
        <v>38</v>
      </c>
      <c r="P13" s="3"/>
      <c r="Q13" s="4">
        <v>45968</v>
      </c>
      <c r="R13" s="3" t="s">
        <v>39</v>
      </c>
      <c r="S13" s="3" t="s">
        <v>38</v>
      </c>
      <c r="T13" s="3" t="s">
        <v>40</v>
      </c>
      <c r="U13" s="3"/>
      <c r="V13" s="3" t="s">
        <v>41</v>
      </c>
      <c r="W13" s="5">
        <v>4565.58</v>
      </c>
      <c r="X13" s="5">
        <v>3424.19</v>
      </c>
      <c r="Y13" s="3">
        <v>798.98</v>
      </c>
      <c r="Z13" s="3">
        <v>342.41</v>
      </c>
      <c r="AA13" s="3">
        <v>0</v>
      </c>
    </row>
    <row r="14" spans="1:27" ht="24.75" x14ac:dyDescent="0.25">
      <c r="A14" s="3" t="s">
        <v>28</v>
      </c>
      <c r="B14" s="3" t="s">
        <v>29</v>
      </c>
      <c r="C14" s="3" t="s">
        <v>30</v>
      </c>
      <c r="D14" s="3" t="s">
        <v>42</v>
      </c>
      <c r="E14" s="3" t="s">
        <v>51</v>
      </c>
      <c r="F14" s="3" t="s">
        <v>52</v>
      </c>
      <c r="G14" s="3">
        <v>2025</v>
      </c>
      <c r="H14" s="3" t="str">
        <f>CONCATENATE("54240503661")</f>
        <v>54240503661</v>
      </c>
      <c r="I14" s="3" t="s">
        <v>34</v>
      </c>
      <c r="J14" s="3" t="s">
        <v>35</v>
      </c>
      <c r="K14" s="3"/>
      <c r="L14" s="3" t="s">
        <v>36</v>
      </c>
      <c r="M14" s="3" t="str">
        <f>CONCATENATE("DLTGNN54T28D691U")</f>
        <v>DLTGNN54T28D691U</v>
      </c>
      <c r="N14" s="3" t="s">
        <v>59</v>
      </c>
      <c r="O14" s="3" t="s">
        <v>38</v>
      </c>
      <c r="P14" s="3"/>
      <c r="Q14" s="4">
        <v>45968</v>
      </c>
      <c r="R14" s="3" t="s">
        <v>39</v>
      </c>
      <c r="S14" s="3" t="s">
        <v>38</v>
      </c>
      <c r="T14" s="3" t="s">
        <v>40</v>
      </c>
      <c r="U14" s="3"/>
      <c r="V14" s="3" t="s">
        <v>41</v>
      </c>
      <c r="W14" s="5">
        <v>4413.7</v>
      </c>
      <c r="X14" s="5">
        <v>3310.28</v>
      </c>
      <c r="Y14" s="3">
        <v>772.4</v>
      </c>
      <c r="Z14" s="3">
        <v>331.02</v>
      </c>
      <c r="AA14" s="3">
        <v>0</v>
      </c>
    </row>
    <row r="15" spans="1:27" ht="24.75" x14ac:dyDescent="0.25">
      <c r="A15" s="3" t="s">
        <v>28</v>
      </c>
      <c r="B15" s="3" t="s">
        <v>29</v>
      </c>
      <c r="C15" s="3" t="s">
        <v>30</v>
      </c>
      <c r="D15" s="3" t="s">
        <v>31</v>
      </c>
      <c r="E15" s="3" t="s">
        <v>60</v>
      </c>
      <c r="F15" s="3" t="s">
        <v>61</v>
      </c>
      <c r="G15" s="3">
        <v>2025</v>
      </c>
      <c r="H15" s="3" t="str">
        <f>CONCATENATE("54240503752")</f>
        <v>54240503752</v>
      </c>
      <c r="I15" s="3" t="s">
        <v>34</v>
      </c>
      <c r="J15" s="3" t="s">
        <v>35</v>
      </c>
      <c r="K15" s="3"/>
      <c r="L15" s="3" t="s">
        <v>36</v>
      </c>
      <c r="M15" s="3" t="str">
        <f>CONCATENATE("02103190423")</f>
        <v>02103190423</v>
      </c>
      <c r="N15" s="3" t="s">
        <v>62</v>
      </c>
      <c r="O15" s="3" t="s">
        <v>38</v>
      </c>
      <c r="P15" s="3"/>
      <c r="Q15" s="4">
        <v>45968</v>
      </c>
      <c r="R15" s="3" t="s">
        <v>39</v>
      </c>
      <c r="S15" s="3" t="s">
        <v>38</v>
      </c>
      <c r="T15" s="3" t="s">
        <v>40</v>
      </c>
      <c r="U15" s="3"/>
      <c r="V15" s="3" t="s">
        <v>41</v>
      </c>
      <c r="W15" s="5">
        <v>2828.9</v>
      </c>
      <c r="X15" s="5">
        <v>2121.6799999999998</v>
      </c>
      <c r="Y15" s="3">
        <v>495.06</v>
      </c>
      <c r="Z15" s="3">
        <v>212.16</v>
      </c>
      <c r="AA15" s="3">
        <v>0</v>
      </c>
    </row>
    <row r="16" spans="1:27" ht="24.75" x14ac:dyDescent="0.25">
      <c r="A16" s="3" t="s">
        <v>28</v>
      </c>
      <c r="B16" s="3" t="s">
        <v>29</v>
      </c>
      <c r="C16" s="3" t="s">
        <v>30</v>
      </c>
      <c r="D16" s="3" t="s">
        <v>31</v>
      </c>
      <c r="E16" s="3" t="s">
        <v>32</v>
      </c>
      <c r="F16" s="3" t="s">
        <v>63</v>
      </c>
      <c r="G16" s="3">
        <v>2025</v>
      </c>
      <c r="H16" s="3" t="str">
        <f>CONCATENATE("54240581444")</f>
        <v>54240581444</v>
      </c>
      <c r="I16" s="3" t="s">
        <v>34</v>
      </c>
      <c r="J16" s="3" t="s">
        <v>35</v>
      </c>
      <c r="K16" s="3"/>
      <c r="L16" s="3" t="s">
        <v>36</v>
      </c>
      <c r="M16" s="3" t="str">
        <f>CONCATENATE("CLMGRG83T18E388S")</f>
        <v>CLMGRG83T18E388S</v>
      </c>
      <c r="N16" s="3" t="s">
        <v>64</v>
      </c>
      <c r="O16" s="3" t="s">
        <v>38</v>
      </c>
      <c r="P16" s="3"/>
      <c r="Q16" s="4">
        <v>45968</v>
      </c>
      <c r="R16" s="3" t="s">
        <v>39</v>
      </c>
      <c r="S16" s="3" t="s">
        <v>38</v>
      </c>
      <c r="T16" s="3" t="s">
        <v>40</v>
      </c>
      <c r="U16" s="3"/>
      <c r="V16" s="3" t="s">
        <v>41</v>
      </c>
      <c r="W16" s="3">
        <v>143</v>
      </c>
      <c r="X16" s="3">
        <v>107.25</v>
      </c>
      <c r="Y16" s="3">
        <v>25.03</v>
      </c>
      <c r="Z16" s="3">
        <v>10.72</v>
      </c>
      <c r="AA16" s="3">
        <v>0</v>
      </c>
    </row>
    <row r="17" spans="1:27" ht="36.75" x14ac:dyDescent="0.25">
      <c r="A17" s="3" t="s">
        <v>28</v>
      </c>
      <c r="B17" s="3" t="s">
        <v>29</v>
      </c>
      <c r="C17" s="3" t="s">
        <v>30</v>
      </c>
      <c r="D17" s="3" t="s">
        <v>65</v>
      </c>
      <c r="E17" s="3" t="s">
        <v>48</v>
      </c>
      <c r="F17" s="3" t="s">
        <v>66</v>
      </c>
      <c r="G17" s="3">
        <v>2025</v>
      </c>
      <c r="H17" s="3" t="str">
        <f>CONCATENATE("54240503844")</f>
        <v>54240503844</v>
      </c>
      <c r="I17" s="3" t="s">
        <v>34</v>
      </c>
      <c r="J17" s="3" t="s">
        <v>35</v>
      </c>
      <c r="K17" s="3"/>
      <c r="L17" s="3" t="s">
        <v>36</v>
      </c>
      <c r="M17" s="3" t="str">
        <f>CONCATENATE("02383080419")</f>
        <v>02383080419</v>
      </c>
      <c r="N17" s="3" t="s">
        <v>67</v>
      </c>
      <c r="O17" s="3" t="s">
        <v>38</v>
      </c>
      <c r="P17" s="3"/>
      <c r="Q17" s="4">
        <v>45968</v>
      </c>
      <c r="R17" s="3" t="s">
        <v>39</v>
      </c>
      <c r="S17" s="3" t="s">
        <v>38</v>
      </c>
      <c r="T17" s="3" t="s">
        <v>40</v>
      </c>
      <c r="U17" s="3"/>
      <c r="V17" s="3" t="s">
        <v>41</v>
      </c>
      <c r="W17" s="3">
        <v>546.62</v>
      </c>
      <c r="X17" s="3">
        <v>409.97</v>
      </c>
      <c r="Y17" s="3">
        <v>95.66</v>
      </c>
      <c r="Z17" s="3">
        <v>40.99</v>
      </c>
      <c r="AA17" s="3">
        <v>0</v>
      </c>
    </row>
    <row r="18" spans="1:27" ht="36.75" x14ac:dyDescent="0.25">
      <c r="A18" s="3" t="s">
        <v>28</v>
      </c>
      <c r="B18" s="3" t="s">
        <v>29</v>
      </c>
      <c r="C18" s="3" t="s">
        <v>30</v>
      </c>
      <c r="D18" s="3" t="s">
        <v>47</v>
      </c>
      <c r="E18" s="3" t="s">
        <v>48</v>
      </c>
      <c r="F18" s="3" t="s">
        <v>49</v>
      </c>
      <c r="G18" s="3">
        <v>2025</v>
      </c>
      <c r="H18" s="3" t="str">
        <f>CONCATENATE("54240503943")</f>
        <v>54240503943</v>
      </c>
      <c r="I18" s="3" t="s">
        <v>34</v>
      </c>
      <c r="J18" s="3" t="s">
        <v>35</v>
      </c>
      <c r="K18" s="3"/>
      <c r="L18" s="3" t="s">
        <v>36</v>
      </c>
      <c r="M18" s="3" t="str">
        <f>CONCATENATE("01174760437")</f>
        <v>01174760437</v>
      </c>
      <c r="N18" s="3" t="s">
        <v>68</v>
      </c>
      <c r="O18" s="3" t="s">
        <v>38</v>
      </c>
      <c r="P18" s="3"/>
      <c r="Q18" s="4">
        <v>45968</v>
      </c>
      <c r="R18" s="3" t="s">
        <v>39</v>
      </c>
      <c r="S18" s="3" t="s">
        <v>38</v>
      </c>
      <c r="T18" s="3" t="s">
        <v>40</v>
      </c>
      <c r="U18" s="3"/>
      <c r="V18" s="3" t="s">
        <v>41</v>
      </c>
      <c r="W18" s="5">
        <v>25131.02</v>
      </c>
      <c r="X18" s="5">
        <v>18848.27</v>
      </c>
      <c r="Y18" s="5">
        <v>4397.93</v>
      </c>
      <c r="Z18" s="5">
        <v>1884.82</v>
      </c>
      <c r="AA18" s="3">
        <v>0</v>
      </c>
    </row>
    <row r="19" spans="1:27" ht="48.75" x14ac:dyDescent="0.25">
      <c r="A19" s="3" t="s">
        <v>28</v>
      </c>
      <c r="B19" s="3" t="s">
        <v>29</v>
      </c>
      <c r="C19" s="3" t="s">
        <v>30</v>
      </c>
      <c r="D19" s="3" t="s">
        <v>31</v>
      </c>
      <c r="E19" s="3" t="s">
        <v>51</v>
      </c>
      <c r="F19" s="3" t="s">
        <v>69</v>
      </c>
      <c r="G19" s="3">
        <v>2025</v>
      </c>
      <c r="H19" s="3" t="str">
        <f>CONCATENATE("54240504115")</f>
        <v>54240504115</v>
      </c>
      <c r="I19" s="3" t="s">
        <v>34</v>
      </c>
      <c r="J19" s="3" t="s">
        <v>35</v>
      </c>
      <c r="K19" s="3"/>
      <c r="L19" s="3" t="s">
        <v>36</v>
      </c>
      <c r="M19" s="3" t="str">
        <f>CONCATENATE("FTTLLL68L54I608Z")</f>
        <v>FTTLLL68L54I608Z</v>
      </c>
      <c r="N19" s="3" t="s">
        <v>70</v>
      </c>
      <c r="O19" s="3" t="s">
        <v>38</v>
      </c>
      <c r="P19" s="3"/>
      <c r="Q19" s="4">
        <v>45968</v>
      </c>
      <c r="R19" s="3" t="s">
        <v>39</v>
      </c>
      <c r="S19" s="3" t="s">
        <v>38</v>
      </c>
      <c r="T19" s="3" t="s">
        <v>40</v>
      </c>
      <c r="U19" s="3"/>
      <c r="V19" s="3" t="s">
        <v>41</v>
      </c>
      <c r="W19" s="5">
        <v>1769.87</v>
      </c>
      <c r="X19" s="5">
        <v>1327.4</v>
      </c>
      <c r="Y19" s="3">
        <v>309.73</v>
      </c>
      <c r="Z19" s="3">
        <v>132.74</v>
      </c>
      <c r="AA19" s="3">
        <v>0</v>
      </c>
    </row>
    <row r="20" spans="1:27" ht="60.75" x14ac:dyDescent="0.25">
      <c r="A20" s="3" t="s">
        <v>28</v>
      </c>
      <c r="B20" s="3" t="s">
        <v>29</v>
      </c>
      <c r="C20" s="3" t="s">
        <v>30</v>
      </c>
      <c r="D20" s="3" t="s">
        <v>65</v>
      </c>
      <c r="E20" s="3" t="s">
        <v>51</v>
      </c>
      <c r="F20" s="3" t="s">
        <v>71</v>
      </c>
      <c r="G20" s="3">
        <v>2025</v>
      </c>
      <c r="H20" s="3" t="str">
        <f>CONCATENATE("54240501541")</f>
        <v>54240501541</v>
      </c>
      <c r="I20" s="3" t="s">
        <v>34</v>
      </c>
      <c r="J20" s="3" t="s">
        <v>35</v>
      </c>
      <c r="K20" s="3"/>
      <c r="L20" s="3" t="s">
        <v>36</v>
      </c>
      <c r="M20" s="3" t="str">
        <f>CONCATENATE("MTTMRA57T19F524A")</f>
        <v>MTTMRA57T19F524A</v>
      </c>
      <c r="N20" s="3" t="s">
        <v>72</v>
      </c>
      <c r="O20" s="3" t="s">
        <v>38</v>
      </c>
      <c r="P20" s="3"/>
      <c r="Q20" s="4">
        <v>45968</v>
      </c>
      <c r="R20" s="3" t="s">
        <v>39</v>
      </c>
      <c r="S20" s="3" t="s">
        <v>38</v>
      </c>
      <c r="T20" s="3" t="s">
        <v>40</v>
      </c>
      <c r="U20" s="3"/>
      <c r="V20" s="3" t="s">
        <v>41</v>
      </c>
      <c r="W20" s="5">
        <v>21245.87</v>
      </c>
      <c r="X20" s="5">
        <v>15934.4</v>
      </c>
      <c r="Y20" s="5">
        <v>3718.03</v>
      </c>
      <c r="Z20" s="5">
        <v>1593.44</v>
      </c>
      <c r="AA20" s="3">
        <v>0</v>
      </c>
    </row>
    <row r="21" spans="1:27" ht="36.75" x14ac:dyDescent="0.25">
      <c r="A21" s="3" t="s">
        <v>28</v>
      </c>
      <c r="B21" s="3" t="s">
        <v>29</v>
      </c>
      <c r="C21" s="3" t="s">
        <v>30</v>
      </c>
      <c r="D21" s="3" t="s">
        <v>65</v>
      </c>
      <c r="E21" s="3" t="s">
        <v>51</v>
      </c>
      <c r="F21" s="3" t="s">
        <v>71</v>
      </c>
      <c r="G21" s="3">
        <v>2025</v>
      </c>
      <c r="H21" s="3" t="str">
        <f>CONCATENATE("54240501780")</f>
        <v>54240501780</v>
      </c>
      <c r="I21" s="3" t="s">
        <v>34</v>
      </c>
      <c r="J21" s="3" t="s">
        <v>35</v>
      </c>
      <c r="K21" s="3"/>
      <c r="L21" s="3" t="s">
        <v>36</v>
      </c>
      <c r="M21" s="3" t="str">
        <f>CONCATENATE("00984410415")</f>
        <v>00984410415</v>
      </c>
      <c r="N21" s="3" t="s">
        <v>73</v>
      </c>
      <c r="O21" s="3" t="s">
        <v>38</v>
      </c>
      <c r="P21" s="3"/>
      <c r="Q21" s="4">
        <v>45968</v>
      </c>
      <c r="R21" s="3" t="s">
        <v>39</v>
      </c>
      <c r="S21" s="3" t="s">
        <v>38</v>
      </c>
      <c r="T21" s="3" t="s">
        <v>40</v>
      </c>
      <c r="U21" s="3"/>
      <c r="V21" s="3" t="s">
        <v>41</v>
      </c>
      <c r="W21" s="5">
        <v>44678.74</v>
      </c>
      <c r="X21" s="5">
        <v>33509.06</v>
      </c>
      <c r="Y21" s="5">
        <v>7818.78</v>
      </c>
      <c r="Z21" s="5">
        <v>3350.9</v>
      </c>
      <c r="AA21" s="3">
        <v>0</v>
      </c>
    </row>
    <row r="22" spans="1:27" ht="60.75" x14ac:dyDescent="0.25">
      <c r="A22" s="3" t="s">
        <v>28</v>
      </c>
      <c r="B22" s="3" t="s">
        <v>29</v>
      </c>
      <c r="C22" s="3" t="s">
        <v>30</v>
      </c>
      <c r="D22" s="3" t="s">
        <v>31</v>
      </c>
      <c r="E22" s="3" t="s">
        <v>51</v>
      </c>
      <c r="F22" s="3" t="s">
        <v>74</v>
      </c>
      <c r="G22" s="3">
        <v>2025</v>
      </c>
      <c r="H22" s="3" t="str">
        <f>CONCATENATE("54240501764")</f>
        <v>54240501764</v>
      </c>
      <c r="I22" s="3" t="s">
        <v>34</v>
      </c>
      <c r="J22" s="3" t="s">
        <v>35</v>
      </c>
      <c r="K22" s="3"/>
      <c r="L22" s="3" t="s">
        <v>36</v>
      </c>
      <c r="M22" s="3" t="str">
        <f>CONCATENATE("CSRDNL47E54A271M")</f>
        <v>CSRDNL47E54A271M</v>
      </c>
      <c r="N22" s="3" t="s">
        <v>75</v>
      </c>
      <c r="O22" s="3" t="s">
        <v>38</v>
      </c>
      <c r="P22" s="3"/>
      <c r="Q22" s="4">
        <v>45968</v>
      </c>
      <c r="R22" s="3" t="s">
        <v>39</v>
      </c>
      <c r="S22" s="3" t="s">
        <v>38</v>
      </c>
      <c r="T22" s="3" t="s">
        <v>40</v>
      </c>
      <c r="U22" s="3"/>
      <c r="V22" s="3" t="s">
        <v>41</v>
      </c>
      <c r="W22" s="3">
        <v>525.03</v>
      </c>
      <c r="X22" s="3">
        <v>393.77</v>
      </c>
      <c r="Y22" s="3">
        <v>91.88</v>
      </c>
      <c r="Z22" s="3">
        <v>39.380000000000003</v>
      </c>
      <c r="AA22" s="3">
        <v>0</v>
      </c>
    </row>
    <row r="23" spans="1:27" ht="72.75" x14ac:dyDescent="0.25">
      <c r="A23" s="3" t="s">
        <v>28</v>
      </c>
      <c r="B23" s="3" t="s">
        <v>29</v>
      </c>
      <c r="C23" s="3" t="s">
        <v>30</v>
      </c>
      <c r="D23" s="3" t="s">
        <v>65</v>
      </c>
      <c r="E23" s="3" t="s">
        <v>48</v>
      </c>
      <c r="F23" s="3" t="s">
        <v>76</v>
      </c>
      <c r="G23" s="3">
        <v>2025</v>
      </c>
      <c r="H23" s="3" t="str">
        <f>CONCATENATE("54240501723")</f>
        <v>54240501723</v>
      </c>
      <c r="I23" s="3" t="s">
        <v>34</v>
      </c>
      <c r="J23" s="3" t="s">
        <v>35</v>
      </c>
      <c r="K23" s="3"/>
      <c r="L23" s="3" t="s">
        <v>36</v>
      </c>
      <c r="M23" s="3" t="str">
        <f>CONCATENATE("GVNFNC78R03D488G")</f>
        <v>GVNFNC78R03D488G</v>
      </c>
      <c r="N23" s="3" t="s">
        <v>77</v>
      </c>
      <c r="O23" s="3" t="s">
        <v>38</v>
      </c>
      <c r="P23" s="3"/>
      <c r="Q23" s="4">
        <v>45968</v>
      </c>
      <c r="R23" s="3" t="s">
        <v>39</v>
      </c>
      <c r="S23" s="3" t="s">
        <v>38</v>
      </c>
      <c r="T23" s="3" t="s">
        <v>40</v>
      </c>
      <c r="U23" s="3"/>
      <c r="V23" s="3" t="s">
        <v>41</v>
      </c>
      <c r="W23" s="5">
        <v>1438.29</v>
      </c>
      <c r="X23" s="5">
        <v>1078.72</v>
      </c>
      <c r="Y23" s="3">
        <v>251.7</v>
      </c>
      <c r="Z23" s="3">
        <v>107.87</v>
      </c>
      <c r="AA23" s="3">
        <v>0</v>
      </c>
    </row>
    <row r="24" spans="1:27" ht="36.75" x14ac:dyDescent="0.25">
      <c r="A24" s="3" t="s">
        <v>28</v>
      </c>
      <c r="B24" s="3" t="s">
        <v>29</v>
      </c>
      <c r="C24" s="3" t="s">
        <v>30</v>
      </c>
      <c r="D24" s="3" t="s">
        <v>31</v>
      </c>
      <c r="E24" s="3" t="s">
        <v>32</v>
      </c>
      <c r="F24" s="3" t="s">
        <v>63</v>
      </c>
      <c r="G24" s="3">
        <v>2025</v>
      </c>
      <c r="H24" s="3" t="str">
        <f>CONCATENATE("54240501848")</f>
        <v>54240501848</v>
      </c>
      <c r="I24" s="3" t="s">
        <v>34</v>
      </c>
      <c r="J24" s="3" t="s">
        <v>35</v>
      </c>
      <c r="K24" s="3"/>
      <c r="L24" s="3" t="s">
        <v>36</v>
      </c>
      <c r="M24" s="3" t="str">
        <f>CONCATENATE("02392540429")</f>
        <v>02392540429</v>
      </c>
      <c r="N24" s="3" t="s">
        <v>78</v>
      </c>
      <c r="O24" s="3" t="s">
        <v>38</v>
      </c>
      <c r="P24" s="3"/>
      <c r="Q24" s="4">
        <v>45968</v>
      </c>
      <c r="R24" s="3" t="s">
        <v>39</v>
      </c>
      <c r="S24" s="3" t="s">
        <v>38</v>
      </c>
      <c r="T24" s="3" t="s">
        <v>40</v>
      </c>
      <c r="U24" s="3"/>
      <c r="V24" s="3" t="s">
        <v>41</v>
      </c>
      <c r="W24" s="5">
        <v>2454.42</v>
      </c>
      <c r="X24" s="5">
        <v>1840.82</v>
      </c>
      <c r="Y24" s="3">
        <v>429.52</v>
      </c>
      <c r="Z24" s="3">
        <v>184.08</v>
      </c>
      <c r="AA24" s="3">
        <v>0</v>
      </c>
    </row>
    <row r="25" spans="1:27" ht="36.75" x14ac:dyDescent="0.25">
      <c r="A25" s="3" t="s">
        <v>28</v>
      </c>
      <c r="B25" s="3" t="s">
        <v>29</v>
      </c>
      <c r="C25" s="3" t="s">
        <v>30</v>
      </c>
      <c r="D25" s="3" t="s">
        <v>47</v>
      </c>
      <c r="E25" s="3" t="s">
        <v>48</v>
      </c>
      <c r="F25" s="3" t="s">
        <v>79</v>
      </c>
      <c r="G25" s="3">
        <v>2025</v>
      </c>
      <c r="H25" s="3" t="str">
        <f>CONCATENATE("54240502150")</f>
        <v>54240502150</v>
      </c>
      <c r="I25" s="3" t="s">
        <v>34</v>
      </c>
      <c r="J25" s="3" t="s">
        <v>35</v>
      </c>
      <c r="K25" s="3"/>
      <c r="L25" s="3" t="s">
        <v>36</v>
      </c>
      <c r="M25" s="3" t="str">
        <f>CONCATENATE("01833480435")</f>
        <v>01833480435</v>
      </c>
      <c r="N25" s="3" t="s">
        <v>80</v>
      </c>
      <c r="O25" s="3" t="s">
        <v>38</v>
      </c>
      <c r="P25" s="3"/>
      <c r="Q25" s="4">
        <v>45968</v>
      </c>
      <c r="R25" s="3" t="s">
        <v>39</v>
      </c>
      <c r="S25" s="3" t="s">
        <v>38</v>
      </c>
      <c r="T25" s="3" t="s">
        <v>40</v>
      </c>
      <c r="U25" s="3"/>
      <c r="V25" s="3" t="s">
        <v>41</v>
      </c>
      <c r="W25" s="5">
        <v>32264.61</v>
      </c>
      <c r="X25" s="5">
        <v>24198.46</v>
      </c>
      <c r="Y25" s="5">
        <v>5646.31</v>
      </c>
      <c r="Z25" s="5">
        <v>2419.84</v>
      </c>
      <c r="AA25" s="3">
        <v>0</v>
      </c>
    </row>
    <row r="26" spans="1:27" ht="60.75" x14ac:dyDescent="0.25">
      <c r="A26" s="3" t="s">
        <v>28</v>
      </c>
      <c r="B26" s="3" t="s">
        <v>29</v>
      </c>
      <c r="C26" s="3" t="s">
        <v>30</v>
      </c>
      <c r="D26" s="3" t="s">
        <v>47</v>
      </c>
      <c r="E26" s="3" t="s">
        <v>60</v>
      </c>
      <c r="F26" s="3" t="s">
        <v>81</v>
      </c>
      <c r="G26" s="3">
        <v>2025</v>
      </c>
      <c r="H26" s="3" t="str">
        <f>CONCATENATE("54240613395")</f>
        <v>54240613395</v>
      </c>
      <c r="I26" s="3" t="s">
        <v>34</v>
      </c>
      <c r="J26" s="3" t="s">
        <v>35</v>
      </c>
      <c r="K26" s="3"/>
      <c r="L26" s="3" t="s">
        <v>36</v>
      </c>
      <c r="M26" s="3" t="str">
        <f>CONCATENATE("CNGGST60B24A271E")</f>
        <v>CNGGST60B24A271E</v>
      </c>
      <c r="N26" s="3" t="s">
        <v>82</v>
      </c>
      <c r="O26" s="3" t="s">
        <v>38</v>
      </c>
      <c r="P26" s="3"/>
      <c r="Q26" s="4">
        <v>45968</v>
      </c>
      <c r="R26" s="3" t="s">
        <v>39</v>
      </c>
      <c r="S26" s="3" t="s">
        <v>38</v>
      </c>
      <c r="T26" s="3" t="s">
        <v>40</v>
      </c>
      <c r="U26" s="3"/>
      <c r="V26" s="3" t="s">
        <v>41</v>
      </c>
      <c r="W26" s="5">
        <v>9590.48</v>
      </c>
      <c r="X26" s="5">
        <v>7192.86</v>
      </c>
      <c r="Y26" s="5">
        <v>1678.33</v>
      </c>
      <c r="Z26" s="3">
        <v>719.29</v>
      </c>
      <c r="AA26" s="3">
        <v>0</v>
      </c>
    </row>
    <row r="27" spans="1:27" ht="60.75" x14ac:dyDescent="0.25">
      <c r="A27" s="3" t="s">
        <v>28</v>
      </c>
      <c r="B27" s="3" t="s">
        <v>29</v>
      </c>
      <c r="C27" s="3" t="s">
        <v>30</v>
      </c>
      <c r="D27" s="3" t="s">
        <v>47</v>
      </c>
      <c r="E27" s="3" t="s">
        <v>51</v>
      </c>
      <c r="F27" s="3" t="s">
        <v>83</v>
      </c>
      <c r="G27" s="3">
        <v>2025</v>
      </c>
      <c r="H27" s="3" t="str">
        <f>CONCATENATE("54240615507")</f>
        <v>54240615507</v>
      </c>
      <c r="I27" s="3" t="s">
        <v>34</v>
      </c>
      <c r="J27" s="3" t="s">
        <v>35</v>
      </c>
      <c r="K27" s="3"/>
      <c r="L27" s="3" t="s">
        <v>36</v>
      </c>
      <c r="M27" s="3" t="str">
        <f>CONCATENATE("SBRLBR49L31B474W")</f>
        <v>SBRLBR49L31B474W</v>
      </c>
      <c r="N27" s="3" t="s">
        <v>84</v>
      </c>
      <c r="O27" s="3" t="s">
        <v>38</v>
      </c>
      <c r="P27" s="3"/>
      <c r="Q27" s="4">
        <v>45968</v>
      </c>
      <c r="R27" s="3" t="s">
        <v>39</v>
      </c>
      <c r="S27" s="3" t="s">
        <v>38</v>
      </c>
      <c r="T27" s="3" t="s">
        <v>40</v>
      </c>
      <c r="U27" s="3"/>
      <c r="V27" s="3" t="s">
        <v>41</v>
      </c>
      <c r="W27" s="5">
        <v>20547.57</v>
      </c>
      <c r="X27" s="5">
        <v>15410.68</v>
      </c>
      <c r="Y27" s="5">
        <v>3595.82</v>
      </c>
      <c r="Z27" s="5">
        <v>1541.07</v>
      </c>
      <c r="AA27" s="3">
        <v>0</v>
      </c>
    </row>
    <row r="28" spans="1:27" ht="36.75" x14ac:dyDescent="0.25">
      <c r="A28" s="3" t="s">
        <v>28</v>
      </c>
      <c r="B28" s="3" t="s">
        <v>29</v>
      </c>
      <c r="C28" s="3" t="s">
        <v>30</v>
      </c>
      <c r="D28" s="3" t="s">
        <v>65</v>
      </c>
      <c r="E28" s="3" t="s">
        <v>60</v>
      </c>
      <c r="F28" s="3" t="s">
        <v>85</v>
      </c>
      <c r="G28" s="3">
        <v>2025</v>
      </c>
      <c r="H28" s="3" t="str">
        <f>CONCATENATE("54240617487")</f>
        <v>54240617487</v>
      </c>
      <c r="I28" s="3" t="s">
        <v>34</v>
      </c>
      <c r="J28" s="3" t="s">
        <v>35</v>
      </c>
      <c r="K28" s="3"/>
      <c r="L28" s="3" t="s">
        <v>36</v>
      </c>
      <c r="M28" s="3" t="str">
        <f>CONCATENATE("02794450417")</f>
        <v>02794450417</v>
      </c>
      <c r="N28" s="3" t="s">
        <v>86</v>
      </c>
      <c r="O28" s="3" t="s">
        <v>38</v>
      </c>
      <c r="P28" s="3"/>
      <c r="Q28" s="4">
        <v>45968</v>
      </c>
      <c r="R28" s="3" t="s">
        <v>39</v>
      </c>
      <c r="S28" s="3" t="s">
        <v>38</v>
      </c>
      <c r="T28" s="3" t="s">
        <v>40</v>
      </c>
      <c r="U28" s="3"/>
      <c r="V28" s="3" t="s">
        <v>41</v>
      </c>
      <c r="W28" s="5">
        <v>3989.18</v>
      </c>
      <c r="X28" s="5">
        <v>2991.89</v>
      </c>
      <c r="Y28" s="3">
        <v>698.11</v>
      </c>
      <c r="Z28" s="3">
        <v>299.18</v>
      </c>
      <c r="AA28" s="3">
        <v>0</v>
      </c>
    </row>
    <row r="29" spans="1:27" ht="60.75" x14ac:dyDescent="0.25">
      <c r="A29" s="3" t="s">
        <v>28</v>
      </c>
      <c r="B29" s="3" t="s">
        <v>29</v>
      </c>
      <c r="C29" s="3" t="s">
        <v>30</v>
      </c>
      <c r="D29" s="3" t="s">
        <v>42</v>
      </c>
      <c r="E29" s="3" t="s">
        <v>43</v>
      </c>
      <c r="F29" s="3" t="s">
        <v>43</v>
      </c>
      <c r="G29" s="3">
        <v>2025</v>
      </c>
      <c r="H29" s="3" t="str">
        <f>CONCATENATE("54240616703")</f>
        <v>54240616703</v>
      </c>
      <c r="I29" s="3" t="s">
        <v>34</v>
      </c>
      <c r="J29" s="3" t="s">
        <v>35</v>
      </c>
      <c r="K29" s="3"/>
      <c r="L29" s="3" t="s">
        <v>36</v>
      </c>
      <c r="M29" s="3" t="str">
        <f>CONCATENATE("VRGGRL44H21F415X")</f>
        <v>VRGGRL44H21F415X</v>
      </c>
      <c r="N29" s="3" t="s">
        <v>87</v>
      </c>
      <c r="O29" s="3" t="s">
        <v>38</v>
      </c>
      <c r="P29" s="3"/>
      <c r="Q29" s="4">
        <v>45968</v>
      </c>
      <c r="R29" s="3" t="s">
        <v>39</v>
      </c>
      <c r="S29" s="3" t="s">
        <v>38</v>
      </c>
      <c r="T29" s="3" t="s">
        <v>40</v>
      </c>
      <c r="U29" s="3"/>
      <c r="V29" s="3" t="s">
        <v>41</v>
      </c>
      <c r="W29" s="5">
        <v>14268.72</v>
      </c>
      <c r="X29" s="5">
        <v>10701.54</v>
      </c>
      <c r="Y29" s="5">
        <v>2497.0300000000002</v>
      </c>
      <c r="Z29" s="5">
        <v>1070.1500000000001</v>
      </c>
      <c r="AA29" s="3">
        <v>0</v>
      </c>
    </row>
    <row r="30" spans="1:27" ht="36.75" x14ac:dyDescent="0.25">
      <c r="A30" s="3" t="s">
        <v>28</v>
      </c>
      <c r="B30" s="3" t="s">
        <v>29</v>
      </c>
      <c r="C30" s="3" t="s">
        <v>30</v>
      </c>
      <c r="D30" s="3" t="s">
        <v>42</v>
      </c>
      <c r="E30" s="3" t="s">
        <v>43</v>
      </c>
      <c r="F30" s="3" t="s">
        <v>43</v>
      </c>
      <c r="G30" s="3">
        <v>2025</v>
      </c>
      <c r="H30" s="3" t="str">
        <f>CONCATENATE("54240616877")</f>
        <v>54240616877</v>
      </c>
      <c r="I30" s="3" t="s">
        <v>34</v>
      </c>
      <c r="J30" s="3" t="s">
        <v>35</v>
      </c>
      <c r="K30" s="3"/>
      <c r="L30" s="3" t="s">
        <v>36</v>
      </c>
      <c r="M30" s="3" t="str">
        <f>CONCATENATE("00097830442")</f>
        <v>00097830442</v>
      </c>
      <c r="N30" s="3" t="s">
        <v>88</v>
      </c>
      <c r="O30" s="3" t="s">
        <v>38</v>
      </c>
      <c r="P30" s="3"/>
      <c r="Q30" s="4">
        <v>45968</v>
      </c>
      <c r="R30" s="3" t="s">
        <v>39</v>
      </c>
      <c r="S30" s="3" t="s">
        <v>38</v>
      </c>
      <c r="T30" s="3" t="s">
        <v>40</v>
      </c>
      <c r="U30" s="3"/>
      <c r="V30" s="3" t="s">
        <v>41</v>
      </c>
      <c r="W30" s="5">
        <v>4272.53</v>
      </c>
      <c r="X30" s="5">
        <v>3204.4</v>
      </c>
      <c r="Y30" s="3">
        <v>747.69</v>
      </c>
      <c r="Z30" s="3">
        <v>320.44</v>
      </c>
      <c r="AA30" s="3">
        <v>0</v>
      </c>
    </row>
    <row r="31" spans="1:27" ht="72.75" x14ac:dyDescent="0.25">
      <c r="A31" s="3" t="s">
        <v>28</v>
      </c>
      <c r="B31" s="3" t="s">
        <v>29</v>
      </c>
      <c r="C31" s="3" t="s">
        <v>30</v>
      </c>
      <c r="D31" s="3" t="s">
        <v>42</v>
      </c>
      <c r="E31" s="3" t="s">
        <v>43</v>
      </c>
      <c r="F31" s="3" t="s">
        <v>43</v>
      </c>
      <c r="G31" s="3">
        <v>2025</v>
      </c>
      <c r="H31" s="3" t="str">
        <f>CONCATENATE("54240616786")</f>
        <v>54240616786</v>
      </c>
      <c r="I31" s="3" t="s">
        <v>44</v>
      </c>
      <c r="J31" s="3" t="s">
        <v>35</v>
      </c>
      <c r="K31" s="3"/>
      <c r="L31" s="3" t="s">
        <v>36</v>
      </c>
      <c r="M31" s="3" t="str">
        <f>CONCATENATE("MRNCMN56H55G005G")</f>
        <v>MRNCMN56H55G005G</v>
      </c>
      <c r="N31" s="3" t="s">
        <v>89</v>
      </c>
      <c r="O31" s="3" t="s">
        <v>38</v>
      </c>
      <c r="P31" s="3"/>
      <c r="Q31" s="4">
        <v>45968</v>
      </c>
      <c r="R31" s="3" t="s">
        <v>39</v>
      </c>
      <c r="S31" s="3" t="s">
        <v>38</v>
      </c>
      <c r="T31" s="3" t="s">
        <v>40</v>
      </c>
      <c r="U31" s="3"/>
      <c r="V31" s="3" t="s">
        <v>41</v>
      </c>
      <c r="W31" s="5">
        <v>4194.37</v>
      </c>
      <c r="X31" s="5">
        <v>3145.78</v>
      </c>
      <c r="Y31" s="3">
        <v>734.01</v>
      </c>
      <c r="Z31" s="3">
        <v>314.58</v>
      </c>
      <c r="AA31" s="3">
        <v>0</v>
      </c>
    </row>
    <row r="32" spans="1:27" ht="36.75" x14ac:dyDescent="0.25">
      <c r="A32" s="3" t="s">
        <v>28</v>
      </c>
      <c r="B32" s="3" t="s">
        <v>29</v>
      </c>
      <c r="C32" s="3" t="s">
        <v>30</v>
      </c>
      <c r="D32" s="3" t="s">
        <v>47</v>
      </c>
      <c r="E32" s="3" t="s">
        <v>48</v>
      </c>
      <c r="F32" s="3" t="s">
        <v>90</v>
      </c>
      <c r="G32" s="3">
        <v>2025</v>
      </c>
      <c r="H32" s="3" t="str">
        <f>CONCATENATE("54240617966")</f>
        <v>54240617966</v>
      </c>
      <c r="I32" s="3" t="s">
        <v>34</v>
      </c>
      <c r="J32" s="3" t="s">
        <v>35</v>
      </c>
      <c r="K32" s="3"/>
      <c r="L32" s="3" t="s">
        <v>36</v>
      </c>
      <c r="M32" s="3" t="str">
        <f>CONCATENATE("02044910434")</f>
        <v>02044910434</v>
      </c>
      <c r="N32" s="3" t="s">
        <v>91</v>
      </c>
      <c r="O32" s="3" t="s">
        <v>38</v>
      </c>
      <c r="P32" s="3"/>
      <c r="Q32" s="4">
        <v>45968</v>
      </c>
      <c r="R32" s="3" t="s">
        <v>39</v>
      </c>
      <c r="S32" s="3" t="s">
        <v>38</v>
      </c>
      <c r="T32" s="3" t="s">
        <v>40</v>
      </c>
      <c r="U32" s="3"/>
      <c r="V32" s="3" t="s">
        <v>41</v>
      </c>
      <c r="W32" s="5">
        <v>25649.91</v>
      </c>
      <c r="X32" s="5">
        <v>19237.43</v>
      </c>
      <c r="Y32" s="5">
        <v>4488.7299999999996</v>
      </c>
      <c r="Z32" s="5">
        <v>1923.75</v>
      </c>
      <c r="AA32" s="3">
        <v>0</v>
      </c>
    </row>
    <row r="33" spans="1:27" ht="36.75" x14ac:dyDescent="0.25">
      <c r="A33" s="3" t="s">
        <v>28</v>
      </c>
      <c r="B33" s="3" t="s">
        <v>29</v>
      </c>
      <c r="C33" s="3" t="s">
        <v>30</v>
      </c>
      <c r="D33" s="3" t="s">
        <v>47</v>
      </c>
      <c r="E33" s="3" t="s">
        <v>51</v>
      </c>
      <c r="F33" s="3" t="s">
        <v>83</v>
      </c>
      <c r="G33" s="3">
        <v>2025</v>
      </c>
      <c r="H33" s="3" t="str">
        <f>CONCATENATE("54240620416")</f>
        <v>54240620416</v>
      </c>
      <c r="I33" s="3" t="s">
        <v>34</v>
      </c>
      <c r="J33" s="3" t="s">
        <v>35</v>
      </c>
      <c r="K33" s="3"/>
      <c r="L33" s="3" t="s">
        <v>36</v>
      </c>
      <c r="M33" s="3" t="str">
        <f>CONCATENATE("01141480432")</f>
        <v>01141480432</v>
      </c>
      <c r="N33" s="3" t="s">
        <v>92</v>
      </c>
      <c r="O33" s="3" t="s">
        <v>38</v>
      </c>
      <c r="P33" s="3"/>
      <c r="Q33" s="4">
        <v>45968</v>
      </c>
      <c r="R33" s="3" t="s">
        <v>39</v>
      </c>
      <c r="S33" s="3" t="s">
        <v>38</v>
      </c>
      <c r="T33" s="3" t="s">
        <v>40</v>
      </c>
      <c r="U33" s="3"/>
      <c r="V33" s="3" t="s">
        <v>41</v>
      </c>
      <c r="W33" s="5">
        <v>12776.65</v>
      </c>
      <c r="X33" s="5">
        <v>9582.49</v>
      </c>
      <c r="Y33" s="5">
        <v>2235.91</v>
      </c>
      <c r="Z33" s="3">
        <v>958.25</v>
      </c>
      <c r="AA33" s="3">
        <v>0</v>
      </c>
    </row>
    <row r="34" spans="1:27" ht="36.75" x14ac:dyDescent="0.25">
      <c r="A34" s="3" t="s">
        <v>28</v>
      </c>
      <c r="B34" s="3" t="s">
        <v>29</v>
      </c>
      <c r="C34" s="3" t="s">
        <v>30</v>
      </c>
      <c r="D34" s="3" t="s">
        <v>31</v>
      </c>
      <c r="E34" s="3" t="s">
        <v>51</v>
      </c>
      <c r="F34" s="3" t="s">
        <v>93</v>
      </c>
      <c r="G34" s="3">
        <v>2025</v>
      </c>
      <c r="H34" s="3" t="str">
        <f>CONCATENATE("54240620275")</f>
        <v>54240620275</v>
      </c>
      <c r="I34" s="3" t="s">
        <v>34</v>
      </c>
      <c r="J34" s="3" t="s">
        <v>35</v>
      </c>
      <c r="K34" s="3"/>
      <c r="L34" s="3" t="s">
        <v>36</v>
      </c>
      <c r="M34" s="3" t="str">
        <f>CONCATENATE("02375540420")</f>
        <v>02375540420</v>
      </c>
      <c r="N34" s="3" t="s">
        <v>94</v>
      </c>
      <c r="O34" s="3" t="s">
        <v>38</v>
      </c>
      <c r="P34" s="3"/>
      <c r="Q34" s="4">
        <v>45968</v>
      </c>
      <c r="R34" s="3" t="s">
        <v>39</v>
      </c>
      <c r="S34" s="3" t="s">
        <v>38</v>
      </c>
      <c r="T34" s="3" t="s">
        <v>40</v>
      </c>
      <c r="U34" s="3"/>
      <c r="V34" s="3" t="s">
        <v>41</v>
      </c>
      <c r="W34" s="5">
        <v>3494.36</v>
      </c>
      <c r="X34" s="5">
        <v>2620.77</v>
      </c>
      <c r="Y34" s="3">
        <v>611.51</v>
      </c>
      <c r="Z34" s="3">
        <v>262.08</v>
      </c>
      <c r="AA34" s="3">
        <v>0</v>
      </c>
    </row>
    <row r="35" spans="1:27" ht="60.75" x14ac:dyDescent="0.25">
      <c r="A35" s="3" t="s">
        <v>28</v>
      </c>
      <c r="B35" s="3" t="s">
        <v>29</v>
      </c>
      <c r="C35" s="3" t="s">
        <v>30</v>
      </c>
      <c r="D35" s="3" t="s">
        <v>65</v>
      </c>
      <c r="E35" s="3" t="s">
        <v>32</v>
      </c>
      <c r="F35" s="3" t="s">
        <v>95</v>
      </c>
      <c r="G35" s="3">
        <v>2025</v>
      </c>
      <c r="H35" s="3" t="str">
        <f>CONCATENATE("54240620259")</f>
        <v>54240620259</v>
      </c>
      <c r="I35" s="3" t="s">
        <v>34</v>
      </c>
      <c r="J35" s="3" t="s">
        <v>35</v>
      </c>
      <c r="K35" s="3"/>
      <c r="L35" s="3" t="s">
        <v>36</v>
      </c>
      <c r="M35" s="3" t="str">
        <f>CONCATENATE("BBNMLT76E45G453C")</f>
        <v>BBNMLT76E45G453C</v>
      </c>
      <c r="N35" s="3" t="s">
        <v>96</v>
      </c>
      <c r="O35" s="3" t="s">
        <v>38</v>
      </c>
      <c r="P35" s="3"/>
      <c r="Q35" s="4">
        <v>45968</v>
      </c>
      <c r="R35" s="3" t="s">
        <v>39</v>
      </c>
      <c r="S35" s="3" t="s">
        <v>38</v>
      </c>
      <c r="T35" s="3" t="s">
        <v>40</v>
      </c>
      <c r="U35" s="3"/>
      <c r="V35" s="3" t="s">
        <v>41</v>
      </c>
      <c r="W35" s="5">
        <v>5187.3100000000004</v>
      </c>
      <c r="X35" s="5">
        <v>3890.48</v>
      </c>
      <c r="Y35" s="3">
        <v>907.78</v>
      </c>
      <c r="Z35" s="3">
        <v>389.05</v>
      </c>
      <c r="AA35" s="3">
        <v>0</v>
      </c>
    </row>
    <row r="36" spans="1:27" ht="60.75" x14ac:dyDescent="0.25">
      <c r="A36" s="3" t="s">
        <v>28</v>
      </c>
      <c r="B36" s="3" t="s">
        <v>29</v>
      </c>
      <c r="C36" s="3" t="s">
        <v>30</v>
      </c>
      <c r="D36" s="3" t="s">
        <v>65</v>
      </c>
      <c r="E36" s="3" t="s">
        <v>32</v>
      </c>
      <c r="F36" s="3" t="s">
        <v>95</v>
      </c>
      <c r="G36" s="3">
        <v>2025</v>
      </c>
      <c r="H36" s="3" t="str">
        <f>CONCATENATE("54240620499")</f>
        <v>54240620499</v>
      </c>
      <c r="I36" s="3" t="s">
        <v>34</v>
      </c>
      <c r="J36" s="3" t="s">
        <v>35</v>
      </c>
      <c r="K36" s="3"/>
      <c r="L36" s="3" t="s">
        <v>36</v>
      </c>
      <c r="M36" s="3" t="str">
        <f>CONCATENATE("BRNLML56P56C523N")</f>
        <v>BRNLML56P56C523N</v>
      </c>
      <c r="N36" s="3" t="s">
        <v>97</v>
      </c>
      <c r="O36" s="3" t="s">
        <v>38</v>
      </c>
      <c r="P36" s="3"/>
      <c r="Q36" s="4">
        <v>45968</v>
      </c>
      <c r="R36" s="3" t="s">
        <v>39</v>
      </c>
      <c r="S36" s="3" t="s">
        <v>38</v>
      </c>
      <c r="T36" s="3" t="s">
        <v>40</v>
      </c>
      <c r="U36" s="3"/>
      <c r="V36" s="3" t="s">
        <v>41</v>
      </c>
      <c r="W36" s="5">
        <v>1041.73</v>
      </c>
      <c r="X36" s="3">
        <v>781.3</v>
      </c>
      <c r="Y36" s="3">
        <v>182.3</v>
      </c>
      <c r="Z36" s="3">
        <v>78.13</v>
      </c>
      <c r="AA36" s="3">
        <v>0</v>
      </c>
    </row>
    <row r="37" spans="1:27" ht="60.75" x14ac:dyDescent="0.25">
      <c r="A37" s="3" t="s">
        <v>28</v>
      </c>
      <c r="B37" s="3" t="s">
        <v>29</v>
      </c>
      <c r="C37" s="3" t="s">
        <v>30</v>
      </c>
      <c r="D37" s="3" t="s">
        <v>65</v>
      </c>
      <c r="E37" s="3" t="s">
        <v>32</v>
      </c>
      <c r="F37" s="3" t="s">
        <v>95</v>
      </c>
      <c r="G37" s="3">
        <v>2025</v>
      </c>
      <c r="H37" s="3" t="str">
        <f>CONCATENATE("54240620721")</f>
        <v>54240620721</v>
      </c>
      <c r="I37" s="3" t="s">
        <v>34</v>
      </c>
      <c r="J37" s="3" t="s">
        <v>35</v>
      </c>
      <c r="K37" s="3"/>
      <c r="L37" s="3" t="s">
        <v>36</v>
      </c>
      <c r="M37" s="3" t="str">
        <f>CONCATENATE("DLLDNC65M31G453L")</f>
        <v>DLLDNC65M31G453L</v>
      </c>
      <c r="N37" s="3" t="s">
        <v>98</v>
      </c>
      <c r="O37" s="3" t="s">
        <v>38</v>
      </c>
      <c r="P37" s="3"/>
      <c r="Q37" s="4">
        <v>45968</v>
      </c>
      <c r="R37" s="3" t="s">
        <v>39</v>
      </c>
      <c r="S37" s="3" t="s">
        <v>38</v>
      </c>
      <c r="T37" s="3" t="s">
        <v>40</v>
      </c>
      <c r="U37" s="3"/>
      <c r="V37" s="3" t="s">
        <v>41</v>
      </c>
      <c r="W37" s="3">
        <v>924.27</v>
      </c>
      <c r="X37" s="3">
        <v>693.2</v>
      </c>
      <c r="Y37" s="3">
        <v>161.75</v>
      </c>
      <c r="Z37" s="3">
        <v>69.319999999999993</v>
      </c>
      <c r="AA37" s="3">
        <v>0</v>
      </c>
    </row>
    <row r="38" spans="1:27" ht="60.75" x14ac:dyDescent="0.25">
      <c r="A38" s="3" t="s">
        <v>28</v>
      </c>
      <c r="B38" s="3" t="s">
        <v>29</v>
      </c>
      <c r="C38" s="3" t="s">
        <v>30</v>
      </c>
      <c r="D38" s="3" t="s">
        <v>31</v>
      </c>
      <c r="E38" s="3" t="s">
        <v>51</v>
      </c>
      <c r="F38" s="3" t="s">
        <v>99</v>
      </c>
      <c r="G38" s="3">
        <v>2025</v>
      </c>
      <c r="H38" s="3" t="str">
        <f>CONCATENATE("54240655743")</f>
        <v>54240655743</v>
      </c>
      <c r="I38" s="3" t="s">
        <v>34</v>
      </c>
      <c r="J38" s="3" t="s">
        <v>35</v>
      </c>
      <c r="K38" s="3"/>
      <c r="L38" s="3" t="s">
        <v>36</v>
      </c>
      <c r="M38" s="3" t="str">
        <f>CONCATENATE("PCGRNT71C29D451J")</f>
        <v>PCGRNT71C29D451J</v>
      </c>
      <c r="N38" s="3" t="s">
        <v>100</v>
      </c>
      <c r="O38" s="3" t="s">
        <v>38</v>
      </c>
      <c r="P38" s="3"/>
      <c r="Q38" s="4">
        <v>45968</v>
      </c>
      <c r="R38" s="3" t="s">
        <v>39</v>
      </c>
      <c r="S38" s="3" t="s">
        <v>38</v>
      </c>
      <c r="T38" s="3" t="s">
        <v>40</v>
      </c>
      <c r="U38" s="3"/>
      <c r="V38" s="3" t="s">
        <v>41</v>
      </c>
      <c r="W38" s="5">
        <v>17287.72</v>
      </c>
      <c r="X38" s="5">
        <v>12965.79</v>
      </c>
      <c r="Y38" s="5">
        <v>3025.35</v>
      </c>
      <c r="Z38" s="5">
        <v>1296.58</v>
      </c>
      <c r="AA38" s="3">
        <v>0</v>
      </c>
    </row>
    <row r="39" spans="1:27" ht="60.75" x14ac:dyDescent="0.25">
      <c r="A39" s="3" t="s">
        <v>28</v>
      </c>
      <c r="B39" s="3" t="s">
        <v>29</v>
      </c>
      <c r="C39" s="3" t="s">
        <v>30</v>
      </c>
      <c r="D39" s="3" t="s">
        <v>42</v>
      </c>
      <c r="E39" s="3" t="s">
        <v>32</v>
      </c>
      <c r="F39" s="3" t="s">
        <v>101</v>
      </c>
      <c r="G39" s="3">
        <v>2025</v>
      </c>
      <c r="H39" s="3" t="str">
        <f>CONCATENATE("54240620820")</f>
        <v>54240620820</v>
      </c>
      <c r="I39" s="3" t="s">
        <v>34</v>
      </c>
      <c r="J39" s="3" t="s">
        <v>35</v>
      </c>
      <c r="K39" s="3"/>
      <c r="L39" s="3" t="s">
        <v>36</v>
      </c>
      <c r="M39" s="3" t="str">
        <f>CONCATENATE("GGLGNN67S23A462X")</f>
        <v>GGLGNN67S23A462X</v>
      </c>
      <c r="N39" s="3" t="s">
        <v>102</v>
      </c>
      <c r="O39" s="3" t="s">
        <v>38</v>
      </c>
      <c r="P39" s="3"/>
      <c r="Q39" s="4">
        <v>45968</v>
      </c>
      <c r="R39" s="3" t="s">
        <v>39</v>
      </c>
      <c r="S39" s="3" t="s">
        <v>38</v>
      </c>
      <c r="T39" s="3" t="s">
        <v>40</v>
      </c>
      <c r="U39" s="3"/>
      <c r="V39" s="3" t="s">
        <v>41</v>
      </c>
      <c r="W39" s="3">
        <v>642.91</v>
      </c>
      <c r="X39" s="3">
        <v>482.18</v>
      </c>
      <c r="Y39" s="3">
        <v>112.51</v>
      </c>
      <c r="Z39" s="3">
        <v>48.22</v>
      </c>
      <c r="AA39" s="3">
        <v>0</v>
      </c>
    </row>
    <row r="40" spans="1:27" ht="60.75" x14ac:dyDescent="0.25">
      <c r="A40" s="3" t="s">
        <v>28</v>
      </c>
      <c r="B40" s="3" t="s">
        <v>29</v>
      </c>
      <c r="C40" s="3" t="s">
        <v>30</v>
      </c>
      <c r="D40" s="3" t="s">
        <v>47</v>
      </c>
      <c r="E40" s="3" t="s">
        <v>51</v>
      </c>
      <c r="F40" s="3" t="s">
        <v>103</v>
      </c>
      <c r="G40" s="3">
        <v>2025</v>
      </c>
      <c r="H40" s="3" t="str">
        <f>CONCATENATE("54240621125")</f>
        <v>54240621125</v>
      </c>
      <c r="I40" s="3" t="s">
        <v>34</v>
      </c>
      <c r="J40" s="3" t="s">
        <v>35</v>
      </c>
      <c r="K40" s="3"/>
      <c r="L40" s="3" t="s">
        <v>36</v>
      </c>
      <c r="M40" s="3" t="str">
        <f>CONCATENATE("CMPMLN68R23E783V")</f>
        <v>CMPMLN68R23E783V</v>
      </c>
      <c r="N40" s="3" t="s">
        <v>104</v>
      </c>
      <c r="O40" s="3" t="s">
        <v>38</v>
      </c>
      <c r="P40" s="3"/>
      <c r="Q40" s="4">
        <v>45968</v>
      </c>
      <c r="R40" s="3" t="s">
        <v>39</v>
      </c>
      <c r="S40" s="3" t="s">
        <v>38</v>
      </c>
      <c r="T40" s="3" t="s">
        <v>40</v>
      </c>
      <c r="U40" s="3"/>
      <c r="V40" s="3" t="s">
        <v>41</v>
      </c>
      <c r="W40" s="5">
        <v>1651.06</v>
      </c>
      <c r="X40" s="5">
        <v>1238.3</v>
      </c>
      <c r="Y40" s="3">
        <v>288.94</v>
      </c>
      <c r="Z40" s="3">
        <v>123.82</v>
      </c>
      <c r="AA40" s="3">
        <v>0</v>
      </c>
    </row>
    <row r="41" spans="1:27" ht="36.75" x14ac:dyDescent="0.25">
      <c r="A41" s="3" t="s">
        <v>28</v>
      </c>
      <c r="B41" s="3" t="s">
        <v>29</v>
      </c>
      <c r="C41" s="3" t="s">
        <v>30</v>
      </c>
      <c r="D41" s="3" t="s">
        <v>65</v>
      </c>
      <c r="E41" s="3" t="s">
        <v>51</v>
      </c>
      <c r="F41" s="3" t="s">
        <v>105</v>
      </c>
      <c r="G41" s="3">
        <v>2025</v>
      </c>
      <c r="H41" s="3" t="str">
        <f>CONCATENATE("54240621356")</f>
        <v>54240621356</v>
      </c>
      <c r="I41" s="3" t="s">
        <v>34</v>
      </c>
      <c r="J41" s="3" t="s">
        <v>35</v>
      </c>
      <c r="K41" s="3"/>
      <c r="L41" s="3" t="s">
        <v>36</v>
      </c>
      <c r="M41" s="3" t="str">
        <f>CONCATENATE("02762860415")</f>
        <v>02762860415</v>
      </c>
      <c r="N41" s="3" t="s">
        <v>106</v>
      </c>
      <c r="O41" s="3" t="s">
        <v>38</v>
      </c>
      <c r="P41" s="3"/>
      <c r="Q41" s="4">
        <v>45968</v>
      </c>
      <c r="R41" s="3" t="s">
        <v>39</v>
      </c>
      <c r="S41" s="3" t="s">
        <v>38</v>
      </c>
      <c r="T41" s="3" t="s">
        <v>40</v>
      </c>
      <c r="U41" s="3"/>
      <c r="V41" s="3" t="s">
        <v>41</v>
      </c>
      <c r="W41" s="5">
        <v>1682.75</v>
      </c>
      <c r="X41" s="5">
        <v>1262.06</v>
      </c>
      <c r="Y41" s="3">
        <v>294.48</v>
      </c>
      <c r="Z41" s="3">
        <v>126.21</v>
      </c>
      <c r="AA41" s="3">
        <v>0</v>
      </c>
    </row>
    <row r="42" spans="1:27" ht="60.75" x14ac:dyDescent="0.25">
      <c r="A42" s="3" t="s">
        <v>28</v>
      </c>
      <c r="B42" s="3" t="s">
        <v>29</v>
      </c>
      <c r="C42" s="3" t="s">
        <v>30</v>
      </c>
      <c r="D42" s="3" t="s">
        <v>47</v>
      </c>
      <c r="E42" s="3" t="s">
        <v>51</v>
      </c>
      <c r="F42" s="3" t="s">
        <v>107</v>
      </c>
      <c r="G42" s="3">
        <v>2025</v>
      </c>
      <c r="H42" s="3" t="str">
        <f>CONCATENATE("54240622057")</f>
        <v>54240622057</v>
      </c>
      <c r="I42" s="3" t="s">
        <v>34</v>
      </c>
      <c r="J42" s="3" t="s">
        <v>35</v>
      </c>
      <c r="K42" s="3"/>
      <c r="L42" s="3" t="s">
        <v>36</v>
      </c>
      <c r="M42" s="3" t="str">
        <f>CONCATENATE("GSTVNT91D63E690W")</f>
        <v>GSTVNT91D63E690W</v>
      </c>
      <c r="N42" s="3" t="s">
        <v>108</v>
      </c>
      <c r="O42" s="3" t="s">
        <v>38</v>
      </c>
      <c r="P42" s="3"/>
      <c r="Q42" s="4">
        <v>45968</v>
      </c>
      <c r="R42" s="3" t="s">
        <v>39</v>
      </c>
      <c r="S42" s="3" t="s">
        <v>38</v>
      </c>
      <c r="T42" s="3" t="s">
        <v>40</v>
      </c>
      <c r="U42" s="3"/>
      <c r="V42" s="3" t="s">
        <v>41</v>
      </c>
      <c r="W42" s="3">
        <v>747.39</v>
      </c>
      <c r="X42" s="3">
        <v>560.54</v>
      </c>
      <c r="Y42" s="3">
        <v>130.79</v>
      </c>
      <c r="Z42" s="3">
        <v>56.06</v>
      </c>
      <c r="AA42" s="3">
        <v>0</v>
      </c>
    </row>
    <row r="43" spans="1:27" ht="36.75" x14ac:dyDescent="0.25">
      <c r="A43" s="3" t="s">
        <v>28</v>
      </c>
      <c r="B43" s="3" t="s">
        <v>29</v>
      </c>
      <c r="C43" s="3" t="s">
        <v>30</v>
      </c>
      <c r="D43" s="3" t="s">
        <v>65</v>
      </c>
      <c r="E43" s="3" t="s">
        <v>51</v>
      </c>
      <c r="F43" s="3" t="s">
        <v>105</v>
      </c>
      <c r="G43" s="3">
        <v>2025</v>
      </c>
      <c r="H43" s="3" t="str">
        <f>CONCATENATE("54240622107")</f>
        <v>54240622107</v>
      </c>
      <c r="I43" s="3" t="s">
        <v>34</v>
      </c>
      <c r="J43" s="3" t="s">
        <v>35</v>
      </c>
      <c r="K43" s="3"/>
      <c r="L43" s="3" t="s">
        <v>36</v>
      </c>
      <c r="M43" s="3" t="str">
        <f>CONCATENATE("02798840415")</f>
        <v>02798840415</v>
      </c>
      <c r="N43" s="3" t="s">
        <v>109</v>
      </c>
      <c r="O43" s="3" t="s">
        <v>38</v>
      </c>
      <c r="P43" s="3"/>
      <c r="Q43" s="4">
        <v>45968</v>
      </c>
      <c r="R43" s="3" t="s">
        <v>39</v>
      </c>
      <c r="S43" s="3" t="s">
        <v>38</v>
      </c>
      <c r="T43" s="3" t="s">
        <v>40</v>
      </c>
      <c r="U43" s="3"/>
      <c r="V43" s="3" t="s">
        <v>41</v>
      </c>
      <c r="W43" s="5">
        <v>9266.7099999999991</v>
      </c>
      <c r="X43" s="5">
        <v>6950.03</v>
      </c>
      <c r="Y43" s="5">
        <v>1621.67</v>
      </c>
      <c r="Z43" s="3">
        <v>695.01</v>
      </c>
      <c r="AA43" s="3">
        <v>0</v>
      </c>
    </row>
    <row r="44" spans="1:27" ht="36.75" x14ac:dyDescent="0.25">
      <c r="A44" s="3" t="s">
        <v>28</v>
      </c>
      <c r="B44" s="3" t="s">
        <v>29</v>
      </c>
      <c r="C44" s="3" t="s">
        <v>30</v>
      </c>
      <c r="D44" s="3" t="s">
        <v>42</v>
      </c>
      <c r="E44" s="3" t="s">
        <v>32</v>
      </c>
      <c r="F44" s="3" t="s">
        <v>110</v>
      </c>
      <c r="G44" s="3">
        <v>2024</v>
      </c>
      <c r="H44" s="3" t="str">
        <f>CONCATENATE("44240099331")</f>
        <v>44240099331</v>
      </c>
      <c r="I44" s="3" t="s">
        <v>44</v>
      </c>
      <c r="J44" s="3" t="s">
        <v>35</v>
      </c>
      <c r="K44" s="3"/>
      <c r="L44" s="3" t="s">
        <v>111</v>
      </c>
      <c r="M44" s="3" t="str">
        <f>CONCATENATE("02515120448")</f>
        <v>02515120448</v>
      </c>
      <c r="N44" s="3" t="s">
        <v>112</v>
      </c>
      <c r="O44" s="3" t="s">
        <v>41</v>
      </c>
      <c r="P44" s="3" t="s">
        <v>113</v>
      </c>
      <c r="Q44" s="4">
        <v>45965</v>
      </c>
      <c r="R44" s="3" t="s">
        <v>39</v>
      </c>
      <c r="S44" s="3" t="s">
        <v>114</v>
      </c>
      <c r="T44" s="3" t="s">
        <v>40</v>
      </c>
      <c r="U44" s="3"/>
      <c r="V44" s="3" t="s">
        <v>41</v>
      </c>
      <c r="W44" s="5">
        <v>5091.5200000000004</v>
      </c>
      <c r="X44" s="5">
        <v>2698.51</v>
      </c>
      <c r="Y44" s="5">
        <v>1675.11</v>
      </c>
      <c r="Z44" s="3">
        <v>717.9</v>
      </c>
      <c r="AA44" s="3">
        <v>0</v>
      </c>
    </row>
    <row r="45" spans="1:27" ht="60.75" x14ac:dyDescent="0.25">
      <c r="A45" s="3" t="s">
        <v>28</v>
      </c>
      <c r="B45" s="3" t="s">
        <v>29</v>
      </c>
      <c r="C45" s="3" t="s">
        <v>30</v>
      </c>
      <c r="D45" s="3" t="s">
        <v>42</v>
      </c>
      <c r="E45" s="3" t="s">
        <v>51</v>
      </c>
      <c r="F45" s="3" t="s">
        <v>115</v>
      </c>
      <c r="G45" s="3">
        <v>2025</v>
      </c>
      <c r="H45" s="3" t="str">
        <f>CONCATENATE("54240575115")</f>
        <v>54240575115</v>
      </c>
      <c r="I45" s="3" t="s">
        <v>34</v>
      </c>
      <c r="J45" s="3" t="s">
        <v>35</v>
      </c>
      <c r="K45" s="3"/>
      <c r="L45" s="3" t="s">
        <v>36</v>
      </c>
      <c r="M45" s="3" t="str">
        <f>CONCATENATE("VLLVRN55M19G873I")</f>
        <v>VLLVRN55M19G873I</v>
      </c>
      <c r="N45" s="3" t="s">
        <v>116</v>
      </c>
      <c r="O45" s="3" t="s">
        <v>38</v>
      </c>
      <c r="P45" s="3"/>
      <c r="Q45" s="4">
        <v>45968</v>
      </c>
      <c r="R45" s="3" t="s">
        <v>39</v>
      </c>
      <c r="S45" s="3" t="s">
        <v>38</v>
      </c>
      <c r="T45" s="3" t="s">
        <v>40</v>
      </c>
      <c r="U45" s="3"/>
      <c r="V45" s="3" t="s">
        <v>41</v>
      </c>
      <c r="W45" s="5">
        <v>1514.16</v>
      </c>
      <c r="X45" s="5">
        <v>1135.6199999999999</v>
      </c>
      <c r="Y45" s="3">
        <v>264.98</v>
      </c>
      <c r="Z45" s="3">
        <v>113.56</v>
      </c>
      <c r="AA45" s="3">
        <v>0</v>
      </c>
    </row>
    <row r="46" spans="1:27" ht="60.75" x14ac:dyDescent="0.25">
      <c r="A46" s="3" t="s">
        <v>28</v>
      </c>
      <c r="B46" s="3" t="s">
        <v>29</v>
      </c>
      <c r="C46" s="3" t="s">
        <v>30</v>
      </c>
      <c r="D46" s="3" t="s">
        <v>31</v>
      </c>
      <c r="E46" s="3" t="s">
        <v>32</v>
      </c>
      <c r="F46" s="3" t="s">
        <v>33</v>
      </c>
      <c r="G46" s="3">
        <v>2025</v>
      </c>
      <c r="H46" s="3" t="str">
        <f>CONCATENATE("54240576303")</f>
        <v>54240576303</v>
      </c>
      <c r="I46" s="3" t="s">
        <v>34</v>
      </c>
      <c r="J46" s="3" t="s">
        <v>35</v>
      </c>
      <c r="K46" s="3"/>
      <c r="L46" s="3" t="s">
        <v>36</v>
      </c>
      <c r="M46" s="3" t="str">
        <f>CONCATENATE("LTNSLV40D66H886Q")</f>
        <v>LTNSLV40D66H886Q</v>
      </c>
      <c r="N46" s="3" t="s">
        <v>117</v>
      </c>
      <c r="O46" s="3" t="s">
        <v>38</v>
      </c>
      <c r="P46" s="3"/>
      <c r="Q46" s="4">
        <v>45968</v>
      </c>
      <c r="R46" s="3" t="s">
        <v>39</v>
      </c>
      <c r="S46" s="3" t="s">
        <v>38</v>
      </c>
      <c r="T46" s="3" t="s">
        <v>40</v>
      </c>
      <c r="U46" s="3"/>
      <c r="V46" s="3" t="s">
        <v>41</v>
      </c>
      <c r="W46" s="5">
        <v>1052.5</v>
      </c>
      <c r="X46" s="3">
        <v>789.38</v>
      </c>
      <c r="Y46" s="3">
        <v>184.19</v>
      </c>
      <c r="Z46" s="3">
        <v>78.930000000000007</v>
      </c>
      <c r="AA46" s="3">
        <v>0</v>
      </c>
    </row>
    <row r="47" spans="1:27" ht="60.75" x14ac:dyDescent="0.25">
      <c r="A47" s="3" t="s">
        <v>28</v>
      </c>
      <c r="B47" s="3" t="s">
        <v>29</v>
      </c>
      <c r="C47" s="3" t="s">
        <v>30</v>
      </c>
      <c r="D47" s="3" t="s">
        <v>31</v>
      </c>
      <c r="E47" s="3" t="s">
        <v>51</v>
      </c>
      <c r="F47" s="3" t="s">
        <v>99</v>
      </c>
      <c r="G47" s="3">
        <v>2025</v>
      </c>
      <c r="H47" s="3" t="str">
        <f>CONCATENATE("54240591401")</f>
        <v>54240591401</v>
      </c>
      <c r="I47" s="3" t="s">
        <v>34</v>
      </c>
      <c r="J47" s="3" t="s">
        <v>35</v>
      </c>
      <c r="K47" s="3"/>
      <c r="L47" s="3" t="s">
        <v>36</v>
      </c>
      <c r="M47" s="3" t="str">
        <f>CONCATENATE("RGGGPP60L67D451I")</f>
        <v>RGGGPP60L67D451I</v>
      </c>
      <c r="N47" s="3" t="s">
        <v>118</v>
      </c>
      <c r="O47" s="3" t="s">
        <v>38</v>
      </c>
      <c r="P47" s="3"/>
      <c r="Q47" s="4">
        <v>45968</v>
      </c>
      <c r="R47" s="3" t="s">
        <v>39</v>
      </c>
      <c r="S47" s="3" t="s">
        <v>38</v>
      </c>
      <c r="T47" s="3" t="s">
        <v>40</v>
      </c>
      <c r="U47" s="3"/>
      <c r="V47" s="3" t="s">
        <v>41</v>
      </c>
      <c r="W47" s="5">
        <v>2573.2800000000002</v>
      </c>
      <c r="X47" s="5">
        <v>1929.96</v>
      </c>
      <c r="Y47" s="3">
        <v>450.32</v>
      </c>
      <c r="Z47" s="3">
        <v>193</v>
      </c>
      <c r="AA47" s="3">
        <v>0</v>
      </c>
    </row>
    <row r="48" spans="1:27" ht="36.75" x14ac:dyDescent="0.25">
      <c r="A48" s="3" t="s">
        <v>28</v>
      </c>
      <c r="B48" s="3" t="s">
        <v>29</v>
      </c>
      <c r="C48" s="3" t="s">
        <v>30</v>
      </c>
      <c r="D48" s="3" t="s">
        <v>47</v>
      </c>
      <c r="E48" s="3" t="s">
        <v>60</v>
      </c>
      <c r="F48" s="3" t="s">
        <v>81</v>
      </c>
      <c r="G48" s="3">
        <v>2025</v>
      </c>
      <c r="H48" s="3" t="str">
        <f>CONCATENATE("54240581493")</f>
        <v>54240581493</v>
      </c>
      <c r="I48" s="3" t="s">
        <v>34</v>
      </c>
      <c r="J48" s="3" t="s">
        <v>35</v>
      </c>
      <c r="K48" s="3"/>
      <c r="L48" s="3" t="s">
        <v>36</v>
      </c>
      <c r="M48" s="3" t="str">
        <f>CONCATENATE("01271260307")</f>
        <v>01271260307</v>
      </c>
      <c r="N48" s="3" t="s">
        <v>119</v>
      </c>
      <c r="O48" s="3" t="s">
        <v>38</v>
      </c>
      <c r="P48" s="3"/>
      <c r="Q48" s="4">
        <v>45968</v>
      </c>
      <c r="R48" s="3" t="s">
        <v>39</v>
      </c>
      <c r="S48" s="3" t="s">
        <v>38</v>
      </c>
      <c r="T48" s="3" t="s">
        <v>40</v>
      </c>
      <c r="U48" s="3"/>
      <c r="V48" s="3" t="s">
        <v>41</v>
      </c>
      <c r="W48" s="5">
        <v>3081.36</v>
      </c>
      <c r="X48" s="5">
        <v>2311.02</v>
      </c>
      <c r="Y48" s="3">
        <v>539.24</v>
      </c>
      <c r="Z48" s="3">
        <v>231.1</v>
      </c>
      <c r="AA48" s="3">
        <v>0</v>
      </c>
    </row>
    <row r="49" spans="1:27" ht="36.75" x14ac:dyDescent="0.25">
      <c r="A49" s="3" t="s">
        <v>28</v>
      </c>
      <c r="B49" s="3" t="s">
        <v>29</v>
      </c>
      <c r="C49" s="3" t="s">
        <v>30</v>
      </c>
      <c r="D49" s="3" t="s">
        <v>31</v>
      </c>
      <c r="E49" s="3" t="s">
        <v>51</v>
      </c>
      <c r="F49" s="3" t="s">
        <v>120</v>
      </c>
      <c r="G49" s="3">
        <v>2025</v>
      </c>
      <c r="H49" s="3" t="str">
        <f>CONCATENATE("54240592003")</f>
        <v>54240592003</v>
      </c>
      <c r="I49" s="3" t="s">
        <v>34</v>
      </c>
      <c r="J49" s="3" t="s">
        <v>35</v>
      </c>
      <c r="K49" s="3"/>
      <c r="L49" s="3" t="s">
        <v>36</v>
      </c>
      <c r="M49" s="3" t="str">
        <f>CONCATENATE("02666090424")</f>
        <v>02666090424</v>
      </c>
      <c r="N49" s="3" t="s">
        <v>121</v>
      </c>
      <c r="O49" s="3" t="s">
        <v>38</v>
      </c>
      <c r="P49" s="3"/>
      <c r="Q49" s="4">
        <v>45968</v>
      </c>
      <c r="R49" s="3" t="s">
        <v>39</v>
      </c>
      <c r="S49" s="3" t="s">
        <v>38</v>
      </c>
      <c r="T49" s="3" t="s">
        <v>40</v>
      </c>
      <c r="U49" s="3"/>
      <c r="V49" s="3" t="s">
        <v>41</v>
      </c>
      <c r="W49" s="5">
        <v>27062.11</v>
      </c>
      <c r="X49" s="5">
        <v>20296.580000000002</v>
      </c>
      <c r="Y49" s="5">
        <v>4735.87</v>
      </c>
      <c r="Z49" s="5">
        <v>2029.66</v>
      </c>
      <c r="AA49" s="3">
        <v>0</v>
      </c>
    </row>
    <row r="50" spans="1:27" ht="60.75" x14ac:dyDescent="0.25">
      <c r="A50" s="3" t="s">
        <v>28</v>
      </c>
      <c r="B50" s="3" t="s">
        <v>29</v>
      </c>
      <c r="C50" s="3" t="s">
        <v>30</v>
      </c>
      <c r="D50" s="3" t="s">
        <v>31</v>
      </c>
      <c r="E50" s="3" t="s">
        <v>32</v>
      </c>
      <c r="F50" s="3" t="s">
        <v>33</v>
      </c>
      <c r="G50" s="3">
        <v>2025</v>
      </c>
      <c r="H50" s="3" t="str">
        <f>CONCATENATE("54240586856")</f>
        <v>54240586856</v>
      </c>
      <c r="I50" s="3" t="s">
        <v>34</v>
      </c>
      <c r="J50" s="3" t="s">
        <v>35</v>
      </c>
      <c r="K50" s="3"/>
      <c r="L50" s="3" t="s">
        <v>36</v>
      </c>
      <c r="M50" s="3" t="str">
        <f>CONCATENATE("RNLGPP65E29F051I")</f>
        <v>RNLGPP65E29F051I</v>
      </c>
      <c r="N50" s="3" t="s">
        <v>122</v>
      </c>
      <c r="O50" s="3" t="s">
        <v>38</v>
      </c>
      <c r="P50" s="3"/>
      <c r="Q50" s="4">
        <v>45968</v>
      </c>
      <c r="R50" s="3" t="s">
        <v>39</v>
      </c>
      <c r="S50" s="3" t="s">
        <v>38</v>
      </c>
      <c r="T50" s="3" t="s">
        <v>40</v>
      </c>
      <c r="U50" s="3"/>
      <c r="V50" s="3" t="s">
        <v>41</v>
      </c>
      <c r="W50" s="5">
        <v>5067.45</v>
      </c>
      <c r="X50" s="5">
        <v>3800.59</v>
      </c>
      <c r="Y50" s="3">
        <v>886.8</v>
      </c>
      <c r="Z50" s="3">
        <v>380.06</v>
      </c>
      <c r="AA50" s="3">
        <v>0</v>
      </c>
    </row>
    <row r="51" spans="1:27" ht="60.75" x14ac:dyDescent="0.25">
      <c r="A51" s="3" t="s">
        <v>28</v>
      </c>
      <c r="B51" s="3" t="s">
        <v>29</v>
      </c>
      <c r="C51" s="3" t="s">
        <v>30</v>
      </c>
      <c r="D51" s="3" t="s">
        <v>42</v>
      </c>
      <c r="E51" s="3" t="s">
        <v>32</v>
      </c>
      <c r="F51" s="3" t="s">
        <v>123</v>
      </c>
      <c r="G51" s="3">
        <v>2025</v>
      </c>
      <c r="H51" s="3" t="str">
        <f>CONCATENATE("54240604402")</f>
        <v>54240604402</v>
      </c>
      <c r="I51" s="3" t="s">
        <v>34</v>
      </c>
      <c r="J51" s="3" t="s">
        <v>35</v>
      </c>
      <c r="K51" s="3"/>
      <c r="L51" s="3" t="s">
        <v>36</v>
      </c>
      <c r="M51" s="3" t="str">
        <f>CONCATENATE("LLLSMN75S11D542Y")</f>
        <v>LLLSMN75S11D542Y</v>
      </c>
      <c r="N51" s="3" t="s">
        <v>124</v>
      </c>
      <c r="O51" s="3" t="s">
        <v>38</v>
      </c>
      <c r="P51" s="3"/>
      <c r="Q51" s="4">
        <v>45968</v>
      </c>
      <c r="R51" s="3" t="s">
        <v>39</v>
      </c>
      <c r="S51" s="3" t="s">
        <v>38</v>
      </c>
      <c r="T51" s="3" t="s">
        <v>40</v>
      </c>
      <c r="U51" s="3"/>
      <c r="V51" s="3" t="s">
        <v>41</v>
      </c>
      <c r="W51" s="3">
        <v>227</v>
      </c>
      <c r="X51" s="3">
        <v>170.25</v>
      </c>
      <c r="Y51" s="3">
        <v>39.729999999999997</v>
      </c>
      <c r="Z51" s="3">
        <v>17.02</v>
      </c>
      <c r="AA51" s="3">
        <v>0</v>
      </c>
    </row>
    <row r="52" spans="1:27" ht="36.75" x14ac:dyDescent="0.25">
      <c r="A52" s="3" t="s">
        <v>28</v>
      </c>
      <c r="B52" s="3" t="s">
        <v>29</v>
      </c>
      <c r="C52" s="3" t="s">
        <v>30</v>
      </c>
      <c r="D52" s="3" t="s">
        <v>42</v>
      </c>
      <c r="E52" s="3" t="s">
        <v>43</v>
      </c>
      <c r="F52" s="3" t="s">
        <v>43</v>
      </c>
      <c r="G52" s="3">
        <v>2025</v>
      </c>
      <c r="H52" s="3" t="str">
        <f>CONCATENATE("54240601002")</f>
        <v>54240601002</v>
      </c>
      <c r="I52" s="3" t="s">
        <v>34</v>
      </c>
      <c r="J52" s="3" t="s">
        <v>35</v>
      </c>
      <c r="K52" s="3"/>
      <c r="L52" s="3" t="s">
        <v>36</v>
      </c>
      <c r="M52" s="3" t="str">
        <f>CONCATENATE("01230310441")</f>
        <v>01230310441</v>
      </c>
      <c r="N52" s="3" t="s">
        <v>125</v>
      </c>
      <c r="O52" s="3" t="s">
        <v>38</v>
      </c>
      <c r="P52" s="3"/>
      <c r="Q52" s="4">
        <v>45968</v>
      </c>
      <c r="R52" s="3" t="s">
        <v>39</v>
      </c>
      <c r="S52" s="3" t="s">
        <v>38</v>
      </c>
      <c r="T52" s="3" t="s">
        <v>40</v>
      </c>
      <c r="U52" s="3"/>
      <c r="V52" s="3" t="s">
        <v>41</v>
      </c>
      <c r="W52" s="5">
        <v>15984.88</v>
      </c>
      <c r="X52" s="5">
        <v>11988.66</v>
      </c>
      <c r="Y52" s="5">
        <v>2797.35</v>
      </c>
      <c r="Z52" s="5">
        <v>1198.8699999999999</v>
      </c>
      <c r="AA52" s="3">
        <v>0</v>
      </c>
    </row>
    <row r="53" spans="1:27" ht="60.75" x14ac:dyDescent="0.25">
      <c r="A53" s="3" t="s">
        <v>28</v>
      </c>
      <c r="B53" s="3" t="s">
        <v>29</v>
      </c>
      <c r="C53" s="3" t="s">
        <v>30</v>
      </c>
      <c r="D53" s="3" t="s">
        <v>65</v>
      </c>
      <c r="E53" s="3" t="s">
        <v>51</v>
      </c>
      <c r="F53" s="3" t="s">
        <v>126</v>
      </c>
      <c r="G53" s="3">
        <v>2025</v>
      </c>
      <c r="H53" s="3" t="str">
        <f>CONCATENATE("54240611084")</f>
        <v>54240611084</v>
      </c>
      <c r="I53" s="3" t="s">
        <v>34</v>
      </c>
      <c r="J53" s="3" t="s">
        <v>35</v>
      </c>
      <c r="K53" s="3"/>
      <c r="L53" s="3" t="s">
        <v>36</v>
      </c>
      <c r="M53" s="3" t="str">
        <f>CONCATENATE("STRCSR62A12D791T")</f>
        <v>STRCSR62A12D791T</v>
      </c>
      <c r="N53" s="3" t="s">
        <v>127</v>
      </c>
      <c r="O53" s="3" t="s">
        <v>38</v>
      </c>
      <c r="P53" s="3"/>
      <c r="Q53" s="4">
        <v>45968</v>
      </c>
      <c r="R53" s="3" t="s">
        <v>39</v>
      </c>
      <c r="S53" s="3" t="s">
        <v>38</v>
      </c>
      <c r="T53" s="3" t="s">
        <v>40</v>
      </c>
      <c r="U53" s="3"/>
      <c r="V53" s="3" t="s">
        <v>41</v>
      </c>
      <c r="W53" s="5">
        <v>4540.45</v>
      </c>
      <c r="X53" s="5">
        <v>3405.34</v>
      </c>
      <c r="Y53" s="3">
        <v>794.58</v>
      </c>
      <c r="Z53" s="3">
        <v>340.53</v>
      </c>
      <c r="AA53" s="3">
        <v>0</v>
      </c>
    </row>
    <row r="54" spans="1:27" ht="36.75" x14ac:dyDescent="0.25">
      <c r="A54" s="3" t="s">
        <v>28</v>
      </c>
      <c r="B54" s="3" t="s">
        <v>29</v>
      </c>
      <c r="C54" s="3" t="s">
        <v>30</v>
      </c>
      <c r="D54" s="3" t="s">
        <v>65</v>
      </c>
      <c r="E54" s="3" t="s">
        <v>48</v>
      </c>
      <c r="F54" s="3" t="s">
        <v>76</v>
      </c>
      <c r="G54" s="3">
        <v>2025</v>
      </c>
      <c r="H54" s="3" t="str">
        <f>CONCATENATE("54240519675")</f>
        <v>54240519675</v>
      </c>
      <c r="I54" s="3" t="s">
        <v>34</v>
      </c>
      <c r="J54" s="3" t="s">
        <v>35</v>
      </c>
      <c r="K54" s="3"/>
      <c r="L54" s="3" t="s">
        <v>36</v>
      </c>
      <c r="M54" s="3" t="str">
        <f>CONCATENATE("02288450410")</f>
        <v>02288450410</v>
      </c>
      <c r="N54" s="3" t="s">
        <v>128</v>
      </c>
      <c r="O54" s="3" t="s">
        <v>38</v>
      </c>
      <c r="P54" s="3"/>
      <c r="Q54" s="4">
        <v>45968</v>
      </c>
      <c r="R54" s="3" t="s">
        <v>39</v>
      </c>
      <c r="S54" s="3" t="s">
        <v>38</v>
      </c>
      <c r="T54" s="3" t="s">
        <v>40</v>
      </c>
      <c r="U54" s="3"/>
      <c r="V54" s="3" t="s">
        <v>41</v>
      </c>
      <c r="W54" s="5">
        <v>5076.17</v>
      </c>
      <c r="X54" s="5">
        <v>3807.13</v>
      </c>
      <c r="Y54" s="3">
        <v>888.33</v>
      </c>
      <c r="Z54" s="3">
        <v>380.71</v>
      </c>
      <c r="AA54" s="3">
        <v>0</v>
      </c>
    </row>
    <row r="55" spans="1:27" ht="60.75" x14ac:dyDescent="0.25">
      <c r="A55" s="3" t="s">
        <v>28</v>
      </c>
      <c r="B55" s="3" t="s">
        <v>29</v>
      </c>
      <c r="C55" s="3" t="s">
        <v>30</v>
      </c>
      <c r="D55" s="3" t="s">
        <v>65</v>
      </c>
      <c r="E55" s="3" t="s">
        <v>48</v>
      </c>
      <c r="F55" s="3" t="s">
        <v>76</v>
      </c>
      <c r="G55" s="3">
        <v>2025</v>
      </c>
      <c r="H55" s="3" t="str">
        <f>CONCATENATE("54240501715")</f>
        <v>54240501715</v>
      </c>
      <c r="I55" s="3" t="s">
        <v>34</v>
      </c>
      <c r="J55" s="3" t="s">
        <v>35</v>
      </c>
      <c r="K55" s="3"/>
      <c r="L55" s="3" t="s">
        <v>36</v>
      </c>
      <c r="M55" s="3" t="str">
        <f>CONCATENATE("MRLLSS67E47G453D")</f>
        <v>MRLLSS67E47G453D</v>
      </c>
      <c r="N55" s="3" t="s">
        <v>129</v>
      </c>
      <c r="O55" s="3" t="s">
        <v>38</v>
      </c>
      <c r="P55" s="3"/>
      <c r="Q55" s="4">
        <v>45968</v>
      </c>
      <c r="R55" s="3" t="s">
        <v>39</v>
      </c>
      <c r="S55" s="3" t="s">
        <v>38</v>
      </c>
      <c r="T55" s="3" t="s">
        <v>40</v>
      </c>
      <c r="U55" s="3"/>
      <c r="V55" s="3" t="s">
        <v>41</v>
      </c>
      <c r="W55" s="5">
        <v>1445.54</v>
      </c>
      <c r="X55" s="5">
        <v>1084.1600000000001</v>
      </c>
      <c r="Y55" s="3">
        <v>252.97</v>
      </c>
      <c r="Z55" s="3">
        <v>108.41</v>
      </c>
      <c r="AA55" s="3">
        <v>0</v>
      </c>
    </row>
    <row r="56" spans="1:27" ht="60.75" x14ac:dyDescent="0.25">
      <c r="A56" s="3" t="s">
        <v>28</v>
      </c>
      <c r="B56" s="3" t="s">
        <v>29</v>
      </c>
      <c r="C56" s="3" t="s">
        <v>30</v>
      </c>
      <c r="D56" s="3" t="s">
        <v>42</v>
      </c>
      <c r="E56" s="3" t="s">
        <v>43</v>
      </c>
      <c r="F56" s="3" t="s">
        <v>43</v>
      </c>
      <c r="G56" s="3">
        <v>2025</v>
      </c>
      <c r="H56" s="3" t="str">
        <f>CONCATENATE("54240612967")</f>
        <v>54240612967</v>
      </c>
      <c r="I56" s="3" t="s">
        <v>34</v>
      </c>
      <c r="J56" s="3" t="s">
        <v>35</v>
      </c>
      <c r="K56" s="3"/>
      <c r="L56" s="3" t="s">
        <v>36</v>
      </c>
      <c r="M56" s="3" t="str">
        <f>CONCATENATE("CMPGBR71C24H769Y")</f>
        <v>CMPGBR71C24H769Y</v>
      </c>
      <c r="N56" s="3" t="s">
        <v>130</v>
      </c>
      <c r="O56" s="3" t="s">
        <v>38</v>
      </c>
      <c r="P56" s="3"/>
      <c r="Q56" s="4">
        <v>45968</v>
      </c>
      <c r="R56" s="3" t="s">
        <v>39</v>
      </c>
      <c r="S56" s="3" t="s">
        <v>38</v>
      </c>
      <c r="T56" s="3" t="s">
        <v>40</v>
      </c>
      <c r="U56" s="3"/>
      <c r="V56" s="3" t="s">
        <v>41</v>
      </c>
      <c r="W56" s="5">
        <v>1742.42</v>
      </c>
      <c r="X56" s="5">
        <v>1306.82</v>
      </c>
      <c r="Y56" s="3">
        <v>304.92</v>
      </c>
      <c r="Z56" s="3">
        <v>130.68</v>
      </c>
      <c r="AA56" s="3">
        <v>0</v>
      </c>
    </row>
    <row r="57" spans="1:27" ht="36.75" x14ac:dyDescent="0.25">
      <c r="A57" s="3" t="s">
        <v>28</v>
      </c>
      <c r="B57" s="3" t="s">
        <v>29</v>
      </c>
      <c r="C57" s="3" t="s">
        <v>30</v>
      </c>
      <c r="D57" s="3" t="s">
        <v>65</v>
      </c>
      <c r="E57" s="3" t="s">
        <v>60</v>
      </c>
      <c r="F57" s="3" t="s">
        <v>85</v>
      </c>
      <c r="G57" s="3">
        <v>2025</v>
      </c>
      <c r="H57" s="3" t="str">
        <f>CONCATENATE("54240616869")</f>
        <v>54240616869</v>
      </c>
      <c r="I57" s="3" t="s">
        <v>34</v>
      </c>
      <c r="J57" s="3" t="s">
        <v>35</v>
      </c>
      <c r="K57" s="3"/>
      <c r="L57" s="3" t="s">
        <v>36</v>
      </c>
      <c r="M57" s="3" t="str">
        <f>CONCATENATE("02559760414")</f>
        <v>02559760414</v>
      </c>
      <c r="N57" s="3" t="s">
        <v>131</v>
      </c>
      <c r="O57" s="3" t="s">
        <v>38</v>
      </c>
      <c r="P57" s="3"/>
      <c r="Q57" s="4">
        <v>45968</v>
      </c>
      <c r="R57" s="3" t="s">
        <v>39</v>
      </c>
      <c r="S57" s="3" t="s">
        <v>38</v>
      </c>
      <c r="T57" s="3" t="s">
        <v>40</v>
      </c>
      <c r="U57" s="3"/>
      <c r="V57" s="3" t="s">
        <v>41</v>
      </c>
      <c r="W57" s="3">
        <v>817.99</v>
      </c>
      <c r="X57" s="3">
        <v>613.49</v>
      </c>
      <c r="Y57" s="3">
        <v>143.15</v>
      </c>
      <c r="Z57" s="3">
        <v>61.35</v>
      </c>
      <c r="AA57" s="3">
        <v>0</v>
      </c>
    </row>
    <row r="58" spans="1:27" ht="60.75" x14ac:dyDescent="0.25">
      <c r="A58" s="3" t="s">
        <v>28</v>
      </c>
      <c r="B58" s="3" t="s">
        <v>29</v>
      </c>
      <c r="C58" s="3" t="s">
        <v>30</v>
      </c>
      <c r="D58" s="3" t="s">
        <v>47</v>
      </c>
      <c r="E58" s="3" t="s">
        <v>132</v>
      </c>
      <c r="F58" s="3" t="s">
        <v>133</v>
      </c>
      <c r="G58" s="3">
        <v>2025</v>
      </c>
      <c r="H58" s="3" t="str">
        <f>CONCATENATE("54240620085")</f>
        <v>54240620085</v>
      </c>
      <c r="I58" s="3" t="s">
        <v>34</v>
      </c>
      <c r="J58" s="3" t="s">
        <v>35</v>
      </c>
      <c r="K58" s="3"/>
      <c r="L58" s="3" t="s">
        <v>36</v>
      </c>
      <c r="M58" s="3" t="str">
        <f>CONCATENATE("FLPGCM91R14I156O")</f>
        <v>FLPGCM91R14I156O</v>
      </c>
      <c r="N58" s="3" t="s">
        <v>134</v>
      </c>
      <c r="O58" s="3" t="s">
        <v>38</v>
      </c>
      <c r="P58" s="3"/>
      <c r="Q58" s="4">
        <v>45968</v>
      </c>
      <c r="R58" s="3" t="s">
        <v>39</v>
      </c>
      <c r="S58" s="3" t="s">
        <v>38</v>
      </c>
      <c r="T58" s="3" t="s">
        <v>40</v>
      </c>
      <c r="U58" s="3"/>
      <c r="V58" s="3" t="s">
        <v>41</v>
      </c>
      <c r="W58" s="5">
        <v>2395.63</v>
      </c>
      <c r="X58" s="5">
        <v>1796.72</v>
      </c>
      <c r="Y58" s="3">
        <v>419.24</v>
      </c>
      <c r="Z58" s="3">
        <v>179.67</v>
      </c>
      <c r="AA58" s="3">
        <v>0</v>
      </c>
    </row>
    <row r="59" spans="1:27" ht="60.75" x14ac:dyDescent="0.25">
      <c r="A59" s="3" t="s">
        <v>28</v>
      </c>
      <c r="B59" s="3" t="s">
        <v>29</v>
      </c>
      <c r="C59" s="3" t="s">
        <v>30</v>
      </c>
      <c r="D59" s="3" t="s">
        <v>65</v>
      </c>
      <c r="E59" s="3" t="s">
        <v>32</v>
      </c>
      <c r="F59" s="3" t="s">
        <v>135</v>
      </c>
      <c r="G59" s="3">
        <v>2025</v>
      </c>
      <c r="H59" s="3" t="str">
        <f>CONCATENATE("54240620069")</f>
        <v>54240620069</v>
      </c>
      <c r="I59" s="3" t="s">
        <v>34</v>
      </c>
      <c r="J59" s="3" t="s">
        <v>35</v>
      </c>
      <c r="K59" s="3"/>
      <c r="L59" s="3" t="s">
        <v>36</v>
      </c>
      <c r="M59" s="3" t="str">
        <f>CONCATENATE("BTTLCU62T52I608W")</f>
        <v>BTTLCU62T52I608W</v>
      </c>
      <c r="N59" s="3" t="s">
        <v>136</v>
      </c>
      <c r="O59" s="3" t="s">
        <v>38</v>
      </c>
      <c r="P59" s="3"/>
      <c r="Q59" s="4">
        <v>45968</v>
      </c>
      <c r="R59" s="3" t="s">
        <v>39</v>
      </c>
      <c r="S59" s="3" t="s">
        <v>38</v>
      </c>
      <c r="T59" s="3" t="s">
        <v>40</v>
      </c>
      <c r="U59" s="3"/>
      <c r="V59" s="3" t="s">
        <v>41</v>
      </c>
      <c r="W59" s="5">
        <v>2313.02</v>
      </c>
      <c r="X59" s="5">
        <v>1734.77</v>
      </c>
      <c r="Y59" s="3">
        <v>404.78</v>
      </c>
      <c r="Z59" s="3">
        <v>173.47</v>
      </c>
      <c r="AA59" s="3">
        <v>0</v>
      </c>
    </row>
    <row r="60" spans="1:27" ht="60.75" x14ac:dyDescent="0.25">
      <c r="A60" s="3" t="s">
        <v>28</v>
      </c>
      <c r="B60" s="3" t="s">
        <v>29</v>
      </c>
      <c r="C60" s="3" t="s">
        <v>30</v>
      </c>
      <c r="D60" s="3" t="s">
        <v>31</v>
      </c>
      <c r="E60" s="3" t="s">
        <v>32</v>
      </c>
      <c r="F60" s="3" t="s">
        <v>33</v>
      </c>
      <c r="G60" s="3">
        <v>2025</v>
      </c>
      <c r="H60" s="3" t="str">
        <f>CONCATENATE("54240620960")</f>
        <v>54240620960</v>
      </c>
      <c r="I60" s="3" t="s">
        <v>34</v>
      </c>
      <c r="J60" s="3" t="s">
        <v>35</v>
      </c>
      <c r="K60" s="3"/>
      <c r="L60" s="3" t="s">
        <v>36</v>
      </c>
      <c r="M60" s="3" t="str">
        <f>CONCATENATE("MGNDNC60L09I461C")</f>
        <v>MGNDNC60L09I461C</v>
      </c>
      <c r="N60" s="3" t="s">
        <v>137</v>
      </c>
      <c r="O60" s="3" t="s">
        <v>38</v>
      </c>
      <c r="P60" s="3"/>
      <c r="Q60" s="4">
        <v>45968</v>
      </c>
      <c r="R60" s="3" t="s">
        <v>39</v>
      </c>
      <c r="S60" s="3" t="s">
        <v>38</v>
      </c>
      <c r="T60" s="3" t="s">
        <v>40</v>
      </c>
      <c r="U60" s="3"/>
      <c r="V60" s="3" t="s">
        <v>41</v>
      </c>
      <c r="W60" s="5">
        <v>32973.660000000003</v>
      </c>
      <c r="X60" s="5">
        <v>24730.25</v>
      </c>
      <c r="Y60" s="5">
        <v>5770.39</v>
      </c>
      <c r="Z60" s="5">
        <v>2473.02</v>
      </c>
      <c r="AA60" s="3">
        <v>0</v>
      </c>
    </row>
    <row r="61" spans="1:27" ht="60.75" x14ac:dyDescent="0.25">
      <c r="A61" s="3" t="s">
        <v>28</v>
      </c>
      <c r="B61" s="3" t="s">
        <v>29</v>
      </c>
      <c r="C61" s="3" t="s">
        <v>30</v>
      </c>
      <c r="D61" s="3" t="s">
        <v>47</v>
      </c>
      <c r="E61" s="3" t="s">
        <v>51</v>
      </c>
      <c r="F61" s="3" t="s">
        <v>83</v>
      </c>
      <c r="G61" s="3">
        <v>2025</v>
      </c>
      <c r="H61" s="3" t="str">
        <f>CONCATENATE("54240620903")</f>
        <v>54240620903</v>
      </c>
      <c r="I61" s="3" t="s">
        <v>34</v>
      </c>
      <c r="J61" s="3" t="s">
        <v>35</v>
      </c>
      <c r="K61" s="3"/>
      <c r="L61" s="3" t="s">
        <v>36</v>
      </c>
      <c r="M61" s="3" t="str">
        <f>CONCATENATE("SLVLCU88H23B474S")</f>
        <v>SLVLCU88H23B474S</v>
      </c>
      <c r="N61" s="3" t="s">
        <v>138</v>
      </c>
      <c r="O61" s="3" t="s">
        <v>38</v>
      </c>
      <c r="P61" s="3"/>
      <c r="Q61" s="4">
        <v>45968</v>
      </c>
      <c r="R61" s="3" t="s">
        <v>39</v>
      </c>
      <c r="S61" s="3" t="s">
        <v>38</v>
      </c>
      <c r="T61" s="3" t="s">
        <v>40</v>
      </c>
      <c r="U61" s="3"/>
      <c r="V61" s="3" t="s">
        <v>41</v>
      </c>
      <c r="W61" s="5">
        <v>10580.86</v>
      </c>
      <c r="X61" s="5">
        <v>7935.65</v>
      </c>
      <c r="Y61" s="5">
        <v>1851.65</v>
      </c>
      <c r="Z61" s="3">
        <v>793.56</v>
      </c>
      <c r="AA61" s="3">
        <v>0</v>
      </c>
    </row>
    <row r="62" spans="1:27" ht="36.75" x14ac:dyDescent="0.25">
      <c r="A62" s="3" t="s">
        <v>28</v>
      </c>
      <c r="B62" s="3" t="s">
        <v>29</v>
      </c>
      <c r="C62" s="3" t="s">
        <v>30</v>
      </c>
      <c r="D62" s="3" t="s">
        <v>47</v>
      </c>
      <c r="E62" s="3" t="s">
        <v>51</v>
      </c>
      <c r="F62" s="3" t="s">
        <v>103</v>
      </c>
      <c r="G62" s="3">
        <v>2025</v>
      </c>
      <c r="H62" s="3" t="str">
        <f>CONCATENATE("54240621158")</f>
        <v>54240621158</v>
      </c>
      <c r="I62" s="3" t="s">
        <v>34</v>
      </c>
      <c r="J62" s="3" t="s">
        <v>35</v>
      </c>
      <c r="K62" s="3"/>
      <c r="L62" s="3" t="s">
        <v>36</v>
      </c>
      <c r="M62" s="3" t="str">
        <f>CONCATENATE("01909520437")</f>
        <v>01909520437</v>
      </c>
      <c r="N62" s="3" t="s">
        <v>139</v>
      </c>
      <c r="O62" s="3" t="s">
        <v>38</v>
      </c>
      <c r="P62" s="3"/>
      <c r="Q62" s="4">
        <v>45968</v>
      </c>
      <c r="R62" s="3" t="s">
        <v>39</v>
      </c>
      <c r="S62" s="3" t="s">
        <v>38</v>
      </c>
      <c r="T62" s="3" t="s">
        <v>40</v>
      </c>
      <c r="U62" s="3"/>
      <c r="V62" s="3" t="s">
        <v>41</v>
      </c>
      <c r="W62" s="5">
        <v>7144.86</v>
      </c>
      <c r="X62" s="5">
        <v>5358.65</v>
      </c>
      <c r="Y62" s="5">
        <v>1250.3499999999999</v>
      </c>
      <c r="Z62" s="3">
        <v>535.86</v>
      </c>
      <c r="AA62" s="3">
        <v>0</v>
      </c>
    </row>
    <row r="63" spans="1:27" ht="60.75" x14ac:dyDescent="0.25">
      <c r="A63" s="3" t="s">
        <v>28</v>
      </c>
      <c r="B63" s="3" t="s">
        <v>29</v>
      </c>
      <c r="C63" s="3" t="s">
        <v>30</v>
      </c>
      <c r="D63" s="3" t="s">
        <v>42</v>
      </c>
      <c r="E63" s="3" t="s">
        <v>32</v>
      </c>
      <c r="F63" s="3" t="s">
        <v>110</v>
      </c>
      <c r="G63" s="3">
        <v>2025</v>
      </c>
      <c r="H63" s="3" t="str">
        <f>CONCATENATE("54240621430")</f>
        <v>54240621430</v>
      </c>
      <c r="I63" s="3" t="s">
        <v>34</v>
      </c>
      <c r="J63" s="3" t="s">
        <v>35</v>
      </c>
      <c r="K63" s="3"/>
      <c r="L63" s="3" t="s">
        <v>36</v>
      </c>
      <c r="M63" s="3" t="str">
        <f>CONCATENATE("LSSLSN57C14G478Q")</f>
        <v>LSSLSN57C14G478Q</v>
      </c>
      <c r="N63" s="3" t="s">
        <v>140</v>
      </c>
      <c r="O63" s="3" t="s">
        <v>38</v>
      </c>
      <c r="P63" s="3"/>
      <c r="Q63" s="4">
        <v>45968</v>
      </c>
      <c r="R63" s="3" t="s">
        <v>39</v>
      </c>
      <c r="S63" s="3" t="s">
        <v>38</v>
      </c>
      <c r="T63" s="3" t="s">
        <v>40</v>
      </c>
      <c r="U63" s="3"/>
      <c r="V63" s="3" t="s">
        <v>41</v>
      </c>
      <c r="W63" s="5">
        <v>10946.96</v>
      </c>
      <c r="X63" s="5">
        <v>8210.2199999999993</v>
      </c>
      <c r="Y63" s="5">
        <v>1915.72</v>
      </c>
      <c r="Z63" s="3">
        <v>821.02</v>
      </c>
      <c r="AA63" s="3">
        <v>0</v>
      </c>
    </row>
    <row r="64" spans="1:27" ht="36.75" x14ac:dyDescent="0.25">
      <c r="A64" s="3" t="s">
        <v>28</v>
      </c>
      <c r="B64" s="3" t="s">
        <v>29</v>
      </c>
      <c r="C64" s="3" t="s">
        <v>30</v>
      </c>
      <c r="D64" s="3" t="s">
        <v>42</v>
      </c>
      <c r="E64" s="3" t="s">
        <v>32</v>
      </c>
      <c r="F64" s="3" t="s">
        <v>110</v>
      </c>
      <c r="G64" s="3">
        <v>2025</v>
      </c>
      <c r="H64" s="3" t="str">
        <f>CONCATENATE("54240621760")</f>
        <v>54240621760</v>
      </c>
      <c r="I64" s="3" t="s">
        <v>34</v>
      </c>
      <c r="J64" s="3" t="s">
        <v>35</v>
      </c>
      <c r="K64" s="3"/>
      <c r="L64" s="3" t="s">
        <v>36</v>
      </c>
      <c r="M64" s="3" t="str">
        <f>CONCATENATE("02347900447")</f>
        <v>02347900447</v>
      </c>
      <c r="N64" s="3" t="s">
        <v>141</v>
      </c>
      <c r="O64" s="3" t="s">
        <v>38</v>
      </c>
      <c r="P64" s="3"/>
      <c r="Q64" s="4">
        <v>45968</v>
      </c>
      <c r="R64" s="3" t="s">
        <v>39</v>
      </c>
      <c r="S64" s="3" t="s">
        <v>38</v>
      </c>
      <c r="T64" s="3" t="s">
        <v>40</v>
      </c>
      <c r="U64" s="3"/>
      <c r="V64" s="3" t="s">
        <v>41</v>
      </c>
      <c r="W64" s="5">
        <v>14483.59</v>
      </c>
      <c r="X64" s="5">
        <v>10862.69</v>
      </c>
      <c r="Y64" s="5">
        <v>2534.63</v>
      </c>
      <c r="Z64" s="5">
        <v>1086.27</v>
      </c>
      <c r="AA64" s="3">
        <v>0</v>
      </c>
    </row>
    <row r="65" spans="1:27" ht="60.75" x14ac:dyDescent="0.25">
      <c r="A65" s="3" t="s">
        <v>28</v>
      </c>
      <c r="B65" s="3" t="s">
        <v>29</v>
      </c>
      <c r="C65" s="3" t="s">
        <v>30</v>
      </c>
      <c r="D65" s="3" t="s">
        <v>42</v>
      </c>
      <c r="E65" s="3" t="s">
        <v>32</v>
      </c>
      <c r="F65" s="3" t="s">
        <v>101</v>
      </c>
      <c r="G65" s="3">
        <v>2025</v>
      </c>
      <c r="H65" s="3" t="str">
        <f>CONCATENATE("54240553385")</f>
        <v>54240553385</v>
      </c>
      <c r="I65" s="3" t="s">
        <v>34</v>
      </c>
      <c r="J65" s="3" t="s">
        <v>35</v>
      </c>
      <c r="K65" s="3"/>
      <c r="L65" s="3" t="s">
        <v>36</v>
      </c>
      <c r="M65" s="3" t="str">
        <f>CONCATENATE("FLPDVD92M27A462T")</f>
        <v>FLPDVD92M27A462T</v>
      </c>
      <c r="N65" s="3" t="s">
        <v>142</v>
      </c>
      <c r="O65" s="3" t="s">
        <v>38</v>
      </c>
      <c r="P65" s="3"/>
      <c r="Q65" s="4">
        <v>45968</v>
      </c>
      <c r="R65" s="3" t="s">
        <v>39</v>
      </c>
      <c r="S65" s="3" t="s">
        <v>38</v>
      </c>
      <c r="T65" s="3" t="s">
        <v>40</v>
      </c>
      <c r="U65" s="3"/>
      <c r="V65" s="3" t="s">
        <v>41</v>
      </c>
      <c r="W65" s="5">
        <v>3475.62</v>
      </c>
      <c r="X65" s="5">
        <v>2606.7199999999998</v>
      </c>
      <c r="Y65" s="3">
        <v>608.23</v>
      </c>
      <c r="Z65" s="3">
        <v>260.67</v>
      </c>
      <c r="AA65" s="3">
        <v>0</v>
      </c>
    </row>
    <row r="66" spans="1:27" ht="60.75" x14ac:dyDescent="0.25">
      <c r="A66" s="3" t="s">
        <v>28</v>
      </c>
      <c r="B66" s="3" t="s">
        <v>29</v>
      </c>
      <c r="C66" s="3" t="s">
        <v>30</v>
      </c>
      <c r="D66" s="3" t="s">
        <v>42</v>
      </c>
      <c r="E66" s="3" t="s">
        <v>32</v>
      </c>
      <c r="F66" s="3" t="s">
        <v>110</v>
      </c>
      <c r="G66" s="3">
        <v>2025</v>
      </c>
      <c r="H66" s="3" t="str">
        <f>CONCATENATE("54240561420")</f>
        <v>54240561420</v>
      </c>
      <c r="I66" s="3" t="s">
        <v>34</v>
      </c>
      <c r="J66" s="3" t="s">
        <v>35</v>
      </c>
      <c r="K66" s="3"/>
      <c r="L66" s="3" t="s">
        <v>36</v>
      </c>
      <c r="M66" s="3" t="str">
        <f>CONCATENATE("LMNGPP69R02A271F")</f>
        <v>LMNGPP69R02A271F</v>
      </c>
      <c r="N66" s="3" t="s">
        <v>143</v>
      </c>
      <c r="O66" s="3" t="s">
        <v>38</v>
      </c>
      <c r="P66" s="3"/>
      <c r="Q66" s="4">
        <v>45968</v>
      </c>
      <c r="R66" s="3" t="s">
        <v>39</v>
      </c>
      <c r="S66" s="3" t="s">
        <v>38</v>
      </c>
      <c r="T66" s="3" t="s">
        <v>40</v>
      </c>
      <c r="U66" s="3"/>
      <c r="V66" s="3" t="s">
        <v>41</v>
      </c>
      <c r="W66" s="5">
        <v>2915.36</v>
      </c>
      <c r="X66" s="5">
        <v>2186.52</v>
      </c>
      <c r="Y66" s="3">
        <v>510.19</v>
      </c>
      <c r="Z66" s="3">
        <v>218.65</v>
      </c>
      <c r="AA66" s="3">
        <v>0</v>
      </c>
    </row>
    <row r="67" spans="1:27" ht="60.75" x14ac:dyDescent="0.25">
      <c r="A67" s="3" t="s">
        <v>28</v>
      </c>
      <c r="B67" s="3" t="s">
        <v>29</v>
      </c>
      <c r="C67" s="3" t="s">
        <v>30</v>
      </c>
      <c r="D67" s="3" t="s">
        <v>65</v>
      </c>
      <c r="E67" s="3" t="s">
        <v>32</v>
      </c>
      <c r="F67" s="3" t="s">
        <v>144</v>
      </c>
      <c r="G67" s="3">
        <v>2025</v>
      </c>
      <c r="H67" s="3" t="str">
        <f>CONCATENATE("54240562964")</f>
        <v>54240562964</v>
      </c>
      <c r="I67" s="3" t="s">
        <v>44</v>
      </c>
      <c r="J67" s="3" t="s">
        <v>35</v>
      </c>
      <c r="K67" s="3"/>
      <c r="L67" s="3" t="s">
        <v>36</v>
      </c>
      <c r="M67" s="3" t="str">
        <f>CONCATENATE("DCHGCR48R22L500H")</f>
        <v>DCHGCR48R22L500H</v>
      </c>
      <c r="N67" s="3" t="s">
        <v>145</v>
      </c>
      <c r="O67" s="3" t="s">
        <v>38</v>
      </c>
      <c r="P67" s="3"/>
      <c r="Q67" s="4">
        <v>45968</v>
      </c>
      <c r="R67" s="3" t="s">
        <v>39</v>
      </c>
      <c r="S67" s="3" t="s">
        <v>38</v>
      </c>
      <c r="T67" s="3" t="s">
        <v>40</v>
      </c>
      <c r="U67" s="3"/>
      <c r="V67" s="3" t="s">
        <v>41</v>
      </c>
      <c r="W67" s="5">
        <v>2474.7199999999998</v>
      </c>
      <c r="X67" s="5">
        <v>1856.04</v>
      </c>
      <c r="Y67" s="3">
        <v>433.08</v>
      </c>
      <c r="Z67" s="3">
        <v>185.6</v>
      </c>
      <c r="AA67" s="3">
        <v>0</v>
      </c>
    </row>
    <row r="68" spans="1:27" ht="36.75" x14ac:dyDescent="0.25">
      <c r="A68" s="3" t="s">
        <v>28</v>
      </c>
      <c r="B68" s="3" t="s">
        <v>29</v>
      </c>
      <c r="C68" s="3" t="s">
        <v>30</v>
      </c>
      <c r="D68" s="3" t="s">
        <v>31</v>
      </c>
      <c r="E68" s="3" t="s">
        <v>32</v>
      </c>
      <c r="F68" s="3" t="s">
        <v>33</v>
      </c>
      <c r="G68" s="3">
        <v>2025</v>
      </c>
      <c r="H68" s="3" t="str">
        <f>CONCATENATE("54240563509")</f>
        <v>54240563509</v>
      </c>
      <c r="I68" s="3" t="s">
        <v>34</v>
      </c>
      <c r="J68" s="3" t="s">
        <v>35</v>
      </c>
      <c r="K68" s="3"/>
      <c r="L68" s="3" t="s">
        <v>36</v>
      </c>
      <c r="M68" s="3" t="str">
        <f>CONCATENATE("02028850416")</f>
        <v>02028850416</v>
      </c>
      <c r="N68" s="3" t="s">
        <v>146</v>
      </c>
      <c r="O68" s="3" t="s">
        <v>38</v>
      </c>
      <c r="P68" s="3"/>
      <c r="Q68" s="4">
        <v>45968</v>
      </c>
      <c r="R68" s="3" t="s">
        <v>39</v>
      </c>
      <c r="S68" s="3" t="s">
        <v>38</v>
      </c>
      <c r="T68" s="3" t="s">
        <v>40</v>
      </c>
      <c r="U68" s="3"/>
      <c r="V68" s="3" t="s">
        <v>41</v>
      </c>
      <c r="W68" s="5">
        <v>1668.76</v>
      </c>
      <c r="X68" s="5">
        <v>1251.57</v>
      </c>
      <c r="Y68" s="3">
        <v>292.02999999999997</v>
      </c>
      <c r="Z68" s="3">
        <v>125.16</v>
      </c>
      <c r="AA68" s="3">
        <v>0</v>
      </c>
    </row>
    <row r="69" spans="1:27" ht="36.75" x14ac:dyDescent="0.25">
      <c r="A69" s="3" t="s">
        <v>28</v>
      </c>
      <c r="B69" s="3" t="s">
        <v>29</v>
      </c>
      <c r="C69" s="3" t="s">
        <v>30</v>
      </c>
      <c r="D69" s="3" t="s">
        <v>47</v>
      </c>
      <c r="E69" s="3" t="s">
        <v>51</v>
      </c>
      <c r="F69" s="3" t="s">
        <v>147</v>
      </c>
      <c r="G69" s="3">
        <v>2025</v>
      </c>
      <c r="H69" s="3" t="str">
        <f>CONCATENATE("54240563830")</f>
        <v>54240563830</v>
      </c>
      <c r="I69" s="3" t="s">
        <v>34</v>
      </c>
      <c r="J69" s="3" t="s">
        <v>35</v>
      </c>
      <c r="K69" s="3"/>
      <c r="L69" s="3" t="s">
        <v>36</v>
      </c>
      <c r="M69" s="3" t="str">
        <f>CONCATENATE("01675950438")</f>
        <v>01675950438</v>
      </c>
      <c r="N69" s="3" t="s">
        <v>148</v>
      </c>
      <c r="O69" s="3" t="s">
        <v>38</v>
      </c>
      <c r="P69" s="3"/>
      <c r="Q69" s="4">
        <v>45968</v>
      </c>
      <c r="R69" s="3" t="s">
        <v>39</v>
      </c>
      <c r="S69" s="3" t="s">
        <v>38</v>
      </c>
      <c r="T69" s="3" t="s">
        <v>40</v>
      </c>
      <c r="U69" s="3"/>
      <c r="V69" s="3" t="s">
        <v>41</v>
      </c>
      <c r="W69" s="5">
        <v>11747.03</v>
      </c>
      <c r="X69" s="5">
        <v>8810.27</v>
      </c>
      <c r="Y69" s="5">
        <v>2055.73</v>
      </c>
      <c r="Z69" s="3">
        <v>881.03</v>
      </c>
      <c r="AA69" s="3">
        <v>0</v>
      </c>
    </row>
    <row r="70" spans="1:27" ht="36.75" x14ac:dyDescent="0.25">
      <c r="A70" s="3" t="s">
        <v>28</v>
      </c>
      <c r="B70" s="3" t="s">
        <v>29</v>
      </c>
      <c r="C70" s="3" t="s">
        <v>30</v>
      </c>
      <c r="D70" s="3" t="s">
        <v>47</v>
      </c>
      <c r="E70" s="3" t="s">
        <v>51</v>
      </c>
      <c r="F70" s="3" t="s">
        <v>103</v>
      </c>
      <c r="G70" s="3">
        <v>2025</v>
      </c>
      <c r="H70" s="3" t="str">
        <f>CONCATENATE("54240569100")</f>
        <v>54240569100</v>
      </c>
      <c r="I70" s="3" t="s">
        <v>34</v>
      </c>
      <c r="J70" s="3" t="s">
        <v>35</v>
      </c>
      <c r="K70" s="3"/>
      <c r="L70" s="3" t="s">
        <v>36</v>
      </c>
      <c r="M70" s="3" t="str">
        <f>CONCATENATE("01892120435")</f>
        <v>01892120435</v>
      </c>
      <c r="N70" s="3" t="s">
        <v>149</v>
      </c>
      <c r="O70" s="3" t="s">
        <v>38</v>
      </c>
      <c r="P70" s="3"/>
      <c r="Q70" s="4">
        <v>45968</v>
      </c>
      <c r="R70" s="3" t="s">
        <v>39</v>
      </c>
      <c r="S70" s="3" t="s">
        <v>38</v>
      </c>
      <c r="T70" s="3" t="s">
        <v>40</v>
      </c>
      <c r="U70" s="3"/>
      <c r="V70" s="3" t="s">
        <v>41</v>
      </c>
      <c r="W70" s="5">
        <v>24269.919999999998</v>
      </c>
      <c r="X70" s="5">
        <v>18202.439999999999</v>
      </c>
      <c r="Y70" s="5">
        <v>4247.24</v>
      </c>
      <c r="Z70" s="5">
        <v>1820.24</v>
      </c>
      <c r="AA70" s="3">
        <v>0</v>
      </c>
    </row>
    <row r="71" spans="1:27" ht="60.75" x14ac:dyDescent="0.25">
      <c r="A71" s="3" t="s">
        <v>28</v>
      </c>
      <c r="B71" s="3" t="s">
        <v>29</v>
      </c>
      <c r="C71" s="3" t="s">
        <v>30</v>
      </c>
      <c r="D71" s="3" t="s">
        <v>42</v>
      </c>
      <c r="E71" s="3" t="s">
        <v>32</v>
      </c>
      <c r="F71" s="3" t="s">
        <v>101</v>
      </c>
      <c r="G71" s="3">
        <v>2025</v>
      </c>
      <c r="H71" s="3" t="str">
        <f>CONCATENATE("54240572781")</f>
        <v>54240572781</v>
      </c>
      <c r="I71" s="3" t="s">
        <v>34</v>
      </c>
      <c r="J71" s="3" t="s">
        <v>35</v>
      </c>
      <c r="K71" s="3"/>
      <c r="L71" s="3" t="s">
        <v>36</v>
      </c>
      <c r="M71" s="3" t="str">
        <f>CONCATENATE("CRBLSN68S01C321A")</f>
        <v>CRBLSN68S01C321A</v>
      </c>
      <c r="N71" s="3" t="s">
        <v>150</v>
      </c>
      <c r="O71" s="3" t="s">
        <v>38</v>
      </c>
      <c r="P71" s="3"/>
      <c r="Q71" s="4">
        <v>45968</v>
      </c>
      <c r="R71" s="3" t="s">
        <v>39</v>
      </c>
      <c r="S71" s="3" t="s">
        <v>38</v>
      </c>
      <c r="T71" s="3" t="s">
        <v>40</v>
      </c>
      <c r="U71" s="3"/>
      <c r="V71" s="3" t="s">
        <v>41</v>
      </c>
      <c r="W71" s="5">
        <v>2475.4</v>
      </c>
      <c r="X71" s="5">
        <v>1856.55</v>
      </c>
      <c r="Y71" s="3">
        <v>433.2</v>
      </c>
      <c r="Z71" s="3">
        <v>185.65</v>
      </c>
      <c r="AA71" s="3">
        <v>0</v>
      </c>
    </row>
    <row r="72" spans="1:27" ht="60.75" x14ac:dyDescent="0.25">
      <c r="A72" s="3" t="s">
        <v>28</v>
      </c>
      <c r="B72" s="3" t="s">
        <v>29</v>
      </c>
      <c r="C72" s="3" t="s">
        <v>30</v>
      </c>
      <c r="D72" s="3" t="s">
        <v>47</v>
      </c>
      <c r="E72" s="3" t="s">
        <v>51</v>
      </c>
      <c r="F72" s="3" t="s">
        <v>151</v>
      </c>
      <c r="G72" s="3">
        <v>2025</v>
      </c>
      <c r="H72" s="3" t="str">
        <f>CONCATENATE("54240621703")</f>
        <v>54240621703</v>
      </c>
      <c r="I72" s="3" t="s">
        <v>34</v>
      </c>
      <c r="J72" s="3" t="s">
        <v>35</v>
      </c>
      <c r="K72" s="3"/>
      <c r="L72" s="3" t="s">
        <v>36</v>
      </c>
      <c r="M72" s="3" t="str">
        <f>CONCATENATE("TGNGRG85C24E388I")</f>
        <v>TGNGRG85C24E388I</v>
      </c>
      <c r="N72" s="3" t="s">
        <v>152</v>
      </c>
      <c r="O72" s="3" t="s">
        <v>38</v>
      </c>
      <c r="P72" s="3"/>
      <c r="Q72" s="4">
        <v>45968</v>
      </c>
      <c r="R72" s="3" t="s">
        <v>39</v>
      </c>
      <c r="S72" s="3" t="s">
        <v>38</v>
      </c>
      <c r="T72" s="3" t="s">
        <v>40</v>
      </c>
      <c r="U72" s="3"/>
      <c r="V72" s="3" t="s">
        <v>41</v>
      </c>
      <c r="W72" s="5">
        <v>2183.75</v>
      </c>
      <c r="X72" s="5">
        <v>1637.81</v>
      </c>
      <c r="Y72" s="3">
        <v>382.16</v>
      </c>
      <c r="Z72" s="3">
        <v>163.78</v>
      </c>
      <c r="AA72" s="3">
        <v>0</v>
      </c>
    </row>
    <row r="73" spans="1:27" ht="60.75" x14ac:dyDescent="0.25">
      <c r="A73" s="3" t="s">
        <v>28</v>
      </c>
      <c r="B73" s="3" t="s">
        <v>29</v>
      </c>
      <c r="C73" s="3" t="s">
        <v>30</v>
      </c>
      <c r="D73" s="3" t="s">
        <v>65</v>
      </c>
      <c r="E73" s="3" t="s">
        <v>32</v>
      </c>
      <c r="F73" s="3" t="s">
        <v>144</v>
      </c>
      <c r="G73" s="3">
        <v>2025</v>
      </c>
      <c r="H73" s="3" t="str">
        <f>CONCATENATE("54240573300")</f>
        <v>54240573300</v>
      </c>
      <c r="I73" s="3" t="s">
        <v>44</v>
      </c>
      <c r="J73" s="3" t="s">
        <v>35</v>
      </c>
      <c r="K73" s="3"/>
      <c r="L73" s="3" t="s">
        <v>36</v>
      </c>
      <c r="M73" s="3" t="str">
        <f>CONCATENATE("TTVFRN62H03L500F")</f>
        <v>TTVFRN62H03L500F</v>
      </c>
      <c r="N73" s="3" t="s">
        <v>153</v>
      </c>
      <c r="O73" s="3" t="s">
        <v>38</v>
      </c>
      <c r="P73" s="3"/>
      <c r="Q73" s="4">
        <v>45968</v>
      </c>
      <c r="R73" s="3" t="s">
        <v>39</v>
      </c>
      <c r="S73" s="3" t="s">
        <v>38</v>
      </c>
      <c r="T73" s="3" t="s">
        <v>40</v>
      </c>
      <c r="U73" s="3"/>
      <c r="V73" s="3" t="s">
        <v>41</v>
      </c>
      <c r="W73" s="5">
        <v>3113.77</v>
      </c>
      <c r="X73" s="5">
        <v>2335.33</v>
      </c>
      <c r="Y73" s="3">
        <v>544.91</v>
      </c>
      <c r="Z73" s="3">
        <v>233.53</v>
      </c>
      <c r="AA73" s="3">
        <v>0</v>
      </c>
    </row>
    <row r="74" spans="1:27" ht="60.75" x14ac:dyDescent="0.25">
      <c r="A74" s="3" t="s">
        <v>28</v>
      </c>
      <c r="B74" s="3" t="s">
        <v>29</v>
      </c>
      <c r="C74" s="3" t="s">
        <v>30</v>
      </c>
      <c r="D74" s="3" t="s">
        <v>42</v>
      </c>
      <c r="E74" s="3" t="s">
        <v>154</v>
      </c>
      <c r="F74" s="3" t="s">
        <v>155</v>
      </c>
      <c r="G74" s="3">
        <v>2025</v>
      </c>
      <c r="H74" s="3" t="str">
        <f>CONCATENATE("54240590494")</f>
        <v>54240590494</v>
      </c>
      <c r="I74" s="3" t="s">
        <v>34</v>
      </c>
      <c r="J74" s="3" t="s">
        <v>35</v>
      </c>
      <c r="K74" s="3"/>
      <c r="L74" s="3" t="s">
        <v>36</v>
      </c>
      <c r="M74" s="3" t="str">
        <f>CONCATENATE("CRSNDR82C10H769U")</f>
        <v>CRSNDR82C10H769U</v>
      </c>
      <c r="N74" s="3" t="s">
        <v>156</v>
      </c>
      <c r="O74" s="3" t="s">
        <v>38</v>
      </c>
      <c r="P74" s="3"/>
      <c r="Q74" s="4">
        <v>45968</v>
      </c>
      <c r="R74" s="3" t="s">
        <v>39</v>
      </c>
      <c r="S74" s="3" t="s">
        <v>38</v>
      </c>
      <c r="T74" s="3" t="s">
        <v>40</v>
      </c>
      <c r="U74" s="3"/>
      <c r="V74" s="3" t="s">
        <v>41</v>
      </c>
      <c r="W74" s="5">
        <v>6638.25</v>
      </c>
      <c r="X74" s="5">
        <v>4978.6899999999996</v>
      </c>
      <c r="Y74" s="5">
        <v>1161.69</v>
      </c>
      <c r="Z74" s="3">
        <v>497.87</v>
      </c>
      <c r="AA74" s="3">
        <v>0</v>
      </c>
    </row>
    <row r="75" spans="1:27" ht="36.75" x14ac:dyDescent="0.25">
      <c r="A75" s="3" t="s">
        <v>28</v>
      </c>
      <c r="B75" s="3" t="s">
        <v>29</v>
      </c>
      <c r="C75" s="3" t="s">
        <v>30</v>
      </c>
      <c r="D75" s="3" t="s">
        <v>42</v>
      </c>
      <c r="E75" s="3" t="s">
        <v>51</v>
      </c>
      <c r="F75" s="3" t="s">
        <v>157</v>
      </c>
      <c r="G75" s="3">
        <v>2025</v>
      </c>
      <c r="H75" s="3" t="str">
        <f>CONCATENATE("54240574696")</f>
        <v>54240574696</v>
      </c>
      <c r="I75" s="3" t="s">
        <v>34</v>
      </c>
      <c r="J75" s="3" t="s">
        <v>35</v>
      </c>
      <c r="K75" s="3"/>
      <c r="L75" s="3" t="s">
        <v>36</v>
      </c>
      <c r="M75" s="3" t="str">
        <f>CONCATENATE("01810610442")</f>
        <v>01810610442</v>
      </c>
      <c r="N75" s="3" t="s">
        <v>158</v>
      </c>
      <c r="O75" s="3" t="s">
        <v>38</v>
      </c>
      <c r="P75" s="3"/>
      <c r="Q75" s="4">
        <v>45968</v>
      </c>
      <c r="R75" s="3" t="s">
        <v>39</v>
      </c>
      <c r="S75" s="3" t="s">
        <v>38</v>
      </c>
      <c r="T75" s="3" t="s">
        <v>40</v>
      </c>
      <c r="U75" s="3"/>
      <c r="V75" s="3" t="s">
        <v>41</v>
      </c>
      <c r="W75" s="5">
        <v>3779.18</v>
      </c>
      <c r="X75" s="5">
        <v>2834.39</v>
      </c>
      <c r="Y75" s="3">
        <v>661.36</v>
      </c>
      <c r="Z75" s="3">
        <v>283.43</v>
      </c>
      <c r="AA75" s="3">
        <v>0</v>
      </c>
    </row>
    <row r="76" spans="1:27" ht="36.75" x14ac:dyDescent="0.25">
      <c r="A76" s="3" t="s">
        <v>28</v>
      </c>
      <c r="B76" s="3" t="s">
        <v>29</v>
      </c>
      <c r="C76" s="3" t="s">
        <v>30</v>
      </c>
      <c r="D76" s="3" t="s">
        <v>47</v>
      </c>
      <c r="E76" s="3" t="s">
        <v>51</v>
      </c>
      <c r="F76" s="3" t="s">
        <v>83</v>
      </c>
      <c r="G76" s="3">
        <v>2025</v>
      </c>
      <c r="H76" s="3" t="str">
        <f>CONCATENATE("54240635034")</f>
        <v>54240635034</v>
      </c>
      <c r="I76" s="3" t="s">
        <v>34</v>
      </c>
      <c r="J76" s="3" t="s">
        <v>35</v>
      </c>
      <c r="K76" s="3"/>
      <c r="L76" s="3" t="s">
        <v>36</v>
      </c>
      <c r="M76" s="3" t="str">
        <f>CONCATENATE("01945810438")</f>
        <v>01945810438</v>
      </c>
      <c r="N76" s="3" t="s">
        <v>159</v>
      </c>
      <c r="O76" s="3" t="s">
        <v>38</v>
      </c>
      <c r="P76" s="3"/>
      <c r="Q76" s="4">
        <v>45968</v>
      </c>
      <c r="R76" s="3" t="s">
        <v>39</v>
      </c>
      <c r="S76" s="3" t="s">
        <v>38</v>
      </c>
      <c r="T76" s="3" t="s">
        <v>40</v>
      </c>
      <c r="U76" s="3"/>
      <c r="V76" s="3" t="s">
        <v>41</v>
      </c>
      <c r="W76" s="5">
        <v>29149.31</v>
      </c>
      <c r="X76" s="5">
        <v>21861.98</v>
      </c>
      <c r="Y76" s="5">
        <v>5101.13</v>
      </c>
      <c r="Z76" s="5">
        <v>2186.1999999999998</v>
      </c>
      <c r="AA76" s="3">
        <v>0</v>
      </c>
    </row>
    <row r="77" spans="1:27" ht="36.75" x14ac:dyDescent="0.25">
      <c r="A77" s="3" t="s">
        <v>28</v>
      </c>
      <c r="B77" s="3" t="s">
        <v>29</v>
      </c>
      <c r="C77" s="3" t="s">
        <v>30</v>
      </c>
      <c r="D77" s="3" t="s">
        <v>47</v>
      </c>
      <c r="E77" s="3" t="s">
        <v>51</v>
      </c>
      <c r="F77" s="3" t="s">
        <v>83</v>
      </c>
      <c r="G77" s="3">
        <v>2025</v>
      </c>
      <c r="H77" s="3" t="str">
        <f>CONCATENATE("54240576964")</f>
        <v>54240576964</v>
      </c>
      <c r="I77" s="3" t="s">
        <v>34</v>
      </c>
      <c r="J77" s="3" t="s">
        <v>35</v>
      </c>
      <c r="K77" s="3"/>
      <c r="L77" s="3" t="s">
        <v>36</v>
      </c>
      <c r="M77" s="3" t="str">
        <f>CONCATENATE("01941070433")</f>
        <v>01941070433</v>
      </c>
      <c r="N77" s="3" t="s">
        <v>160</v>
      </c>
      <c r="O77" s="3" t="s">
        <v>38</v>
      </c>
      <c r="P77" s="3"/>
      <c r="Q77" s="4">
        <v>45968</v>
      </c>
      <c r="R77" s="3" t="s">
        <v>39</v>
      </c>
      <c r="S77" s="3" t="s">
        <v>38</v>
      </c>
      <c r="T77" s="3" t="s">
        <v>40</v>
      </c>
      <c r="U77" s="3"/>
      <c r="V77" s="3" t="s">
        <v>41</v>
      </c>
      <c r="W77" s="5">
        <v>6672.69</v>
      </c>
      <c r="X77" s="5">
        <v>5004.5200000000004</v>
      </c>
      <c r="Y77" s="5">
        <v>1167.72</v>
      </c>
      <c r="Z77" s="3">
        <v>500.45</v>
      </c>
      <c r="AA77" s="3">
        <v>0</v>
      </c>
    </row>
    <row r="78" spans="1:27" ht="60.75" x14ac:dyDescent="0.25">
      <c r="A78" s="3" t="s">
        <v>28</v>
      </c>
      <c r="B78" s="3" t="s">
        <v>29</v>
      </c>
      <c r="C78" s="3" t="s">
        <v>30</v>
      </c>
      <c r="D78" s="3" t="s">
        <v>47</v>
      </c>
      <c r="E78" s="3" t="s">
        <v>51</v>
      </c>
      <c r="F78" s="3" t="s">
        <v>161</v>
      </c>
      <c r="G78" s="3">
        <v>2025</v>
      </c>
      <c r="H78" s="3" t="str">
        <f>CONCATENATE("54240577558")</f>
        <v>54240577558</v>
      </c>
      <c r="I78" s="3" t="s">
        <v>34</v>
      </c>
      <c r="J78" s="3" t="s">
        <v>35</v>
      </c>
      <c r="K78" s="3"/>
      <c r="L78" s="3" t="s">
        <v>36</v>
      </c>
      <c r="M78" s="3" t="str">
        <f>CONCATENATE("BRRBBR88T69I156J")</f>
        <v>BRRBBR88T69I156J</v>
      </c>
      <c r="N78" s="3" t="s">
        <v>162</v>
      </c>
      <c r="O78" s="3" t="s">
        <v>38</v>
      </c>
      <c r="P78" s="3"/>
      <c r="Q78" s="4">
        <v>45968</v>
      </c>
      <c r="R78" s="3" t="s">
        <v>39</v>
      </c>
      <c r="S78" s="3" t="s">
        <v>38</v>
      </c>
      <c r="T78" s="3" t="s">
        <v>40</v>
      </c>
      <c r="U78" s="3"/>
      <c r="V78" s="3" t="s">
        <v>41</v>
      </c>
      <c r="W78" s="5">
        <v>16025.44</v>
      </c>
      <c r="X78" s="5">
        <v>12019.08</v>
      </c>
      <c r="Y78" s="5">
        <v>2804.45</v>
      </c>
      <c r="Z78" s="5">
        <v>1201.9100000000001</v>
      </c>
      <c r="AA78" s="3">
        <v>0</v>
      </c>
    </row>
    <row r="79" spans="1:27" ht="72.75" x14ac:dyDescent="0.25">
      <c r="A79" s="3" t="s">
        <v>28</v>
      </c>
      <c r="B79" s="3" t="s">
        <v>29</v>
      </c>
      <c r="C79" s="3" t="s">
        <v>30</v>
      </c>
      <c r="D79" s="3" t="s">
        <v>31</v>
      </c>
      <c r="E79" s="3" t="s">
        <v>32</v>
      </c>
      <c r="F79" s="3" t="s">
        <v>33</v>
      </c>
      <c r="G79" s="3">
        <v>2025</v>
      </c>
      <c r="H79" s="3" t="str">
        <f>CONCATENATE("54240577657")</f>
        <v>54240577657</v>
      </c>
      <c r="I79" s="3" t="s">
        <v>34</v>
      </c>
      <c r="J79" s="3" t="s">
        <v>35</v>
      </c>
      <c r="K79" s="3"/>
      <c r="L79" s="3" t="s">
        <v>36</v>
      </c>
      <c r="M79" s="3" t="str">
        <f>CONCATENATE("FRTMSM65R27F205U")</f>
        <v>FRTMSM65R27F205U</v>
      </c>
      <c r="N79" s="3" t="s">
        <v>163</v>
      </c>
      <c r="O79" s="3" t="s">
        <v>38</v>
      </c>
      <c r="P79" s="3"/>
      <c r="Q79" s="4">
        <v>45968</v>
      </c>
      <c r="R79" s="3" t="s">
        <v>39</v>
      </c>
      <c r="S79" s="3" t="s">
        <v>38</v>
      </c>
      <c r="T79" s="3" t="s">
        <v>40</v>
      </c>
      <c r="U79" s="3"/>
      <c r="V79" s="3" t="s">
        <v>41</v>
      </c>
      <c r="W79" s="5">
        <v>1181.8699999999999</v>
      </c>
      <c r="X79" s="3">
        <v>886.4</v>
      </c>
      <c r="Y79" s="3">
        <v>206.83</v>
      </c>
      <c r="Z79" s="3">
        <v>88.64</v>
      </c>
      <c r="AA79" s="3">
        <v>0</v>
      </c>
    </row>
    <row r="80" spans="1:27" ht="60.75" x14ac:dyDescent="0.25">
      <c r="A80" s="3" t="s">
        <v>28</v>
      </c>
      <c r="B80" s="3" t="s">
        <v>29</v>
      </c>
      <c r="C80" s="3" t="s">
        <v>30</v>
      </c>
      <c r="D80" s="3" t="s">
        <v>42</v>
      </c>
      <c r="E80" s="3" t="s">
        <v>43</v>
      </c>
      <c r="F80" s="3" t="s">
        <v>43</v>
      </c>
      <c r="G80" s="3">
        <v>2025</v>
      </c>
      <c r="H80" s="3" t="str">
        <f>CONCATENATE("54240578051")</f>
        <v>54240578051</v>
      </c>
      <c r="I80" s="3" t="s">
        <v>34</v>
      </c>
      <c r="J80" s="3" t="s">
        <v>35</v>
      </c>
      <c r="K80" s="3"/>
      <c r="L80" s="3" t="s">
        <v>36</v>
      </c>
      <c r="M80" s="3" t="str">
        <f>CONCATENATE("PZZLGU74C05H769F")</f>
        <v>PZZLGU74C05H769F</v>
      </c>
      <c r="N80" s="3" t="s">
        <v>164</v>
      </c>
      <c r="O80" s="3" t="s">
        <v>38</v>
      </c>
      <c r="P80" s="3"/>
      <c r="Q80" s="4">
        <v>45968</v>
      </c>
      <c r="R80" s="3" t="s">
        <v>39</v>
      </c>
      <c r="S80" s="3" t="s">
        <v>38</v>
      </c>
      <c r="T80" s="3" t="s">
        <v>40</v>
      </c>
      <c r="U80" s="3"/>
      <c r="V80" s="3" t="s">
        <v>41</v>
      </c>
      <c r="W80" s="5">
        <v>5465.69</v>
      </c>
      <c r="X80" s="5">
        <v>4099.2700000000004</v>
      </c>
      <c r="Y80" s="3">
        <v>956.5</v>
      </c>
      <c r="Z80" s="3">
        <v>409.92</v>
      </c>
      <c r="AA80" s="3">
        <v>0</v>
      </c>
    </row>
    <row r="81" spans="1:27" ht="60.75" x14ac:dyDescent="0.25">
      <c r="A81" s="3" t="s">
        <v>28</v>
      </c>
      <c r="B81" s="3" t="s">
        <v>29</v>
      </c>
      <c r="C81" s="3" t="s">
        <v>30</v>
      </c>
      <c r="D81" s="3" t="s">
        <v>65</v>
      </c>
      <c r="E81" s="3" t="s">
        <v>32</v>
      </c>
      <c r="F81" s="3" t="s">
        <v>135</v>
      </c>
      <c r="G81" s="3">
        <v>2025</v>
      </c>
      <c r="H81" s="3" t="str">
        <f>CONCATENATE("54240579026")</f>
        <v>54240579026</v>
      </c>
      <c r="I81" s="3" t="s">
        <v>34</v>
      </c>
      <c r="J81" s="3" t="s">
        <v>35</v>
      </c>
      <c r="K81" s="3"/>
      <c r="L81" s="3" t="s">
        <v>36</v>
      </c>
      <c r="M81" s="3" t="str">
        <f>CONCATENATE("RSSLTT56A66F581T")</f>
        <v>RSSLTT56A66F581T</v>
      </c>
      <c r="N81" s="3" t="s">
        <v>165</v>
      </c>
      <c r="O81" s="3" t="s">
        <v>38</v>
      </c>
      <c r="P81" s="3"/>
      <c r="Q81" s="4">
        <v>45968</v>
      </c>
      <c r="R81" s="3" t="s">
        <v>39</v>
      </c>
      <c r="S81" s="3" t="s">
        <v>38</v>
      </c>
      <c r="T81" s="3" t="s">
        <v>40</v>
      </c>
      <c r="U81" s="3"/>
      <c r="V81" s="3" t="s">
        <v>41</v>
      </c>
      <c r="W81" s="5">
        <v>1578.31</v>
      </c>
      <c r="X81" s="5">
        <v>1183.73</v>
      </c>
      <c r="Y81" s="3">
        <v>276.2</v>
      </c>
      <c r="Z81" s="3">
        <v>118.38</v>
      </c>
      <c r="AA81" s="3">
        <v>0</v>
      </c>
    </row>
    <row r="82" spans="1:27" ht="60.75" x14ac:dyDescent="0.25">
      <c r="A82" s="3" t="s">
        <v>28</v>
      </c>
      <c r="B82" s="3" t="s">
        <v>29</v>
      </c>
      <c r="C82" s="3" t="s">
        <v>30</v>
      </c>
      <c r="D82" s="3" t="s">
        <v>42</v>
      </c>
      <c r="E82" s="3" t="s">
        <v>32</v>
      </c>
      <c r="F82" s="3" t="s">
        <v>101</v>
      </c>
      <c r="G82" s="3">
        <v>2025</v>
      </c>
      <c r="H82" s="3" t="str">
        <f>CONCATENATE("54240580669")</f>
        <v>54240580669</v>
      </c>
      <c r="I82" s="3" t="s">
        <v>34</v>
      </c>
      <c r="J82" s="3" t="s">
        <v>35</v>
      </c>
      <c r="K82" s="3"/>
      <c r="L82" s="3" t="s">
        <v>36</v>
      </c>
      <c r="M82" s="3" t="str">
        <f>CONCATENATE("MRZNNA40E54A335Q")</f>
        <v>MRZNNA40E54A335Q</v>
      </c>
      <c r="N82" s="3" t="s">
        <v>166</v>
      </c>
      <c r="O82" s="3" t="s">
        <v>38</v>
      </c>
      <c r="P82" s="3"/>
      <c r="Q82" s="4">
        <v>45968</v>
      </c>
      <c r="R82" s="3" t="s">
        <v>39</v>
      </c>
      <c r="S82" s="3" t="s">
        <v>38</v>
      </c>
      <c r="T82" s="3" t="s">
        <v>40</v>
      </c>
      <c r="U82" s="3"/>
      <c r="V82" s="3" t="s">
        <v>41</v>
      </c>
      <c r="W82" s="5">
        <v>1920.51</v>
      </c>
      <c r="X82" s="5">
        <v>1440.38</v>
      </c>
      <c r="Y82" s="3">
        <v>336.09</v>
      </c>
      <c r="Z82" s="3">
        <v>144.04</v>
      </c>
      <c r="AA82" s="3">
        <v>0</v>
      </c>
    </row>
    <row r="83" spans="1:27" ht="60.75" x14ac:dyDescent="0.25">
      <c r="A83" s="3" t="s">
        <v>28</v>
      </c>
      <c r="B83" s="3" t="s">
        <v>29</v>
      </c>
      <c r="C83" s="3" t="s">
        <v>30</v>
      </c>
      <c r="D83" s="3" t="s">
        <v>65</v>
      </c>
      <c r="E83" s="3" t="s">
        <v>51</v>
      </c>
      <c r="F83" s="3" t="s">
        <v>105</v>
      </c>
      <c r="G83" s="3">
        <v>2025</v>
      </c>
      <c r="H83" s="3" t="str">
        <f>CONCATENATE("54240579133")</f>
        <v>54240579133</v>
      </c>
      <c r="I83" s="3" t="s">
        <v>34</v>
      </c>
      <c r="J83" s="3" t="s">
        <v>35</v>
      </c>
      <c r="K83" s="3"/>
      <c r="L83" s="3" t="s">
        <v>36</v>
      </c>
      <c r="M83" s="3" t="str">
        <f>CONCATENATE("NRDGNN81P65D749O")</f>
        <v>NRDGNN81P65D749O</v>
      </c>
      <c r="N83" s="3" t="s">
        <v>167</v>
      </c>
      <c r="O83" s="3" t="s">
        <v>38</v>
      </c>
      <c r="P83" s="3"/>
      <c r="Q83" s="4">
        <v>45968</v>
      </c>
      <c r="R83" s="3" t="s">
        <v>39</v>
      </c>
      <c r="S83" s="3" t="s">
        <v>38</v>
      </c>
      <c r="T83" s="3" t="s">
        <v>40</v>
      </c>
      <c r="U83" s="3"/>
      <c r="V83" s="3" t="s">
        <v>41</v>
      </c>
      <c r="W83" s="5">
        <v>5294.03</v>
      </c>
      <c r="X83" s="5">
        <v>3970.52</v>
      </c>
      <c r="Y83" s="3">
        <v>926.46</v>
      </c>
      <c r="Z83" s="3">
        <v>397.05</v>
      </c>
      <c r="AA83" s="3">
        <v>0</v>
      </c>
    </row>
    <row r="84" spans="1:27" ht="36.75" x14ac:dyDescent="0.25">
      <c r="A84" s="3" t="s">
        <v>28</v>
      </c>
      <c r="B84" s="3" t="s">
        <v>29</v>
      </c>
      <c r="C84" s="3" t="s">
        <v>30</v>
      </c>
      <c r="D84" s="3" t="s">
        <v>65</v>
      </c>
      <c r="E84" s="3" t="s">
        <v>32</v>
      </c>
      <c r="F84" s="3" t="s">
        <v>144</v>
      </c>
      <c r="G84" s="3">
        <v>2025</v>
      </c>
      <c r="H84" s="3" t="str">
        <f>CONCATENATE("54240579257")</f>
        <v>54240579257</v>
      </c>
      <c r="I84" s="3" t="s">
        <v>44</v>
      </c>
      <c r="J84" s="3" t="s">
        <v>35</v>
      </c>
      <c r="K84" s="3"/>
      <c r="L84" s="3" t="s">
        <v>36</v>
      </c>
      <c r="M84" s="3" t="str">
        <f>CONCATENATE("00645400417")</f>
        <v>00645400417</v>
      </c>
      <c r="N84" s="3" t="s">
        <v>168</v>
      </c>
      <c r="O84" s="3" t="s">
        <v>38</v>
      </c>
      <c r="P84" s="3"/>
      <c r="Q84" s="4">
        <v>45968</v>
      </c>
      <c r="R84" s="3" t="s">
        <v>39</v>
      </c>
      <c r="S84" s="3" t="s">
        <v>38</v>
      </c>
      <c r="T84" s="3" t="s">
        <v>40</v>
      </c>
      <c r="U84" s="3"/>
      <c r="V84" s="3" t="s">
        <v>41</v>
      </c>
      <c r="W84" s="5">
        <v>7809.73</v>
      </c>
      <c r="X84" s="5">
        <v>5857.3</v>
      </c>
      <c r="Y84" s="5">
        <v>1366.7</v>
      </c>
      <c r="Z84" s="3">
        <v>585.73</v>
      </c>
      <c r="AA84" s="3">
        <v>0</v>
      </c>
    </row>
    <row r="85" spans="1:27" ht="36.75" x14ac:dyDescent="0.25">
      <c r="A85" s="3" t="s">
        <v>28</v>
      </c>
      <c r="B85" s="3" t="s">
        <v>29</v>
      </c>
      <c r="C85" s="3" t="s">
        <v>30</v>
      </c>
      <c r="D85" s="3" t="s">
        <v>31</v>
      </c>
      <c r="E85" s="3" t="s">
        <v>51</v>
      </c>
      <c r="F85" s="3" t="s">
        <v>120</v>
      </c>
      <c r="G85" s="3">
        <v>2025</v>
      </c>
      <c r="H85" s="3" t="str">
        <f>CONCATENATE("54240579745")</f>
        <v>54240579745</v>
      </c>
      <c r="I85" s="3" t="s">
        <v>34</v>
      </c>
      <c r="J85" s="3" t="s">
        <v>35</v>
      </c>
      <c r="K85" s="3"/>
      <c r="L85" s="3" t="s">
        <v>36</v>
      </c>
      <c r="M85" s="3" t="str">
        <f>CONCATENATE("01808070435")</f>
        <v>01808070435</v>
      </c>
      <c r="N85" s="3" t="s">
        <v>169</v>
      </c>
      <c r="O85" s="3" t="s">
        <v>38</v>
      </c>
      <c r="P85" s="3"/>
      <c r="Q85" s="4">
        <v>45968</v>
      </c>
      <c r="R85" s="3" t="s">
        <v>39</v>
      </c>
      <c r="S85" s="3" t="s">
        <v>38</v>
      </c>
      <c r="T85" s="3" t="s">
        <v>40</v>
      </c>
      <c r="U85" s="3"/>
      <c r="V85" s="3" t="s">
        <v>41</v>
      </c>
      <c r="W85" s="5">
        <v>6407.39</v>
      </c>
      <c r="X85" s="5">
        <v>4805.54</v>
      </c>
      <c r="Y85" s="5">
        <v>1121.29</v>
      </c>
      <c r="Z85" s="3">
        <v>480.56</v>
      </c>
      <c r="AA85" s="3">
        <v>0</v>
      </c>
    </row>
    <row r="86" spans="1:27" ht="60.75" x14ac:dyDescent="0.25">
      <c r="A86" s="3" t="s">
        <v>28</v>
      </c>
      <c r="B86" s="3" t="s">
        <v>29</v>
      </c>
      <c r="C86" s="3" t="s">
        <v>30</v>
      </c>
      <c r="D86" s="3" t="s">
        <v>65</v>
      </c>
      <c r="E86" s="3" t="s">
        <v>32</v>
      </c>
      <c r="F86" s="3" t="s">
        <v>144</v>
      </c>
      <c r="G86" s="3">
        <v>2025</v>
      </c>
      <c r="H86" s="3" t="str">
        <f>CONCATENATE("54240580008")</f>
        <v>54240580008</v>
      </c>
      <c r="I86" s="3" t="s">
        <v>44</v>
      </c>
      <c r="J86" s="3" t="s">
        <v>35</v>
      </c>
      <c r="K86" s="3"/>
      <c r="L86" s="3" t="s">
        <v>36</v>
      </c>
      <c r="M86" s="3" t="str">
        <f>CONCATENATE("BDRFLV86B58L500L")</f>
        <v>BDRFLV86B58L500L</v>
      </c>
      <c r="N86" s="3" t="s">
        <v>170</v>
      </c>
      <c r="O86" s="3" t="s">
        <v>38</v>
      </c>
      <c r="P86" s="3"/>
      <c r="Q86" s="4">
        <v>45968</v>
      </c>
      <c r="R86" s="3" t="s">
        <v>39</v>
      </c>
      <c r="S86" s="3" t="s">
        <v>38</v>
      </c>
      <c r="T86" s="3" t="s">
        <v>40</v>
      </c>
      <c r="U86" s="3"/>
      <c r="V86" s="3" t="s">
        <v>41</v>
      </c>
      <c r="W86" s="5">
        <v>1153.92</v>
      </c>
      <c r="X86" s="3">
        <v>865.44</v>
      </c>
      <c r="Y86" s="3">
        <v>201.94</v>
      </c>
      <c r="Z86" s="3">
        <v>86.54</v>
      </c>
      <c r="AA86" s="3">
        <v>0</v>
      </c>
    </row>
    <row r="87" spans="1:27" ht="72.75" x14ac:dyDescent="0.25">
      <c r="A87" s="3" t="s">
        <v>28</v>
      </c>
      <c r="B87" s="3" t="s">
        <v>29</v>
      </c>
      <c r="C87" s="3" t="s">
        <v>30</v>
      </c>
      <c r="D87" s="3" t="s">
        <v>42</v>
      </c>
      <c r="E87" s="3" t="s">
        <v>32</v>
      </c>
      <c r="F87" s="3" t="s">
        <v>110</v>
      </c>
      <c r="G87" s="3">
        <v>2025</v>
      </c>
      <c r="H87" s="3" t="str">
        <f>CONCATENATE("54240580206")</f>
        <v>54240580206</v>
      </c>
      <c r="I87" s="3" t="s">
        <v>34</v>
      </c>
      <c r="J87" s="3" t="s">
        <v>35</v>
      </c>
      <c r="K87" s="3"/>
      <c r="L87" s="3" t="s">
        <v>36</v>
      </c>
      <c r="M87" s="3" t="str">
        <f>CONCATENATE("CPRMRA55H46A047U")</f>
        <v>CPRMRA55H46A047U</v>
      </c>
      <c r="N87" s="3" t="s">
        <v>171</v>
      </c>
      <c r="O87" s="3" t="s">
        <v>38</v>
      </c>
      <c r="P87" s="3"/>
      <c r="Q87" s="4">
        <v>45968</v>
      </c>
      <c r="R87" s="3" t="s">
        <v>39</v>
      </c>
      <c r="S87" s="3" t="s">
        <v>38</v>
      </c>
      <c r="T87" s="3" t="s">
        <v>40</v>
      </c>
      <c r="U87" s="3"/>
      <c r="V87" s="3" t="s">
        <v>41</v>
      </c>
      <c r="W87" s="5">
        <v>3809.05</v>
      </c>
      <c r="X87" s="5">
        <v>2856.79</v>
      </c>
      <c r="Y87" s="3">
        <v>666.58</v>
      </c>
      <c r="Z87" s="3">
        <v>285.68</v>
      </c>
      <c r="AA87" s="3">
        <v>0</v>
      </c>
    </row>
    <row r="88" spans="1:27" ht="60.75" x14ac:dyDescent="0.25">
      <c r="A88" s="3" t="s">
        <v>28</v>
      </c>
      <c r="B88" s="3" t="s">
        <v>29</v>
      </c>
      <c r="C88" s="3" t="s">
        <v>30</v>
      </c>
      <c r="D88" s="3" t="s">
        <v>65</v>
      </c>
      <c r="E88" s="3" t="s">
        <v>32</v>
      </c>
      <c r="F88" s="3" t="s">
        <v>144</v>
      </c>
      <c r="G88" s="3">
        <v>2025</v>
      </c>
      <c r="H88" s="3" t="str">
        <f>CONCATENATE("54240580768")</f>
        <v>54240580768</v>
      </c>
      <c r="I88" s="3" t="s">
        <v>34</v>
      </c>
      <c r="J88" s="3" t="s">
        <v>35</v>
      </c>
      <c r="K88" s="3"/>
      <c r="L88" s="3" t="s">
        <v>36</v>
      </c>
      <c r="M88" s="3" t="str">
        <f>CONCATENATE("CNTRNN02H62L500I")</f>
        <v>CNTRNN02H62L500I</v>
      </c>
      <c r="N88" s="3" t="s">
        <v>172</v>
      </c>
      <c r="O88" s="3" t="s">
        <v>38</v>
      </c>
      <c r="P88" s="3"/>
      <c r="Q88" s="4">
        <v>45968</v>
      </c>
      <c r="R88" s="3" t="s">
        <v>39</v>
      </c>
      <c r="S88" s="3" t="s">
        <v>38</v>
      </c>
      <c r="T88" s="3" t="s">
        <v>40</v>
      </c>
      <c r="U88" s="3"/>
      <c r="V88" s="3" t="s">
        <v>41</v>
      </c>
      <c r="W88" s="5">
        <v>3211.97</v>
      </c>
      <c r="X88" s="5">
        <v>2408.98</v>
      </c>
      <c r="Y88" s="3">
        <v>562.09</v>
      </c>
      <c r="Z88" s="3">
        <v>240.9</v>
      </c>
      <c r="AA88" s="3">
        <v>0</v>
      </c>
    </row>
    <row r="89" spans="1:27" ht="36.75" x14ac:dyDescent="0.25">
      <c r="A89" s="3" t="s">
        <v>28</v>
      </c>
      <c r="B89" s="3" t="s">
        <v>29</v>
      </c>
      <c r="C89" s="3" t="s">
        <v>30</v>
      </c>
      <c r="D89" s="3" t="s">
        <v>31</v>
      </c>
      <c r="E89" s="3" t="s">
        <v>51</v>
      </c>
      <c r="F89" s="3" t="s">
        <v>120</v>
      </c>
      <c r="G89" s="3">
        <v>2025</v>
      </c>
      <c r="H89" s="3" t="str">
        <f>CONCATENATE("54240581105")</f>
        <v>54240581105</v>
      </c>
      <c r="I89" s="3" t="s">
        <v>34</v>
      </c>
      <c r="J89" s="3" t="s">
        <v>35</v>
      </c>
      <c r="K89" s="3"/>
      <c r="L89" s="3" t="s">
        <v>36</v>
      </c>
      <c r="M89" s="3" t="str">
        <f>CONCATENATE("01344860430")</f>
        <v>01344860430</v>
      </c>
      <c r="N89" s="3" t="s">
        <v>173</v>
      </c>
      <c r="O89" s="3" t="s">
        <v>38</v>
      </c>
      <c r="P89" s="3"/>
      <c r="Q89" s="4">
        <v>45968</v>
      </c>
      <c r="R89" s="3" t="s">
        <v>39</v>
      </c>
      <c r="S89" s="3" t="s">
        <v>38</v>
      </c>
      <c r="T89" s="3" t="s">
        <v>40</v>
      </c>
      <c r="U89" s="3"/>
      <c r="V89" s="3" t="s">
        <v>41</v>
      </c>
      <c r="W89" s="5">
        <v>15774.97</v>
      </c>
      <c r="X89" s="5">
        <v>11831.23</v>
      </c>
      <c r="Y89" s="5">
        <v>2760.62</v>
      </c>
      <c r="Z89" s="5">
        <v>1183.1199999999999</v>
      </c>
      <c r="AA89" s="3">
        <v>0</v>
      </c>
    </row>
    <row r="90" spans="1:27" ht="36.75" x14ac:dyDescent="0.25">
      <c r="A90" s="3" t="s">
        <v>28</v>
      </c>
      <c r="B90" s="3" t="s">
        <v>29</v>
      </c>
      <c r="C90" s="3" t="s">
        <v>30</v>
      </c>
      <c r="D90" s="3" t="s">
        <v>31</v>
      </c>
      <c r="E90" s="3" t="s">
        <v>32</v>
      </c>
      <c r="F90" s="3" t="s">
        <v>33</v>
      </c>
      <c r="G90" s="3">
        <v>2025</v>
      </c>
      <c r="H90" s="3" t="str">
        <f>CONCATENATE("54240582038")</f>
        <v>54240582038</v>
      </c>
      <c r="I90" s="3" t="s">
        <v>34</v>
      </c>
      <c r="J90" s="3" t="s">
        <v>35</v>
      </c>
      <c r="K90" s="3"/>
      <c r="L90" s="3" t="s">
        <v>36</v>
      </c>
      <c r="M90" s="3" t="str">
        <f>CONCATENATE("01111420426")</f>
        <v>01111420426</v>
      </c>
      <c r="N90" s="3" t="s">
        <v>174</v>
      </c>
      <c r="O90" s="3" t="s">
        <v>38</v>
      </c>
      <c r="P90" s="3"/>
      <c r="Q90" s="4">
        <v>45968</v>
      </c>
      <c r="R90" s="3" t="s">
        <v>39</v>
      </c>
      <c r="S90" s="3" t="s">
        <v>38</v>
      </c>
      <c r="T90" s="3" t="s">
        <v>40</v>
      </c>
      <c r="U90" s="3"/>
      <c r="V90" s="3" t="s">
        <v>41</v>
      </c>
      <c r="W90" s="5">
        <v>8246.09</v>
      </c>
      <c r="X90" s="5">
        <v>6184.57</v>
      </c>
      <c r="Y90" s="5">
        <v>1443.07</v>
      </c>
      <c r="Z90" s="3">
        <v>618.45000000000005</v>
      </c>
      <c r="AA90" s="3">
        <v>0</v>
      </c>
    </row>
    <row r="91" spans="1:27" ht="36.75" x14ac:dyDescent="0.25">
      <c r="A91" s="3" t="s">
        <v>28</v>
      </c>
      <c r="B91" s="3" t="s">
        <v>29</v>
      </c>
      <c r="C91" s="3" t="s">
        <v>30</v>
      </c>
      <c r="D91" s="3" t="s">
        <v>65</v>
      </c>
      <c r="E91" s="3" t="s">
        <v>48</v>
      </c>
      <c r="F91" s="3" t="s">
        <v>66</v>
      </c>
      <c r="G91" s="3">
        <v>2025</v>
      </c>
      <c r="H91" s="3" t="str">
        <f>CONCATENATE("54240648128")</f>
        <v>54240648128</v>
      </c>
      <c r="I91" s="3" t="s">
        <v>34</v>
      </c>
      <c r="J91" s="3" t="s">
        <v>35</v>
      </c>
      <c r="K91" s="3"/>
      <c r="L91" s="3" t="s">
        <v>36</v>
      </c>
      <c r="M91" s="3" t="str">
        <f>CONCATENATE("02638550414")</f>
        <v>02638550414</v>
      </c>
      <c r="N91" s="3" t="s">
        <v>175</v>
      </c>
      <c r="O91" s="3" t="s">
        <v>38</v>
      </c>
      <c r="P91" s="3"/>
      <c r="Q91" s="4">
        <v>45968</v>
      </c>
      <c r="R91" s="3" t="s">
        <v>39</v>
      </c>
      <c r="S91" s="3" t="s">
        <v>38</v>
      </c>
      <c r="T91" s="3" t="s">
        <v>40</v>
      </c>
      <c r="U91" s="3"/>
      <c r="V91" s="3" t="s">
        <v>41</v>
      </c>
      <c r="W91" s="5">
        <v>5060.96</v>
      </c>
      <c r="X91" s="5">
        <v>3795.72</v>
      </c>
      <c r="Y91" s="3">
        <v>885.67</v>
      </c>
      <c r="Z91" s="3">
        <v>379.57</v>
      </c>
      <c r="AA91" s="3">
        <v>0</v>
      </c>
    </row>
    <row r="92" spans="1:27" ht="60.75" x14ac:dyDescent="0.25">
      <c r="A92" s="3" t="s">
        <v>28</v>
      </c>
      <c r="B92" s="3" t="s">
        <v>29</v>
      </c>
      <c r="C92" s="3" t="s">
        <v>30</v>
      </c>
      <c r="D92" s="3" t="s">
        <v>65</v>
      </c>
      <c r="E92" s="3" t="s">
        <v>48</v>
      </c>
      <c r="F92" s="3" t="s">
        <v>66</v>
      </c>
      <c r="G92" s="3">
        <v>2025</v>
      </c>
      <c r="H92" s="3" t="str">
        <f>CONCATENATE("54240588548")</f>
        <v>54240588548</v>
      </c>
      <c r="I92" s="3" t="s">
        <v>34</v>
      </c>
      <c r="J92" s="3" t="s">
        <v>35</v>
      </c>
      <c r="K92" s="3"/>
      <c r="L92" s="3" t="s">
        <v>36</v>
      </c>
      <c r="M92" s="3" t="str">
        <f>CONCATENATE("GMBMRZ60C28L50LL")</f>
        <v>GMBMRZ60C28L50LL</v>
      </c>
      <c r="N92" s="3" t="s">
        <v>176</v>
      </c>
      <c r="O92" s="3" t="s">
        <v>38</v>
      </c>
      <c r="P92" s="3"/>
      <c r="Q92" s="4">
        <v>45968</v>
      </c>
      <c r="R92" s="3" t="s">
        <v>39</v>
      </c>
      <c r="S92" s="3" t="s">
        <v>38</v>
      </c>
      <c r="T92" s="3" t="s">
        <v>40</v>
      </c>
      <c r="U92" s="3"/>
      <c r="V92" s="3" t="s">
        <v>41</v>
      </c>
      <c r="W92" s="5">
        <v>4681.2700000000004</v>
      </c>
      <c r="X92" s="5">
        <v>3510.95</v>
      </c>
      <c r="Y92" s="3">
        <v>819.22</v>
      </c>
      <c r="Z92" s="3">
        <v>351.1</v>
      </c>
      <c r="AA92" s="3">
        <v>0</v>
      </c>
    </row>
    <row r="93" spans="1:27" ht="60.75" x14ac:dyDescent="0.25">
      <c r="A93" s="3" t="s">
        <v>28</v>
      </c>
      <c r="B93" s="3" t="s">
        <v>29</v>
      </c>
      <c r="C93" s="3" t="s">
        <v>30</v>
      </c>
      <c r="D93" s="3" t="s">
        <v>31</v>
      </c>
      <c r="E93" s="3" t="s">
        <v>32</v>
      </c>
      <c r="F93" s="3" t="s">
        <v>33</v>
      </c>
      <c r="G93" s="3">
        <v>2025</v>
      </c>
      <c r="H93" s="3" t="str">
        <f>CONCATENATE("54240582442")</f>
        <v>54240582442</v>
      </c>
      <c r="I93" s="3" t="s">
        <v>34</v>
      </c>
      <c r="J93" s="3" t="s">
        <v>35</v>
      </c>
      <c r="K93" s="3"/>
      <c r="L93" s="3" t="s">
        <v>36</v>
      </c>
      <c r="M93" s="3" t="str">
        <f>CONCATENATE("FZLFPP96C19H501J")</f>
        <v>FZLFPP96C19H501J</v>
      </c>
      <c r="N93" s="3" t="s">
        <v>177</v>
      </c>
      <c r="O93" s="3" t="s">
        <v>38</v>
      </c>
      <c r="P93" s="3"/>
      <c r="Q93" s="4">
        <v>45968</v>
      </c>
      <c r="R93" s="3" t="s">
        <v>39</v>
      </c>
      <c r="S93" s="3" t="s">
        <v>38</v>
      </c>
      <c r="T93" s="3" t="s">
        <v>40</v>
      </c>
      <c r="U93" s="3"/>
      <c r="V93" s="3" t="s">
        <v>41</v>
      </c>
      <c r="W93" s="5">
        <v>2487.54</v>
      </c>
      <c r="X93" s="5">
        <v>1865.66</v>
      </c>
      <c r="Y93" s="3">
        <v>435.32</v>
      </c>
      <c r="Z93" s="3">
        <v>186.56</v>
      </c>
      <c r="AA93" s="3">
        <v>0</v>
      </c>
    </row>
    <row r="94" spans="1:27" ht="72.75" x14ac:dyDescent="0.25">
      <c r="A94" s="3" t="s">
        <v>28</v>
      </c>
      <c r="B94" s="3" t="s">
        <v>29</v>
      </c>
      <c r="C94" s="3" t="s">
        <v>30</v>
      </c>
      <c r="D94" s="3" t="s">
        <v>42</v>
      </c>
      <c r="E94" s="3" t="s">
        <v>43</v>
      </c>
      <c r="F94" s="3" t="s">
        <v>43</v>
      </c>
      <c r="G94" s="3">
        <v>2025</v>
      </c>
      <c r="H94" s="3" t="str">
        <f>CONCATENATE("54240585734")</f>
        <v>54240585734</v>
      </c>
      <c r="I94" s="3" t="s">
        <v>34</v>
      </c>
      <c r="J94" s="3" t="s">
        <v>35</v>
      </c>
      <c r="K94" s="3"/>
      <c r="L94" s="3" t="s">
        <v>36</v>
      </c>
      <c r="M94" s="3" t="str">
        <f>CONCATENATE("CNLMRA55H65G005M")</f>
        <v>CNLMRA55H65G005M</v>
      </c>
      <c r="N94" s="3" t="s">
        <v>178</v>
      </c>
      <c r="O94" s="3" t="s">
        <v>38</v>
      </c>
      <c r="P94" s="3"/>
      <c r="Q94" s="4">
        <v>45968</v>
      </c>
      <c r="R94" s="3" t="s">
        <v>39</v>
      </c>
      <c r="S94" s="3" t="s">
        <v>38</v>
      </c>
      <c r="T94" s="3" t="s">
        <v>40</v>
      </c>
      <c r="U94" s="3"/>
      <c r="V94" s="3" t="s">
        <v>41</v>
      </c>
      <c r="W94" s="5">
        <v>2893.29</v>
      </c>
      <c r="X94" s="5">
        <v>2169.9699999999998</v>
      </c>
      <c r="Y94" s="3">
        <v>506.33</v>
      </c>
      <c r="Z94" s="3">
        <v>216.99</v>
      </c>
      <c r="AA94" s="3">
        <v>0</v>
      </c>
    </row>
    <row r="95" spans="1:27" ht="36.75" x14ac:dyDescent="0.25">
      <c r="A95" s="3" t="s">
        <v>28</v>
      </c>
      <c r="B95" s="3" t="s">
        <v>29</v>
      </c>
      <c r="C95" s="3" t="s">
        <v>30</v>
      </c>
      <c r="D95" s="3" t="s">
        <v>65</v>
      </c>
      <c r="E95" s="3" t="s">
        <v>32</v>
      </c>
      <c r="F95" s="3" t="s">
        <v>144</v>
      </c>
      <c r="G95" s="3">
        <v>2025</v>
      </c>
      <c r="H95" s="3" t="str">
        <f>CONCATENATE("54240586195")</f>
        <v>54240586195</v>
      </c>
      <c r="I95" s="3" t="s">
        <v>44</v>
      </c>
      <c r="J95" s="3" t="s">
        <v>35</v>
      </c>
      <c r="K95" s="3"/>
      <c r="L95" s="3" t="s">
        <v>36</v>
      </c>
      <c r="M95" s="3" t="str">
        <f>CONCATENATE("02449950415")</f>
        <v>02449950415</v>
      </c>
      <c r="N95" s="3" t="s">
        <v>179</v>
      </c>
      <c r="O95" s="3" t="s">
        <v>38</v>
      </c>
      <c r="P95" s="3"/>
      <c r="Q95" s="4">
        <v>45968</v>
      </c>
      <c r="R95" s="3" t="s">
        <v>39</v>
      </c>
      <c r="S95" s="3" t="s">
        <v>38</v>
      </c>
      <c r="T95" s="3" t="s">
        <v>40</v>
      </c>
      <c r="U95" s="3"/>
      <c r="V95" s="3" t="s">
        <v>41</v>
      </c>
      <c r="W95" s="3">
        <v>445.95</v>
      </c>
      <c r="X95" s="3">
        <v>334.46</v>
      </c>
      <c r="Y95" s="3">
        <v>78.040000000000006</v>
      </c>
      <c r="Z95" s="3">
        <v>33.450000000000003</v>
      </c>
      <c r="AA95" s="3">
        <v>0</v>
      </c>
    </row>
    <row r="96" spans="1:27" ht="36.75" x14ac:dyDescent="0.25">
      <c r="A96" s="3" t="s">
        <v>28</v>
      </c>
      <c r="B96" s="3" t="s">
        <v>29</v>
      </c>
      <c r="C96" s="3" t="s">
        <v>30</v>
      </c>
      <c r="D96" s="3" t="s">
        <v>42</v>
      </c>
      <c r="E96" s="3" t="s">
        <v>43</v>
      </c>
      <c r="F96" s="3" t="s">
        <v>43</v>
      </c>
      <c r="G96" s="3">
        <v>2025</v>
      </c>
      <c r="H96" s="3" t="str">
        <f>CONCATENATE("54240587763")</f>
        <v>54240587763</v>
      </c>
      <c r="I96" s="3" t="s">
        <v>34</v>
      </c>
      <c r="J96" s="3" t="s">
        <v>35</v>
      </c>
      <c r="K96" s="3"/>
      <c r="L96" s="3" t="s">
        <v>36</v>
      </c>
      <c r="M96" s="3" t="str">
        <f>CONCATENATE("04629080260")</f>
        <v>04629080260</v>
      </c>
      <c r="N96" s="3" t="s">
        <v>180</v>
      </c>
      <c r="O96" s="3" t="s">
        <v>38</v>
      </c>
      <c r="P96" s="3"/>
      <c r="Q96" s="4">
        <v>45968</v>
      </c>
      <c r="R96" s="3" t="s">
        <v>39</v>
      </c>
      <c r="S96" s="3" t="s">
        <v>38</v>
      </c>
      <c r="T96" s="3" t="s">
        <v>40</v>
      </c>
      <c r="U96" s="3"/>
      <c r="V96" s="3" t="s">
        <v>41</v>
      </c>
      <c r="W96" s="5">
        <v>7582.03</v>
      </c>
      <c r="X96" s="5">
        <v>5686.52</v>
      </c>
      <c r="Y96" s="5">
        <v>1326.86</v>
      </c>
      <c r="Z96" s="3">
        <v>568.65</v>
      </c>
      <c r="AA96" s="3">
        <v>0</v>
      </c>
    </row>
    <row r="97" spans="1:27" ht="60.75" x14ac:dyDescent="0.25">
      <c r="A97" s="3" t="s">
        <v>28</v>
      </c>
      <c r="B97" s="3" t="s">
        <v>29</v>
      </c>
      <c r="C97" s="3" t="s">
        <v>30</v>
      </c>
      <c r="D97" s="3" t="s">
        <v>65</v>
      </c>
      <c r="E97" s="3" t="s">
        <v>32</v>
      </c>
      <c r="F97" s="3" t="s">
        <v>144</v>
      </c>
      <c r="G97" s="3">
        <v>2025</v>
      </c>
      <c r="H97" s="3" t="str">
        <f>CONCATENATE("54240620358")</f>
        <v>54240620358</v>
      </c>
      <c r="I97" s="3" t="s">
        <v>34</v>
      </c>
      <c r="J97" s="3" t="s">
        <v>35</v>
      </c>
      <c r="K97" s="3"/>
      <c r="L97" s="3" t="s">
        <v>36</v>
      </c>
      <c r="M97" s="3" t="str">
        <f>CONCATENATE("CNCNDR90M21I459O")</f>
        <v>CNCNDR90M21I459O</v>
      </c>
      <c r="N97" s="3" t="s">
        <v>181</v>
      </c>
      <c r="O97" s="3" t="s">
        <v>38</v>
      </c>
      <c r="P97" s="3"/>
      <c r="Q97" s="4">
        <v>45968</v>
      </c>
      <c r="R97" s="3" t="s">
        <v>39</v>
      </c>
      <c r="S97" s="3" t="s">
        <v>38</v>
      </c>
      <c r="T97" s="3" t="s">
        <v>40</v>
      </c>
      <c r="U97" s="3"/>
      <c r="V97" s="3" t="s">
        <v>41</v>
      </c>
      <c r="W97" s="5">
        <v>38936.699999999997</v>
      </c>
      <c r="X97" s="5">
        <v>29202.53</v>
      </c>
      <c r="Y97" s="5">
        <v>6813.92</v>
      </c>
      <c r="Z97" s="5">
        <v>2920.25</v>
      </c>
      <c r="AA97" s="3">
        <v>0</v>
      </c>
    </row>
    <row r="98" spans="1:27" ht="36.75" x14ac:dyDescent="0.25">
      <c r="A98" s="3" t="s">
        <v>28</v>
      </c>
      <c r="B98" s="3" t="s">
        <v>29</v>
      </c>
      <c r="C98" s="3" t="s">
        <v>30</v>
      </c>
      <c r="D98" s="3" t="s">
        <v>65</v>
      </c>
      <c r="E98" s="3" t="s">
        <v>32</v>
      </c>
      <c r="F98" s="3" t="s">
        <v>144</v>
      </c>
      <c r="G98" s="3">
        <v>2025</v>
      </c>
      <c r="H98" s="3" t="str">
        <f>CONCATENATE("54240620515")</f>
        <v>54240620515</v>
      </c>
      <c r="I98" s="3" t="s">
        <v>34</v>
      </c>
      <c r="J98" s="3" t="s">
        <v>35</v>
      </c>
      <c r="K98" s="3"/>
      <c r="L98" s="3" t="s">
        <v>36</v>
      </c>
      <c r="M98" s="3" t="str">
        <f>CONCATENATE("01374610416")</f>
        <v>01374610416</v>
      </c>
      <c r="N98" s="3" t="s">
        <v>182</v>
      </c>
      <c r="O98" s="3" t="s">
        <v>38</v>
      </c>
      <c r="P98" s="3"/>
      <c r="Q98" s="4">
        <v>45968</v>
      </c>
      <c r="R98" s="3" t="s">
        <v>39</v>
      </c>
      <c r="S98" s="3" t="s">
        <v>38</v>
      </c>
      <c r="T98" s="3" t="s">
        <v>40</v>
      </c>
      <c r="U98" s="3"/>
      <c r="V98" s="3" t="s">
        <v>41</v>
      </c>
      <c r="W98" s="5">
        <v>24112.16</v>
      </c>
      <c r="X98" s="5">
        <v>18084.12</v>
      </c>
      <c r="Y98" s="5">
        <v>4219.63</v>
      </c>
      <c r="Z98" s="5">
        <v>1808.41</v>
      </c>
      <c r="AA98" s="3">
        <v>0</v>
      </c>
    </row>
    <row r="99" spans="1:27" ht="60.75" x14ac:dyDescent="0.25">
      <c r="A99" s="3" t="s">
        <v>28</v>
      </c>
      <c r="B99" s="3" t="s">
        <v>29</v>
      </c>
      <c r="C99" s="3" t="s">
        <v>30</v>
      </c>
      <c r="D99" s="3" t="s">
        <v>42</v>
      </c>
      <c r="E99" s="3" t="s">
        <v>43</v>
      </c>
      <c r="F99" s="3" t="s">
        <v>43</v>
      </c>
      <c r="G99" s="3">
        <v>2025</v>
      </c>
      <c r="H99" s="3" t="str">
        <f>CONCATENATE("54240587722")</f>
        <v>54240587722</v>
      </c>
      <c r="I99" s="3" t="s">
        <v>34</v>
      </c>
      <c r="J99" s="3" t="s">
        <v>35</v>
      </c>
      <c r="K99" s="3"/>
      <c r="L99" s="3" t="s">
        <v>36</v>
      </c>
      <c r="M99" s="3" t="str">
        <f>CONCATENATE("LNCDRN68L63G005C")</f>
        <v>LNCDRN68L63G005C</v>
      </c>
      <c r="N99" s="3" t="s">
        <v>183</v>
      </c>
      <c r="O99" s="3" t="s">
        <v>38</v>
      </c>
      <c r="P99" s="3"/>
      <c r="Q99" s="4">
        <v>45968</v>
      </c>
      <c r="R99" s="3" t="s">
        <v>39</v>
      </c>
      <c r="S99" s="3" t="s">
        <v>38</v>
      </c>
      <c r="T99" s="3" t="s">
        <v>40</v>
      </c>
      <c r="U99" s="3"/>
      <c r="V99" s="3" t="s">
        <v>41</v>
      </c>
      <c r="W99" s="5">
        <v>3510.44</v>
      </c>
      <c r="X99" s="5">
        <v>2632.83</v>
      </c>
      <c r="Y99" s="3">
        <v>614.33000000000004</v>
      </c>
      <c r="Z99" s="3">
        <v>263.27999999999997</v>
      </c>
      <c r="AA99" s="3">
        <v>0</v>
      </c>
    </row>
    <row r="100" spans="1:27" ht="60.75" x14ac:dyDescent="0.25">
      <c r="A100" s="3" t="s">
        <v>28</v>
      </c>
      <c r="B100" s="3" t="s">
        <v>29</v>
      </c>
      <c r="C100" s="3" t="s">
        <v>30</v>
      </c>
      <c r="D100" s="3" t="s">
        <v>65</v>
      </c>
      <c r="E100" s="3" t="s">
        <v>32</v>
      </c>
      <c r="F100" s="3" t="s">
        <v>144</v>
      </c>
      <c r="G100" s="3">
        <v>2025</v>
      </c>
      <c r="H100" s="3" t="str">
        <f>CONCATENATE("54240587920")</f>
        <v>54240587920</v>
      </c>
      <c r="I100" s="3" t="s">
        <v>44</v>
      </c>
      <c r="J100" s="3" t="s">
        <v>35</v>
      </c>
      <c r="K100" s="3"/>
      <c r="L100" s="3" t="s">
        <v>36</v>
      </c>
      <c r="M100" s="3" t="str">
        <f>CONCATENATE("RCNLNR90C64L500O")</f>
        <v>RCNLNR90C64L500O</v>
      </c>
      <c r="N100" s="3" t="s">
        <v>184</v>
      </c>
      <c r="O100" s="3" t="s">
        <v>38</v>
      </c>
      <c r="P100" s="3"/>
      <c r="Q100" s="4">
        <v>45968</v>
      </c>
      <c r="R100" s="3" t="s">
        <v>39</v>
      </c>
      <c r="S100" s="3" t="s">
        <v>38</v>
      </c>
      <c r="T100" s="3" t="s">
        <v>40</v>
      </c>
      <c r="U100" s="3"/>
      <c r="V100" s="3" t="s">
        <v>41</v>
      </c>
      <c r="W100" s="5">
        <v>8936.8700000000008</v>
      </c>
      <c r="X100" s="5">
        <v>6702.65</v>
      </c>
      <c r="Y100" s="5">
        <v>1563.95</v>
      </c>
      <c r="Z100" s="3">
        <v>670.27</v>
      </c>
      <c r="AA100" s="3">
        <v>0</v>
      </c>
    </row>
    <row r="101" spans="1:27" ht="36.75" x14ac:dyDescent="0.25">
      <c r="A101" s="3" t="s">
        <v>28</v>
      </c>
      <c r="B101" s="3" t="s">
        <v>29</v>
      </c>
      <c r="C101" s="3" t="s">
        <v>30</v>
      </c>
      <c r="D101" s="3" t="s">
        <v>42</v>
      </c>
      <c r="E101" s="3" t="s">
        <v>43</v>
      </c>
      <c r="F101" s="3" t="s">
        <v>43</v>
      </c>
      <c r="G101" s="3">
        <v>2025</v>
      </c>
      <c r="H101" s="3" t="str">
        <f>CONCATENATE("54240588506")</f>
        <v>54240588506</v>
      </c>
      <c r="I101" s="3" t="s">
        <v>34</v>
      </c>
      <c r="J101" s="3" t="s">
        <v>35</v>
      </c>
      <c r="K101" s="3"/>
      <c r="L101" s="3" t="s">
        <v>36</v>
      </c>
      <c r="M101" s="3" t="str">
        <f>CONCATENATE("01963440449")</f>
        <v>01963440449</v>
      </c>
      <c r="N101" s="3" t="s">
        <v>185</v>
      </c>
      <c r="O101" s="3" t="s">
        <v>38</v>
      </c>
      <c r="P101" s="3"/>
      <c r="Q101" s="4">
        <v>45968</v>
      </c>
      <c r="R101" s="3" t="s">
        <v>39</v>
      </c>
      <c r="S101" s="3" t="s">
        <v>38</v>
      </c>
      <c r="T101" s="3" t="s">
        <v>40</v>
      </c>
      <c r="U101" s="3"/>
      <c r="V101" s="3" t="s">
        <v>41</v>
      </c>
      <c r="W101" s="5">
        <v>13240.92</v>
      </c>
      <c r="X101" s="5">
        <v>9930.69</v>
      </c>
      <c r="Y101" s="5">
        <v>2317.16</v>
      </c>
      <c r="Z101" s="3">
        <v>993.07</v>
      </c>
      <c r="AA101" s="3">
        <v>0</v>
      </c>
    </row>
    <row r="102" spans="1:27" ht="60.75" x14ac:dyDescent="0.25">
      <c r="A102" s="3" t="s">
        <v>28</v>
      </c>
      <c r="B102" s="3" t="s">
        <v>29</v>
      </c>
      <c r="C102" s="3" t="s">
        <v>30</v>
      </c>
      <c r="D102" s="3" t="s">
        <v>31</v>
      </c>
      <c r="E102" s="3" t="s">
        <v>51</v>
      </c>
      <c r="F102" s="3" t="s">
        <v>99</v>
      </c>
      <c r="G102" s="3">
        <v>2025</v>
      </c>
      <c r="H102" s="3" t="str">
        <f>CONCATENATE("54240588456")</f>
        <v>54240588456</v>
      </c>
      <c r="I102" s="3" t="s">
        <v>34</v>
      </c>
      <c r="J102" s="3" t="s">
        <v>35</v>
      </c>
      <c r="K102" s="3"/>
      <c r="L102" s="3" t="s">
        <v>36</v>
      </c>
      <c r="M102" s="3" t="str">
        <f>CONCATENATE("SRNLVZ46S29I653Y")</f>
        <v>SRNLVZ46S29I653Y</v>
      </c>
      <c r="N102" s="3" t="s">
        <v>186</v>
      </c>
      <c r="O102" s="3" t="s">
        <v>38</v>
      </c>
      <c r="P102" s="3"/>
      <c r="Q102" s="4">
        <v>45968</v>
      </c>
      <c r="R102" s="3" t="s">
        <v>39</v>
      </c>
      <c r="S102" s="3" t="s">
        <v>38</v>
      </c>
      <c r="T102" s="3" t="s">
        <v>40</v>
      </c>
      <c r="U102" s="3"/>
      <c r="V102" s="3" t="s">
        <v>41</v>
      </c>
      <c r="W102" s="5">
        <v>4065.42</v>
      </c>
      <c r="X102" s="5">
        <v>3049.07</v>
      </c>
      <c r="Y102" s="3">
        <v>711.45</v>
      </c>
      <c r="Z102" s="3">
        <v>304.89999999999998</v>
      </c>
      <c r="AA102" s="3">
        <v>0</v>
      </c>
    </row>
    <row r="103" spans="1:27" ht="36.75" x14ac:dyDescent="0.25">
      <c r="A103" s="3" t="s">
        <v>28</v>
      </c>
      <c r="B103" s="3" t="s">
        <v>29</v>
      </c>
      <c r="C103" s="3" t="s">
        <v>30</v>
      </c>
      <c r="D103" s="3" t="s">
        <v>31</v>
      </c>
      <c r="E103" s="3" t="s">
        <v>132</v>
      </c>
      <c r="F103" s="3" t="s">
        <v>133</v>
      </c>
      <c r="G103" s="3">
        <v>2025</v>
      </c>
      <c r="H103" s="3" t="str">
        <f>CONCATENATE("54240590031")</f>
        <v>54240590031</v>
      </c>
      <c r="I103" s="3" t="s">
        <v>34</v>
      </c>
      <c r="J103" s="3" t="s">
        <v>35</v>
      </c>
      <c r="K103" s="3"/>
      <c r="L103" s="3" t="s">
        <v>36</v>
      </c>
      <c r="M103" s="3" t="str">
        <f>CONCATENATE("02704340427")</f>
        <v>02704340427</v>
      </c>
      <c r="N103" s="3" t="s">
        <v>187</v>
      </c>
      <c r="O103" s="3" t="s">
        <v>38</v>
      </c>
      <c r="P103" s="3"/>
      <c r="Q103" s="4">
        <v>45968</v>
      </c>
      <c r="R103" s="3" t="s">
        <v>39</v>
      </c>
      <c r="S103" s="3" t="s">
        <v>38</v>
      </c>
      <c r="T103" s="3" t="s">
        <v>40</v>
      </c>
      <c r="U103" s="3"/>
      <c r="V103" s="3" t="s">
        <v>41</v>
      </c>
      <c r="W103" s="5">
        <v>4869.1400000000003</v>
      </c>
      <c r="X103" s="5">
        <v>3651.86</v>
      </c>
      <c r="Y103" s="3">
        <v>852.1</v>
      </c>
      <c r="Z103" s="3">
        <v>365.18</v>
      </c>
      <c r="AA103" s="3">
        <v>0</v>
      </c>
    </row>
    <row r="104" spans="1:27" ht="60.75" x14ac:dyDescent="0.25">
      <c r="A104" s="3" t="s">
        <v>28</v>
      </c>
      <c r="B104" s="3" t="s">
        <v>29</v>
      </c>
      <c r="C104" s="3" t="s">
        <v>30</v>
      </c>
      <c r="D104" s="3" t="s">
        <v>42</v>
      </c>
      <c r="E104" s="3" t="s">
        <v>43</v>
      </c>
      <c r="F104" s="3" t="s">
        <v>43</v>
      </c>
      <c r="G104" s="3">
        <v>2025</v>
      </c>
      <c r="H104" s="3" t="str">
        <f>CONCATENATE("54240589876")</f>
        <v>54240589876</v>
      </c>
      <c r="I104" s="3" t="s">
        <v>34</v>
      </c>
      <c r="J104" s="3" t="s">
        <v>35</v>
      </c>
      <c r="K104" s="3"/>
      <c r="L104" s="3" t="s">
        <v>36</v>
      </c>
      <c r="M104" s="3" t="str">
        <f>CONCATENATE("CPRCLD84M02H769E")</f>
        <v>CPRCLD84M02H769E</v>
      </c>
      <c r="N104" s="3" t="s">
        <v>188</v>
      </c>
      <c r="O104" s="3" t="s">
        <v>38</v>
      </c>
      <c r="P104" s="3"/>
      <c r="Q104" s="4">
        <v>45968</v>
      </c>
      <c r="R104" s="3" t="s">
        <v>39</v>
      </c>
      <c r="S104" s="3" t="s">
        <v>38</v>
      </c>
      <c r="T104" s="3" t="s">
        <v>40</v>
      </c>
      <c r="U104" s="3"/>
      <c r="V104" s="3" t="s">
        <v>41</v>
      </c>
      <c r="W104" s="5">
        <v>6072.34</v>
      </c>
      <c r="X104" s="5">
        <v>4554.26</v>
      </c>
      <c r="Y104" s="5">
        <v>1062.6600000000001</v>
      </c>
      <c r="Z104" s="3">
        <v>455.42</v>
      </c>
      <c r="AA104" s="3">
        <v>0</v>
      </c>
    </row>
    <row r="105" spans="1:27" ht="72.75" x14ac:dyDescent="0.25">
      <c r="A105" s="3" t="s">
        <v>28</v>
      </c>
      <c r="B105" s="3" t="s">
        <v>29</v>
      </c>
      <c r="C105" s="3" t="s">
        <v>30</v>
      </c>
      <c r="D105" s="3" t="s">
        <v>42</v>
      </c>
      <c r="E105" s="3" t="s">
        <v>154</v>
      </c>
      <c r="F105" s="3" t="s">
        <v>155</v>
      </c>
      <c r="G105" s="3">
        <v>2025</v>
      </c>
      <c r="H105" s="3" t="str">
        <f>CONCATENATE("54240590429")</f>
        <v>54240590429</v>
      </c>
      <c r="I105" s="3" t="s">
        <v>44</v>
      </c>
      <c r="J105" s="3" t="s">
        <v>35</v>
      </c>
      <c r="K105" s="3"/>
      <c r="L105" s="3" t="s">
        <v>36</v>
      </c>
      <c r="M105" s="3" t="str">
        <f>CONCATENATE("RMNNDR84P24H769J")</f>
        <v>RMNNDR84P24H769J</v>
      </c>
      <c r="N105" s="3" t="s">
        <v>189</v>
      </c>
      <c r="O105" s="3" t="s">
        <v>38</v>
      </c>
      <c r="P105" s="3"/>
      <c r="Q105" s="4">
        <v>45968</v>
      </c>
      <c r="R105" s="3" t="s">
        <v>39</v>
      </c>
      <c r="S105" s="3" t="s">
        <v>38</v>
      </c>
      <c r="T105" s="3" t="s">
        <v>40</v>
      </c>
      <c r="U105" s="3"/>
      <c r="V105" s="3" t="s">
        <v>41</v>
      </c>
      <c r="W105" s="5">
        <v>1174.98</v>
      </c>
      <c r="X105" s="3">
        <v>881.24</v>
      </c>
      <c r="Y105" s="3">
        <v>205.62</v>
      </c>
      <c r="Z105" s="3">
        <v>88.12</v>
      </c>
      <c r="AA105" s="3">
        <v>0</v>
      </c>
    </row>
    <row r="106" spans="1:27" ht="36.75" x14ac:dyDescent="0.25">
      <c r="A106" s="3" t="s">
        <v>28</v>
      </c>
      <c r="B106" s="3" t="s">
        <v>29</v>
      </c>
      <c r="C106" s="3" t="s">
        <v>30</v>
      </c>
      <c r="D106" s="3" t="s">
        <v>65</v>
      </c>
      <c r="E106" s="3" t="s">
        <v>132</v>
      </c>
      <c r="F106" s="3" t="s">
        <v>190</v>
      </c>
      <c r="G106" s="3">
        <v>2025</v>
      </c>
      <c r="H106" s="3" t="str">
        <f>CONCATENATE("54240596319")</f>
        <v>54240596319</v>
      </c>
      <c r="I106" s="3" t="s">
        <v>34</v>
      </c>
      <c r="J106" s="3" t="s">
        <v>35</v>
      </c>
      <c r="K106" s="3"/>
      <c r="L106" s="3" t="s">
        <v>36</v>
      </c>
      <c r="M106" s="3" t="str">
        <f>CONCATENATE("02351680414")</f>
        <v>02351680414</v>
      </c>
      <c r="N106" s="3" t="s">
        <v>191</v>
      </c>
      <c r="O106" s="3" t="s">
        <v>38</v>
      </c>
      <c r="P106" s="3"/>
      <c r="Q106" s="4">
        <v>45968</v>
      </c>
      <c r="R106" s="3" t="s">
        <v>39</v>
      </c>
      <c r="S106" s="3" t="s">
        <v>38</v>
      </c>
      <c r="T106" s="3" t="s">
        <v>40</v>
      </c>
      <c r="U106" s="3"/>
      <c r="V106" s="3" t="s">
        <v>41</v>
      </c>
      <c r="W106" s="5">
        <v>1231.74</v>
      </c>
      <c r="X106" s="3">
        <v>923.81</v>
      </c>
      <c r="Y106" s="3">
        <v>215.55</v>
      </c>
      <c r="Z106" s="3">
        <v>92.38</v>
      </c>
      <c r="AA106" s="3">
        <v>0</v>
      </c>
    </row>
    <row r="107" spans="1:27" ht="60.75" x14ac:dyDescent="0.25">
      <c r="A107" s="3" t="s">
        <v>28</v>
      </c>
      <c r="B107" s="3" t="s">
        <v>29</v>
      </c>
      <c r="C107" s="3" t="s">
        <v>30</v>
      </c>
      <c r="D107" s="3" t="s">
        <v>31</v>
      </c>
      <c r="E107" s="3" t="s">
        <v>51</v>
      </c>
      <c r="F107" s="3" t="s">
        <v>192</v>
      </c>
      <c r="G107" s="3">
        <v>2025</v>
      </c>
      <c r="H107" s="3" t="str">
        <f>CONCATENATE("54240592672")</f>
        <v>54240592672</v>
      </c>
      <c r="I107" s="3" t="s">
        <v>34</v>
      </c>
      <c r="J107" s="3" t="s">
        <v>35</v>
      </c>
      <c r="K107" s="3"/>
      <c r="L107" s="3" t="s">
        <v>36</v>
      </c>
      <c r="M107" s="3" t="str">
        <f>CONCATENATE("MLNSLV55H43H501C")</f>
        <v>MLNSLV55H43H501C</v>
      </c>
      <c r="N107" s="3" t="s">
        <v>193</v>
      </c>
      <c r="O107" s="3" t="s">
        <v>38</v>
      </c>
      <c r="P107" s="3"/>
      <c r="Q107" s="4">
        <v>45968</v>
      </c>
      <c r="R107" s="3" t="s">
        <v>39</v>
      </c>
      <c r="S107" s="3" t="s">
        <v>38</v>
      </c>
      <c r="T107" s="3" t="s">
        <v>40</v>
      </c>
      <c r="U107" s="3"/>
      <c r="V107" s="3" t="s">
        <v>41</v>
      </c>
      <c r="W107" s="5">
        <v>1193.1600000000001</v>
      </c>
      <c r="X107" s="3">
        <v>894.87</v>
      </c>
      <c r="Y107" s="3">
        <v>208.8</v>
      </c>
      <c r="Z107" s="3">
        <v>89.49</v>
      </c>
      <c r="AA107" s="3">
        <v>0</v>
      </c>
    </row>
    <row r="108" spans="1:27" ht="60.75" x14ac:dyDescent="0.25">
      <c r="A108" s="3" t="s">
        <v>28</v>
      </c>
      <c r="B108" s="3" t="s">
        <v>29</v>
      </c>
      <c r="C108" s="3" t="s">
        <v>30</v>
      </c>
      <c r="D108" s="3" t="s">
        <v>47</v>
      </c>
      <c r="E108" s="3" t="s">
        <v>51</v>
      </c>
      <c r="F108" s="3" t="s">
        <v>83</v>
      </c>
      <c r="G108" s="3">
        <v>2025</v>
      </c>
      <c r="H108" s="3" t="str">
        <f>CONCATENATE("54240593225")</f>
        <v>54240593225</v>
      </c>
      <c r="I108" s="3" t="s">
        <v>34</v>
      </c>
      <c r="J108" s="3" t="s">
        <v>35</v>
      </c>
      <c r="K108" s="3"/>
      <c r="L108" s="3" t="s">
        <v>36</v>
      </c>
      <c r="M108" s="3" t="str">
        <f>CONCATENATE("NTSDTR78R26Z129B")</f>
        <v>NTSDTR78R26Z129B</v>
      </c>
      <c r="N108" s="3" t="s">
        <v>194</v>
      </c>
      <c r="O108" s="3" t="s">
        <v>38</v>
      </c>
      <c r="P108" s="3"/>
      <c r="Q108" s="4">
        <v>45968</v>
      </c>
      <c r="R108" s="3" t="s">
        <v>39</v>
      </c>
      <c r="S108" s="3" t="s">
        <v>38</v>
      </c>
      <c r="T108" s="3" t="s">
        <v>40</v>
      </c>
      <c r="U108" s="3"/>
      <c r="V108" s="3" t="s">
        <v>41</v>
      </c>
      <c r="W108" s="5">
        <v>15331.01</v>
      </c>
      <c r="X108" s="5">
        <v>11498.26</v>
      </c>
      <c r="Y108" s="5">
        <v>2682.93</v>
      </c>
      <c r="Z108" s="5">
        <v>1149.82</v>
      </c>
      <c r="AA108" s="3">
        <v>0</v>
      </c>
    </row>
    <row r="109" spans="1:27" ht="60.75" x14ac:dyDescent="0.25">
      <c r="A109" s="3" t="s">
        <v>28</v>
      </c>
      <c r="B109" s="3" t="s">
        <v>29</v>
      </c>
      <c r="C109" s="3" t="s">
        <v>30</v>
      </c>
      <c r="D109" s="3" t="s">
        <v>31</v>
      </c>
      <c r="E109" s="3" t="s">
        <v>51</v>
      </c>
      <c r="F109" s="3" t="s">
        <v>192</v>
      </c>
      <c r="G109" s="3">
        <v>2025</v>
      </c>
      <c r="H109" s="3" t="str">
        <f>CONCATENATE("54240592813")</f>
        <v>54240592813</v>
      </c>
      <c r="I109" s="3" t="s">
        <v>34</v>
      </c>
      <c r="J109" s="3" t="s">
        <v>35</v>
      </c>
      <c r="K109" s="3"/>
      <c r="L109" s="3" t="s">
        <v>36</v>
      </c>
      <c r="M109" s="3" t="str">
        <f>CONCATENATE("CRBDNN53D02A366K")</f>
        <v>CRBDNN53D02A366K</v>
      </c>
      <c r="N109" s="3" t="s">
        <v>195</v>
      </c>
      <c r="O109" s="3" t="s">
        <v>38</v>
      </c>
      <c r="P109" s="3"/>
      <c r="Q109" s="4">
        <v>45968</v>
      </c>
      <c r="R109" s="3" t="s">
        <v>39</v>
      </c>
      <c r="S109" s="3" t="s">
        <v>38</v>
      </c>
      <c r="T109" s="3" t="s">
        <v>40</v>
      </c>
      <c r="U109" s="3"/>
      <c r="V109" s="3" t="s">
        <v>41</v>
      </c>
      <c r="W109" s="5">
        <v>4435.45</v>
      </c>
      <c r="X109" s="5">
        <v>3326.59</v>
      </c>
      <c r="Y109" s="3">
        <v>776.2</v>
      </c>
      <c r="Z109" s="3">
        <v>332.66</v>
      </c>
      <c r="AA109" s="3">
        <v>0</v>
      </c>
    </row>
    <row r="110" spans="1:27" ht="60.75" x14ac:dyDescent="0.25">
      <c r="A110" s="3" t="s">
        <v>28</v>
      </c>
      <c r="B110" s="3" t="s">
        <v>29</v>
      </c>
      <c r="C110" s="3" t="s">
        <v>30</v>
      </c>
      <c r="D110" s="3" t="s">
        <v>65</v>
      </c>
      <c r="E110" s="3" t="s">
        <v>32</v>
      </c>
      <c r="F110" s="3" t="s">
        <v>135</v>
      </c>
      <c r="G110" s="3">
        <v>2025</v>
      </c>
      <c r="H110" s="3" t="str">
        <f>CONCATENATE("54240596434")</f>
        <v>54240596434</v>
      </c>
      <c r="I110" s="3" t="s">
        <v>34</v>
      </c>
      <c r="J110" s="3" t="s">
        <v>35</v>
      </c>
      <c r="K110" s="3"/>
      <c r="L110" s="3" t="s">
        <v>36</v>
      </c>
      <c r="M110" s="3" t="str">
        <f>CONCATENATE("MNCMRC64S05F497M")</f>
        <v>MNCMRC64S05F497M</v>
      </c>
      <c r="N110" s="3" t="s">
        <v>196</v>
      </c>
      <c r="O110" s="3" t="s">
        <v>38</v>
      </c>
      <c r="P110" s="3"/>
      <c r="Q110" s="4">
        <v>45968</v>
      </c>
      <c r="R110" s="3" t="s">
        <v>39</v>
      </c>
      <c r="S110" s="3" t="s">
        <v>38</v>
      </c>
      <c r="T110" s="3" t="s">
        <v>40</v>
      </c>
      <c r="U110" s="3"/>
      <c r="V110" s="3" t="s">
        <v>41</v>
      </c>
      <c r="W110" s="5">
        <v>13335.66</v>
      </c>
      <c r="X110" s="5">
        <v>10001.75</v>
      </c>
      <c r="Y110" s="5">
        <v>2333.7399999999998</v>
      </c>
      <c r="Z110" s="5">
        <v>1000.17</v>
      </c>
      <c r="AA110" s="3">
        <v>0</v>
      </c>
    </row>
    <row r="111" spans="1:27" ht="60.75" x14ac:dyDescent="0.25">
      <c r="A111" s="3" t="s">
        <v>28</v>
      </c>
      <c r="B111" s="3" t="s">
        <v>29</v>
      </c>
      <c r="C111" s="3" t="s">
        <v>30</v>
      </c>
      <c r="D111" s="3" t="s">
        <v>65</v>
      </c>
      <c r="E111" s="3" t="s">
        <v>32</v>
      </c>
      <c r="F111" s="3" t="s">
        <v>135</v>
      </c>
      <c r="G111" s="3">
        <v>2025</v>
      </c>
      <c r="H111" s="3" t="str">
        <f>CONCATENATE("54240594181")</f>
        <v>54240594181</v>
      </c>
      <c r="I111" s="3" t="s">
        <v>34</v>
      </c>
      <c r="J111" s="3" t="s">
        <v>35</v>
      </c>
      <c r="K111" s="3"/>
      <c r="L111" s="3" t="s">
        <v>36</v>
      </c>
      <c r="M111" s="3" t="str">
        <f>CONCATENATE("NCCMRS66P65G479V")</f>
        <v>NCCMRS66P65G479V</v>
      </c>
      <c r="N111" s="3" t="s">
        <v>197</v>
      </c>
      <c r="O111" s="3" t="s">
        <v>38</v>
      </c>
      <c r="P111" s="3"/>
      <c r="Q111" s="4">
        <v>45968</v>
      </c>
      <c r="R111" s="3" t="s">
        <v>39</v>
      </c>
      <c r="S111" s="3" t="s">
        <v>38</v>
      </c>
      <c r="T111" s="3" t="s">
        <v>40</v>
      </c>
      <c r="U111" s="3"/>
      <c r="V111" s="3" t="s">
        <v>41</v>
      </c>
      <c r="W111" s="5">
        <v>7360.91</v>
      </c>
      <c r="X111" s="5">
        <v>5520.68</v>
      </c>
      <c r="Y111" s="5">
        <v>1288.1600000000001</v>
      </c>
      <c r="Z111" s="3">
        <v>552.07000000000005</v>
      </c>
      <c r="AA111" s="3">
        <v>0</v>
      </c>
    </row>
    <row r="112" spans="1:27" ht="36.75" x14ac:dyDescent="0.25">
      <c r="A112" s="3" t="s">
        <v>28</v>
      </c>
      <c r="B112" s="3" t="s">
        <v>29</v>
      </c>
      <c r="C112" s="3" t="s">
        <v>30</v>
      </c>
      <c r="D112" s="3" t="s">
        <v>31</v>
      </c>
      <c r="E112" s="3" t="s">
        <v>60</v>
      </c>
      <c r="F112" s="3" t="s">
        <v>61</v>
      </c>
      <c r="G112" s="3">
        <v>2025</v>
      </c>
      <c r="H112" s="3" t="str">
        <f>CONCATENATE("54240595048")</f>
        <v>54240595048</v>
      </c>
      <c r="I112" s="3" t="s">
        <v>34</v>
      </c>
      <c r="J112" s="3" t="s">
        <v>35</v>
      </c>
      <c r="K112" s="3"/>
      <c r="L112" s="3" t="s">
        <v>36</v>
      </c>
      <c r="M112" s="3" t="str">
        <f>CONCATENATE("00652180423")</f>
        <v>00652180423</v>
      </c>
      <c r="N112" s="3" t="s">
        <v>198</v>
      </c>
      <c r="O112" s="3" t="s">
        <v>38</v>
      </c>
      <c r="P112" s="3"/>
      <c r="Q112" s="4">
        <v>45968</v>
      </c>
      <c r="R112" s="3" t="s">
        <v>39</v>
      </c>
      <c r="S112" s="3" t="s">
        <v>38</v>
      </c>
      <c r="T112" s="3" t="s">
        <v>40</v>
      </c>
      <c r="U112" s="3"/>
      <c r="V112" s="3" t="s">
        <v>41</v>
      </c>
      <c r="W112" s="3">
        <v>798.36</v>
      </c>
      <c r="X112" s="3">
        <v>598.77</v>
      </c>
      <c r="Y112" s="3">
        <v>139.71</v>
      </c>
      <c r="Z112" s="3">
        <v>59.88</v>
      </c>
      <c r="AA112" s="3">
        <v>0</v>
      </c>
    </row>
    <row r="113" spans="1:27" ht="60.75" x14ac:dyDescent="0.25">
      <c r="A113" s="3" t="s">
        <v>28</v>
      </c>
      <c r="B113" s="3" t="s">
        <v>29</v>
      </c>
      <c r="C113" s="3" t="s">
        <v>30</v>
      </c>
      <c r="D113" s="3" t="s">
        <v>47</v>
      </c>
      <c r="E113" s="3" t="s">
        <v>51</v>
      </c>
      <c r="F113" s="3" t="s">
        <v>83</v>
      </c>
      <c r="G113" s="3">
        <v>2025</v>
      </c>
      <c r="H113" s="3" t="str">
        <f>CONCATENATE("54240595246")</f>
        <v>54240595246</v>
      </c>
      <c r="I113" s="3" t="s">
        <v>34</v>
      </c>
      <c r="J113" s="3" t="s">
        <v>35</v>
      </c>
      <c r="K113" s="3"/>
      <c r="L113" s="3" t="s">
        <v>36</v>
      </c>
      <c r="M113" s="3" t="str">
        <f>CONCATENATE("CMPLRI86A52I156H")</f>
        <v>CMPLRI86A52I156H</v>
      </c>
      <c r="N113" s="3" t="s">
        <v>199</v>
      </c>
      <c r="O113" s="3" t="s">
        <v>38</v>
      </c>
      <c r="P113" s="3"/>
      <c r="Q113" s="4">
        <v>45968</v>
      </c>
      <c r="R113" s="3" t="s">
        <v>39</v>
      </c>
      <c r="S113" s="3" t="s">
        <v>38</v>
      </c>
      <c r="T113" s="3" t="s">
        <v>40</v>
      </c>
      <c r="U113" s="3"/>
      <c r="V113" s="3" t="s">
        <v>41</v>
      </c>
      <c r="W113" s="5">
        <v>45074.15</v>
      </c>
      <c r="X113" s="5">
        <v>33805.61</v>
      </c>
      <c r="Y113" s="5">
        <v>7887.98</v>
      </c>
      <c r="Z113" s="5">
        <v>3380.56</v>
      </c>
      <c r="AA113" s="3">
        <v>0</v>
      </c>
    </row>
    <row r="114" spans="1:27" ht="60.75" x14ac:dyDescent="0.25">
      <c r="A114" s="3" t="s">
        <v>28</v>
      </c>
      <c r="B114" s="3" t="s">
        <v>29</v>
      </c>
      <c r="C114" s="3" t="s">
        <v>30</v>
      </c>
      <c r="D114" s="3" t="s">
        <v>47</v>
      </c>
      <c r="E114" s="3" t="s">
        <v>51</v>
      </c>
      <c r="F114" s="3" t="s">
        <v>103</v>
      </c>
      <c r="G114" s="3">
        <v>2025</v>
      </c>
      <c r="H114" s="3" t="str">
        <f>CONCATENATE("54240596566")</f>
        <v>54240596566</v>
      </c>
      <c r="I114" s="3" t="s">
        <v>34</v>
      </c>
      <c r="J114" s="3" t="s">
        <v>35</v>
      </c>
      <c r="K114" s="3"/>
      <c r="L114" s="3" t="s">
        <v>36</v>
      </c>
      <c r="M114" s="3" t="str">
        <f>CONCATENATE("BCCMRC81R17C770Y")</f>
        <v>BCCMRC81R17C770Y</v>
      </c>
      <c r="N114" s="3" t="s">
        <v>200</v>
      </c>
      <c r="O114" s="3" t="s">
        <v>38</v>
      </c>
      <c r="P114" s="3"/>
      <c r="Q114" s="4">
        <v>45968</v>
      </c>
      <c r="R114" s="3" t="s">
        <v>39</v>
      </c>
      <c r="S114" s="3" t="s">
        <v>38</v>
      </c>
      <c r="T114" s="3" t="s">
        <v>40</v>
      </c>
      <c r="U114" s="3"/>
      <c r="V114" s="3" t="s">
        <v>41</v>
      </c>
      <c r="W114" s="3">
        <v>640.79999999999995</v>
      </c>
      <c r="X114" s="3">
        <v>480.6</v>
      </c>
      <c r="Y114" s="3">
        <v>112.14</v>
      </c>
      <c r="Z114" s="3">
        <v>48.06</v>
      </c>
      <c r="AA114" s="3">
        <v>0</v>
      </c>
    </row>
    <row r="115" spans="1:27" ht="60.75" x14ac:dyDescent="0.25">
      <c r="A115" s="3" t="s">
        <v>28</v>
      </c>
      <c r="B115" s="3" t="s">
        <v>29</v>
      </c>
      <c r="C115" s="3" t="s">
        <v>30</v>
      </c>
      <c r="D115" s="3" t="s">
        <v>42</v>
      </c>
      <c r="E115" s="3" t="s">
        <v>43</v>
      </c>
      <c r="F115" s="3" t="s">
        <v>43</v>
      </c>
      <c r="G115" s="3">
        <v>2025</v>
      </c>
      <c r="H115" s="3" t="str">
        <f>CONCATENATE("54240598174")</f>
        <v>54240598174</v>
      </c>
      <c r="I115" s="3" t="s">
        <v>34</v>
      </c>
      <c r="J115" s="3" t="s">
        <v>35</v>
      </c>
      <c r="K115" s="3"/>
      <c r="L115" s="3" t="s">
        <v>36</v>
      </c>
      <c r="M115" s="3" t="str">
        <f>CONCATENATE("CRBGNE37P20H321K")</f>
        <v>CRBGNE37P20H321K</v>
      </c>
      <c r="N115" s="3" t="s">
        <v>201</v>
      </c>
      <c r="O115" s="3" t="s">
        <v>38</v>
      </c>
      <c r="P115" s="3"/>
      <c r="Q115" s="4">
        <v>45968</v>
      </c>
      <c r="R115" s="3" t="s">
        <v>39</v>
      </c>
      <c r="S115" s="3" t="s">
        <v>38</v>
      </c>
      <c r="T115" s="3" t="s">
        <v>40</v>
      </c>
      <c r="U115" s="3"/>
      <c r="V115" s="3" t="s">
        <v>41</v>
      </c>
      <c r="W115" s="3">
        <v>713.15</v>
      </c>
      <c r="X115" s="3">
        <v>534.86</v>
      </c>
      <c r="Y115" s="3">
        <v>124.8</v>
      </c>
      <c r="Z115" s="3">
        <v>53.49</v>
      </c>
      <c r="AA115" s="3">
        <v>0</v>
      </c>
    </row>
    <row r="116" spans="1:27" ht="60.75" x14ac:dyDescent="0.25">
      <c r="A116" s="3" t="s">
        <v>28</v>
      </c>
      <c r="B116" s="3" t="s">
        <v>29</v>
      </c>
      <c r="C116" s="3" t="s">
        <v>30</v>
      </c>
      <c r="D116" s="3" t="s">
        <v>47</v>
      </c>
      <c r="E116" s="3" t="s">
        <v>51</v>
      </c>
      <c r="F116" s="3" t="s">
        <v>161</v>
      </c>
      <c r="G116" s="3">
        <v>2025</v>
      </c>
      <c r="H116" s="3" t="str">
        <f>CONCATENATE("54240600004")</f>
        <v>54240600004</v>
      </c>
      <c r="I116" s="3" t="s">
        <v>34</v>
      </c>
      <c r="J116" s="3" t="s">
        <v>35</v>
      </c>
      <c r="K116" s="3"/>
      <c r="L116" s="3" t="s">
        <v>36</v>
      </c>
      <c r="M116" s="3" t="str">
        <f>CONCATENATE("TRCRNZ68E17I156U")</f>
        <v>TRCRNZ68E17I156U</v>
      </c>
      <c r="N116" s="3" t="s">
        <v>202</v>
      </c>
      <c r="O116" s="3" t="s">
        <v>38</v>
      </c>
      <c r="P116" s="3"/>
      <c r="Q116" s="4">
        <v>45968</v>
      </c>
      <c r="R116" s="3" t="s">
        <v>39</v>
      </c>
      <c r="S116" s="3" t="s">
        <v>38</v>
      </c>
      <c r="T116" s="3" t="s">
        <v>40</v>
      </c>
      <c r="U116" s="3"/>
      <c r="V116" s="3" t="s">
        <v>41</v>
      </c>
      <c r="W116" s="5">
        <v>43390.81</v>
      </c>
      <c r="X116" s="5">
        <v>32543.11</v>
      </c>
      <c r="Y116" s="5">
        <v>7593.39</v>
      </c>
      <c r="Z116" s="5">
        <v>3254.31</v>
      </c>
      <c r="AA116" s="3">
        <v>0</v>
      </c>
    </row>
    <row r="117" spans="1:27" ht="36.75" x14ac:dyDescent="0.25">
      <c r="A117" s="3" t="s">
        <v>28</v>
      </c>
      <c r="B117" s="3" t="s">
        <v>29</v>
      </c>
      <c r="C117" s="3" t="s">
        <v>30</v>
      </c>
      <c r="D117" s="3" t="s">
        <v>47</v>
      </c>
      <c r="E117" s="3" t="s">
        <v>51</v>
      </c>
      <c r="F117" s="3" t="s">
        <v>107</v>
      </c>
      <c r="G117" s="3">
        <v>2025</v>
      </c>
      <c r="H117" s="3" t="str">
        <f>CONCATENATE("54240598430")</f>
        <v>54240598430</v>
      </c>
      <c r="I117" s="3" t="s">
        <v>34</v>
      </c>
      <c r="J117" s="3" t="s">
        <v>35</v>
      </c>
      <c r="K117" s="3"/>
      <c r="L117" s="3" t="s">
        <v>36</v>
      </c>
      <c r="M117" s="3" t="str">
        <f>CONCATENATE("01911240438")</f>
        <v>01911240438</v>
      </c>
      <c r="N117" s="3" t="s">
        <v>203</v>
      </c>
      <c r="O117" s="3" t="s">
        <v>38</v>
      </c>
      <c r="P117" s="3"/>
      <c r="Q117" s="4">
        <v>45968</v>
      </c>
      <c r="R117" s="3" t="s">
        <v>39</v>
      </c>
      <c r="S117" s="3" t="s">
        <v>38</v>
      </c>
      <c r="T117" s="3" t="s">
        <v>40</v>
      </c>
      <c r="U117" s="3"/>
      <c r="V117" s="3" t="s">
        <v>41</v>
      </c>
      <c r="W117" s="5">
        <v>2492.5700000000002</v>
      </c>
      <c r="X117" s="5">
        <v>1869.43</v>
      </c>
      <c r="Y117" s="3">
        <v>436.2</v>
      </c>
      <c r="Z117" s="3">
        <v>186.94</v>
      </c>
      <c r="AA117" s="3">
        <v>0</v>
      </c>
    </row>
    <row r="118" spans="1:27" ht="60.75" x14ac:dyDescent="0.25">
      <c r="A118" s="3" t="s">
        <v>28</v>
      </c>
      <c r="B118" s="3" t="s">
        <v>29</v>
      </c>
      <c r="C118" s="3" t="s">
        <v>30</v>
      </c>
      <c r="D118" s="3" t="s">
        <v>31</v>
      </c>
      <c r="E118" s="3" t="s">
        <v>51</v>
      </c>
      <c r="F118" s="3" t="s">
        <v>99</v>
      </c>
      <c r="G118" s="3">
        <v>2025</v>
      </c>
      <c r="H118" s="3" t="str">
        <f>CONCATENATE("54240599594")</f>
        <v>54240599594</v>
      </c>
      <c r="I118" s="3" t="s">
        <v>34</v>
      </c>
      <c r="J118" s="3" t="s">
        <v>35</v>
      </c>
      <c r="K118" s="3"/>
      <c r="L118" s="3" t="s">
        <v>36</v>
      </c>
      <c r="M118" s="3" t="str">
        <f>CONCATENATE("BTTDVD61P13D451P")</f>
        <v>BTTDVD61P13D451P</v>
      </c>
      <c r="N118" s="3" t="s">
        <v>204</v>
      </c>
      <c r="O118" s="3" t="s">
        <v>38</v>
      </c>
      <c r="P118" s="3"/>
      <c r="Q118" s="4">
        <v>45968</v>
      </c>
      <c r="R118" s="3" t="s">
        <v>39</v>
      </c>
      <c r="S118" s="3" t="s">
        <v>38</v>
      </c>
      <c r="T118" s="3" t="s">
        <v>40</v>
      </c>
      <c r="U118" s="3"/>
      <c r="V118" s="3" t="s">
        <v>41</v>
      </c>
      <c r="W118" s="5">
        <v>10922.55</v>
      </c>
      <c r="X118" s="5">
        <v>8191.91</v>
      </c>
      <c r="Y118" s="5">
        <v>1911.45</v>
      </c>
      <c r="Z118" s="3">
        <v>819.19</v>
      </c>
      <c r="AA118" s="3">
        <v>0</v>
      </c>
    </row>
    <row r="119" spans="1:27" ht="60.75" x14ac:dyDescent="0.25">
      <c r="A119" s="3" t="s">
        <v>28</v>
      </c>
      <c r="B119" s="3" t="s">
        <v>29</v>
      </c>
      <c r="C119" s="3" t="s">
        <v>30</v>
      </c>
      <c r="D119" s="3" t="s">
        <v>65</v>
      </c>
      <c r="E119" s="3" t="s">
        <v>32</v>
      </c>
      <c r="F119" s="3" t="s">
        <v>135</v>
      </c>
      <c r="G119" s="3">
        <v>2025</v>
      </c>
      <c r="H119" s="3" t="str">
        <f>CONCATENATE("54240599701")</f>
        <v>54240599701</v>
      </c>
      <c r="I119" s="3" t="s">
        <v>34</v>
      </c>
      <c r="J119" s="3" t="s">
        <v>35</v>
      </c>
      <c r="K119" s="3"/>
      <c r="L119" s="3" t="s">
        <v>36</v>
      </c>
      <c r="M119" s="3" t="str">
        <f>CONCATENATE("MRCSFN86C17D749V")</f>
        <v>MRCSFN86C17D749V</v>
      </c>
      <c r="N119" s="3" t="s">
        <v>205</v>
      </c>
      <c r="O119" s="3" t="s">
        <v>38</v>
      </c>
      <c r="P119" s="3"/>
      <c r="Q119" s="4">
        <v>45968</v>
      </c>
      <c r="R119" s="3" t="s">
        <v>39</v>
      </c>
      <c r="S119" s="3" t="s">
        <v>38</v>
      </c>
      <c r="T119" s="3" t="s">
        <v>40</v>
      </c>
      <c r="U119" s="3"/>
      <c r="V119" s="3" t="s">
        <v>41</v>
      </c>
      <c r="W119" s="5">
        <v>4427.9399999999996</v>
      </c>
      <c r="X119" s="5">
        <v>3320.96</v>
      </c>
      <c r="Y119" s="3">
        <v>774.89</v>
      </c>
      <c r="Z119" s="3">
        <v>332.09</v>
      </c>
      <c r="AA119" s="3">
        <v>0</v>
      </c>
    </row>
    <row r="120" spans="1:27" ht="36.75" x14ac:dyDescent="0.25">
      <c r="A120" s="3" t="s">
        <v>28</v>
      </c>
      <c r="B120" s="3" t="s">
        <v>29</v>
      </c>
      <c r="C120" s="3" t="s">
        <v>30</v>
      </c>
      <c r="D120" s="3" t="s">
        <v>65</v>
      </c>
      <c r="E120" s="3" t="s">
        <v>48</v>
      </c>
      <c r="F120" s="3" t="s">
        <v>66</v>
      </c>
      <c r="G120" s="3">
        <v>2025</v>
      </c>
      <c r="H120" s="3" t="str">
        <f>CONCATENATE("54240648177")</f>
        <v>54240648177</v>
      </c>
      <c r="I120" s="3" t="s">
        <v>44</v>
      </c>
      <c r="J120" s="3" t="s">
        <v>35</v>
      </c>
      <c r="K120" s="3"/>
      <c r="L120" s="3" t="s">
        <v>36</v>
      </c>
      <c r="M120" s="3" t="str">
        <f>CONCATENATE("02607370414")</f>
        <v>02607370414</v>
      </c>
      <c r="N120" s="3" t="s">
        <v>206</v>
      </c>
      <c r="O120" s="3" t="s">
        <v>38</v>
      </c>
      <c r="P120" s="3"/>
      <c r="Q120" s="4">
        <v>45968</v>
      </c>
      <c r="R120" s="3" t="s">
        <v>39</v>
      </c>
      <c r="S120" s="3" t="s">
        <v>38</v>
      </c>
      <c r="T120" s="3" t="s">
        <v>40</v>
      </c>
      <c r="U120" s="3"/>
      <c r="V120" s="3" t="s">
        <v>41</v>
      </c>
      <c r="W120" s="5">
        <v>23819.32</v>
      </c>
      <c r="X120" s="5">
        <v>17864.490000000002</v>
      </c>
      <c r="Y120" s="5">
        <v>4168.38</v>
      </c>
      <c r="Z120" s="5">
        <v>1786.45</v>
      </c>
      <c r="AA120" s="3">
        <v>0</v>
      </c>
    </row>
    <row r="121" spans="1:27" ht="60.75" x14ac:dyDescent="0.25">
      <c r="A121" s="3" t="s">
        <v>28</v>
      </c>
      <c r="B121" s="3" t="s">
        <v>29</v>
      </c>
      <c r="C121" s="3" t="s">
        <v>30</v>
      </c>
      <c r="D121" s="3" t="s">
        <v>65</v>
      </c>
      <c r="E121" s="3" t="s">
        <v>207</v>
      </c>
      <c r="F121" s="3" t="s">
        <v>208</v>
      </c>
      <c r="G121" s="3">
        <v>2025</v>
      </c>
      <c r="H121" s="3" t="str">
        <f>CONCATENATE("54240600392")</f>
        <v>54240600392</v>
      </c>
      <c r="I121" s="3" t="s">
        <v>34</v>
      </c>
      <c r="J121" s="3" t="s">
        <v>35</v>
      </c>
      <c r="K121" s="3"/>
      <c r="L121" s="3" t="s">
        <v>36</v>
      </c>
      <c r="M121" s="3" t="str">
        <f>CONCATENATE("GRRGGR47B28I459C")</f>
        <v>GRRGGR47B28I459C</v>
      </c>
      <c r="N121" s="3" t="s">
        <v>209</v>
      </c>
      <c r="O121" s="3" t="s">
        <v>38</v>
      </c>
      <c r="P121" s="3"/>
      <c r="Q121" s="4">
        <v>45968</v>
      </c>
      <c r="R121" s="3" t="s">
        <v>39</v>
      </c>
      <c r="S121" s="3" t="s">
        <v>38</v>
      </c>
      <c r="T121" s="3" t="s">
        <v>40</v>
      </c>
      <c r="U121" s="3"/>
      <c r="V121" s="3" t="s">
        <v>41</v>
      </c>
      <c r="W121" s="5">
        <v>5217.63</v>
      </c>
      <c r="X121" s="5">
        <v>3913.22</v>
      </c>
      <c r="Y121" s="3">
        <v>913.09</v>
      </c>
      <c r="Z121" s="3">
        <v>391.32</v>
      </c>
      <c r="AA121" s="3">
        <v>0</v>
      </c>
    </row>
    <row r="122" spans="1:27" ht="36.75" x14ac:dyDescent="0.25">
      <c r="A122" s="3" t="s">
        <v>28</v>
      </c>
      <c r="B122" s="3" t="s">
        <v>29</v>
      </c>
      <c r="C122" s="3" t="s">
        <v>30</v>
      </c>
      <c r="D122" s="3" t="s">
        <v>47</v>
      </c>
      <c r="E122" s="3" t="s">
        <v>51</v>
      </c>
      <c r="F122" s="3" t="s">
        <v>161</v>
      </c>
      <c r="G122" s="3">
        <v>2025</v>
      </c>
      <c r="H122" s="3" t="str">
        <f>CONCATENATE("54240602422")</f>
        <v>54240602422</v>
      </c>
      <c r="I122" s="3" t="s">
        <v>34</v>
      </c>
      <c r="J122" s="3" t="s">
        <v>35</v>
      </c>
      <c r="K122" s="3"/>
      <c r="L122" s="3" t="s">
        <v>36</v>
      </c>
      <c r="M122" s="3" t="str">
        <f>CONCATENATE("01988400436")</f>
        <v>01988400436</v>
      </c>
      <c r="N122" s="3" t="s">
        <v>210</v>
      </c>
      <c r="O122" s="3" t="s">
        <v>38</v>
      </c>
      <c r="P122" s="3"/>
      <c r="Q122" s="4">
        <v>45968</v>
      </c>
      <c r="R122" s="3" t="s">
        <v>39</v>
      </c>
      <c r="S122" s="3" t="s">
        <v>38</v>
      </c>
      <c r="T122" s="3" t="s">
        <v>40</v>
      </c>
      <c r="U122" s="3"/>
      <c r="V122" s="3" t="s">
        <v>41</v>
      </c>
      <c r="W122" s="5">
        <v>22395.26</v>
      </c>
      <c r="X122" s="5">
        <v>16796.45</v>
      </c>
      <c r="Y122" s="5">
        <v>3919.17</v>
      </c>
      <c r="Z122" s="5">
        <v>1679.64</v>
      </c>
      <c r="AA122" s="3">
        <v>0</v>
      </c>
    </row>
    <row r="123" spans="1:27" ht="72.75" x14ac:dyDescent="0.25">
      <c r="A123" s="3" t="s">
        <v>28</v>
      </c>
      <c r="B123" s="3" t="s">
        <v>29</v>
      </c>
      <c r="C123" s="3" t="s">
        <v>30</v>
      </c>
      <c r="D123" s="3" t="s">
        <v>42</v>
      </c>
      <c r="E123" s="3" t="s">
        <v>43</v>
      </c>
      <c r="F123" s="3" t="s">
        <v>43</v>
      </c>
      <c r="G123" s="3">
        <v>2025</v>
      </c>
      <c r="H123" s="3" t="str">
        <f>CONCATENATE("54240603305")</f>
        <v>54240603305</v>
      </c>
      <c r="I123" s="3" t="s">
        <v>34</v>
      </c>
      <c r="J123" s="3" t="s">
        <v>35</v>
      </c>
      <c r="K123" s="3"/>
      <c r="L123" s="3" t="s">
        <v>36</v>
      </c>
      <c r="M123" s="3" t="str">
        <f>CONCATENATE("RMGGNE41M05H321S")</f>
        <v>RMGGNE41M05H321S</v>
      </c>
      <c r="N123" s="3" t="s">
        <v>211</v>
      </c>
      <c r="O123" s="3" t="s">
        <v>38</v>
      </c>
      <c r="P123" s="3"/>
      <c r="Q123" s="4">
        <v>45968</v>
      </c>
      <c r="R123" s="3" t="s">
        <v>39</v>
      </c>
      <c r="S123" s="3" t="s">
        <v>38</v>
      </c>
      <c r="T123" s="3" t="s">
        <v>40</v>
      </c>
      <c r="U123" s="3"/>
      <c r="V123" s="3" t="s">
        <v>41</v>
      </c>
      <c r="W123" s="5">
        <v>1353.47</v>
      </c>
      <c r="X123" s="5">
        <v>1015.1</v>
      </c>
      <c r="Y123" s="3">
        <v>236.86</v>
      </c>
      <c r="Z123" s="3">
        <v>101.51</v>
      </c>
      <c r="AA123" s="3">
        <v>0</v>
      </c>
    </row>
    <row r="124" spans="1:27" ht="60.75" x14ac:dyDescent="0.25">
      <c r="A124" s="3" t="s">
        <v>28</v>
      </c>
      <c r="B124" s="3" t="s">
        <v>29</v>
      </c>
      <c r="C124" s="3" t="s">
        <v>30</v>
      </c>
      <c r="D124" s="3" t="s">
        <v>42</v>
      </c>
      <c r="E124" s="3" t="s">
        <v>43</v>
      </c>
      <c r="F124" s="3" t="s">
        <v>43</v>
      </c>
      <c r="G124" s="3">
        <v>2025</v>
      </c>
      <c r="H124" s="3" t="str">
        <f>CONCATENATE("54240602976")</f>
        <v>54240602976</v>
      </c>
      <c r="I124" s="3" t="s">
        <v>34</v>
      </c>
      <c r="J124" s="3" t="s">
        <v>35</v>
      </c>
      <c r="K124" s="3"/>
      <c r="L124" s="3" t="s">
        <v>36</v>
      </c>
      <c r="M124" s="3" t="str">
        <f>CONCATENATE("DNGMRZ61P18H321F")</f>
        <v>DNGMRZ61P18H321F</v>
      </c>
      <c r="N124" s="3" t="s">
        <v>212</v>
      </c>
      <c r="O124" s="3" t="s">
        <v>38</v>
      </c>
      <c r="P124" s="3"/>
      <c r="Q124" s="4">
        <v>45968</v>
      </c>
      <c r="R124" s="3" t="s">
        <v>39</v>
      </c>
      <c r="S124" s="3" t="s">
        <v>38</v>
      </c>
      <c r="T124" s="3" t="s">
        <v>40</v>
      </c>
      <c r="U124" s="3"/>
      <c r="V124" s="3" t="s">
        <v>41</v>
      </c>
      <c r="W124" s="5">
        <v>1493.52</v>
      </c>
      <c r="X124" s="5">
        <v>1120.1400000000001</v>
      </c>
      <c r="Y124" s="3">
        <v>261.37</v>
      </c>
      <c r="Z124" s="3">
        <v>112.01</v>
      </c>
      <c r="AA124" s="3">
        <v>0</v>
      </c>
    </row>
    <row r="125" spans="1:27" ht="60.75" x14ac:dyDescent="0.25">
      <c r="A125" s="3" t="s">
        <v>28</v>
      </c>
      <c r="B125" s="3" t="s">
        <v>29</v>
      </c>
      <c r="C125" s="3" t="s">
        <v>30</v>
      </c>
      <c r="D125" s="3" t="s">
        <v>42</v>
      </c>
      <c r="E125" s="3" t="s">
        <v>43</v>
      </c>
      <c r="F125" s="3" t="s">
        <v>43</v>
      </c>
      <c r="G125" s="3">
        <v>2025</v>
      </c>
      <c r="H125" s="3" t="str">
        <f>CONCATENATE("54240605144")</f>
        <v>54240605144</v>
      </c>
      <c r="I125" s="3" t="s">
        <v>34</v>
      </c>
      <c r="J125" s="3" t="s">
        <v>35</v>
      </c>
      <c r="K125" s="3"/>
      <c r="L125" s="3" t="s">
        <v>36</v>
      </c>
      <c r="M125" s="3" t="str">
        <f>CONCATENATE("MBLGNI52S07G005R")</f>
        <v>MBLGNI52S07G005R</v>
      </c>
      <c r="N125" s="3" t="s">
        <v>213</v>
      </c>
      <c r="O125" s="3" t="s">
        <v>38</v>
      </c>
      <c r="P125" s="3"/>
      <c r="Q125" s="4">
        <v>45968</v>
      </c>
      <c r="R125" s="3" t="s">
        <v>39</v>
      </c>
      <c r="S125" s="3" t="s">
        <v>38</v>
      </c>
      <c r="T125" s="3" t="s">
        <v>40</v>
      </c>
      <c r="U125" s="3"/>
      <c r="V125" s="3" t="s">
        <v>41</v>
      </c>
      <c r="W125" s="5">
        <v>6524.91</v>
      </c>
      <c r="X125" s="5">
        <v>4893.68</v>
      </c>
      <c r="Y125" s="5">
        <v>1141.8599999999999</v>
      </c>
      <c r="Z125" s="3">
        <v>489.37</v>
      </c>
      <c r="AA125" s="3">
        <v>0</v>
      </c>
    </row>
    <row r="126" spans="1:27" ht="36.75" x14ac:dyDescent="0.25">
      <c r="A126" s="3" t="s">
        <v>28</v>
      </c>
      <c r="B126" s="3" t="s">
        <v>29</v>
      </c>
      <c r="C126" s="3" t="s">
        <v>30</v>
      </c>
      <c r="D126" s="3" t="s">
        <v>42</v>
      </c>
      <c r="E126" s="3" t="s">
        <v>51</v>
      </c>
      <c r="F126" s="3" t="s">
        <v>52</v>
      </c>
      <c r="G126" s="3">
        <v>2025</v>
      </c>
      <c r="H126" s="3" t="str">
        <f>CONCATENATE("54240606472")</f>
        <v>54240606472</v>
      </c>
      <c r="I126" s="3" t="s">
        <v>34</v>
      </c>
      <c r="J126" s="3" t="s">
        <v>35</v>
      </c>
      <c r="K126" s="3"/>
      <c r="L126" s="3" t="s">
        <v>36</v>
      </c>
      <c r="M126" s="3" t="str">
        <f>CONCATENATE("02377020447")</f>
        <v>02377020447</v>
      </c>
      <c r="N126" s="3" t="s">
        <v>214</v>
      </c>
      <c r="O126" s="3" t="s">
        <v>38</v>
      </c>
      <c r="P126" s="3"/>
      <c r="Q126" s="4">
        <v>45968</v>
      </c>
      <c r="R126" s="3" t="s">
        <v>39</v>
      </c>
      <c r="S126" s="3" t="s">
        <v>38</v>
      </c>
      <c r="T126" s="3" t="s">
        <v>40</v>
      </c>
      <c r="U126" s="3"/>
      <c r="V126" s="3" t="s">
        <v>41</v>
      </c>
      <c r="W126" s="5">
        <v>2569.25</v>
      </c>
      <c r="X126" s="5">
        <v>1926.94</v>
      </c>
      <c r="Y126" s="3">
        <v>449.62</v>
      </c>
      <c r="Z126" s="3">
        <v>192.69</v>
      </c>
      <c r="AA126" s="3">
        <v>0</v>
      </c>
    </row>
    <row r="127" spans="1:27" ht="60.75" x14ac:dyDescent="0.25">
      <c r="A127" s="3" t="s">
        <v>28</v>
      </c>
      <c r="B127" s="3" t="s">
        <v>29</v>
      </c>
      <c r="C127" s="3" t="s">
        <v>30</v>
      </c>
      <c r="D127" s="3" t="s">
        <v>65</v>
      </c>
      <c r="E127" s="3" t="s">
        <v>207</v>
      </c>
      <c r="F127" s="3" t="s">
        <v>215</v>
      </c>
      <c r="G127" s="3">
        <v>2025</v>
      </c>
      <c r="H127" s="3" t="str">
        <f>CONCATENATE("54240610391")</f>
        <v>54240610391</v>
      </c>
      <c r="I127" s="3" t="s">
        <v>34</v>
      </c>
      <c r="J127" s="3" t="s">
        <v>35</v>
      </c>
      <c r="K127" s="3"/>
      <c r="L127" s="3" t="s">
        <v>36</v>
      </c>
      <c r="M127" s="3" t="str">
        <f>CONCATENATE("TNGMRA53S69H958N")</f>
        <v>TNGMRA53S69H958N</v>
      </c>
      <c r="N127" s="3" t="s">
        <v>216</v>
      </c>
      <c r="O127" s="3" t="s">
        <v>38</v>
      </c>
      <c r="P127" s="3"/>
      <c r="Q127" s="4">
        <v>45968</v>
      </c>
      <c r="R127" s="3" t="s">
        <v>39</v>
      </c>
      <c r="S127" s="3" t="s">
        <v>38</v>
      </c>
      <c r="T127" s="3" t="s">
        <v>40</v>
      </c>
      <c r="U127" s="3"/>
      <c r="V127" s="3" t="s">
        <v>41</v>
      </c>
      <c r="W127" s="5">
        <v>14296.48</v>
      </c>
      <c r="X127" s="5">
        <v>10722.36</v>
      </c>
      <c r="Y127" s="5">
        <v>2501.88</v>
      </c>
      <c r="Z127" s="5">
        <v>1072.24</v>
      </c>
      <c r="AA127" s="3">
        <v>0</v>
      </c>
    </row>
    <row r="128" spans="1:27" ht="60.75" x14ac:dyDescent="0.25">
      <c r="A128" s="3" t="s">
        <v>28</v>
      </c>
      <c r="B128" s="3" t="s">
        <v>29</v>
      </c>
      <c r="C128" s="3" t="s">
        <v>30</v>
      </c>
      <c r="D128" s="3" t="s">
        <v>42</v>
      </c>
      <c r="E128" s="3" t="s">
        <v>207</v>
      </c>
      <c r="F128" s="3" t="s">
        <v>217</v>
      </c>
      <c r="G128" s="3">
        <v>2025</v>
      </c>
      <c r="H128" s="3" t="str">
        <f>CONCATENATE("54240611258")</f>
        <v>54240611258</v>
      </c>
      <c r="I128" s="3" t="s">
        <v>34</v>
      </c>
      <c r="J128" s="3" t="s">
        <v>35</v>
      </c>
      <c r="K128" s="3"/>
      <c r="L128" s="3" t="s">
        <v>36</v>
      </c>
      <c r="M128" s="3" t="str">
        <f>CONCATENATE("PSTPLA96H26C770M")</f>
        <v>PSTPLA96H26C770M</v>
      </c>
      <c r="N128" s="3" t="s">
        <v>218</v>
      </c>
      <c r="O128" s="3" t="s">
        <v>38</v>
      </c>
      <c r="P128" s="3"/>
      <c r="Q128" s="4">
        <v>45968</v>
      </c>
      <c r="R128" s="3" t="s">
        <v>39</v>
      </c>
      <c r="S128" s="3" t="s">
        <v>38</v>
      </c>
      <c r="T128" s="3" t="s">
        <v>40</v>
      </c>
      <c r="U128" s="3"/>
      <c r="V128" s="3" t="s">
        <v>41</v>
      </c>
      <c r="W128" s="5">
        <v>2758.78</v>
      </c>
      <c r="X128" s="5">
        <v>2069.09</v>
      </c>
      <c r="Y128" s="3">
        <v>482.79</v>
      </c>
      <c r="Z128" s="3">
        <v>206.9</v>
      </c>
      <c r="AA128" s="3">
        <v>0</v>
      </c>
    </row>
    <row r="129" spans="1:27" ht="36.75" x14ac:dyDescent="0.25">
      <c r="A129" s="3" t="s">
        <v>28</v>
      </c>
      <c r="B129" s="3" t="s">
        <v>29</v>
      </c>
      <c r="C129" s="3" t="s">
        <v>30</v>
      </c>
      <c r="D129" s="3" t="s">
        <v>31</v>
      </c>
      <c r="E129" s="3" t="s">
        <v>60</v>
      </c>
      <c r="F129" s="3" t="s">
        <v>61</v>
      </c>
      <c r="G129" s="3">
        <v>2025</v>
      </c>
      <c r="H129" s="3" t="str">
        <f>CONCATENATE("54240503950")</f>
        <v>54240503950</v>
      </c>
      <c r="I129" s="3" t="s">
        <v>34</v>
      </c>
      <c r="J129" s="3" t="s">
        <v>35</v>
      </c>
      <c r="K129" s="3"/>
      <c r="L129" s="3" t="s">
        <v>36</v>
      </c>
      <c r="M129" s="3" t="str">
        <f>CONCATENATE("02241880422")</f>
        <v>02241880422</v>
      </c>
      <c r="N129" s="3" t="s">
        <v>219</v>
      </c>
      <c r="O129" s="3" t="s">
        <v>38</v>
      </c>
      <c r="P129" s="3"/>
      <c r="Q129" s="4">
        <v>45968</v>
      </c>
      <c r="R129" s="3" t="s">
        <v>39</v>
      </c>
      <c r="S129" s="3" t="s">
        <v>38</v>
      </c>
      <c r="T129" s="3" t="s">
        <v>40</v>
      </c>
      <c r="U129" s="3"/>
      <c r="V129" s="3" t="s">
        <v>41</v>
      </c>
      <c r="W129" s="5">
        <v>6841.26</v>
      </c>
      <c r="X129" s="5">
        <v>5130.95</v>
      </c>
      <c r="Y129" s="5">
        <v>1197.22</v>
      </c>
      <c r="Z129" s="3">
        <v>513.09</v>
      </c>
      <c r="AA129" s="3">
        <v>0</v>
      </c>
    </row>
    <row r="130" spans="1:27" ht="36.75" x14ac:dyDescent="0.25">
      <c r="A130" s="3" t="s">
        <v>28</v>
      </c>
      <c r="B130" s="3" t="s">
        <v>29</v>
      </c>
      <c r="C130" s="3" t="s">
        <v>30</v>
      </c>
      <c r="D130" s="3" t="s">
        <v>42</v>
      </c>
      <c r="E130" s="3" t="s">
        <v>51</v>
      </c>
      <c r="F130" s="3" t="s">
        <v>52</v>
      </c>
      <c r="G130" s="3">
        <v>2025</v>
      </c>
      <c r="H130" s="3" t="str">
        <f>CONCATENATE("54240504008")</f>
        <v>54240504008</v>
      </c>
      <c r="I130" s="3" t="s">
        <v>34</v>
      </c>
      <c r="J130" s="3" t="s">
        <v>35</v>
      </c>
      <c r="K130" s="3"/>
      <c r="L130" s="3" t="s">
        <v>36</v>
      </c>
      <c r="M130" s="3" t="str">
        <f>CONCATENATE("02366360440")</f>
        <v>02366360440</v>
      </c>
      <c r="N130" s="3" t="s">
        <v>220</v>
      </c>
      <c r="O130" s="3" t="s">
        <v>38</v>
      </c>
      <c r="P130" s="3"/>
      <c r="Q130" s="4">
        <v>45968</v>
      </c>
      <c r="R130" s="3" t="s">
        <v>39</v>
      </c>
      <c r="S130" s="3" t="s">
        <v>38</v>
      </c>
      <c r="T130" s="3" t="s">
        <v>40</v>
      </c>
      <c r="U130" s="3"/>
      <c r="V130" s="3" t="s">
        <v>41</v>
      </c>
      <c r="W130" s="5">
        <v>7168.03</v>
      </c>
      <c r="X130" s="5">
        <v>5376.02</v>
      </c>
      <c r="Y130" s="5">
        <v>1254.4100000000001</v>
      </c>
      <c r="Z130" s="3">
        <v>537.6</v>
      </c>
      <c r="AA130" s="3">
        <v>0</v>
      </c>
    </row>
    <row r="131" spans="1:27" ht="60.75" x14ac:dyDescent="0.25">
      <c r="A131" s="3" t="s">
        <v>28</v>
      </c>
      <c r="B131" s="3" t="s">
        <v>29</v>
      </c>
      <c r="C131" s="3" t="s">
        <v>30</v>
      </c>
      <c r="D131" s="3" t="s">
        <v>31</v>
      </c>
      <c r="E131" s="3" t="s">
        <v>51</v>
      </c>
      <c r="F131" s="3" t="s">
        <v>69</v>
      </c>
      <c r="G131" s="3">
        <v>2025</v>
      </c>
      <c r="H131" s="3" t="str">
        <f>CONCATENATE("54240504065")</f>
        <v>54240504065</v>
      </c>
      <c r="I131" s="3" t="s">
        <v>34</v>
      </c>
      <c r="J131" s="3" t="s">
        <v>35</v>
      </c>
      <c r="K131" s="3"/>
      <c r="L131" s="3" t="s">
        <v>36</v>
      </c>
      <c r="M131" s="3" t="str">
        <f>CONCATENATE("CGNGLN46S24I608E")</f>
        <v>CGNGLN46S24I608E</v>
      </c>
      <c r="N131" s="3" t="s">
        <v>221</v>
      </c>
      <c r="O131" s="3" t="s">
        <v>38</v>
      </c>
      <c r="P131" s="3"/>
      <c r="Q131" s="4">
        <v>45968</v>
      </c>
      <c r="R131" s="3" t="s">
        <v>39</v>
      </c>
      <c r="S131" s="3" t="s">
        <v>38</v>
      </c>
      <c r="T131" s="3" t="s">
        <v>40</v>
      </c>
      <c r="U131" s="3"/>
      <c r="V131" s="3" t="s">
        <v>41</v>
      </c>
      <c r="W131" s="5">
        <v>1039.19</v>
      </c>
      <c r="X131" s="3">
        <v>779.39</v>
      </c>
      <c r="Y131" s="3">
        <v>181.86</v>
      </c>
      <c r="Z131" s="3">
        <v>77.94</v>
      </c>
      <c r="AA131" s="3">
        <v>0</v>
      </c>
    </row>
    <row r="132" spans="1:27" ht="36.75" x14ac:dyDescent="0.25">
      <c r="A132" s="3" t="s">
        <v>28</v>
      </c>
      <c r="B132" s="3" t="s">
        <v>29</v>
      </c>
      <c r="C132" s="3" t="s">
        <v>30</v>
      </c>
      <c r="D132" s="3" t="s">
        <v>31</v>
      </c>
      <c r="E132" s="3" t="s">
        <v>60</v>
      </c>
      <c r="F132" s="3" t="s">
        <v>61</v>
      </c>
      <c r="G132" s="3">
        <v>2025</v>
      </c>
      <c r="H132" s="3" t="str">
        <f>CONCATENATE("54240501442")</f>
        <v>54240501442</v>
      </c>
      <c r="I132" s="3" t="s">
        <v>34</v>
      </c>
      <c r="J132" s="3" t="s">
        <v>35</v>
      </c>
      <c r="K132" s="3"/>
      <c r="L132" s="3" t="s">
        <v>36</v>
      </c>
      <c r="M132" s="3" t="str">
        <f>CONCATENATE("02613720420")</f>
        <v>02613720420</v>
      </c>
      <c r="N132" s="3" t="s">
        <v>222</v>
      </c>
      <c r="O132" s="3" t="s">
        <v>38</v>
      </c>
      <c r="P132" s="3"/>
      <c r="Q132" s="4">
        <v>45968</v>
      </c>
      <c r="R132" s="3" t="s">
        <v>39</v>
      </c>
      <c r="S132" s="3" t="s">
        <v>38</v>
      </c>
      <c r="T132" s="3" t="s">
        <v>40</v>
      </c>
      <c r="U132" s="3"/>
      <c r="V132" s="3" t="s">
        <v>41</v>
      </c>
      <c r="W132" s="3">
        <v>45.98</v>
      </c>
      <c r="X132" s="3">
        <v>34.49</v>
      </c>
      <c r="Y132" s="3">
        <v>8.0500000000000007</v>
      </c>
      <c r="Z132" s="3">
        <v>3.44</v>
      </c>
      <c r="AA132" s="3">
        <v>0</v>
      </c>
    </row>
    <row r="133" spans="1:27" ht="36.75" x14ac:dyDescent="0.25">
      <c r="A133" s="3" t="s">
        <v>28</v>
      </c>
      <c r="B133" s="3" t="s">
        <v>29</v>
      </c>
      <c r="C133" s="3" t="s">
        <v>30</v>
      </c>
      <c r="D133" s="3" t="s">
        <v>31</v>
      </c>
      <c r="E133" s="3" t="s">
        <v>60</v>
      </c>
      <c r="F133" s="3" t="s">
        <v>61</v>
      </c>
      <c r="G133" s="3">
        <v>2025</v>
      </c>
      <c r="H133" s="3" t="str">
        <f>CONCATENATE("54240501483")</f>
        <v>54240501483</v>
      </c>
      <c r="I133" s="3" t="s">
        <v>34</v>
      </c>
      <c r="J133" s="3" t="s">
        <v>35</v>
      </c>
      <c r="K133" s="3"/>
      <c r="L133" s="3" t="s">
        <v>36</v>
      </c>
      <c r="M133" s="3" t="str">
        <f>CONCATENATE("02726330422")</f>
        <v>02726330422</v>
      </c>
      <c r="N133" s="3" t="s">
        <v>223</v>
      </c>
      <c r="O133" s="3" t="s">
        <v>38</v>
      </c>
      <c r="P133" s="3"/>
      <c r="Q133" s="4">
        <v>45968</v>
      </c>
      <c r="R133" s="3" t="s">
        <v>39</v>
      </c>
      <c r="S133" s="3" t="s">
        <v>38</v>
      </c>
      <c r="T133" s="3" t="s">
        <v>40</v>
      </c>
      <c r="U133" s="3"/>
      <c r="V133" s="3" t="s">
        <v>41</v>
      </c>
      <c r="W133" s="5">
        <v>8149.09</v>
      </c>
      <c r="X133" s="5">
        <v>6111.82</v>
      </c>
      <c r="Y133" s="5">
        <v>1426.09</v>
      </c>
      <c r="Z133" s="3">
        <v>611.17999999999995</v>
      </c>
      <c r="AA133" s="3">
        <v>0</v>
      </c>
    </row>
    <row r="134" spans="1:27" ht="36.75" x14ac:dyDescent="0.25">
      <c r="A134" s="3" t="s">
        <v>28</v>
      </c>
      <c r="B134" s="3" t="s">
        <v>29</v>
      </c>
      <c r="C134" s="3" t="s">
        <v>30</v>
      </c>
      <c r="D134" s="3" t="s">
        <v>31</v>
      </c>
      <c r="E134" s="3" t="s">
        <v>60</v>
      </c>
      <c r="F134" s="3" t="s">
        <v>61</v>
      </c>
      <c r="G134" s="3">
        <v>2025</v>
      </c>
      <c r="H134" s="3" t="str">
        <f>CONCATENATE("54240501525")</f>
        <v>54240501525</v>
      </c>
      <c r="I134" s="3" t="s">
        <v>34</v>
      </c>
      <c r="J134" s="3" t="s">
        <v>35</v>
      </c>
      <c r="K134" s="3"/>
      <c r="L134" s="3" t="s">
        <v>36</v>
      </c>
      <c r="M134" s="3" t="str">
        <f>CONCATENATE("03523440588")</f>
        <v>03523440588</v>
      </c>
      <c r="N134" s="3" t="s">
        <v>224</v>
      </c>
      <c r="O134" s="3" t="s">
        <v>38</v>
      </c>
      <c r="P134" s="3"/>
      <c r="Q134" s="4">
        <v>45968</v>
      </c>
      <c r="R134" s="3" t="s">
        <v>39</v>
      </c>
      <c r="S134" s="3" t="s">
        <v>38</v>
      </c>
      <c r="T134" s="3" t="s">
        <v>40</v>
      </c>
      <c r="U134" s="3"/>
      <c r="V134" s="3" t="s">
        <v>41</v>
      </c>
      <c r="W134" s="5">
        <v>3306.96</v>
      </c>
      <c r="X134" s="5">
        <v>2480.2199999999998</v>
      </c>
      <c r="Y134" s="3">
        <v>578.72</v>
      </c>
      <c r="Z134" s="3">
        <v>248.02</v>
      </c>
      <c r="AA134" s="3">
        <v>0</v>
      </c>
    </row>
    <row r="135" spans="1:27" ht="36.75" x14ac:dyDescent="0.25">
      <c r="A135" s="3" t="s">
        <v>28</v>
      </c>
      <c r="B135" s="3" t="s">
        <v>29</v>
      </c>
      <c r="C135" s="3" t="s">
        <v>30</v>
      </c>
      <c r="D135" s="3" t="s">
        <v>31</v>
      </c>
      <c r="E135" s="3" t="s">
        <v>60</v>
      </c>
      <c r="F135" s="3" t="s">
        <v>61</v>
      </c>
      <c r="G135" s="3">
        <v>2025</v>
      </c>
      <c r="H135" s="3" t="str">
        <f>CONCATENATE("54240501509")</f>
        <v>54240501509</v>
      </c>
      <c r="I135" s="3" t="s">
        <v>34</v>
      </c>
      <c r="J135" s="3" t="s">
        <v>35</v>
      </c>
      <c r="K135" s="3"/>
      <c r="L135" s="3" t="s">
        <v>36</v>
      </c>
      <c r="M135" s="3" t="str">
        <f>CONCATENATE("02559890427")</f>
        <v>02559890427</v>
      </c>
      <c r="N135" s="3" t="s">
        <v>225</v>
      </c>
      <c r="O135" s="3" t="s">
        <v>38</v>
      </c>
      <c r="P135" s="3"/>
      <c r="Q135" s="4">
        <v>45968</v>
      </c>
      <c r="R135" s="3" t="s">
        <v>39</v>
      </c>
      <c r="S135" s="3" t="s">
        <v>38</v>
      </c>
      <c r="T135" s="3" t="s">
        <v>40</v>
      </c>
      <c r="U135" s="3"/>
      <c r="V135" s="3" t="s">
        <v>41</v>
      </c>
      <c r="W135" s="5">
        <v>1932.18</v>
      </c>
      <c r="X135" s="5">
        <v>1449.14</v>
      </c>
      <c r="Y135" s="3">
        <v>338.13</v>
      </c>
      <c r="Z135" s="3">
        <v>144.91</v>
      </c>
      <c r="AA135" s="3">
        <v>0</v>
      </c>
    </row>
    <row r="136" spans="1:27" ht="60.75" x14ac:dyDescent="0.25">
      <c r="A136" s="3" t="s">
        <v>28</v>
      </c>
      <c r="B136" s="3" t="s">
        <v>29</v>
      </c>
      <c r="C136" s="3" t="s">
        <v>30</v>
      </c>
      <c r="D136" s="3" t="s">
        <v>47</v>
      </c>
      <c r="E136" s="3" t="s">
        <v>48</v>
      </c>
      <c r="F136" s="3" t="s">
        <v>79</v>
      </c>
      <c r="G136" s="3">
        <v>2025</v>
      </c>
      <c r="H136" s="3" t="str">
        <f>CONCATENATE("54240501590")</f>
        <v>54240501590</v>
      </c>
      <c r="I136" s="3" t="s">
        <v>34</v>
      </c>
      <c r="J136" s="3" t="s">
        <v>35</v>
      </c>
      <c r="K136" s="3"/>
      <c r="L136" s="3" t="s">
        <v>36</v>
      </c>
      <c r="M136" s="3" t="str">
        <f>CONCATENATE("CMPPLG72L10C704U")</f>
        <v>CMPPLG72L10C704U</v>
      </c>
      <c r="N136" s="3" t="s">
        <v>226</v>
      </c>
      <c r="O136" s="3" t="s">
        <v>38</v>
      </c>
      <c r="P136" s="3"/>
      <c r="Q136" s="4">
        <v>45968</v>
      </c>
      <c r="R136" s="3" t="s">
        <v>39</v>
      </c>
      <c r="S136" s="3" t="s">
        <v>38</v>
      </c>
      <c r="T136" s="3" t="s">
        <v>40</v>
      </c>
      <c r="U136" s="3"/>
      <c r="V136" s="3" t="s">
        <v>41</v>
      </c>
      <c r="W136" s="5">
        <v>16052.84</v>
      </c>
      <c r="X136" s="5">
        <v>12039.63</v>
      </c>
      <c r="Y136" s="5">
        <v>2809.25</v>
      </c>
      <c r="Z136" s="5">
        <v>1203.96</v>
      </c>
      <c r="AA136" s="3">
        <v>0</v>
      </c>
    </row>
    <row r="137" spans="1:27" ht="36.75" x14ac:dyDescent="0.25">
      <c r="A137" s="3" t="s">
        <v>28</v>
      </c>
      <c r="B137" s="3" t="s">
        <v>29</v>
      </c>
      <c r="C137" s="3" t="s">
        <v>30</v>
      </c>
      <c r="D137" s="3" t="s">
        <v>42</v>
      </c>
      <c r="E137" s="3" t="s">
        <v>48</v>
      </c>
      <c r="F137" s="3" t="s">
        <v>227</v>
      </c>
      <c r="G137" s="3">
        <v>2025</v>
      </c>
      <c r="H137" s="3" t="str">
        <f>CONCATENATE("54240501582")</f>
        <v>54240501582</v>
      </c>
      <c r="I137" s="3" t="s">
        <v>34</v>
      </c>
      <c r="J137" s="3" t="s">
        <v>35</v>
      </c>
      <c r="K137" s="3"/>
      <c r="L137" s="3" t="s">
        <v>36</v>
      </c>
      <c r="M137" s="3" t="str">
        <f>CONCATENATE("01904900675")</f>
        <v>01904900675</v>
      </c>
      <c r="N137" s="3" t="s">
        <v>228</v>
      </c>
      <c r="O137" s="3" t="s">
        <v>38</v>
      </c>
      <c r="P137" s="3"/>
      <c r="Q137" s="4">
        <v>45968</v>
      </c>
      <c r="R137" s="3" t="s">
        <v>39</v>
      </c>
      <c r="S137" s="3" t="s">
        <v>38</v>
      </c>
      <c r="T137" s="3" t="s">
        <v>40</v>
      </c>
      <c r="U137" s="3"/>
      <c r="V137" s="3" t="s">
        <v>41</v>
      </c>
      <c r="W137" s="5">
        <v>2638.8</v>
      </c>
      <c r="X137" s="5">
        <v>1979.1</v>
      </c>
      <c r="Y137" s="3">
        <v>461.79</v>
      </c>
      <c r="Z137" s="3">
        <v>197.91</v>
      </c>
      <c r="AA137" s="3">
        <v>0</v>
      </c>
    </row>
    <row r="138" spans="1:27" ht="36.75" x14ac:dyDescent="0.25">
      <c r="A138" s="3" t="s">
        <v>28</v>
      </c>
      <c r="B138" s="3" t="s">
        <v>29</v>
      </c>
      <c r="C138" s="3" t="s">
        <v>30</v>
      </c>
      <c r="D138" s="3" t="s">
        <v>65</v>
      </c>
      <c r="E138" s="3" t="s">
        <v>48</v>
      </c>
      <c r="F138" s="3" t="s">
        <v>76</v>
      </c>
      <c r="G138" s="3">
        <v>2025</v>
      </c>
      <c r="H138" s="3" t="str">
        <f>CONCATENATE("54240501731")</f>
        <v>54240501731</v>
      </c>
      <c r="I138" s="3" t="s">
        <v>34</v>
      </c>
      <c r="J138" s="3" t="s">
        <v>35</v>
      </c>
      <c r="K138" s="3"/>
      <c r="L138" s="3" t="s">
        <v>36</v>
      </c>
      <c r="M138" s="3" t="str">
        <f>CONCATENATE("02473150411")</f>
        <v>02473150411</v>
      </c>
      <c r="N138" s="3" t="s">
        <v>229</v>
      </c>
      <c r="O138" s="3" t="s">
        <v>38</v>
      </c>
      <c r="P138" s="3"/>
      <c r="Q138" s="4">
        <v>45968</v>
      </c>
      <c r="R138" s="3" t="s">
        <v>39</v>
      </c>
      <c r="S138" s="3" t="s">
        <v>38</v>
      </c>
      <c r="T138" s="3" t="s">
        <v>40</v>
      </c>
      <c r="U138" s="3"/>
      <c r="V138" s="3" t="s">
        <v>41</v>
      </c>
      <c r="W138" s="5">
        <v>8315.34</v>
      </c>
      <c r="X138" s="5">
        <v>6236.51</v>
      </c>
      <c r="Y138" s="5">
        <v>1455.18</v>
      </c>
      <c r="Z138" s="3">
        <v>623.65</v>
      </c>
      <c r="AA138" s="3">
        <v>0</v>
      </c>
    </row>
    <row r="139" spans="1:27" ht="60.75" x14ac:dyDescent="0.25">
      <c r="A139" s="3" t="s">
        <v>28</v>
      </c>
      <c r="B139" s="3" t="s">
        <v>29</v>
      </c>
      <c r="C139" s="3" t="s">
        <v>30</v>
      </c>
      <c r="D139" s="3" t="s">
        <v>31</v>
      </c>
      <c r="E139" s="3" t="s">
        <v>32</v>
      </c>
      <c r="F139" s="3" t="s">
        <v>63</v>
      </c>
      <c r="G139" s="3">
        <v>2025</v>
      </c>
      <c r="H139" s="3" t="str">
        <f>CONCATENATE("54240606399")</f>
        <v>54240606399</v>
      </c>
      <c r="I139" s="3" t="s">
        <v>34</v>
      </c>
      <c r="J139" s="3" t="s">
        <v>35</v>
      </c>
      <c r="K139" s="3"/>
      <c r="L139" s="3" t="s">
        <v>36</v>
      </c>
      <c r="M139" s="3" t="str">
        <f>CONCATENATE("TRNGZN61P09F745Q")</f>
        <v>TRNGZN61P09F745Q</v>
      </c>
      <c r="N139" s="3" t="s">
        <v>230</v>
      </c>
      <c r="O139" s="3" t="s">
        <v>38</v>
      </c>
      <c r="P139" s="3"/>
      <c r="Q139" s="4">
        <v>45968</v>
      </c>
      <c r="R139" s="3" t="s">
        <v>39</v>
      </c>
      <c r="S139" s="3" t="s">
        <v>38</v>
      </c>
      <c r="T139" s="3" t="s">
        <v>40</v>
      </c>
      <c r="U139" s="3"/>
      <c r="V139" s="3" t="s">
        <v>41</v>
      </c>
      <c r="W139" s="3">
        <v>713.3</v>
      </c>
      <c r="X139" s="3">
        <v>534.98</v>
      </c>
      <c r="Y139" s="3">
        <v>124.83</v>
      </c>
      <c r="Z139" s="3">
        <v>53.49</v>
      </c>
      <c r="AA139" s="3">
        <v>0</v>
      </c>
    </row>
    <row r="140" spans="1:27" ht="60.75" x14ac:dyDescent="0.25">
      <c r="A140" s="3" t="s">
        <v>28</v>
      </c>
      <c r="B140" s="3" t="s">
        <v>29</v>
      </c>
      <c r="C140" s="3" t="s">
        <v>30</v>
      </c>
      <c r="D140" s="3" t="s">
        <v>31</v>
      </c>
      <c r="E140" s="3" t="s">
        <v>51</v>
      </c>
      <c r="F140" s="3" t="s">
        <v>99</v>
      </c>
      <c r="G140" s="3">
        <v>2025</v>
      </c>
      <c r="H140" s="3" t="str">
        <f>CONCATENATE("54240501905")</f>
        <v>54240501905</v>
      </c>
      <c r="I140" s="3" t="s">
        <v>34</v>
      </c>
      <c r="J140" s="3" t="s">
        <v>35</v>
      </c>
      <c r="K140" s="3"/>
      <c r="L140" s="3" t="s">
        <v>36</v>
      </c>
      <c r="M140" s="3" t="str">
        <f>CONCATENATE("PCGDNS01D21D451L")</f>
        <v>PCGDNS01D21D451L</v>
      </c>
      <c r="N140" s="3" t="s">
        <v>231</v>
      </c>
      <c r="O140" s="3" t="s">
        <v>38</v>
      </c>
      <c r="P140" s="3"/>
      <c r="Q140" s="4">
        <v>45968</v>
      </c>
      <c r="R140" s="3" t="s">
        <v>39</v>
      </c>
      <c r="S140" s="3" t="s">
        <v>38</v>
      </c>
      <c r="T140" s="3" t="s">
        <v>40</v>
      </c>
      <c r="U140" s="3"/>
      <c r="V140" s="3" t="s">
        <v>41</v>
      </c>
      <c r="W140" s="3">
        <v>474.02</v>
      </c>
      <c r="X140" s="3">
        <v>355.52</v>
      </c>
      <c r="Y140" s="3">
        <v>82.95</v>
      </c>
      <c r="Z140" s="3">
        <v>35.549999999999997</v>
      </c>
      <c r="AA140" s="3">
        <v>0</v>
      </c>
    </row>
    <row r="141" spans="1:27" ht="60.75" x14ac:dyDescent="0.25">
      <c r="A141" s="3" t="s">
        <v>28</v>
      </c>
      <c r="B141" s="3" t="s">
        <v>29</v>
      </c>
      <c r="C141" s="3" t="s">
        <v>30</v>
      </c>
      <c r="D141" s="3" t="s">
        <v>31</v>
      </c>
      <c r="E141" s="3" t="s">
        <v>32</v>
      </c>
      <c r="F141" s="3" t="s">
        <v>63</v>
      </c>
      <c r="G141" s="3">
        <v>2025</v>
      </c>
      <c r="H141" s="3" t="str">
        <f>CONCATENATE("54240575214")</f>
        <v>54240575214</v>
      </c>
      <c r="I141" s="3" t="s">
        <v>34</v>
      </c>
      <c r="J141" s="3" t="s">
        <v>35</v>
      </c>
      <c r="K141" s="3"/>
      <c r="L141" s="3" t="s">
        <v>36</v>
      </c>
      <c r="M141" s="3" t="str">
        <f>CONCATENATE("TRNGCR54C11D965P")</f>
        <v>TRNGCR54C11D965P</v>
      </c>
      <c r="N141" s="3" t="s">
        <v>232</v>
      </c>
      <c r="O141" s="3" t="s">
        <v>38</v>
      </c>
      <c r="P141" s="3"/>
      <c r="Q141" s="4">
        <v>45968</v>
      </c>
      <c r="R141" s="3" t="s">
        <v>39</v>
      </c>
      <c r="S141" s="3" t="s">
        <v>38</v>
      </c>
      <c r="T141" s="3" t="s">
        <v>40</v>
      </c>
      <c r="U141" s="3"/>
      <c r="V141" s="3" t="s">
        <v>41</v>
      </c>
      <c r="W141" s="5">
        <v>2138.4299999999998</v>
      </c>
      <c r="X141" s="5">
        <v>1603.82</v>
      </c>
      <c r="Y141" s="3">
        <v>374.23</v>
      </c>
      <c r="Z141" s="3">
        <v>160.38</v>
      </c>
      <c r="AA141" s="3">
        <v>0</v>
      </c>
    </row>
    <row r="142" spans="1:27" ht="60.75" x14ac:dyDescent="0.25">
      <c r="A142" s="3" t="s">
        <v>28</v>
      </c>
      <c r="B142" s="3" t="s">
        <v>29</v>
      </c>
      <c r="C142" s="3" t="s">
        <v>30</v>
      </c>
      <c r="D142" s="3" t="s">
        <v>31</v>
      </c>
      <c r="E142" s="3" t="s">
        <v>32</v>
      </c>
      <c r="F142" s="3" t="s">
        <v>63</v>
      </c>
      <c r="G142" s="3">
        <v>2025</v>
      </c>
      <c r="H142" s="3" t="str">
        <f>CONCATENATE("54240501996")</f>
        <v>54240501996</v>
      </c>
      <c r="I142" s="3" t="s">
        <v>34</v>
      </c>
      <c r="J142" s="3" t="s">
        <v>35</v>
      </c>
      <c r="K142" s="3"/>
      <c r="L142" s="3" t="s">
        <v>36</v>
      </c>
      <c r="M142" s="3" t="str">
        <f>CONCATENATE("TDRFNC80H08E388P")</f>
        <v>TDRFNC80H08E388P</v>
      </c>
      <c r="N142" s="3" t="s">
        <v>233</v>
      </c>
      <c r="O142" s="3" t="s">
        <v>38</v>
      </c>
      <c r="P142" s="3"/>
      <c r="Q142" s="4">
        <v>45968</v>
      </c>
      <c r="R142" s="3" t="s">
        <v>39</v>
      </c>
      <c r="S142" s="3" t="s">
        <v>38</v>
      </c>
      <c r="T142" s="3" t="s">
        <v>40</v>
      </c>
      <c r="U142" s="3"/>
      <c r="V142" s="3" t="s">
        <v>41</v>
      </c>
      <c r="W142" s="3">
        <v>86.4</v>
      </c>
      <c r="X142" s="3">
        <v>64.8</v>
      </c>
      <c r="Y142" s="3">
        <v>15.12</v>
      </c>
      <c r="Z142" s="3">
        <v>6.48</v>
      </c>
      <c r="AA142" s="3">
        <v>0</v>
      </c>
    </row>
    <row r="143" spans="1:27" ht="48.75" x14ac:dyDescent="0.25">
      <c r="A143" s="3" t="s">
        <v>28</v>
      </c>
      <c r="B143" s="3" t="s">
        <v>29</v>
      </c>
      <c r="C143" s="3" t="s">
        <v>30</v>
      </c>
      <c r="D143" s="3" t="s">
        <v>31</v>
      </c>
      <c r="E143" s="3" t="s">
        <v>32</v>
      </c>
      <c r="F143" s="3" t="s">
        <v>63</v>
      </c>
      <c r="G143" s="3">
        <v>2025</v>
      </c>
      <c r="H143" s="3" t="str">
        <f>CONCATENATE("54240577095")</f>
        <v>54240577095</v>
      </c>
      <c r="I143" s="3" t="s">
        <v>34</v>
      </c>
      <c r="J143" s="3" t="s">
        <v>35</v>
      </c>
      <c r="K143" s="3"/>
      <c r="L143" s="3" t="s">
        <v>36</v>
      </c>
      <c r="M143" s="3" t="str">
        <f>CONCATENATE("PTTLDI89S49Z110Y")</f>
        <v>PTTLDI89S49Z110Y</v>
      </c>
      <c r="N143" s="3" t="s">
        <v>234</v>
      </c>
      <c r="O143" s="3" t="s">
        <v>38</v>
      </c>
      <c r="P143" s="3"/>
      <c r="Q143" s="4">
        <v>45968</v>
      </c>
      <c r="R143" s="3" t="s">
        <v>39</v>
      </c>
      <c r="S143" s="3" t="s">
        <v>38</v>
      </c>
      <c r="T143" s="3" t="s">
        <v>40</v>
      </c>
      <c r="U143" s="3"/>
      <c r="V143" s="3" t="s">
        <v>41</v>
      </c>
      <c r="W143" s="5">
        <v>2726.4</v>
      </c>
      <c r="X143" s="5">
        <v>2044.8</v>
      </c>
      <c r="Y143" s="3">
        <v>477.12</v>
      </c>
      <c r="Z143" s="3">
        <v>204.48</v>
      </c>
      <c r="AA143" s="3">
        <v>0</v>
      </c>
    </row>
    <row r="144" spans="1:27" ht="36.75" x14ac:dyDescent="0.25">
      <c r="A144" s="3" t="s">
        <v>28</v>
      </c>
      <c r="B144" s="3" t="s">
        <v>29</v>
      </c>
      <c r="C144" s="3" t="s">
        <v>30</v>
      </c>
      <c r="D144" s="3" t="s">
        <v>47</v>
      </c>
      <c r="E144" s="3" t="s">
        <v>48</v>
      </c>
      <c r="F144" s="3" t="s">
        <v>79</v>
      </c>
      <c r="G144" s="3">
        <v>2025</v>
      </c>
      <c r="H144" s="3" t="str">
        <f>CONCATENATE("54240502044")</f>
        <v>54240502044</v>
      </c>
      <c r="I144" s="3" t="s">
        <v>34</v>
      </c>
      <c r="J144" s="3" t="s">
        <v>35</v>
      </c>
      <c r="K144" s="3"/>
      <c r="L144" s="3" t="s">
        <v>36</v>
      </c>
      <c r="M144" s="3" t="str">
        <f>CONCATENATE("02059940433")</f>
        <v>02059940433</v>
      </c>
      <c r="N144" s="3" t="s">
        <v>235</v>
      </c>
      <c r="O144" s="3" t="s">
        <v>38</v>
      </c>
      <c r="P144" s="3"/>
      <c r="Q144" s="4">
        <v>45968</v>
      </c>
      <c r="R144" s="3" t="s">
        <v>39</v>
      </c>
      <c r="S144" s="3" t="s">
        <v>38</v>
      </c>
      <c r="T144" s="3" t="s">
        <v>40</v>
      </c>
      <c r="U144" s="3"/>
      <c r="V144" s="3" t="s">
        <v>41</v>
      </c>
      <c r="W144" s="5">
        <v>29873.72</v>
      </c>
      <c r="X144" s="5">
        <v>22405.29</v>
      </c>
      <c r="Y144" s="5">
        <v>5227.8999999999996</v>
      </c>
      <c r="Z144" s="5">
        <v>2240.5300000000002</v>
      </c>
      <c r="AA144" s="3">
        <v>0</v>
      </c>
    </row>
    <row r="145" spans="1:27" ht="60.75" x14ac:dyDescent="0.25">
      <c r="A145" s="3" t="s">
        <v>28</v>
      </c>
      <c r="B145" s="3" t="s">
        <v>29</v>
      </c>
      <c r="C145" s="3" t="s">
        <v>30</v>
      </c>
      <c r="D145" s="3" t="s">
        <v>31</v>
      </c>
      <c r="E145" s="3" t="s">
        <v>60</v>
      </c>
      <c r="F145" s="3" t="s">
        <v>61</v>
      </c>
      <c r="G145" s="3">
        <v>2025</v>
      </c>
      <c r="H145" s="3" t="str">
        <f>CONCATENATE("54240502069")</f>
        <v>54240502069</v>
      </c>
      <c r="I145" s="3" t="s">
        <v>34</v>
      </c>
      <c r="J145" s="3" t="s">
        <v>35</v>
      </c>
      <c r="K145" s="3"/>
      <c r="L145" s="3" t="s">
        <v>36</v>
      </c>
      <c r="M145" s="3" t="str">
        <f>CONCATENATE("GLSMHL71P01A271H")</f>
        <v>GLSMHL71P01A271H</v>
      </c>
      <c r="N145" s="3" t="s">
        <v>236</v>
      </c>
      <c r="O145" s="3" t="s">
        <v>38</v>
      </c>
      <c r="P145" s="3"/>
      <c r="Q145" s="4">
        <v>45968</v>
      </c>
      <c r="R145" s="3" t="s">
        <v>39</v>
      </c>
      <c r="S145" s="3" t="s">
        <v>38</v>
      </c>
      <c r="T145" s="3" t="s">
        <v>40</v>
      </c>
      <c r="U145" s="3"/>
      <c r="V145" s="3" t="s">
        <v>41</v>
      </c>
      <c r="W145" s="5">
        <v>11381.7</v>
      </c>
      <c r="X145" s="5">
        <v>8536.2800000000007</v>
      </c>
      <c r="Y145" s="5">
        <v>1991.8</v>
      </c>
      <c r="Z145" s="3">
        <v>853.62</v>
      </c>
      <c r="AA145" s="3">
        <v>0</v>
      </c>
    </row>
    <row r="146" spans="1:27" ht="60.75" x14ac:dyDescent="0.25">
      <c r="A146" s="3" t="s">
        <v>28</v>
      </c>
      <c r="B146" s="3" t="s">
        <v>29</v>
      </c>
      <c r="C146" s="3" t="s">
        <v>30</v>
      </c>
      <c r="D146" s="3" t="s">
        <v>47</v>
      </c>
      <c r="E146" s="3" t="s">
        <v>48</v>
      </c>
      <c r="F146" s="3" t="s">
        <v>49</v>
      </c>
      <c r="G146" s="3">
        <v>2025</v>
      </c>
      <c r="H146" s="3" t="str">
        <f>CONCATENATE("54240502580")</f>
        <v>54240502580</v>
      </c>
      <c r="I146" s="3" t="s">
        <v>34</v>
      </c>
      <c r="J146" s="3" t="s">
        <v>35</v>
      </c>
      <c r="K146" s="3"/>
      <c r="L146" s="3" t="s">
        <v>36</v>
      </c>
      <c r="M146" s="3" t="str">
        <f>CONCATENATE("SNTSRN80M42I156W")</f>
        <v>SNTSRN80M42I156W</v>
      </c>
      <c r="N146" s="3" t="s">
        <v>237</v>
      </c>
      <c r="O146" s="3" t="s">
        <v>38</v>
      </c>
      <c r="P146" s="3"/>
      <c r="Q146" s="4">
        <v>45968</v>
      </c>
      <c r="R146" s="3" t="s">
        <v>39</v>
      </c>
      <c r="S146" s="3" t="s">
        <v>38</v>
      </c>
      <c r="T146" s="3" t="s">
        <v>40</v>
      </c>
      <c r="U146" s="3"/>
      <c r="V146" s="3" t="s">
        <v>41</v>
      </c>
      <c r="W146" s="5">
        <v>1024.08</v>
      </c>
      <c r="X146" s="3">
        <v>768.06</v>
      </c>
      <c r="Y146" s="3">
        <v>179.21</v>
      </c>
      <c r="Z146" s="3">
        <v>76.81</v>
      </c>
      <c r="AA146" s="3">
        <v>0</v>
      </c>
    </row>
    <row r="147" spans="1:27" ht="36.75" x14ac:dyDescent="0.25">
      <c r="A147" s="3" t="s">
        <v>28</v>
      </c>
      <c r="B147" s="3" t="s">
        <v>29</v>
      </c>
      <c r="C147" s="3" t="s">
        <v>30</v>
      </c>
      <c r="D147" s="3" t="s">
        <v>47</v>
      </c>
      <c r="E147" s="3" t="s">
        <v>48</v>
      </c>
      <c r="F147" s="3" t="s">
        <v>79</v>
      </c>
      <c r="G147" s="3">
        <v>2025</v>
      </c>
      <c r="H147" s="3" t="str">
        <f>CONCATENATE("54240502135")</f>
        <v>54240502135</v>
      </c>
      <c r="I147" s="3" t="s">
        <v>34</v>
      </c>
      <c r="J147" s="3" t="s">
        <v>35</v>
      </c>
      <c r="K147" s="3"/>
      <c r="L147" s="3" t="s">
        <v>36</v>
      </c>
      <c r="M147" s="3" t="str">
        <f>CONCATENATE("00091240432")</f>
        <v>00091240432</v>
      </c>
      <c r="N147" s="3" t="s">
        <v>238</v>
      </c>
      <c r="O147" s="3" t="s">
        <v>38</v>
      </c>
      <c r="P147" s="3"/>
      <c r="Q147" s="4">
        <v>45968</v>
      </c>
      <c r="R147" s="3" t="s">
        <v>39</v>
      </c>
      <c r="S147" s="3" t="s">
        <v>38</v>
      </c>
      <c r="T147" s="3" t="s">
        <v>40</v>
      </c>
      <c r="U147" s="3"/>
      <c r="V147" s="3" t="s">
        <v>41</v>
      </c>
      <c r="W147" s="5">
        <v>88197.62</v>
      </c>
      <c r="X147" s="5">
        <v>66148.22</v>
      </c>
      <c r="Y147" s="5">
        <v>15434.58</v>
      </c>
      <c r="Z147" s="5">
        <v>6614.82</v>
      </c>
      <c r="AA147" s="3">
        <v>0</v>
      </c>
    </row>
    <row r="148" spans="1:27" ht="36.75" x14ac:dyDescent="0.25">
      <c r="A148" s="3" t="s">
        <v>28</v>
      </c>
      <c r="B148" s="3" t="s">
        <v>29</v>
      </c>
      <c r="C148" s="3" t="s">
        <v>30</v>
      </c>
      <c r="D148" s="3" t="s">
        <v>65</v>
      </c>
      <c r="E148" s="3" t="s">
        <v>60</v>
      </c>
      <c r="F148" s="3" t="s">
        <v>85</v>
      </c>
      <c r="G148" s="3">
        <v>2025</v>
      </c>
      <c r="H148" s="3" t="str">
        <f>CONCATENATE("54240611803")</f>
        <v>54240611803</v>
      </c>
      <c r="I148" s="3" t="s">
        <v>34</v>
      </c>
      <c r="J148" s="3" t="s">
        <v>35</v>
      </c>
      <c r="K148" s="3"/>
      <c r="L148" s="3" t="s">
        <v>36</v>
      </c>
      <c r="M148" s="3" t="str">
        <f>CONCATENATE("00617000419")</f>
        <v>00617000419</v>
      </c>
      <c r="N148" s="3" t="s">
        <v>239</v>
      </c>
      <c r="O148" s="3" t="s">
        <v>38</v>
      </c>
      <c r="P148" s="3"/>
      <c r="Q148" s="4">
        <v>45968</v>
      </c>
      <c r="R148" s="3" t="s">
        <v>39</v>
      </c>
      <c r="S148" s="3" t="s">
        <v>38</v>
      </c>
      <c r="T148" s="3" t="s">
        <v>40</v>
      </c>
      <c r="U148" s="3"/>
      <c r="V148" s="3" t="s">
        <v>41</v>
      </c>
      <c r="W148" s="5">
        <v>7272.41</v>
      </c>
      <c r="X148" s="5">
        <v>5454.31</v>
      </c>
      <c r="Y148" s="5">
        <v>1272.67</v>
      </c>
      <c r="Z148" s="3">
        <v>545.42999999999995</v>
      </c>
      <c r="AA148" s="3">
        <v>0</v>
      </c>
    </row>
    <row r="149" spans="1:27" ht="60.75" x14ac:dyDescent="0.25">
      <c r="A149" s="3" t="s">
        <v>28</v>
      </c>
      <c r="B149" s="3" t="s">
        <v>29</v>
      </c>
      <c r="C149" s="3" t="s">
        <v>30</v>
      </c>
      <c r="D149" s="3" t="s">
        <v>65</v>
      </c>
      <c r="E149" s="3" t="s">
        <v>51</v>
      </c>
      <c r="F149" s="3" t="s">
        <v>240</v>
      </c>
      <c r="G149" s="3">
        <v>2025</v>
      </c>
      <c r="H149" s="3" t="str">
        <f>CONCATENATE("54240612611")</f>
        <v>54240612611</v>
      </c>
      <c r="I149" s="3" t="s">
        <v>34</v>
      </c>
      <c r="J149" s="3" t="s">
        <v>35</v>
      </c>
      <c r="K149" s="3"/>
      <c r="L149" s="3" t="s">
        <v>36</v>
      </c>
      <c r="M149" s="3" t="str">
        <f>CONCATENATE("CLMGRL65S01C357S")</f>
        <v>CLMGRL65S01C357S</v>
      </c>
      <c r="N149" s="3" t="s">
        <v>241</v>
      </c>
      <c r="O149" s="3" t="s">
        <v>38</v>
      </c>
      <c r="P149" s="3"/>
      <c r="Q149" s="4">
        <v>45968</v>
      </c>
      <c r="R149" s="3" t="s">
        <v>39</v>
      </c>
      <c r="S149" s="3" t="s">
        <v>38</v>
      </c>
      <c r="T149" s="3" t="s">
        <v>40</v>
      </c>
      <c r="U149" s="3"/>
      <c r="V149" s="3" t="s">
        <v>41</v>
      </c>
      <c r="W149" s="5">
        <v>1282.6300000000001</v>
      </c>
      <c r="X149" s="3">
        <v>961.97</v>
      </c>
      <c r="Y149" s="3">
        <v>224.46</v>
      </c>
      <c r="Z149" s="3">
        <v>96.2</v>
      </c>
      <c r="AA149" s="3">
        <v>0</v>
      </c>
    </row>
    <row r="150" spans="1:27" ht="60.75" x14ac:dyDescent="0.25">
      <c r="A150" s="3" t="s">
        <v>28</v>
      </c>
      <c r="B150" s="3" t="s">
        <v>29</v>
      </c>
      <c r="C150" s="3" t="s">
        <v>30</v>
      </c>
      <c r="D150" s="3" t="s">
        <v>47</v>
      </c>
      <c r="E150" s="3" t="s">
        <v>51</v>
      </c>
      <c r="F150" s="3" t="s">
        <v>161</v>
      </c>
      <c r="G150" s="3">
        <v>2025</v>
      </c>
      <c r="H150" s="3" t="str">
        <f>CONCATENATE("54240612744")</f>
        <v>54240612744</v>
      </c>
      <c r="I150" s="3" t="s">
        <v>34</v>
      </c>
      <c r="J150" s="3" t="s">
        <v>35</v>
      </c>
      <c r="K150" s="3"/>
      <c r="L150" s="3" t="s">
        <v>36</v>
      </c>
      <c r="M150" s="3" t="str">
        <f>CONCATENATE("MSCGNN65A17B885E")</f>
        <v>MSCGNN65A17B885E</v>
      </c>
      <c r="N150" s="3" t="s">
        <v>242</v>
      </c>
      <c r="O150" s="3" t="s">
        <v>38</v>
      </c>
      <c r="P150" s="3"/>
      <c r="Q150" s="4">
        <v>45968</v>
      </c>
      <c r="R150" s="3" t="s">
        <v>39</v>
      </c>
      <c r="S150" s="3" t="s">
        <v>38</v>
      </c>
      <c r="T150" s="3" t="s">
        <v>40</v>
      </c>
      <c r="U150" s="3"/>
      <c r="V150" s="3" t="s">
        <v>41</v>
      </c>
      <c r="W150" s="5">
        <v>4083.76</v>
      </c>
      <c r="X150" s="5">
        <v>3062.82</v>
      </c>
      <c r="Y150" s="3">
        <v>714.66</v>
      </c>
      <c r="Z150" s="3">
        <v>306.27999999999997</v>
      </c>
      <c r="AA150" s="3">
        <v>0</v>
      </c>
    </row>
    <row r="151" spans="1:27" ht="36.75" x14ac:dyDescent="0.25">
      <c r="A151" s="3" t="s">
        <v>28</v>
      </c>
      <c r="B151" s="3" t="s">
        <v>29</v>
      </c>
      <c r="C151" s="3" t="s">
        <v>30</v>
      </c>
      <c r="D151" s="3" t="s">
        <v>47</v>
      </c>
      <c r="E151" s="3" t="s">
        <v>51</v>
      </c>
      <c r="F151" s="3" t="s">
        <v>103</v>
      </c>
      <c r="G151" s="3">
        <v>2025</v>
      </c>
      <c r="H151" s="3" t="str">
        <f>CONCATENATE("54240613437")</f>
        <v>54240613437</v>
      </c>
      <c r="I151" s="3" t="s">
        <v>34</v>
      </c>
      <c r="J151" s="3" t="s">
        <v>35</v>
      </c>
      <c r="K151" s="3"/>
      <c r="L151" s="3" t="s">
        <v>36</v>
      </c>
      <c r="M151" s="3" t="str">
        <f>CONCATENATE("01677990432")</f>
        <v>01677990432</v>
      </c>
      <c r="N151" s="3" t="s">
        <v>243</v>
      </c>
      <c r="O151" s="3" t="s">
        <v>38</v>
      </c>
      <c r="P151" s="3"/>
      <c r="Q151" s="4">
        <v>45968</v>
      </c>
      <c r="R151" s="3" t="s">
        <v>39</v>
      </c>
      <c r="S151" s="3" t="s">
        <v>38</v>
      </c>
      <c r="T151" s="3" t="s">
        <v>40</v>
      </c>
      <c r="U151" s="3"/>
      <c r="V151" s="3" t="s">
        <v>41</v>
      </c>
      <c r="W151" s="5">
        <v>11813.24</v>
      </c>
      <c r="X151" s="5">
        <v>8859.93</v>
      </c>
      <c r="Y151" s="5">
        <v>2067.3200000000002</v>
      </c>
      <c r="Z151" s="3">
        <v>885.99</v>
      </c>
      <c r="AA151" s="3">
        <v>0</v>
      </c>
    </row>
    <row r="152" spans="1:27" ht="72.75" x14ac:dyDescent="0.25">
      <c r="A152" s="3" t="s">
        <v>28</v>
      </c>
      <c r="B152" s="3" t="s">
        <v>29</v>
      </c>
      <c r="C152" s="3" t="s">
        <v>30</v>
      </c>
      <c r="D152" s="3" t="s">
        <v>42</v>
      </c>
      <c r="E152" s="3" t="s">
        <v>51</v>
      </c>
      <c r="F152" s="3" t="s">
        <v>52</v>
      </c>
      <c r="G152" s="3">
        <v>2025</v>
      </c>
      <c r="H152" s="3" t="str">
        <f>CONCATENATE("54240612652")</f>
        <v>54240612652</v>
      </c>
      <c r="I152" s="3" t="s">
        <v>34</v>
      </c>
      <c r="J152" s="3" t="s">
        <v>35</v>
      </c>
      <c r="K152" s="3"/>
      <c r="L152" s="3" t="s">
        <v>36</v>
      </c>
      <c r="M152" s="3" t="str">
        <f>CONCATENATE("PLNVCN49R14B727Q")</f>
        <v>PLNVCN49R14B727Q</v>
      </c>
      <c r="N152" s="3" t="s">
        <v>244</v>
      </c>
      <c r="O152" s="3" t="s">
        <v>38</v>
      </c>
      <c r="P152" s="3"/>
      <c r="Q152" s="4">
        <v>45968</v>
      </c>
      <c r="R152" s="3" t="s">
        <v>39</v>
      </c>
      <c r="S152" s="3" t="s">
        <v>38</v>
      </c>
      <c r="T152" s="3" t="s">
        <v>40</v>
      </c>
      <c r="U152" s="3"/>
      <c r="V152" s="3" t="s">
        <v>41</v>
      </c>
      <c r="W152" s="5">
        <v>6924</v>
      </c>
      <c r="X152" s="5">
        <v>5193</v>
      </c>
      <c r="Y152" s="5">
        <v>1211.7</v>
      </c>
      <c r="Z152" s="3">
        <v>519.29999999999995</v>
      </c>
      <c r="AA152" s="3">
        <v>0</v>
      </c>
    </row>
    <row r="153" spans="1:27" ht="60.75" x14ac:dyDescent="0.25">
      <c r="A153" s="3" t="s">
        <v>28</v>
      </c>
      <c r="B153" s="3" t="s">
        <v>29</v>
      </c>
      <c r="C153" s="3" t="s">
        <v>30</v>
      </c>
      <c r="D153" s="3" t="s">
        <v>42</v>
      </c>
      <c r="E153" s="3" t="s">
        <v>60</v>
      </c>
      <c r="F153" s="3" t="s">
        <v>245</v>
      </c>
      <c r="G153" s="3">
        <v>2025</v>
      </c>
      <c r="H153" s="3" t="str">
        <f>CONCATENATE("54240616638")</f>
        <v>54240616638</v>
      </c>
      <c r="I153" s="3" t="s">
        <v>34</v>
      </c>
      <c r="J153" s="3" t="s">
        <v>35</v>
      </c>
      <c r="K153" s="3"/>
      <c r="L153" s="3" t="s">
        <v>36</v>
      </c>
      <c r="M153" s="3" t="str">
        <f>CONCATENATE("FRRFNC92H16A462L")</f>
        <v>FRRFNC92H16A462L</v>
      </c>
      <c r="N153" s="3" t="s">
        <v>246</v>
      </c>
      <c r="O153" s="3" t="s">
        <v>38</v>
      </c>
      <c r="P153" s="3"/>
      <c r="Q153" s="4">
        <v>45968</v>
      </c>
      <c r="R153" s="3" t="s">
        <v>39</v>
      </c>
      <c r="S153" s="3" t="s">
        <v>38</v>
      </c>
      <c r="T153" s="3" t="s">
        <v>40</v>
      </c>
      <c r="U153" s="3"/>
      <c r="V153" s="3" t="s">
        <v>41</v>
      </c>
      <c r="W153" s="5">
        <v>5339.43</v>
      </c>
      <c r="X153" s="5">
        <v>4004.57</v>
      </c>
      <c r="Y153" s="3">
        <v>934.4</v>
      </c>
      <c r="Z153" s="3">
        <v>400.46</v>
      </c>
      <c r="AA153" s="3">
        <v>0</v>
      </c>
    </row>
    <row r="154" spans="1:27" ht="72.75" x14ac:dyDescent="0.25">
      <c r="A154" s="3" t="s">
        <v>28</v>
      </c>
      <c r="B154" s="3" t="s">
        <v>29</v>
      </c>
      <c r="C154" s="3" t="s">
        <v>30</v>
      </c>
      <c r="D154" s="3" t="s">
        <v>65</v>
      </c>
      <c r="E154" s="3" t="s">
        <v>60</v>
      </c>
      <c r="F154" s="3" t="s">
        <v>85</v>
      </c>
      <c r="G154" s="3">
        <v>2025</v>
      </c>
      <c r="H154" s="3" t="str">
        <f>CONCATENATE("54240645587")</f>
        <v>54240645587</v>
      </c>
      <c r="I154" s="3" t="s">
        <v>34</v>
      </c>
      <c r="J154" s="3" t="s">
        <v>35</v>
      </c>
      <c r="K154" s="3"/>
      <c r="L154" s="3" t="s">
        <v>36</v>
      </c>
      <c r="M154" s="3" t="str">
        <f>CONCATENATE("MGNTZN60B12I459H")</f>
        <v>MGNTZN60B12I459H</v>
      </c>
      <c r="N154" s="3" t="s">
        <v>247</v>
      </c>
      <c r="O154" s="3" t="s">
        <v>38</v>
      </c>
      <c r="P154" s="3"/>
      <c r="Q154" s="4">
        <v>45968</v>
      </c>
      <c r="R154" s="3" t="s">
        <v>39</v>
      </c>
      <c r="S154" s="3" t="s">
        <v>38</v>
      </c>
      <c r="T154" s="3" t="s">
        <v>40</v>
      </c>
      <c r="U154" s="3"/>
      <c r="V154" s="3" t="s">
        <v>41</v>
      </c>
      <c r="W154" s="5">
        <v>26738.37</v>
      </c>
      <c r="X154" s="5">
        <v>20053.78</v>
      </c>
      <c r="Y154" s="5">
        <v>4679.21</v>
      </c>
      <c r="Z154" s="5">
        <v>2005.38</v>
      </c>
      <c r="AA154" s="3">
        <v>0</v>
      </c>
    </row>
    <row r="155" spans="1:27" ht="60.75" x14ac:dyDescent="0.25">
      <c r="A155" s="3" t="s">
        <v>28</v>
      </c>
      <c r="B155" s="3" t="s">
        <v>29</v>
      </c>
      <c r="C155" s="3" t="s">
        <v>30</v>
      </c>
      <c r="D155" s="3" t="s">
        <v>31</v>
      </c>
      <c r="E155" s="3" t="s">
        <v>32</v>
      </c>
      <c r="F155" s="3" t="s">
        <v>33</v>
      </c>
      <c r="G155" s="3">
        <v>2025</v>
      </c>
      <c r="H155" s="3" t="str">
        <f>CONCATENATE("54240614385")</f>
        <v>54240614385</v>
      </c>
      <c r="I155" s="3" t="s">
        <v>34</v>
      </c>
      <c r="J155" s="3" t="s">
        <v>35</v>
      </c>
      <c r="K155" s="3"/>
      <c r="L155" s="3" t="s">
        <v>36</v>
      </c>
      <c r="M155" s="3" t="str">
        <f>CONCATENATE("BMPLRT68E06A366Y")</f>
        <v>BMPLRT68E06A366Y</v>
      </c>
      <c r="N155" s="3" t="s">
        <v>248</v>
      </c>
      <c r="O155" s="3" t="s">
        <v>38</v>
      </c>
      <c r="P155" s="3"/>
      <c r="Q155" s="4">
        <v>45968</v>
      </c>
      <c r="R155" s="3" t="s">
        <v>39</v>
      </c>
      <c r="S155" s="3" t="s">
        <v>38</v>
      </c>
      <c r="T155" s="3" t="s">
        <v>40</v>
      </c>
      <c r="U155" s="3"/>
      <c r="V155" s="3" t="s">
        <v>41</v>
      </c>
      <c r="W155" s="5">
        <v>3363.99</v>
      </c>
      <c r="X155" s="5">
        <v>2522.9899999999998</v>
      </c>
      <c r="Y155" s="3">
        <v>588.70000000000005</v>
      </c>
      <c r="Z155" s="3">
        <v>252.3</v>
      </c>
      <c r="AA155" s="3">
        <v>0</v>
      </c>
    </row>
    <row r="156" spans="1:27" ht="60.75" x14ac:dyDescent="0.25">
      <c r="A156" s="3" t="s">
        <v>28</v>
      </c>
      <c r="B156" s="3" t="s">
        <v>29</v>
      </c>
      <c r="C156" s="3" t="s">
        <v>30</v>
      </c>
      <c r="D156" s="3" t="s">
        <v>47</v>
      </c>
      <c r="E156" s="3" t="s">
        <v>48</v>
      </c>
      <c r="F156" s="3" t="s">
        <v>249</v>
      </c>
      <c r="G156" s="3">
        <v>2025</v>
      </c>
      <c r="H156" s="3" t="str">
        <f>CONCATENATE("54240614716")</f>
        <v>54240614716</v>
      </c>
      <c r="I156" s="3" t="s">
        <v>34</v>
      </c>
      <c r="J156" s="3" t="s">
        <v>35</v>
      </c>
      <c r="K156" s="3"/>
      <c r="L156" s="3" t="s">
        <v>36</v>
      </c>
      <c r="M156" s="3" t="str">
        <f>CONCATENATE("LRIGLN74E07L366T")</f>
        <v>LRIGLN74E07L366T</v>
      </c>
      <c r="N156" s="3" t="s">
        <v>250</v>
      </c>
      <c r="O156" s="3" t="s">
        <v>38</v>
      </c>
      <c r="P156" s="3"/>
      <c r="Q156" s="4">
        <v>45968</v>
      </c>
      <c r="R156" s="3" t="s">
        <v>39</v>
      </c>
      <c r="S156" s="3" t="s">
        <v>38</v>
      </c>
      <c r="T156" s="3" t="s">
        <v>40</v>
      </c>
      <c r="U156" s="3"/>
      <c r="V156" s="3" t="s">
        <v>41</v>
      </c>
      <c r="W156" s="5">
        <v>5899.8</v>
      </c>
      <c r="X156" s="5">
        <v>4424.8500000000004</v>
      </c>
      <c r="Y156" s="5">
        <v>1032.47</v>
      </c>
      <c r="Z156" s="3">
        <v>442.48</v>
      </c>
      <c r="AA156" s="3">
        <v>0</v>
      </c>
    </row>
    <row r="157" spans="1:27" ht="60.75" x14ac:dyDescent="0.25">
      <c r="A157" s="3" t="s">
        <v>28</v>
      </c>
      <c r="B157" s="3" t="s">
        <v>29</v>
      </c>
      <c r="C157" s="3" t="s">
        <v>30</v>
      </c>
      <c r="D157" s="3" t="s">
        <v>47</v>
      </c>
      <c r="E157" s="3" t="s">
        <v>48</v>
      </c>
      <c r="F157" s="3" t="s">
        <v>251</v>
      </c>
      <c r="G157" s="3">
        <v>2025</v>
      </c>
      <c r="H157" s="3" t="str">
        <f>CONCATENATE("54240615457")</f>
        <v>54240615457</v>
      </c>
      <c r="I157" s="3" t="s">
        <v>34</v>
      </c>
      <c r="J157" s="3" t="s">
        <v>35</v>
      </c>
      <c r="K157" s="3"/>
      <c r="L157" s="3" t="s">
        <v>36</v>
      </c>
      <c r="M157" s="3" t="str">
        <f>CONCATENATE("RPCPQL57P29L366P")</f>
        <v>RPCPQL57P29L366P</v>
      </c>
      <c r="N157" s="3" t="s">
        <v>252</v>
      </c>
      <c r="O157" s="3" t="s">
        <v>38</v>
      </c>
      <c r="P157" s="3"/>
      <c r="Q157" s="4">
        <v>45968</v>
      </c>
      <c r="R157" s="3" t="s">
        <v>39</v>
      </c>
      <c r="S157" s="3" t="s">
        <v>38</v>
      </c>
      <c r="T157" s="3" t="s">
        <v>40</v>
      </c>
      <c r="U157" s="3"/>
      <c r="V157" s="3" t="s">
        <v>41</v>
      </c>
      <c r="W157" s="5">
        <v>30917.13</v>
      </c>
      <c r="X157" s="5">
        <v>23187.85</v>
      </c>
      <c r="Y157" s="5">
        <v>5410.5</v>
      </c>
      <c r="Z157" s="5">
        <v>2318.7800000000002</v>
      </c>
      <c r="AA157" s="3">
        <v>0</v>
      </c>
    </row>
    <row r="158" spans="1:27" ht="60.75" x14ac:dyDescent="0.25">
      <c r="A158" s="3" t="s">
        <v>28</v>
      </c>
      <c r="B158" s="3" t="s">
        <v>29</v>
      </c>
      <c r="C158" s="3" t="s">
        <v>30</v>
      </c>
      <c r="D158" s="3" t="s">
        <v>42</v>
      </c>
      <c r="E158" s="3" t="s">
        <v>43</v>
      </c>
      <c r="F158" s="3" t="s">
        <v>43</v>
      </c>
      <c r="G158" s="3">
        <v>2025</v>
      </c>
      <c r="H158" s="3" t="str">
        <f>CONCATENATE("54240616646")</f>
        <v>54240616646</v>
      </c>
      <c r="I158" s="3" t="s">
        <v>34</v>
      </c>
      <c r="J158" s="3" t="s">
        <v>35</v>
      </c>
      <c r="K158" s="3"/>
      <c r="L158" s="3" t="s">
        <v>36</v>
      </c>
      <c r="M158" s="3" t="str">
        <f>CONCATENATE("BNGLSS85E42H769G")</f>
        <v>BNGLSS85E42H769G</v>
      </c>
      <c r="N158" s="3" t="s">
        <v>253</v>
      </c>
      <c r="O158" s="3" t="s">
        <v>38</v>
      </c>
      <c r="P158" s="3"/>
      <c r="Q158" s="4">
        <v>45968</v>
      </c>
      <c r="R158" s="3" t="s">
        <v>39</v>
      </c>
      <c r="S158" s="3" t="s">
        <v>38</v>
      </c>
      <c r="T158" s="3" t="s">
        <v>40</v>
      </c>
      <c r="U158" s="3"/>
      <c r="V158" s="3" t="s">
        <v>41</v>
      </c>
      <c r="W158" s="5">
        <v>4456.82</v>
      </c>
      <c r="X158" s="5">
        <v>3342.62</v>
      </c>
      <c r="Y158" s="3">
        <v>779.94</v>
      </c>
      <c r="Z158" s="3">
        <v>334.26</v>
      </c>
      <c r="AA158" s="3">
        <v>0</v>
      </c>
    </row>
    <row r="159" spans="1:27" ht="60.75" x14ac:dyDescent="0.25">
      <c r="A159" s="3" t="s">
        <v>28</v>
      </c>
      <c r="B159" s="3" t="s">
        <v>29</v>
      </c>
      <c r="C159" s="3" t="s">
        <v>30</v>
      </c>
      <c r="D159" s="3" t="s">
        <v>42</v>
      </c>
      <c r="E159" s="3" t="s">
        <v>43</v>
      </c>
      <c r="F159" s="3" t="s">
        <v>43</v>
      </c>
      <c r="G159" s="3">
        <v>2025</v>
      </c>
      <c r="H159" s="3" t="str">
        <f>CONCATENATE("54240616653")</f>
        <v>54240616653</v>
      </c>
      <c r="I159" s="3" t="s">
        <v>34</v>
      </c>
      <c r="J159" s="3" t="s">
        <v>35</v>
      </c>
      <c r="K159" s="3"/>
      <c r="L159" s="3" t="s">
        <v>36</v>
      </c>
      <c r="M159" s="3" t="str">
        <f>CONCATENATE("FCCLSS02S69H769Y")</f>
        <v>FCCLSS02S69H769Y</v>
      </c>
      <c r="N159" s="3" t="s">
        <v>254</v>
      </c>
      <c r="O159" s="3" t="s">
        <v>38</v>
      </c>
      <c r="P159" s="3"/>
      <c r="Q159" s="4">
        <v>45968</v>
      </c>
      <c r="R159" s="3" t="s">
        <v>39</v>
      </c>
      <c r="S159" s="3" t="s">
        <v>38</v>
      </c>
      <c r="T159" s="3" t="s">
        <v>40</v>
      </c>
      <c r="U159" s="3"/>
      <c r="V159" s="3" t="s">
        <v>41</v>
      </c>
      <c r="W159" s="5">
        <v>3663.72</v>
      </c>
      <c r="X159" s="5">
        <v>2747.79</v>
      </c>
      <c r="Y159" s="3">
        <v>641.15</v>
      </c>
      <c r="Z159" s="3">
        <v>274.77999999999997</v>
      </c>
      <c r="AA159" s="3">
        <v>0</v>
      </c>
    </row>
    <row r="160" spans="1:27" ht="60.75" x14ac:dyDescent="0.25">
      <c r="A160" s="3" t="s">
        <v>28</v>
      </c>
      <c r="B160" s="3" t="s">
        <v>29</v>
      </c>
      <c r="C160" s="3" t="s">
        <v>30</v>
      </c>
      <c r="D160" s="3" t="s">
        <v>42</v>
      </c>
      <c r="E160" s="3" t="s">
        <v>43</v>
      </c>
      <c r="F160" s="3" t="s">
        <v>43</v>
      </c>
      <c r="G160" s="3">
        <v>2025</v>
      </c>
      <c r="H160" s="3" t="str">
        <f>CONCATENATE("54240616661")</f>
        <v>54240616661</v>
      </c>
      <c r="I160" s="3" t="s">
        <v>44</v>
      </c>
      <c r="J160" s="3" t="s">
        <v>35</v>
      </c>
      <c r="K160" s="3"/>
      <c r="L160" s="3" t="s">
        <v>36</v>
      </c>
      <c r="M160" s="3" t="str">
        <f>CONCATENATE("PTTNLN64B57B515F")</f>
        <v>PTTNLN64B57B515F</v>
      </c>
      <c r="N160" s="3" t="s">
        <v>255</v>
      </c>
      <c r="O160" s="3" t="s">
        <v>38</v>
      </c>
      <c r="P160" s="3"/>
      <c r="Q160" s="4">
        <v>45968</v>
      </c>
      <c r="R160" s="3" t="s">
        <v>39</v>
      </c>
      <c r="S160" s="3" t="s">
        <v>38</v>
      </c>
      <c r="T160" s="3" t="s">
        <v>40</v>
      </c>
      <c r="U160" s="3"/>
      <c r="V160" s="3" t="s">
        <v>41</v>
      </c>
      <c r="W160" s="5">
        <v>2194.33</v>
      </c>
      <c r="X160" s="5">
        <v>1645.75</v>
      </c>
      <c r="Y160" s="3">
        <v>384.01</v>
      </c>
      <c r="Z160" s="3">
        <v>164.57</v>
      </c>
      <c r="AA160" s="3">
        <v>0</v>
      </c>
    </row>
    <row r="161" spans="1:27" ht="60.75" x14ac:dyDescent="0.25">
      <c r="A161" s="3" t="s">
        <v>28</v>
      </c>
      <c r="B161" s="3" t="s">
        <v>29</v>
      </c>
      <c r="C161" s="3" t="s">
        <v>30</v>
      </c>
      <c r="D161" s="3" t="s">
        <v>42</v>
      </c>
      <c r="E161" s="3" t="s">
        <v>43</v>
      </c>
      <c r="F161" s="3" t="s">
        <v>43</v>
      </c>
      <c r="G161" s="3">
        <v>2025</v>
      </c>
      <c r="H161" s="3" t="str">
        <f>CONCATENATE("54240616687")</f>
        <v>54240616687</v>
      </c>
      <c r="I161" s="3" t="s">
        <v>34</v>
      </c>
      <c r="J161" s="3" t="s">
        <v>35</v>
      </c>
      <c r="K161" s="3"/>
      <c r="L161" s="3" t="s">
        <v>36</v>
      </c>
      <c r="M161" s="3" t="str">
        <f>CONCATENATE("CRCTNN61B23D096C")</f>
        <v>CRCTNN61B23D096C</v>
      </c>
      <c r="N161" s="3" t="s">
        <v>256</v>
      </c>
      <c r="O161" s="3" t="s">
        <v>38</v>
      </c>
      <c r="P161" s="3"/>
      <c r="Q161" s="4">
        <v>45968</v>
      </c>
      <c r="R161" s="3" t="s">
        <v>39</v>
      </c>
      <c r="S161" s="3" t="s">
        <v>38</v>
      </c>
      <c r="T161" s="3" t="s">
        <v>40</v>
      </c>
      <c r="U161" s="3"/>
      <c r="V161" s="3" t="s">
        <v>41</v>
      </c>
      <c r="W161" s="3">
        <v>786.83</v>
      </c>
      <c r="X161" s="3">
        <v>590.12</v>
      </c>
      <c r="Y161" s="3">
        <v>137.69999999999999</v>
      </c>
      <c r="Z161" s="3">
        <v>59.01</v>
      </c>
      <c r="AA161" s="3">
        <v>0</v>
      </c>
    </row>
    <row r="162" spans="1:27" ht="60.75" x14ac:dyDescent="0.25">
      <c r="A162" s="3" t="s">
        <v>28</v>
      </c>
      <c r="B162" s="3" t="s">
        <v>29</v>
      </c>
      <c r="C162" s="3" t="s">
        <v>30</v>
      </c>
      <c r="D162" s="3" t="s">
        <v>42</v>
      </c>
      <c r="E162" s="3" t="s">
        <v>43</v>
      </c>
      <c r="F162" s="3" t="s">
        <v>43</v>
      </c>
      <c r="G162" s="3">
        <v>2025</v>
      </c>
      <c r="H162" s="3" t="str">
        <f>CONCATENATE("54240616711")</f>
        <v>54240616711</v>
      </c>
      <c r="I162" s="3" t="s">
        <v>34</v>
      </c>
      <c r="J162" s="3" t="s">
        <v>35</v>
      </c>
      <c r="K162" s="3"/>
      <c r="L162" s="3" t="s">
        <v>36</v>
      </c>
      <c r="M162" s="3" t="str">
        <f>CONCATENATE("GDCCLN43A68F415E")</f>
        <v>GDCCLN43A68F415E</v>
      </c>
      <c r="N162" s="3" t="s">
        <v>257</v>
      </c>
      <c r="O162" s="3" t="s">
        <v>38</v>
      </c>
      <c r="P162" s="3"/>
      <c r="Q162" s="4">
        <v>45968</v>
      </c>
      <c r="R162" s="3" t="s">
        <v>39</v>
      </c>
      <c r="S162" s="3" t="s">
        <v>38</v>
      </c>
      <c r="T162" s="3" t="s">
        <v>40</v>
      </c>
      <c r="U162" s="3"/>
      <c r="V162" s="3" t="s">
        <v>41</v>
      </c>
      <c r="W162" s="5">
        <v>1042.43</v>
      </c>
      <c r="X162" s="3">
        <v>781.82</v>
      </c>
      <c r="Y162" s="3">
        <v>182.43</v>
      </c>
      <c r="Z162" s="3">
        <v>78.180000000000007</v>
      </c>
      <c r="AA162" s="3">
        <v>0</v>
      </c>
    </row>
    <row r="163" spans="1:27" ht="60.75" x14ac:dyDescent="0.25">
      <c r="A163" s="3" t="s">
        <v>28</v>
      </c>
      <c r="B163" s="3" t="s">
        <v>29</v>
      </c>
      <c r="C163" s="3" t="s">
        <v>30</v>
      </c>
      <c r="D163" s="3" t="s">
        <v>42</v>
      </c>
      <c r="E163" s="3" t="s">
        <v>43</v>
      </c>
      <c r="F163" s="3" t="s">
        <v>43</v>
      </c>
      <c r="G163" s="3">
        <v>2025</v>
      </c>
      <c r="H163" s="3" t="str">
        <f>CONCATENATE("54240616729")</f>
        <v>54240616729</v>
      </c>
      <c r="I163" s="3" t="s">
        <v>34</v>
      </c>
      <c r="J163" s="3" t="s">
        <v>35</v>
      </c>
      <c r="K163" s="3"/>
      <c r="L163" s="3" t="s">
        <v>36</v>
      </c>
      <c r="M163" s="3" t="str">
        <f>CONCATENATE("FRNMRA91L25D542G")</f>
        <v>FRNMRA91L25D542G</v>
      </c>
      <c r="N163" s="3" t="s">
        <v>258</v>
      </c>
      <c r="O163" s="3" t="s">
        <v>38</v>
      </c>
      <c r="P163" s="3"/>
      <c r="Q163" s="4">
        <v>45968</v>
      </c>
      <c r="R163" s="3" t="s">
        <v>39</v>
      </c>
      <c r="S163" s="3" t="s">
        <v>38</v>
      </c>
      <c r="T163" s="3" t="s">
        <v>40</v>
      </c>
      <c r="U163" s="3"/>
      <c r="V163" s="3" t="s">
        <v>41</v>
      </c>
      <c r="W163" s="5">
        <v>4702.0200000000004</v>
      </c>
      <c r="X163" s="5">
        <v>3526.52</v>
      </c>
      <c r="Y163" s="3">
        <v>822.85</v>
      </c>
      <c r="Z163" s="3">
        <v>352.65</v>
      </c>
      <c r="AA163" s="3">
        <v>0</v>
      </c>
    </row>
    <row r="164" spans="1:27" ht="60.75" x14ac:dyDescent="0.25">
      <c r="A164" s="3" t="s">
        <v>28</v>
      </c>
      <c r="B164" s="3" t="s">
        <v>29</v>
      </c>
      <c r="C164" s="3" t="s">
        <v>30</v>
      </c>
      <c r="D164" s="3" t="s">
        <v>42</v>
      </c>
      <c r="E164" s="3" t="s">
        <v>43</v>
      </c>
      <c r="F164" s="3" t="s">
        <v>43</v>
      </c>
      <c r="G164" s="3">
        <v>2025</v>
      </c>
      <c r="H164" s="3" t="str">
        <f>CONCATENATE("54240616836")</f>
        <v>54240616836</v>
      </c>
      <c r="I164" s="3" t="s">
        <v>44</v>
      </c>
      <c r="J164" s="3" t="s">
        <v>35</v>
      </c>
      <c r="K164" s="3"/>
      <c r="L164" s="3" t="s">
        <v>36</v>
      </c>
      <c r="M164" s="3" t="str">
        <f>CONCATENATE("SLVLEI54B23G005D")</f>
        <v>SLVLEI54B23G005D</v>
      </c>
      <c r="N164" s="3" t="s">
        <v>259</v>
      </c>
      <c r="O164" s="3" t="s">
        <v>38</v>
      </c>
      <c r="P164" s="3"/>
      <c r="Q164" s="4">
        <v>45968</v>
      </c>
      <c r="R164" s="3" t="s">
        <v>39</v>
      </c>
      <c r="S164" s="3" t="s">
        <v>38</v>
      </c>
      <c r="T164" s="3" t="s">
        <v>40</v>
      </c>
      <c r="U164" s="3"/>
      <c r="V164" s="3" t="s">
        <v>41</v>
      </c>
      <c r="W164" s="5">
        <v>1072.51</v>
      </c>
      <c r="X164" s="3">
        <v>804.38</v>
      </c>
      <c r="Y164" s="3">
        <v>187.69</v>
      </c>
      <c r="Z164" s="3">
        <v>80.44</v>
      </c>
      <c r="AA164" s="3">
        <v>0</v>
      </c>
    </row>
    <row r="165" spans="1:27" ht="60.75" x14ac:dyDescent="0.25">
      <c r="A165" s="3" t="s">
        <v>28</v>
      </c>
      <c r="B165" s="3" t="s">
        <v>29</v>
      </c>
      <c r="C165" s="3" t="s">
        <v>30</v>
      </c>
      <c r="D165" s="3" t="s">
        <v>42</v>
      </c>
      <c r="E165" s="3" t="s">
        <v>43</v>
      </c>
      <c r="F165" s="3" t="s">
        <v>43</v>
      </c>
      <c r="G165" s="3">
        <v>2025</v>
      </c>
      <c r="H165" s="3" t="str">
        <f>CONCATENATE("54240616752")</f>
        <v>54240616752</v>
      </c>
      <c r="I165" s="3" t="s">
        <v>34</v>
      </c>
      <c r="J165" s="3" t="s">
        <v>35</v>
      </c>
      <c r="K165" s="3"/>
      <c r="L165" s="3" t="s">
        <v>36</v>
      </c>
      <c r="M165" s="3" t="str">
        <f>CONCATENATE("GRNRGN56C68A462K")</f>
        <v>GRNRGN56C68A462K</v>
      </c>
      <c r="N165" s="3" t="s">
        <v>260</v>
      </c>
      <c r="O165" s="3" t="s">
        <v>38</v>
      </c>
      <c r="P165" s="3"/>
      <c r="Q165" s="4">
        <v>45968</v>
      </c>
      <c r="R165" s="3" t="s">
        <v>39</v>
      </c>
      <c r="S165" s="3" t="s">
        <v>38</v>
      </c>
      <c r="T165" s="3" t="s">
        <v>40</v>
      </c>
      <c r="U165" s="3"/>
      <c r="V165" s="3" t="s">
        <v>41</v>
      </c>
      <c r="W165" s="5">
        <v>1025.24</v>
      </c>
      <c r="X165" s="3">
        <v>768.93</v>
      </c>
      <c r="Y165" s="3">
        <v>179.42</v>
      </c>
      <c r="Z165" s="3">
        <v>76.89</v>
      </c>
      <c r="AA165" s="3">
        <v>0</v>
      </c>
    </row>
    <row r="166" spans="1:27" ht="60.75" x14ac:dyDescent="0.25">
      <c r="A166" s="3" t="s">
        <v>28</v>
      </c>
      <c r="B166" s="3" t="s">
        <v>29</v>
      </c>
      <c r="C166" s="3" t="s">
        <v>30</v>
      </c>
      <c r="D166" s="3" t="s">
        <v>42</v>
      </c>
      <c r="E166" s="3" t="s">
        <v>43</v>
      </c>
      <c r="F166" s="3" t="s">
        <v>43</v>
      </c>
      <c r="G166" s="3">
        <v>2025</v>
      </c>
      <c r="H166" s="3" t="str">
        <f>CONCATENATE("54240616760")</f>
        <v>54240616760</v>
      </c>
      <c r="I166" s="3" t="s">
        <v>34</v>
      </c>
      <c r="J166" s="3" t="s">
        <v>35</v>
      </c>
      <c r="K166" s="3"/>
      <c r="L166" s="3" t="s">
        <v>36</v>
      </c>
      <c r="M166" s="3" t="str">
        <f>CONCATENATE("MLNGPP49H52C877H")</f>
        <v>MLNGPP49H52C877H</v>
      </c>
      <c r="N166" s="3" t="s">
        <v>261</v>
      </c>
      <c r="O166" s="3" t="s">
        <v>38</v>
      </c>
      <c r="P166" s="3"/>
      <c r="Q166" s="4">
        <v>45968</v>
      </c>
      <c r="R166" s="3" t="s">
        <v>39</v>
      </c>
      <c r="S166" s="3" t="s">
        <v>38</v>
      </c>
      <c r="T166" s="3" t="s">
        <v>40</v>
      </c>
      <c r="U166" s="3"/>
      <c r="V166" s="3" t="s">
        <v>41</v>
      </c>
      <c r="W166" s="5">
        <v>6307.62</v>
      </c>
      <c r="X166" s="5">
        <v>4730.72</v>
      </c>
      <c r="Y166" s="5">
        <v>1103.83</v>
      </c>
      <c r="Z166" s="3">
        <v>473.07</v>
      </c>
      <c r="AA166" s="3">
        <v>0</v>
      </c>
    </row>
    <row r="167" spans="1:27" ht="72.75" x14ac:dyDescent="0.25">
      <c r="A167" s="3" t="s">
        <v>28</v>
      </c>
      <c r="B167" s="3" t="s">
        <v>29</v>
      </c>
      <c r="C167" s="3" t="s">
        <v>30</v>
      </c>
      <c r="D167" s="3" t="s">
        <v>42</v>
      </c>
      <c r="E167" s="3" t="s">
        <v>43</v>
      </c>
      <c r="F167" s="3" t="s">
        <v>43</v>
      </c>
      <c r="G167" s="3">
        <v>2025</v>
      </c>
      <c r="H167" s="3" t="str">
        <f>CONCATENATE("54240616778")</f>
        <v>54240616778</v>
      </c>
      <c r="I167" s="3" t="s">
        <v>44</v>
      </c>
      <c r="J167" s="3" t="s">
        <v>35</v>
      </c>
      <c r="K167" s="3"/>
      <c r="L167" s="3" t="s">
        <v>36</v>
      </c>
      <c r="M167" s="3" t="str">
        <f>CONCATENATE("MRNNNA59D54G005V")</f>
        <v>MRNNNA59D54G005V</v>
      </c>
      <c r="N167" s="3" t="s">
        <v>262</v>
      </c>
      <c r="O167" s="3" t="s">
        <v>38</v>
      </c>
      <c r="P167" s="3"/>
      <c r="Q167" s="4">
        <v>45968</v>
      </c>
      <c r="R167" s="3" t="s">
        <v>39</v>
      </c>
      <c r="S167" s="3" t="s">
        <v>38</v>
      </c>
      <c r="T167" s="3" t="s">
        <v>40</v>
      </c>
      <c r="U167" s="3"/>
      <c r="V167" s="3" t="s">
        <v>41</v>
      </c>
      <c r="W167" s="5">
        <v>2015.04</v>
      </c>
      <c r="X167" s="5">
        <v>1511.28</v>
      </c>
      <c r="Y167" s="3">
        <v>352.63</v>
      </c>
      <c r="Z167" s="3">
        <v>151.13</v>
      </c>
      <c r="AA167" s="3">
        <v>0</v>
      </c>
    </row>
    <row r="168" spans="1:27" ht="60.75" x14ac:dyDescent="0.25">
      <c r="A168" s="3" t="s">
        <v>28</v>
      </c>
      <c r="B168" s="3" t="s">
        <v>29</v>
      </c>
      <c r="C168" s="3" t="s">
        <v>30</v>
      </c>
      <c r="D168" s="3" t="s">
        <v>42</v>
      </c>
      <c r="E168" s="3" t="s">
        <v>132</v>
      </c>
      <c r="F168" s="3" t="s">
        <v>263</v>
      </c>
      <c r="G168" s="3">
        <v>2025</v>
      </c>
      <c r="H168" s="3" t="str">
        <f>CONCATENATE("54240618113")</f>
        <v>54240618113</v>
      </c>
      <c r="I168" s="3" t="s">
        <v>34</v>
      </c>
      <c r="J168" s="3" t="s">
        <v>35</v>
      </c>
      <c r="K168" s="3"/>
      <c r="L168" s="3" t="s">
        <v>36</v>
      </c>
      <c r="M168" s="3" t="str">
        <f>CONCATENATE("MRSPLG76L25H769J")</f>
        <v>MRSPLG76L25H769J</v>
      </c>
      <c r="N168" s="3" t="s">
        <v>264</v>
      </c>
      <c r="O168" s="3" t="s">
        <v>38</v>
      </c>
      <c r="P168" s="3"/>
      <c r="Q168" s="4">
        <v>45968</v>
      </c>
      <c r="R168" s="3" t="s">
        <v>39</v>
      </c>
      <c r="S168" s="3" t="s">
        <v>38</v>
      </c>
      <c r="T168" s="3" t="s">
        <v>40</v>
      </c>
      <c r="U168" s="3"/>
      <c r="V168" s="3" t="s">
        <v>41</v>
      </c>
      <c r="W168" s="3">
        <v>635.48</v>
      </c>
      <c r="X168" s="3">
        <v>476.61</v>
      </c>
      <c r="Y168" s="3">
        <v>111.21</v>
      </c>
      <c r="Z168" s="3">
        <v>47.66</v>
      </c>
      <c r="AA168" s="3">
        <v>0</v>
      </c>
    </row>
    <row r="169" spans="1:27" ht="60.75" x14ac:dyDescent="0.25">
      <c r="A169" s="3" t="s">
        <v>28</v>
      </c>
      <c r="B169" s="3" t="s">
        <v>29</v>
      </c>
      <c r="C169" s="3" t="s">
        <v>30</v>
      </c>
      <c r="D169" s="3" t="s">
        <v>65</v>
      </c>
      <c r="E169" s="3" t="s">
        <v>51</v>
      </c>
      <c r="F169" s="3" t="s">
        <v>105</v>
      </c>
      <c r="G169" s="3">
        <v>2025</v>
      </c>
      <c r="H169" s="3" t="str">
        <f>CONCATENATE("54240619004")</f>
        <v>54240619004</v>
      </c>
      <c r="I169" s="3" t="s">
        <v>34</v>
      </c>
      <c r="J169" s="3" t="s">
        <v>35</v>
      </c>
      <c r="K169" s="3"/>
      <c r="L169" s="3" t="s">
        <v>36</v>
      </c>
      <c r="M169" s="3" t="str">
        <f>CONCATENATE("CLVLRA86B51D451O")</f>
        <v>CLVLRA86B51D451O</v>
      </c>
      <c r="N169" s="3" t="s">
        <v>265</v>
      </c>
      <c r="O169" s="3" t="s">
        <v>38</v>
      </c>
      <c r="P169" s="3"/>
      <c r="Q169" s="4">
        <v>45968</v>
      </c>
      <c r="R169" s="3" t="s">
        <v>39</v>
      </c>
      <c r="S169" s="3" t="s">
        <v>38</v>
      </c>
      <c r="T169" s="3" t="s">
        <v>40</v>
      </c>
      <c r="U169" s="3"/>
      <c r="V169" s="3" t="s">
        <v>41</v>
      </c>
      <c r="W169" s="5">
        <v>1020.61</v>
      </c>
      <c r="X169" s="3">
        <v>765.46</v>
      </c>
      <c r="Y169" s="3">
        <v>178.61</v>
      </c>
      <c r="Z169" s="3">
        <v>76.540000000000006</v>
      </c>
      <c r="AA169" s="3">
        <v>0</v>
      </c>
    </row>
    <row r="170" spans="1:27" ht="72.75" x14ac:dyDescent="0.25">
      <c r="A170" s="3" t="s">
        <v>28</v>
      </c>
      <c r="B170" s="3" t="s">
        <v>29</v>
      </c>
      <c r="C170" s="3" t="s">
        <v>30</v>
      </c>
      <c r="D170" s="3" t="s">
        <v>65</v>
      </c>
      <c r="E170" s="3" t="s">
        <v>48</v>
      </c>
      <c r="F170" s="3" t="s">
        <v>76</v>
      </c>
      <c r="G170" s="3">
        <v>2025</v>
      </c>
      <c r="H170" s="3" t="str">
        <f>CONCATENATE("54240556065")</f>
        <v>54240556065</v>
      </c>
      <c r="I170" s="3" t="s">
        <v>34</v>
      </c>
      <c r="J170" s="3" t="s">
        <v>35</v>
      </c>
      <c r="K170" s="3"/>
      <c r="L170" s="3" t="s">
        <v>36</v>
      </c>
      <c r="M170" s="3" t="str">
        <f>CONCATENATE("CNTNMR52A44F478T")</f>
        <v>CNTNMR52A44F478T</v>
      </c>
      <c r="N170" s="3" t="s">
        <v>266</v>
      </c>
      <c r="O170" s="3" t="s">
        <v>38</v>
      </c>
      <c r="P170" s="3"/>
      <c r="Q170" s="4">
        <v>45968</v>
      </c>
      <c r="R170" s="3" t="s">
        <v>39</v>
      </c>
      <c r="S170" s="3" t="s">
        <v>38</v>
      </c>
      <c r="T170" s="3" t="s">
        <v>40</v>
      </c>
      <c r="U170" s="3"/>
      <c r="V170" s="3" t="s">
        <v>41</v>
      </c>
      <c r="W170" s="3">
        <v>505.93</v>
      </c>
      <c r="X170" s="3">
        <v>379.45</v>
      </c>
      <c r="Y170" s="3">
        <v>88.54</v>
      </c>
      <c r="Z170" s="3">
        <v>37.94</v>
      </c>
      <c r="AA170" s="3">
        <v>0</v>
      </c>
    </row>
    <row r="171" spans="1:27" ht="60.75" x14ac:dyDescent="0.25">
      <c r="A171" s="3" t="s">
        <v>28</v>
      </c>
      <c r="B171" s="3" t="s">
        <v>29</v>
      </c>
      <c r="C171" s="3" t="s">
        <v>30</v>
      </c>
      <c r="D171" s="3" t="s">
        <v>42</v>
      </c>
      <c r="E171" s="3" t="s">
        <v>51</v>
      </c>
      <c r="F171" s="3" t="s">
        <v>52</v>
      </c>
      <c r="G171" s="3">
        <v>2025</v>
      </c>
      <c r="H171" s="3" t="str">
        <f>CONCATENATE("54240502986")</f>
        <v>54240502986</v>
      </c>
      <c r="I171" s="3" t="s">
        <v>34</v>
      </c>
      <c r="J171" s="3" t="s">
        <v>35</v>
      </c>
      <c r="K171" s="3"/>
      <c r="L171" s="3" t="s">
        <v>36</v>
      </c>
      <c r="M171" s="3" t="str">
        <f>CONCATENATE("BRCMLL64C54G516S")</f>
        <v>BRCMLL64C54G516S</v>
      </c>
      <c r="N171" s="3" t="s">
        <v>267</v>
      </c>
      <c r="O171" s="3" t="s">
        <v>38</v>
      </c>
      <c r="P171" s="3"/>
      <c r="Q171" s="4">
        <v>45968</v>
      </c>
      <c r="R171" s="3" t="s">
        <v>39</v>
      </c>
      <c r="S171" s="3" t="s">
        <v>38</v>
      </c>
      <c r="T171" s="3" t="s">
        <v>40</v>
      </c>
      <c r="U171" s="3"/>
      <c r="V171" s="3" t="s">
        <v>41</v>
      </c>
      <c r="W171" s="5">
        <v>1630.31</v>
      </c>
      <c r="X171" s="5">
        <v>1222.73</v>
      </c>
      <c r="Y171" s="3">
        <v>285.3</v>
      </c>
      <c r="Z171" s="3">
        <v>122.28</v>
      </c>
      <c r="AA171" s="3">
        <v>0</v>
      </c>
    </row>
    <row r="172" spans="1:27" ht="36.75" x14ac:dyDescent="0.25">
      <c r="A172" s="3" t="s">
        <v>28</v>
      </c>
      <c r="B172" s="3" t="s">
        <v>29</v>
      </c>
      <c r="C172" s="3" t="s">
        <v>30</v>
      </c>
      <c r="D172" s="3" t="s">
        <v>31</v>
      </c>
      <c r="E172" s="3" t="s">
        <v>32</v>
      </c>
      <c r="F172" s="3" t="s">
        <v>33</v>
      </c>
      <c r="G172" s="3">
        <v>2025</v>
      </c>
      <c r="H172" s="3" t="str">
        <f>CONCATENATE("54240570793")</f>
        <v>54240570793</v>
      </c>
      <c r="I172" s="3" t="s">
        <v>34</v>
      </c>
      <c r="J172" s="3" t="s">
        <v>35</v>
      </c>
      <c r="K172" s="3"/>
      <c r="L172" s="3" t="s">
        <v>36</v>
      </c>
      <c r="M172" s="3" t="str">
        <f>CONCATENATE("02855180424")</f>
        <v>02855180424</v>
      </c>
      <c r="N172" s="3" t="s">
        <v>268</v>
      </c>
      <c r="O172" s="3" t="s">
        <v>38</v>
      </c>
      <c r="P172" s="3"/>
      <c r="Q172" s="4">
        <v>45968</v>
      </c>
      <c r="R172" s="3" t="s">
        <v>39</v>
      </c>
      <c r="S172" s="3" t="s">
        <v>38</v>
      </c>
      <c r="T172" s="3" t="s">
        <v>40</v>
      </c>
      <c r="U172" s="3"/>
      <c r="V172" s="3" t="s">
        <v>41</v>
      </c>
      <c r="W172" s="5">
        <v>8051.64</v>
      </c>
      <c r="X172" s="5">
        <v>6038.73</v>
      </c>
      <c r="Y172" s="5">
        <v>1409.04</v>
      </c>
      <c r="Z172" s="3">
        <v>603.87</v>
      </c>
      <c r="AA172" s="3">
        <v>0</v>
      </c>
    </row>
    <row r="173" spans="1:27" ht="72.75" x14ac:dyDescent="0.25">
      <c r="A173" s="3" t="s">
        <v>28</v>
      </c>
      <c r="B173" s="3" t="s">
        <v>29</v>
      </c>
      <c r="C173" s="3" t="s">
        <v>30</v>
      </c>
      <c r="D173" s="3" t="s">
        <v>42</v>
      </c>
      <c r="E173" s="3" t="s">
        <v>43</v>
      </c>
      <c r="F173" s="3" t="s">
        <v>43</v>
      </c>
      <c r="G173" s="3">
        <v>2025</v>
      </c>
      <c r="H173" s="3" t="str">
        <f>CONCATENATE("54240663978")</f>
        <v>54240663978</v>
      </c>
      <c r="I173" s="3" t="s">
        <v>34</v>
      </c>
      <c r="J173" s="3" t="s">
        <v>35</v>
      </c>
      <c r="K173" s="3"/>
      <c r="L173" s="3" t="s">
        <v>36</v>
      </c>
      <c r="M173" s="3" t="str">
        <f>CONCATENATE("BSSRBN80B18D542U")</f>
        <v>BSSRBN80B18D542U</v>
      </c>
      <c r="N173" s="3" t="s">
        <v>269</v>
      </c>
      <c r="O173" s="3" t="s">
        <v>38</v>
      </c>
      <c r="P173" s="3"/>
      <c r="Q173" s="4">
        <v>45968</v>
      </c>
      <c r="R173" s="3" t="s">
        <v>39</v>
      </c>
      <c r="S173" s="3" t="s">
        <v>38</v>
      </c>
      <c r="T173" s="3" t="s">
        <v>40</v>
      </c>
      <c r="U173" s="3"/>
      <c r="V173" s="3" t="s">
        <v>41</v>
      </c>
      <c r="W173" s="5">
        <v>2159.71</v>
      </c>
      <c r="X173" s="5">
        <v>1619.78</v>
      </c>
      <c r="Y173" s="3">
        <v>377.95</v>
      </c>
      <c r="Z173" s="3">
        <v>161.97999999999999</v>
      </c>
      <c r="AA173" s="3">
        <v>0</v>
      </c>
    </row>
    <row r="174" spans="1:27" ht="60.75" x14ac:dyDescent="0.25">
      <c r="A174" s="3" t="s">
        <v>28</v>
      </c>
      <c r="B174" s="3" t="s">
        <v>29</v>
      </c>
      <c r="C174" s="3" t="s">
        <v>30</v>
      </c>
      <c r="D174" s="3" t="s">
        <v>65</v>
      </c>
      <c r="E174" s="3" t="s">
        <v>32</v>
      </c>
      <c r="F174" s="3" t="s">
        <v>270</v>
      </c>
      <c r="G174" s="3">
        <v>2025</v>
      </c>
      <c r="H174" s="3" t="str">
        <f>CONCATENATE("54240528726")</f>
        <v>54240528726</v>
      </c>
      <c r="I174" s="3" t="s">
        <v>34</v>
      </c>
      <c r="J174" s="3" t="s">
        <v>35</v>
      </c>
      <c r="K174" s="3"/>
      <c r="L174" s="3" t="s">
        <v>36</v>
      </c>
      <c r="M174" s="3" t="str">
        <f>CONCATENATE("TDDLSN70L22G479B")</f>
        <v>TDDLSN70L22G479B</v>
      </c>
      <c r="N174" s="3" t="s">
        <v>271</v>
      </c>
      <c r="O174" s="3" t="s">
        <v>38</v>
      </c>
      <c r="P174" s="3"/>
      <c r="Q174" s="4">
        <v>45968</v>
      </c>
      <c r="R174" s="3" t="s">
        <v>39</v>
      </c>
      <c r="S174" s="3" t="s">
        <v>38</v>
      </c>
      <c r="T174" s="3" t="s">
        <v>40</v>
      </c>
      <c r="U174" s="3"/>
      <c r="V174" s="3" t="s">
        <v>41</v>
      </c>
      <c r="W174" s="5">
        <v>2636.06</v>
      </c>
      <c r="X174" s="5">
        <v>1977.05</v>
      </c>
      <c r="Y174" s="3">
        <v>461.31</v>
      </c>
      <c r="Z174" s="3">
        <v>197.7</v>
      </c>
      <c r="AA174" s="3">
        <v>0</v>
      </c>
    </row>
    <row r="175" spans="1:27" ht="60.75" x14ac:dyDescent="0.25">
      <c r="A175" s="3" t="s">
        <v>28</v>
      </c>
      <c r="B175" s="3" t="s">
        <v>29</v>
      </c>
      <c r="C175" s="3" t="s">
        <v>30</v>
      </c>
      <c r="D175" s="3" t="s">
        <v>65</v>
      </c>
      <c r="E175" s="3" t="s">
        <v>32</v>
      </c>
      <c r="F175" s="3" t="s">
        <v>270</v>
      </c>
      <c r="G175" s="3">
        <v>2025</v>
      </c>
      <c r="H175" s="3" t="str">
        <f>CONCATENATE("54240528965")</f>
        <v>54240528965</v>
      </c>
      <c r="I175" s="3" t="s">
        <v>34</v>
      </c>
      <c r="J175" s="3" t="s">
        <v>35</v>
      </c>
      <c r="K175" s="3"/>
      <c r="L175" s="3" t="s">
        <v>36</v>
      </c>
      <c r="M175" s="3" t="str">
        <f>CONCATENATE("TDDLRT73C29G479X")</f>
        <v>TDDLRT73C29G479X</v>
      </c>
      <c r="N175" s="3" t="s">
        <v>272</v>
      </c>
      <c r="O175" s="3" t="s">
        <v>38</v>
      </c>
      <c r="P175" s="3"/>
      <c r="Q175" s="4">
        <v>45968</v>
      </c>
      <c r="R175" s="3" t="s">
        <v>39</v>
      </c>
      <c r="S175" s="3" t="s">
        <v>38</v>
      </c>
      <c r="T175" s="3" t="s">
        <v>40</v>
      </c>
      <c r="U175" s="3"/>
      <c r="V175" s="3" t="s">
        <v>41</v>
      </c>
      <c r="W175" s="3">
        <v>988.98</v>
      </c>
      <c r="X175" s="3">
        <v>741.74</v>
      </c>
      <c r="Y175" s="3">
        <v>173.07</v>
      </c>
      <c r="Z175" s="3">
        <v>74.17</v>
      </c>
      <c r="AA175" s="3">
        <v>0</v>
      </c>
    </row>
    <row r="176" spans="1:27" ht="36.75" x14ac:dyDescent="0.25">
      <c r="A176" s="3" t="s">
        <v>28</v>
      </c>
      <c r="B176" s="3" t="s">
        <v>29</v>
      </c>
      <c r="C176" s="3" t="s">
        <v>30</v>
      </c>
      <c r="D176" s="3" t="s">
        <v>65</v>
      </c>
      <c r="E176" s="3" t="s">
        <v>48</v>
      </c>
      <c r="F176" s="3" t="s">
        <v>66</v>
      </c>
      <c r="G176" s="3">
        <v>2025</v>
      </c>
      <c r="H176" s="3" t="str">
        <f>CONCATENATE("54240529443")</f>
        <v>54240529443</v>
      </c>
      <c r="I176" s="3" t="s">
        <v>44</v>
      </c>
      <c r="J176" s="3" t="s">
        <v>35</v>
      </c>
      <c r="K176" s="3"/>
      <c r="L176" s="3" t="s">
        <v>36</v>
      </c>
      <c r="M176" s="3" t="str">
        <f>CONCATENATE("02351210410")</f>
        <v>02351210410</v>
      </c>
      <c r="N176" s="3" t="s">
        <v>273</v>
      </c>
      <c r="O176" s="3" t="s">
        <v>38</v>
      </c>
      <c r="P176" s="3"/>
      <c r="Q176" s="4">
        <v>45968</v>
      </c>
      <c r="R176" s="3" t="s">
        <v>39</v>
      </c>
      <c r="S176" s="3" t="s">
        <v>38</v>
      </c>
      <c r="T176" s="3" t="s">
        <v>40</v>
      </c>
      <c r="U176" s="3"/>
      <c r="V176" s="3" t="s">
        <v>41</v>
      </c>
      <c r="W176" s="5">
        <v>1258.5</v>
      </c>
      <c r="X176" s="3">
        <v>943.88</v>
      </c>
      <c r="Y176" s="3">
        <v>220.24</v>
      </c>
      <c r="Z176" s="3">
        <v>94.38</v>
      </c>
      <c r="AA176" s="3">
        <v>0</v>
      </c>
    </row>
    <row r="177" spans="1:27" ht="60.75" x14ac:dyDescent="0.25">
      <c r="A177" s="3" t="s">
        <v>28</v>
      </c>
      <c r="B177" s="3" t="s">
        <v>29</v>
      </c>
      <c r="C177" s="3" t="s">
        <v>30</v>
      </c>
      <c r="D177" s="3" t="s">
        <v>65</v>
      </c>
      <c r="E177" s="3" t="s">
        <v>51</v>
      </c>
      <c r="F177" s="3" t="s">
        <v>105</v>
      </c>
      <c r="G177" s="3">
        <v>2025</v>
      </c>
      <c r="H177" s="3" t="str">
        <f>CONCATENATE("54240559440")</f>
        <v>54240559440</v>
      </c>
      <c r="I177" s="3" t="s">
        <v>34</v>
      </c>
      <c r="J177" s="3" t="s">
        <v>35</v>
      </c>
      <c r="K177" s="3"/>
      <c r="L177" s="3" t="s">
        <v>36</v>
      </c>
      <c r="M177" s="3" t="str">
        <f>CONCATENATE("LSIRGA38L09F497X")</f>
        <v>LSIRGA38L09F497X</v>
      </c>
      <c r="N177" s="3" t="s">
        <v>274</v>
      </c>
      <c r="O177" s="3" t="s">
        <v>38</v>
      </c>
      <c r="P177" s="3"/>
      <c r="Q177" s="4">
        <v>45968</v>
      </c>
      <c r="R177" s="3" t="s">
        <v>39</v>
      </c>
      <c r="S177" s="3" t="s">
        <v>38</v>
      </c>
      <c r="T177" s="3" t="s">
        <v>40</v>
      </c>
      <c r="U177" s="3"/>
      <c r="V177" s="3" t="s">
        <v>41</v>
      </c>
      <c r="W177" s="5">
        <v>4877.5600000000004</v>
      </c>
      <c r="X177" s="5">
        <v>3658.17</v>
      </c>
      <c r="Y177" s="3">
        <v>853.57</v>
      </c>
      <c r="Z177" s="3">
        <v>365.82</v>
      </c>
      <c r="AA177" s="3">
        <v>0</v>
      </c>
    </row>
    <row r="178" spans="1:27" ht="60.75" x14ac:dyDescent="0.25">
      <c r="A178" s="3" t="s">
        <v>28</v>
      </c>
      <c r="B178" s="3" t="s">
        <v>29</v>
      </c>
      <c r="C178" s="3" t="s">
        <v>30</v>
      </c>
      <c r="D178" s="3" t="s">
        <v>65</v>
      </c>
      <c r="E178" s="3" t="s">
        <v>48</v>
      </c>
      <c r="F178" s="3" t="s">
        <v>66</v>
      </c>
      <c r="G178" s="3">
        <v>2025</v>
      </c>
      <c r="H178" s="3" t="str">
        <f>CONCATENATE("54240529815")</f>
        <v>54240529815</v>
      </c>
      <c r="I178" s="3" t="s">
        <v>34</v>
      </c>
      <c r="J178" s="3" t="s">
        <v>35</v>
      </c>
      <c r="K178" s="3"/>
      <c r="L178" s="3" t="s">
        <v>36</v>
      </c>
      <c r="M178" s="3" t="str">
        <f>CONCATENATE("SCCNDR74D28F205Y")</f>
        <v>SCCNDR74D28F205Y</v>
      </c>
      <c r="N178" s="3" t="s">
        <v>275</v>
      </c>
      <c r="O178" s="3" t="s">
        <v>38</v>
      </c>
      <c r="P178" s="3"/>
      <c r="Q178" s="4">
        <v>45968</v>
      </c>
      <c r="R178" s="3" t="s">
        <v>39</v>
      </c>
      <c r="S178" s="3" t="s">
        <v>38</v>
      </c>
      <c r="T178" s="3" t="s">
        <v>40</v>
      </c>
      <c r="U178" s="3"/>
      <c r="V178" s="3" t="s">
        <v>41</v>
      </c>
      <c r="W178" s="5">
        <v>3093.39</v>
      </c>
      <c r="X178" s="5">
        <v>2320.04</v>
      </c>
      <c r="Y178" s="3">
        <v>541.34</v>
      </c>
      <c r="Z178" s="3">
        <v>232.01</v>
      </c>
      <c r="AA178" s="3">
        <v>0</v>
      </c>
    </row>
    <row r="179" spans="1:27" ht="60.75" x14ac:dyDescent="0.25">
      <c r="A179" s="3" t="s">
        <v>28</v>
      </c>
      <c r="B179" s="3" t="s">
        <v>29</v>
      </c>
      <c r="C179" s="3" t="s">
        <v>30</v>
      </c>
      <c r="D179" s="3" t="s">
        <v>65</v>
      </c>
      <c r="E179" s="3" t="s">
        <v>32</v>
      </c>
      <c r="F179" s="3" t="s">
        <v>276</v>
      </c>
      <c r="G179" s="3">
        <v>2025</v>
      </c>
      <c r="H179" s="3" t="str">
        <f>CONCATENATE("54240530748")</f>
        <v>54240530748</v>
      </c>
      <c r="I179" s="3" t="s">
        <v>34</v>
      </c>
      <c r="J179" s="3" t="s">
        <v>35</v>
      </c>
      <c r="K179" s="3"/>
      <c r="L179" s="3" t="s">
        <v>36</v>
      </c>
      <c r="M179" s="3" t="str">
        <f>CONCATENATE("CCCGZN72C20E785T")</f>
        <v>CCCGZN72C20E785T</v>
      </c>
      <c r="N179" s="3" t="s">
        <v>277</v>
      </c>
      <c r="O179" s="3" t="s">
        <v>38</v>
      </c>
      <c r="P179" s="3"/>
      <c r="Q179" s="4">
        <v>45968</v>
      </c>
      <c r="R179" s="3" t="s">
        <v>39</v>
      </c>
      <c r="S179" s="3" t="s">
        <v>38</v>
      </c>
      <c r="T179" s="3" t="s">
        <v>40</v>
      </c>
      <c r="U179" s="3"/>
      <c r="V179" s="3" t="s">
        <v>41</v>
      </c>
      <c r="W179" s="5">
        <v>5433</v>
      </c>
      <c r="X179" s="5">
        <v>4074.75</v>
      </c>
      <c r="Y179" s="3">
        <v>950.78</v>
      </c>
      <c r="Z179" s="3">
        <v>407.47</v>
      </c>
      <c r="AA179" s="3">
        <v>0</v>
      </c>
    </row>
    <row r="180" spans="1:27" ht="60.75" x14ac:dyDescent="0.25">
      <c r="A180" s="3" t="s">
        <v>28</v>
      </c>
      <c r="B180" s="3" t="s">
        <v>29</v>
      </c>
      <c r="C180" s="3" t="s">
        <v>30</v>
      </c>
      <c r="D180" s="3" t="s">
        <v>65</v>
      </c>
      <c r="E180" s="3" t="s">
        <v>51</v>
      </c>
      <c r="F180" s="3" t="s">
        <v>278</v>
      </c>
      <c r="G180" s="3">
        <v>2025</v>
      </c>
      <c r="H180" s="3" t="str">
        <f>CONCATENATE("54240560729")</f>
        <v>54240560729</v>
      </c>
      <c r="I180" s="3" t="s">
        <v>34</v>
      </c>
      <c r="J180" s="3" t="s">
        <v>35</v>
      </c>
      <c r="K180" s="3"/>
      <c r="L180" s="3" t="s">
        <v>36</v>
      </c>
      <c r="M180" s="3" t="str">
        <f>CONCATENATE("BLKCRS55E67Z112S")</f>
        <v>BLKCRS55E67Z112S</v>
      </c>
      <c r="N180" s="3" t="s">
        <v>279</v>
      </c>
      <c r="O180" s="3" t="s">
        <v>38</v>
      </c>
      <c r="P180" s="3"/>
      <c r="Q180" s="4">
        <v>45968</v>
      </c>
      <c r="R180" s="3" t="s">
        <v>39</v>
      </c>
      <c r="S180" s="3" t="s">
        <v>38</v>
      </c>
      <c r="T180" s="3" t="s">
        <v>40</v>
      </c>
      <c r="U180" s="3"/>
      <c r="V180" s="3" t="s">
        <v>41</v>
      </c>
      <c r="W180" s="5">
        <v>2617.27</v>
      </c>
      <c r="X180" s="5">
        <v>1962.95</v>
      </c>
      <c r="Y180" s="3">
        <v>458.02</v>
      </c>
      <c r="Z180" s="3">
        <v>196.3</v>
      </c>
      <c r="AA180" s="3">
        <v>0</v>
      </c>
    </row>
    <row r="181" spans="1:27" ht="60.75" x14ac:dyDescent="0.25">
      <c r="A181" s="3" t="s">
        <v>28</v>
      </c>
      <c r="B181" s="3" t="s">
        <v>29</v>
      </c>
      <c r="C181" s="3" t="s">
        <v>30</v>
      </c>
      <c r="D181" s="3" t="s">
        <v>42</v>
      </c>
      <c r="E181" s="3" t="s">
        <v>32</v>
      </c>
      <c r="F181" s="3" t="s">
        <v>101</v>
      </c>
      <c r="G181" s="3">
        <v>2025</v>
      </c>
      <c r="H181" s="3" t="str">
        <f>CONCATENATE("54240531183")</f>
        <v>54240531183</v>
      </c>
      <c r="I181" s="3" t="s">
        <v>34</v>
      </c>
      <c r="J181" s="3" t="s">
        <v>35</v>
      </c>
      <c r="K181" s="3"/>
      <c r="L181" s="3" t="s">
        <v>36</v>
      </c>
      <c r="M181" s="3" t="str">
        <f>CONCATENATE("NFRGPP63P26H769Q")</f>
        <v>NFRGPP63P26H769Q</v>
      </c>
      <c r="N181" s="3" t="s">
        <v>280</v>
      </c>
      <c r="O181" s="3" t="s">
        <v>38</v>
      </c>
      <c r="P181" s="3"/>
      <c r="Q181" s="4">
        <v>45968</v>
      </c>
      <c r="R181" s="3" t="s">
        <v>39</v>
      </c>
      <c r="S181" s="3" t="s">
        <v>38</v>
      </c>
      <c r="T181" s="3" t="s">
        <v>40</v>
      </c>
      <c r="U181" s="3"/>
      <c r="V181" s="3" t="s">
        <v>41</v>
      </c>
      <c r="W181" s="5">
        <v>2998.15</v>
      </c>
      <c r="X181" s="5">
        <v>2248.61</v>
      </c>
      <c r="Y181" s="3">
        <v>524.67999999999995</v>
      </c>
      <c r="Z181" s="3">
        <v>224.86</v>
      </c>
      <c r="AA181" s="3">
        <v>0</v>
      </c>
    </row>
    <row r="182" spans="1:27" ht="72.75" x14ac:dyDescent="0.25">
      <c r="A182" s="3" t="s">
        <v>28</v>
      </c>
      <c r="B182" s="3" t="s">
        <v>29</v>
      </c>
      <c r="C182" s="3" t="s">
        <v>30</v>
      </c>
      <c r="D182" s="3" t="s">
        <v>65</v>
      </c>
      <c r="E182" s="3" t="s">
        <v>60</v>
      </c>
      <c r="F182" s="3" t="s">
        <v>85</v>
      </c>
      <c r="G182" s="3">
        <v>2025</v>
      </c>
      <c r="H182" s="3" t="str">
        <f>CONCATENATE("54240533908")</f>
        <v>54240533908</v>
      </c>
      <c r="I182" s="3" t="s">
        <v>44</v>
      </c>
      <c r="J182" s="3" t="s">
        <v>35</v>
      </c>
      <c r="K182" s="3"/>
      <c r="L182" s="3" t="s">
        <v>36</v>
      </c>
      <c r="M182" s="3" t="str">
        <f>CONCATENATE("CVRFNC57D25G479Q")</f>
        <v>CVRFNC57D25G479Q</v>
      </c>
      <c r="N182" s="3" t="s">
        <v>281</v>
      </c>
      <c r="O182" s="3" t="s">
        <v>38</v>
      </c>
      <c r="P182" s="3"/>
      <c r="Q182" s="4">
        <v>45968</v>
      </c>
      <c r="R182" s="3" t="s">
        <v>39</v>
      </c>
      <c r="S182" s="3" t="s">
        <v>38</v>
      </c>
      <c r="T182" s="3" t="s">
        <v>40</v>
      </c>
      <c r="U182" s="3"/>
      <c r="V182" s="3" t="s">
        <v>41</v>
      </c>
      <c r="W182" s="5">
        <v>1402.48</v>
      </c>
      <c r="X182" s="5">
        <v>1051.8599999999999</v>
      </c>
      <c r="Y182" s="3">
        <v>245.43</v>
      </c>
      <c r="Z182" s="3">
        <v>105.19</v>
      </c>
      <c r="AA182" s="3">
        <v>0</v>
      </c>
    </row>
    <row r="183" spans="1:27" ht="36.75" x14ac:dyDescent="0.25">
      <c r="A183" s="3" t="s">
        <v>28</v>
      </c>
      <c r="B183" s="3" t="s">
        <v>29</v>
      </c>
      <c r="C183" s="3" t="s">
        <v>30</v>
      </c>
      <c r="D183" s="3" t="s">
        <v>42</v>
      </c>
      <c r="E183" s="3" t="s">
        <v>51</v>
      </c>
      <c r="F183" s="3" t="s">
        <v>282</v>
      </c>
      <c r="G183" s="3">
        <v>2025</v>
      </c>
      <c r="H183" s="3" t="str">
        <f>CONCATENATE("54240536000")</f>
        <v>54240536000</v>
      </c>
      <c r="I183" s="3" t="s">
        <v>34</v>
      </c>
      <c r="J183" s="3" t="s">
        <v>35</v>
      </c>
      <c r="K183" s="3"/>
      <c r="L183" s="3" t="s">
        <v>36</v>
      </c>
      <c r="M183" s="3" t="str">
        <f>CONCATENATE("02299030441")</f>
        <v>02299030441</v>
      </c>
      <c r="N183" s="3" t="s">
        <v>283</v>
      </c>
      <c r="O183" s="3" t="s">
        <v>38</v>
      </c>
      <c r="P183" s="3"/>
      <c r="Q183" s="4">
        <v>45968</v>
      </c>
      <c r="R183" s="3" t="s">
        <v>39</v>
      </c>
      <c r="S183" s="3" t="s">
        <v>38</v>
      </c>
      <c r="T183" s="3" t="s">
        <v>40</v>
      </c>
      <c r="U183" s="3"/>
      <c r="V183" s="3" t="s">
        <v>41</v>
      </c>
      <c r="W183" s="5">
        <v>2009.87</v>
      </c>
      <c r="X183" s="5">
        <v>1507.4</v>
      </c>
      <c r="Y183" s="3">
        <v>351.73</v>
      </c>
      <c r="Z183" s="3">
        <v>150.74</v>
      </c>
      <c r="AA183" s="3">
        <v>0</v>
      </c>
    </row>
    <row r="184" spans="1:27" ht="60.75" x14ac:dyDescent="0.25">
      <c r="A184" s="3" t="s">
        <v>28</v>
      </c>
      <c r="B184" s="3" t="s">
        <v>29</v>
      </c>
      <c r="C184" s="3" t="s">
        <v>30</v>
      </c>
      <c r="D184" s="3" t="s">
        <v>65</v>
      </c>
      <c r="E184" s="3" t="s">
        <v>32</v>
      </c>
      <c r="F184" s="3" t="s">
        <v>144</v>
      </c>
      <c r="G184" s="3">
        <v>2025</v>
      </c>
      <c r="H184" s="3" t="str">
        <f>CONCATENATE("54240537230")</f>
        <v>54240537230</v>
      </c>
      <c r="I184" s="3" t="s">
        <v>44</v>
      </c>
      <c r="J184" s="3" t="s">
        <v>35</v>
      </c>
      <c r="K184" s="3"/>
      <c r="L184" s="3" t="s">
        <v>36</v>
      </c>
      <c r="M184" s="3" t="str">
        <f>CONCATENATE("CGRNNA51E42A978B")</f>
        <v>CGRNNA51E42A978B</v>
      </c>
      <c r="N184" s="3" t="s">
        <v>284</v>
      </c>
      <c r="O184" s="3" t="s">
        <v>38</v>
      </c>
      <c r="P184" s="3"/>
      <c r="Q184" s="4">
        <v>45968</v>
      </c>
      <c r="R184" s="3" t="s">
        <v>39</v>
      </c>
      <c r="S184" s="3" t="s">
        <v>38</v>
      </c>
      <c r="T184" s="3" t="s">
        <v>40</v>
      </c>
      <c r="U184" s="3"/>
      <c r="V184" s="3" t="s">
        <v>41</v>
      </c>
      <c r="W184" s="5">
        <v>1326.46</v>
      </c>
      <c r="X184" s="3">
        <v>994.85</v>
      </c>
      <c r="Y184" s="3">
        <v>232.13</v>
      </c>
      <c r="Z184" s="3">
        <v>99.48</v>
      </c>
      <c r="AA184" s="3">
        <v>0</v>
      </c>
    </row>
    <row r="185" spans="1:27" ht="60.75" x14ac:dyDescent="0.25">
      <c r="A185" s="3" t="s">
        <v>28</v>
      </c>
      <c r="B185" s="3" t="s">
        <v>29</v>
      </c>
      <c r="C185" s="3" t="s">
        <v>30</v>
      </c>
      <c r="D185" s="3" t="s">
        <v>31</v>
      </c>
      <c r="E185" s="3" t="s">
        <v>51</v>
      </c>
      <c r="F185" s="3" t="s">
        <v>99</v>
      </c>
      <c r="G185" s="3">
        <v>2025</v>
      </c>
      <c r="H185" s="3" t="str">
        <f>CONCATENATE("54240540796")</f>
        <v>54240540796</v>
      </c>
      <c r="I185" s="3" t="s">
        <v>34</v>
      </c>
      <c r="J185" s="3" t="s">
        <v>35</v>
      </c>
      <c r="K185" s="3"/>
      <c r="L185" s="3" t="s">
        <v>36</v>
      </c>
      <c r="M185" s="3" t="str">
        <f>CONCATENATE("BSCLDA70L16D451R")</f>
        <v>BSCLDA70L16D451R</v>
      </c>
      <c r="N185" s="3" t="s">
        <v>285</v>
      </c>
      <c r="O185" s="3" t="s">
        <v>38</v>
      </c>
      <c r="P185" s="3"/>
      <c r="Q185" s="4">
        <v>45968</v>
      </c>
      <c r="R185" s="3" t="s">
        <v>39</v>
      </c>
      <c r="S185" s="3" t="s">
        <v>38</v>
      </c>
      <c r="T185" s="3" t="s">
        <v>40</v>
      </c>
      <c r="U185" s="3"/>
      <c r="V185" s="3" t="s">
        <v>41</v>
      </c>
      <c r="W185" s="5">
        <v>4208.8900000000003</v>
      </c>
      <c r="X185" s="5">
        <v>3156.67</v>
      </c>
      <c r="Y185" s="3">
        <v>736.56</v>
      </c>
      <c r="Z185" s="3">
        <v>315.66000000000003</v>
      </c>
      <c r="AA185" s="3">
        <v>0</v>
      </c>
    </row>
    <row r="186" spans="1:27" ht="36.75" x14ac:dyDescent="0.25">
      <c r="A186" s="3" t="s">
        <v>28</v>
      </c>
      <c r="B186" s="3" t="s">
        <v>29</v>
      </c>
      <c r="C186" s="3" t="s">
        <v>30</v>
      </c>
      <c r="D186" s="3" t="s">
        <v>65</v>
      </c>
      <c r="E186" s="3" t="s">
        <v>48</v>
      </c>
      <c r="F186" s="3" t="s">
        <v>76</v>
      </c>
      <c r="G186" s="3">
        <v>2025</v>
      </c>
      <c r="H186" s="3" t="str">
        <f>CONCATENATE("54240541018")</f>
        <v>54240541018</v>
      </c>
      <c r="I186" s="3" t="s">
        <v>34</v>
      </c>
      <c r="J186" s="3" t="s">
        <v>35</v>
      </c>
      <c r="K186" s="3"/>
      <c r="L186" s="3" t="s">
        <v>36</v>
      </c>
      <c r="M186" s="3" t="str">
        <f>CONCATENATE("02398380416")</f>
        <v>02398380416</v>
      </c>
      <c r="N186" s="3" t="s">
        <v>286</v>
      </c>
      <c r="O186" s="3" t="s">
        <v>38</v>
      </c>
      <c r="P186" s="3"/>
      <c r="Q186" s="4">
        <v>45968</v>
      </c>
      <c r="R186" s="3" t="s">
        <v>39</v>
      </c>
      <c r="S186" s="3" t="s">
        <v>38</v>
      </c>
      <c r="T186" s="3" t="s">
        <v>40</v>
      </c>
      <c r="U186" s="3"/>
      <c r="V186" s="3" t="s">
        <v>41</v>
      </c>
      <c r="W186" s="3">
        <v>448.51</v>
      </c>
      <c r="X186" s="3">
        <v>336.38</v>
      </c>
      <c r="Y186" s="3">
        <v>78.489999999999995</v>
      </c>
      <c r="Z186" s="3">
        <v>33.64</v>
      </c>
      <c r="AA186" s="3">
        <v>0</v>
      </c>
    </row>
    <row r="187" spans="1:27" ht="60.75" x14ac:dyDescent="0.25">
      <c r="A187" s="3" t="s">
        <v>28</v>
      </c>
      <c r="B187" s="3" t="s">
        <v>29</v>
      </c>
      <c r="C187" s="3" t="s">
        <v>30</v>
      </c>
      <c r="D187" s="3" t="s">
        <v>65</v>
      </c>
      <c r="E187" s="3" t="s">
        <v>32</v>
      </c>
      <c r="F187" s="3" t="s">
        <v>135</v>
      </c>
      <c r="G187" s="3">
        <v>2025</v>
      </c>
      <c r="H187" s="3" t="str">
        <f>CONCATENATE("54240591138")</f>
        <v>54240591138</v>
      </c>
      <c r="I187" s="3" t="s">
        <v>34</v>
      </c>
      <c r="J187" s="3" t="s">
        <v>35</v>
      </c>
      <c r="K187" s="3"/>
      <c r="L187" s="3" t="s">
        <v>36</v>
      </c>
      <c r="M187" s="3" t="str">
        <f>CONCATENATE("FLMLTT68P43D749M")</f>
        <v>FLMLTT68P43D749M</v>
      </c>
      <c r="N187" s="3" t="s">
        <v>287</v>
      </c>
      <c r="O187" s="3" t="s">
        <v>38</v>
      </c>
      <c r="P187" s="3"/>
      <c r="Q187" s="4">
        <v>45968</v>
      </c>
      <c r="R187" s="3" t="s">
        <v>39</v>
      </c>
      <c r="S187" s="3" t="s">
        <v>38</v>
      </c>
      <c r="T187" s="3" t="s">
        <v>40</v>
      </c>
      <c r="U187" s="3"/>
      <c r="V187" s="3" t="s">
        <v>41</v>
      </c>
      <c r="W187" s="5">
        <v>1484.12</v>
      </c>
      <c r="X187" s="5">
        <v>1113.0899999999999</v>
      </c>
      <c r="Y187" s="3">
        <v>259.72000000000003</v>
      </c>
      <c r="Z187" s="3">
        <v>111.31</v>
      </c>
      <c r="AA187" s="3">
        <v>0</v>
      </c>
    </row>
    <row r="188" spans="1:27" ht="72.75" x14ac:dyDescent="0.25">
      <c r="A188" s="3" t="s">
        <v>28</v>
      </c>
      <c r="B188" s="3" t="s">
        <v>29</v>
      </c>
      <c r="C188" s="3" t="s">
        <v>30</v>
      </c>
      <c r="D188" s="3" t="s">
        <v>42</v>
      </c>
      <c r="E188" s="3" t="s">
        <v>32</v>
      </c>
      <c r="F188" s="3" t="s">
        <v>110</v>
      </c>
      <c r="G188" s="3">
        <v>2024</v>
      </c>
      <c r="H188" s="3" t="str">
        <f>CONCATENATE("44240119659")</f>
        <v>44240119659</v>
      </c>
      <c r="I188" s="3" t="s">
        <v>44</v>
      </c>
      <c r="J188" s="3" t="s">
        <v>35</v>
      </c>
      <c r="K188" s="3"/>
      <c r="L188" s="3" t="s">
        <v>111</v>
      </c>
      <c r="M188" s="3" t="str">
        <f>CONCATENATE("RNLMRC78H25A462U")</f>
        <v>RNLMRC78H25A462U</v>
      </c>
      <c r="N188" s="3" t="s">
        <v>288</v>
      </c>
      <c r="O188" s="3" t="s">
        <v>41</v>
      </c>
      <c r="P188" s="3" t="s">
        <v>289</v>
      </c>
      <c r="Q188" s="4">
        <v>45965</v>
      </c>
      <c r="R188" s="3" t="s">
        <v>39</v>
      </c>
      <c r="S188" s="3" t="s">
        <v>114</v>
      </c>
      <c r="T188" s="3" t="s">
        <v>40</v>
      </c>
      <c r="U188" s="3"/>
      <c r="V188" s="3" t="s">
        <v>41</v>
      </c>
      <c r="W188" s="5">
        <v>2012.49</v>
      </c>
      <c r="X188" s="5">
        <v>1066.6199999999999</v>
      </c>
      <c r="Y188" s="3">
        <v>662.11</v>
      </c>
      <c r="Z188" s="3">
        <v>283.76</v>
      </c>
      <c r="AA188" s="3">
        <v>0</v>
      </c>
    </row>
    <row r="189" spans="1:27" ht="36.75" x14ac:dyDescent="0.25">
      <c r="A189" s="3" t="s">
        <v>28</v>
      </c>
      <c r="B189" s="3" t="s">
        <v>29</v>
      </c>
      <c r="C189" s="3" t="s">
        <v>30</v>
      </c>
      <c r="D189" s="3" t="s">
        <v>65</v>
      </c>
      <c r="E189" s="3" t="s">
        <v>51</v>
      </c>
      <c r="F189" s="3" t="s">
        <v>105</v>
      </c>
      <c r="G189" s="3">
        <v>2025</v>
      </c>
      <c r="H189" s="3" t="str">
        <f>CONCATENATE("54240548146")</f>
        <v>54240548146</v>
      </c>
      <c r="I189" s="3" t="s">
        <v>34</v>
      </c>
      <c r="J189" s="3" t="s">
        <v>35</v>
      </c>
      <c r="K189" s="3"/>
      <c r="L189" s="3" t="s">
        <v>36</v>
      </c>
      <c r="M189" s="3" t="str">
        <f>CONCATENATE("02573890411")</f>
        <v>02573890411</v>
      </c>
      <c r="N189" s="3" t="s">
        <v>290</v>
      </c>
      <c r="O189" s="3" t="s">
        <v>38</v>
      </c>
      <c r="P189" s="3"/>
      <c r="Q189" s="4">
        <v>45968</v>
      </c>
      <c r="R189" s="3" t="s">
        <v>39</v>
      </c>
      <c r="S189" s="3" t="s">
        <v>38</v>
      </c>
      <c r="T189" s="3" t="s">
        <v>40</v>
      </c>
      <c r="U189" s="3"/>
      <c r="V189" s="3" t="s">
        <v>41</v>
      </c>
      <c r="W189" s="5">
        <v>1906.5</v>
      </c>
      <c r="X189" s="5">
        <v>1429.88</v>
      </c>
      <c r="Y189" s="3">
        <v>333.64</v>
      </c>
      <c r="Z189" s="3">
        <v>142.97999999999999</v>
      </c>
      <c r="AA189" s="3">
        <v>0</v>
      </c>
    </row>
    <row r="190" spans="1:27" ht="36.75" x14ac:dyDescent="0.25">
      <c r="A190" s="3" t="s">
        <v>28</v>
      </c>
      <c r="B190" s="3" t="s">
        <v>29</v>
      </c>
      <c r="C190" s="3" t="s">
        <v>30</v>
      </c>
      <c r="D190" s="3" t="s">
        <v>65</v>
      </c>
      <c r="E190" s="3" t="s">
        <v>43</v>
      </c>
      <c r="F190" s="3" t="s">
        <v>43</v>
      </c>
      <c r="G190" s="3">
        <v>2025</v>
      </c>
      <c r="H190" s="3" t="str">
        <f>CONCATENATE("54240548633")</f>
        <v>54240548633</v>
      </c>
      <c r="I190" s="3" t="s">
        <v>34</v>
      </c>
      <c r="J190" s="3" t="s">
        <v>35</v>
      </c>
      <c r="K190" s="3"/>
      <c r="L190" s="3" t="s">
        <v>36</v>
      </c>
      <c r="M190" s="3" t="str">
        <f>CONCATENATE("02342680416")</f>
        <v>02342680416</v>
      </c>
      <c r="N190" s="3" t="s">
        <v>291</v>
      </c>
      <c r="O190" s="3" t="s">
        <v>38</v>
      </c>
      <c r="P190" s="3"/>
      <c r="Q190" s="4">
        <v>45968</v>
      </c>
      <c r="R190" s="3" t="s">
        <v>39</v>
      </c>
      <c r="S190" s="3" t="s">
        <v>38</v>
      </c>
      <c r="T190" s="3" t="s">
        <v>40</v>
      </c>
      <c r="U190" s="3"/>
      <c r="V190" s="3" t="s">
        <v>41</v>
      </c>
      <c r="W190" s="5">
        <v>18800.36</v>
      </c>
      <c r="X190" s="5">
        <v>14100.27</v>
      </c>
      <c r="Y190" s="5">
        <v>3290.06</v>
      </c>
      <c r="Z190" s="5">
        <v>1410.03</v>
      </c>
      <c r="AA190" s="3">
        <v>0</v>
      </c>
    </row>
    <row r="191" spans="1:27" ht="36.75" x14ac:dyDescent="0.25">
      <c r="A191" s="3" t="s">
        <v>28</v>
      </c>
      <c r="B191" s="3" t="s">
        <v>29</v>
      </c>
      <c r="C191" s="3" t="s">
        <v>30</v>
      </c>
      <c r="D191" s="3" t="s">
        <v>31</v>
      </c>
      <c r="E191" s="3" t="s">
        <v>32</v>
      </c>
      <c r="F191" s="3" t="s">
        <v>63</v>
      </c>
      <c r="G191" s="3">
        <v>2025</v>
      </c>
      <c r="H191" s="3" t="str">
        <f>CONCATENATE("54240552718")</f>
        <v>54240552718</v>
      </c>
      <c r="I191" s="3" t="s">
        <v>34</v>
      </c>
      <c r="J191" s="3" t="s">
        <v>35</v>
      </c>
      <c r="K191" s="3"/>
      <c r="L191" s="3" t="s">
        <v>36</v>
      </c>
      <c r="M191" s="3" t="str">
        <f>CONCATENATE("02018110425")</f>
        <v>02018110425</v>
      </c>
      <c r="N191" s="3" t="s">
        <v>292</v>
      </c>
      <c r="O191" s="3" t="s">
        <v>38</v>
      </c>
      <c r="P191" s="3"/>
      <c r="Q191" s="4">
        <v>45968</v>
      </c>
      <c r="R191" s="3" t="s">
        <v>39</v>
      </c>
      <c r="S191" s="3" t="s">
        <v>38</v>
      </c>
      <c r="T191" s="3" t="s">
        <v>40</v>
      </c>
      <c r="U191" s="3"/>
      <c r="V191" s="3" t="s">
        <v>41</v>
      </c>
      <c r="W191" s="5">
        <v>27374.74</v>
      </c>
      <c r="X191" s="5">
        <v>20531.060000000001</v>
      </c>
      <c r="Y191" s="5">
        <v>4790.58</v>
      </c>
      <c r="Z191" s="5">
        <v>2053.1</v>
      </c>
      <c r="AA191" s="3">
        <v>0</v>
      </c>
    </row>
    <row r="192" spans="1:27" ht="36.75" x14ac:dyDescent="0.25">
      <c r="A192" s="3" t="s">
        <v>28</v>
      </c>
      <c r="B192" s="3" t="s">
        <v>29</v>
      </c>
      <c r="C192" s="3" t="s">
        <v>30</v>
      </c>
      <c r="D192" s="3" t="s">
        <v>42</v>
      </c>
      <c r="E192" s="3" t="s">
        <v>51</v>
      </c>
      <c r="F192" s="3" t="s">
        <v>52</v>
      </c>
      <c r="G192" s="3">
        <v>2025</v>
      </c>
      <c r="H192" s="3" t="str">
        <f>CONCATENATE("54240557063")</f>
        <v>54240557063</v>
      </c>
      <c r="I192" s="3" t="s">
        <v>34</v>
      </c>
      <c r="J192" s="3" t="s">
        <v>35</v>
      </c>
      <c r="K192" s="3"/>
      <c r="L192" s="3" t="s">
        <v>36</v>
      </c>
      <c r="M192" s="3" t="str">
        <f>CONCATENATE("02404130441")</f>
        <v>02404130441</v>
      </c>
      <c r="N192" s="3" t="s">
        <v>293</v>
      </c>
      <c r="O192" s="3" t="s">
        <v>38</v>
      </c>
      <c r="P192" s="3"/>
      <c r="Q192" s="4">
        <v>45968</v>
      </c>
      <c r="R192" s="3" t="s">
        <v>39</v>
      </c>
      <c r="S192" s="3" t="s">
        <v>38</v>
      </c>
      <c r="T192" s="3" t="s">
        <v>40</v>
      </c>
      <c r="U192" s="3"/>
      <c r="V192" s="3" t="s">
        <v>41</v>
      </c>
      <c r="W192" s="5">
        <v>3490.87</v>
      </c>
      <c r="X192" s="5">
        <v>2618.15</v>
      </c>
      <c r="Y192" s="3">
        <v>610.9</v>
      </c>
      <c r="Z192" s="3">
        <v>261.82</v>
      </c>
      <c r="AA192" s="3">
        <v>0</v>
      </c>
    </row>
    <row r="193" spans="1:27" ht="60.75" x14ac:dyDescent="0.25">
      <c r="A193" s="3" t="s">
        <v>28</v>
      </c>
      <c r="B193" s="3" t="s">
        <v>29</v>
      </c>
      <c r="C193" s="3" t="s">
        <v>30</v>
      </c>
      <c r="D193" s="3" t="s">
        <v>42</v>
      </c>
      <c r="E193" s="3" t="s">
        <v>43</v>
      </c>
      <c r="F193" s="3" t="s">
        <v>43</v>
      </c>
      <c r="G193" s="3">
        <v>2025</v>
      </c>
      <c r="H193" s="3" t="str">
        <f>CONCATENATE("54240596475")</f>
        <v>54240596475</v>
      </c>
      <c r="I193" s="3" t="s">
        <v>34</v>
      </c>
      <c r="J193" s="3" t="s">
        <v>35</v>
      </c>
      <c r="K193" s="3"/>
      <c r="L193" s="3" t="s">
        <v>36</v>
      </c>
      <c r="M193" s="3" t="str">
        <f>CONCATENATE("MRCLGN67M31H321I")</f>
        <v>MRCLGN67M31H321I</v>
      </c>
      <c r="N193" s="3" t="s">
        <v>294</v>
      </c>
      <c r="O193" s="3" t="s">
        <v>38</v>
      </c>
      <c r="P193" s="3"/>
      <c r="Q193" s="4">
        <v>45968</v>
      </c>
      <c r="R193" s="3" t="s">
        <v>39</v>
      </c>
      <c r="S193" s="3" t="s">
        <v>38</v>
      </c>
      <c r="T193" s="3" t="s">
        <v>40</v>
      </c>
      <c r="U193" s="3"/>
      <c r="V193" s="3" t="s">
        <v>41</v>
      </c>
      <c r="W193" s="5">
        <v>3222.66</v>
      </c>
      <c r="X193" s="5">
        <v>2417</v>
      </c>
      <c r="Y193" s="3">
        <v>563.97</v>
      </c>
      <c r="Z193" s="3">
        <v>241.69</v>
      </c>
      <c r="AA193" s="3">
        <v>0</v>
      </c>
    </row>
    <row r="194" spans="1:27" ht="60.75" x14ac:dyDescent="0.25">
      <c r="A194" s="3" t="s">
        <v>28</v>
      </c>
      <c r="B194" s="3" t="s">
        <v>29</v>
      </c>
      <c r="C194" s="3" t="s">
        <v>30</v>
      </c>
      <c r="D194" s="3" t="s">
        <v>47</v>
      </c>
      <c r="E194" s="3" t="s">
        <v>51</v>
      </c>
      <c r="F194" s="3" t="s">
        <v>83</v>
      </c>
      <c r="G194" s="3">
        <v>2025</v>
      </c>
      <c r="H194" s="3" t="str">
        <f>CONCATENATE("54240594025")</f>
        <v>54240594025</v>
      </c>
      <c r="I194" s="3" t="s">
        <v>34</v>
      </c>
      <c r="J194" s="3" t="s">
        <v>35</v>
      </c>
      <c r="K194" s="3"/>
      <c r="L194" s="3" t="s">
        <v>36</v>
      </c>
      <c r="M194" s="3" t="str">
        <f>CONCATENATE("CRCLCU74S24F051O")</f>
        <v>CRCLCU74S24F051O</v>
      </c>
      <c r="N194" s="3" t="s">
        <v>295</v>
      </c>
      <c r="O194" s="3" t="s">
        <v>38</v>
      </c>
      <c r="P194" s="3"/>
      <c r="Q194" s="4">
        <v>45968</v>
      </c>
      <c r="R194" s="3" t="s">
        <v>39</v>
      </c>
      <c r="S194" s="3" t="s">
        <v>38</v>
      </c>
      <c r="T194" s="3" t="s">
        <v>40</v>
      </c>
      <c r="U194" s="3"/>
      <c r="V194" s="3" t="s">
        <v>41</v>
      </c>
      <c r="W194" s="5">
        <v>3171.25</v>
      </c>
      <c r="X194" s="5">
        <v>2378.44</v>
      </c>
      <c r="Y194" s="3">
        <v>554.97</v>
      </c>
      <c r="Z194" s="3">
        <v>237.84</v>
      </c>
      <c r="AA194" s="3">
        <v>0</v>
      </c>
    </row>
    <row r="195" spans="1:27" ht="72.75" x14ac:dyDescent="0.25">
      <c r="A195" s="3" t="s">
        <v>28</v>
      </c>
      <c r="B195" s="3" t="s">
        <v>29</v>
      </c>
      <c r="C195" s="3" t="s">
        <v>30</v>
      </c>
      <c r="D195" s="3" t="s">
        <v>31</v>
      </c>
      <c r="E195" s="3" t="s">
        <v>51</v>
      </c>
      <c r="F195" s="3" t="s">
        <v>99</v>
      </c>
      <c r="G195" s="3">
        <v>2025</v>
      </c>
      <c r="H195" s="3" t="str">
        <f>CONCATENATE("54240594678")</f>
        <v>54240594678</v>
      </c>
      <c r="I195" s="3" t="s">
        <v>34</v>
      </c>
      <c r="J195" s="3" t="s">
        <v>35</v>
      </c>
      <c r="K195" s="3"/>
      <c r="L195" s="3" t="s">
        <v>36</v>
      </c>
      <c r="M195" s="3" t="str">
        <f>CONCATENATE("PTOMSM79H14D451J")</f>
        <v>PTOMSM79H14D451J</v>
      </c>
      <c r="N195" s="3" t="s">
        <v>296</v>
      </c>
      <c r="O195" s="3" t="s">
        <v>38</v>
      </c>
      <c r="P195" s="3"/>
      <c r="Q195" s="4">
        <v>45968</v>
      </c>
      <c r="R195" s="3" t="s">
        <v>39</v>
      </c>
      <c r="S195" s="3" t="s">
        <v>38</v>
      </c>
      <c r="T195" s="3" t="s">
        <v>40</v>
      </c>
      <c r="U195" s="3"/>
      <c r="V195" s="3" t="s">
        <v>41</v>
      </c>
      <c r="W195" s="3">
        <v>245.5</v>
      </c>
      <c r="X195" s="3">
        <v>184.13</v>
      </c>
      <c r="Y195" s="3">
        <v>42.96</v>
      </c>
      <c r="Z195" s="3">
        <v>18.41</v>
      </c>
      <c r="AA195" s="3">
        <v>0</v>
      </c>
    </row>
    <row r="196" spans="1:27" ht="60.75" x14ac:dyDescent="0.25">
      <c r="A196" s="3" t="s">
        <v>28</v>
      </c>
      <c r="B196" s="3" t="s">
        <v>29</v>
      </c>
      <c r="C196" s="3" t="s">
        <v>30</v>
      </c>
      <c r="D196" s="3" t="s">
        <v>65</v>
      </c>
      <c r="E196" s="3" t="s">
        <v>51</v>
      </c>
      <c r="F196" s="3" t="s">
        <v>278</v>
      </c>
      <c r="G196" s="3">
        <v>2025</v>
      </c>
      <c r="H196" s="3" t="str">
        <f>CONCATENATE("54240596277")</f>
        <v>54240596277</v>
      </c>
      <c r="I196" s="3" t="s">
        <v>34</v>
      </c>
      <c r="J196" s="3" t="s">
        <v>35</v>
      </c>
      <c r="K196" s="3"/>
      <c r="L196" s="3" t="s">
        <v>36</v>
      </c>
      <c r="M196" s="3" t="str">
        <f>CONCATENATE("FLVFNC72S09B352B")</f>
        <v>FLVFNC72S09B352B</v>
      </c>
      <c r="N196" s="3" t="s">
        <v>297</v>
      </c>
      <c r="O196" s="3" t="s">
        <v>38</v>
      </c>
      <c r="P196" s="3"/>
      <c r="Q196" s="4">
        <v>45968</v>
      </c>
      <c r="R196" s="3" t="s">
        <v>39</v>
      </c>
      <c r="S196" s="3" t="s">
        <v>38</v>
      </c>
      <c r="T196" s="3" t="s">
        <v>40</v>
      </c>
      <c r="U196" s="3"/>
      <c r="V196" s="3" t="s">
        <v>41</v>
      </c>
      <c r="W196" s="5">
        <v>15803.16</v>
      </c>
      <c r="X196" s="5">
        <v>11852.37</v>
      </c>
      <c r="Y196" s="5">
        <v>2765.55</v>
      </c>
      <c r="Z196" s="5">
        <v>1185.24</v>
      </c>
      <c r="AA196" s="3">
        <v>0</v>
      </c>
    </row>
    <row r="197" spans="1:27" ht="72.75" x14ac:dyDescent="0.25">
      <c r="A197" s="3" t="s">
        <v>28</v>
      </c>
      <c r="B197" s="3" t="s">
        <v>29</v>
      </c>
      <c r="C197" s="3" t="s">
        <v>30</v>
      </c>
      <c r="D197" s="3" t="s">
        <v>65</v>
      </c>
      <c r="E197" s="3" t="s">
        <v>51</v>
      </c>
      <c r="F197" s="3" t="s">
        <v>105</v>
      </c>
      <c r="G197" s="3">
        <v>2025</v>
      </c>
      <c r="H197" s="3" t="str">
        <f>CONCATENATE("54240596541")</f>
        <v>54240596541</v>
      </c>
      <c r="I197" s="3" t="s">
        <v>34</v>
      </c>
      <c r="J197" s="3" t="s">
        <v>35</v>
      </c>
      <c r="K197" s="3"/>
      <c r="L197" s="3" t="s">
        <v>36</v>
      </c>
      <c r="M197" s="3" t="str">
        <f>CONCATENATE("LNNNDR91A23D749V")</f>
        <v>LNNNDR91A23D749V</v>
      </c>
      <c r="N197" s="3" t="s">
        <v>298</v>
      </c>
      <c r="O197" s="3" t="s">
        <v>38</v>
      </c>
      <c r="P197" s="3"/>
      <c r="Q197" s="4">
        <v>45968</v>
      </c>
      <c r="R197" s="3" t="s">
        <v>39</v>
      </c>
      <c r="S197" s="3" t="s">
        <v>38</v>
      </c>
      <c r="T197" s="3" t="s">
        <v>40</v>
      </c>
      <c r="U197" s="3"/>
      <c r="V197" s="3" t="s">
        <v>41</v>
      </c>
      <c r="W197" s="5">
        <v>5108.3900000000003</v>
      </c>
      <c r="X197" s="5">
        <v>3831.29</v>
      </c>
      <c r="Y197" s="3">
        <v>893.97</v>
      </c>
      <c r="Z197" s="3">
        <v>383.13</v>
      </c>
      <c r="AA197" s="3">
        <v>0</v>
      </c>
    </row>
    <row r="198" spans="1:27" ht="72.75" x14ac:dyDescent="0.25">
      <c r="A198" s="3" t="s">
        <v>28</v>
      </c>
      <c r="B198" s="3" t="s">
        <v>29</v>
      </c>
      <c r="C198" s="3" t="s">
        <v>30</v>
      </c>
      <c r="D198" s="3" t="s">
        <v>65</v>
      </c>
      <c r="E198" s="3" t="s">
        <v>51</v>
      </c>
      <c r="F198" s="3" t="s">
        <v>105</v>
      </c>
      <c r="G198" s="3">
        <v>2025</v>
      </c>
      <c r="H198" s="3" t="str">
        <f>CONCATENATE("54240595956")</f>
        <v>54240595956</v>
      </c>
      <c r="I198" s="3" t="s">
        <v>34</v>
      </c>
      <c r="J198" s="3" t="s">
        <v>35</v>
      </c>
      <c r="K198" s="3"/>
      <c r="L198" s="3" t="s">
        <v>36</v>
      </c>
      <c r="M198" s="3" t="str">
        <f>CONCATENATE("VLNNCM88M06D488O")</f>
        <v>VLNNCM88M06D488O</v>
      </c>
      <c r="N198" s="3" t="s">
        <v>299</v>
      </c>
      <c r="O198" s="3" t="s">
        <v>38</v>
      </c>
      <c r="P198" s="3"/>
      <c r="Q198" s="4">
        <v>45968</v>
      </c>
      <c r="R198" s="3" t="s">
        <v>39</v>
      </c>
      <c r="S198" s="3" t="s">
        <v>38</v>
      </c>
      <c r="T198" s="3" t="s">
        <v>40</v>
      </c>
      <c r="U198" s="3"/>
      <c r="V198" s="3" t="s">
        <v>41</v>
      </c>
      <c r="W198" s="5">
        <v>3195.22</v>
      </c>
      <c r="X198" s="5">
        <v>2396.42</v>
      </c>
      <c r="Y198" s="3">
        <v>559.16</v>
      </c>
      <c r="Z198" s="3">
        <v>239.64</v>
      </c>
      <c r="AA198" s="3">
        <v>0</v>
      </c>
    </row>
    <row r="199" spans="1:27" ht="72.75" x14ac:dyDescent="0.25">
      <c r="A199" s="3" t="s">
        <v>28</v>
      </c>
      <c r="B199" s="3" t="s">
        <v>29</v>
      </c>
      <c r="C199" s="3" t="s">
        <v>30</v>
      </c>
      <c r="D199" s="3" t="s">
        <v>31</v>
      </c>
      <c r="E199" s="3" t="s">
        <v>51</v>
      </c>
      <c r="F199" s="3" t="s">
        <v>300</v>
      </c>
      <c r="G199" s="3">
        <v>2025</v>
      </c>
      <c r="H199" s="3" t="str">
        <f>CONCATENATE("54240596145")</f>
        <v>54240596145</v>
      </c>
      <c r="I199" s="3" t="s">
        <v>34</v>
      </c>
      <c r="J199" s="3" t="s">
        <v>35</v>
      </c>
      <c r="K199" s="3"/>
      <c r="L199" s="3" t="s">
        <v>36</v>
      </c>
      <c r="M199" s="3" t="str">
        <f>CONCATENATE("MRNPLA75P30H211M")</f>
        <v>MRNPLA75P30H211M</v>
      </c>
      <c r="N199" s="3" t="s">
        <v>301</v>
      </c>
      <c r="O199" s="3" t="s">
        <v>38</v>
      </c>
      <c r="P199" s="3"/>
      <c r="Q199" s="4">
        <v>45968</v>
      </c>
      <c r="R199" s="3" t="s">
        <v>39</v>
      </c>
      <c r="S199" s="3" t="s">
        <v>38</v>
      </c>
      <c r="T199" s="3" t="s">
        <v>40</v>
      </c>
      <c r="U199" s="3"/>
      <c r="V199" s="3" t="s">
        <v>41</v>
      </c>
      <c r="W199" s="5">
        <v>8154.37</v>
      </c>
      <c r="X199" s="5">
        <v>6115.78</v>
      </c>
      <c r="Y199" s="5">
        <v>1427.01</v>
      </c>
      <c r="Z199" s="3">
        <v>611.58000000000004</v>
      </c>
      <c r="AA199" s="3">
        <v>0</v>
      </c>
    </row>
    <row r="200" spans="1:27" ht="60.75" x14ac:dyDescent="0.25">
      <c r="A200" s="3" t="s">
        <v>28</v>
      </c>
      <c r="B200" s="3" t="s">
        <v>29</v>
      </c>
      <c r="C200" s="3" t="s">
        <v>30</v>
      </c>
      <c r="D200" s="3" t="s">
        <v>42</v>
      </c>
      <c r="E200" s="3" t="s">
        <v>43</v>
      </c>
      <c r="F200" s="3" t="s">
        <v>43</v>
      </c>
      <c r="G200" s="3">
        <v>2025</v>
      </c>
      <c r="H200" s="3" t="str">
        <f>CONCATENATE("54240596327")</f>
        <v>54240596327</v>
      </c>
      <c r="I200" s="3" t="s">
        <v>34</v>
      </c>
      <c r="J200" s="3" t="s">
        <v>35</v>
      </c>
      <c r="K200" s="3"/>
      <c r="L200" s="3" t="s">
        <v>36</v>
      </c>
      <c r="M200" s="3" t="str">
        <f>CONCATENATE("VLLBNR57C43H321L")</f>
        <v>VLLBNR57C43H321L</v>
      </c>
      <c r="N200" s="3" t="s">
        <v>302</v>
      </c>
      <c r="O200" s="3" t="s">
        <v>38</v>
      </c>
      <c r="P200" s="3"/>
      <c r="Q200" s="4">
        <v>45968</v>
      </c>
      <c r="R200" s="3" t="s">
        <v>39</v>
      </c>
      <c r="S200" s="3" t="s">
        <v>38</v>
      </c>
      <c r="T200" s="3" t="s">
        <v>40</v>
      </c>
      <c r="U200" s="3"/>
      <c r="V200" s="3" t="s">
        <v>41</v>
      </c>
      <c r="W200" s="3">
        <v>842.86</v>
      </c>
      <c r="X200" s="3">
        <v>632.15</v>
      </c>
      <c r="Y200" s="3">
        <v>147.5</v>
      </c>
      <c r="Z200" s="3">
        <v>63.21</v>
      </c>
      <c r="AA200" s="3">
        <v>0</v>
      </c>
    </row>
    <row r="201" spans="1:27" ht="60.75" x14ac:dyDescent="0.25">
      <c r="A201" s="3" t="s">
        <v>28</v>
      </c>
      <c r="B201" s="3" t="s">
        <v>29</v>
      </c>
      <c r="C201" s="3" t="s">
        <v>30</v>
      </c>
      <c r="D201" s="3" t="s">
        <v>42</v>
      </c>
      <c r="E201" s="3" t="s">
        <v>43</v>
      </c>
      <c r="F201" s="3" t="s">
        <v>43</v>
      </c>
      <c r="G201" s="3">
        <v>2025</v>
      </c>
      <c r="H201" s="3" t="str">
        <f>CONCATENATE("54240596418")</f>
        <v>54240596418</v>
      </c>
      <c r="I201" s="3" t="s">
        <v>34</v>
      </c>
      <c r="J201" s="3" t="s">
        <v>35</v>
      </c>
      <c r="K201" s="3"/>
      <c r="L201" s="3" t="s">
        <v>36</v>
      </c>
      <c r="M201" s="3" t="str">
        <f>CONCATENATE("LNCRNO69S55G005R")</f>
        <v>LNCRNO69S55G005R</v>
      </c>
      <c r="N201" s="3" t="s">
        <v>303</v>
      </c>
      <c r="O201" s="3" t="s">
        <v>38</v>
      </c>
      <c r="P201" s="3"/>
      <c r="Q201" s="4">
        <v>45968</v>
      </c>
      <c r="R201" s="3" t="s">
        <v>39</v>
      </c>
      <c r="S201" s="3" t="s">
        <v>38</v>
      </c>
      <c r="T201" s="3" t="s">
        <v>40</v>
      </c>
      <c r="U201" s="3"/>
      <c r="V201" s="3" t="s">
        <v>41</v>
      </c>
      <c r="W201" s="5">
        <v>4118.03</v>
      </c>
      <c r="X201" s="5">
        <v>3088.52</v>
      </c>
      <c r="Y201" s="3">
        <v>720.66</v>
      </c>
      <c r="Z201" s="3">
        <v>308.85000000000002</v>
      </c>
      <c r="AA201" s="3">
        <v>0</v>
      </c>
    </row>
    <row r="202" spans="1:27" ht="60.75" x14ac:dyDescent="0.25">
      <c r="A202" s="3" t="s">
        <v>28</v>
      </c>
      <c r="B202" s="3" t="s">
        <v>29</v>
      </c>
      <c r="C202" s="3" t="s">
        <v>30</v>
      </c>
      <c r="D202" s="3" t="s">
        <v>42</v>
      </c>
      <c r="E202" s="3" t="s">
        <v>51</v>
      </c>
      <c r="F202" s="3" t="s">
        <v>52</v>
      </c>
      <c r="G202" s="3">
        <v>2025</v>
      </c>
      <c r="H202" s="3" t="str">
        <f>CONCATENATE("54240596509")</f>
        <v>54240596509</v>
      </c>
      <c r="I202" s="3" t="s">
        <v>34</v>
      </c>
      <c r="J202" s="3" t="s">
        <v>35</v>
      </c>
      <c r="K202" s="3"/>
      <c r="L202" s="3" t="s">
        <v>36</v>
      </c>
      <c r="M202" s="3" t="str">
        <f>CONCATENATE("CCHLSS93L24D542Z")</f>
        <v>CCHLSS93L24D542Z</v>
      </c>
      <c r="N202" s="3" t="s">
        <v>304</v>
      </c>
      <c r="O202" s="3" t="s">
        <v>38</v>
      </c>
      <c r="P202" s="3"/>
      <c r="Q202" s="4">
        <v>45968</v>
      </c>
      <c r="R202" s="3" t="s">
        <v>39</v>
      </c>
      <c r="S202" s="3" t="s">
        <v>38</v>
      </c>
      <c r="T202" s="3" t="s">
        <v>40</v>
      </c>
      <c r="U202" s="3"/>
      <c r="V202" s="3" t="s">
        <v>41</v>
      </c>
      <c r="W202" s="3">
        <v>547.15</v>
      </c>
      <c r="X202" s="3">
        <v>410.36</v>
      </c>
      <c r="Y202" s="3">
        <v>95.75</v>
      </c>
      <c r="Z202" s="3">
        <v>41.04</v>
      </c>
      <c r="AA202" s="3">
        <v>0</v>
      </c>
    </row>
    <row r="203" spans="1:27" ht="60.75" x14ac:dyDescent="0.25">
      <c r="A203" s="3" t="s">
        <v>28</v>
      </c>
      <c r="B203" s="3" t="s">
        <v>29</v>
      </c>
      <c r="C203" s="3" t="s">
        <v>30</v>
      </c>
      <c r="D203" s="3" t="s">
        <v>42</v>
      </c>
      <c r="E203" s="3" t="s">
        <v>60</v>
      </c>
      <c r="F203" s="3" t="s">
        <v>245</v>
      </c>
      <c r="G203" s="3">
        <v>2025</v>
      </c>
      <c r="H203" s="3" t="str">
        <f>CONCATENATE("54240596897")</f>
        <v>54240596897</v>
      </c>
      <c r="I203" s="3" t="s">
        <v>44</v>
      </c>
      <c r="J203" s="3" t="s">
        <v>35</v>
      </c>
      <c r="K203" s="3"/>
      <c r="L203" s="3" t="s">
        <v>36</v>
      </c>
      <c r="M203" s="3" t="str">
        <f>CONCATENATE("VLLFBA83E25H769X")</f>
        <v>VLLFBA83E25H769X</v>
      </c>
      <c r="N203" s="3" t="s">
        <v>305</v>
      </c>
      <c r="O203" s="3" t="s">
        <v>38</v>
      </c>
      <c r="P203" s="3"/>
      <c r="Q203" s="4">
        <v>45968</v>
      </c>
      <c r="R203" s="3" t="s">
        <v>39</v>
      </c>
      <c r="S203" s="3" t="s">
        <v>38</v>
      </c>
      <c r="T203" s="3" t="s">
        <v>40</v>
      </c>
      <c r="U203" s="3"/>
      <c r="V203" s="3" t="s">
        <v>41</v>
      </c>
      <c r="W203" s="5">
        <v>8573.18</v>
      </c>
      <c r="X203" s="5">
        <v>6429.89</v>
      </c>
      <c r="Y203" s="5">
        <v>1500.31</v>
      </c>
      <c r="Z203" s="3">
        <v>642.98</v>
      </c>
      <c r="AA203" s="3">
        <v>0</v>
      </c>
    </row>
    <row r="204" spans="1:27" ht="60.75" x14ac:dyDescent="0.25">
      <c r="A204" s="3" t="s">
        <v>28</v>
      </c>
      <c r="B204" s="3" t="s">
        <v>29</v>
      </c>
      <c r="C204" s="3" t="s">
        <v>30</v>
      </c>
      <c r="D204" s="3" t="s">
        <v>47</v>
      </c>
      <c r="E204" s="3" t="s">
        <v>51</v>
      </c>
      <c r="F204" s="3" t="s">
        <v>103</v>
      </c>
      <c r="G204" s="3">
        <v>2025</v>
      </c>
      <c r="H204" s="3" t="str">
        <f>CONCATENATE("54240597044")</f>
        <v>54240597044</v>
      </c>
      <c r="I204" s="3" t="s">
        <v>34</v>
      </c>
      <c r="J204" s="3" t="s">
        <v>35</v>
      </c>
      <c r="K204" s="3"/>
      <c r="L204" s="3" t="s">
        <v>36</v>
      </c>
      <c r="M204" s="3" t="str">
        <f>CONCATENATE("TLLSRG77C06E783L")</f>
        <v>TLLSRG77C06E783L</v>
      </c>
      <c r="N204" s="3" t="s">
        <v>306</v>
      </c>
      <c r="O204" s="3" t="s">
        <v>38</v>
      </c>
      <c r="P204" s="3"/>
      <c r="Q204" s="4">
        <v>45968</v>
      </c>
      <c r="R204" s="3" t="s">
        <v>39</v>
      </c>
      <c r="S204" s="3" t="s">
        <v>38</v>
      </c>
      <c r="T204" s="3" t="s">
        <v>40</v>
      </c>
      <c r="U204" s="3"/>
      <c r="V204" s="3" t="s">
        <v>41</v>
      </c>
      <c r="W204" s="5">
        <v>3690.19</v>
      </c>
      <c r="X204" s="5">
        <v>2767.64</v>
      </c>
      <c r="Y204" s="3">
        <v>645.78</v>
      </c>
      <c r="Z204" s="3">
        <v>276.77</v>
      </c>
      <c r="AA204" s="3">
        <v>0</v>
      </c>
    </row>
    <row r="205" spans="1:27" ht="60.75" x14ac:dyDescent="0.25">
      <c r="A205" s="3" t="s">
        <v>28</v>
      </c>
      <c r="B205" s="3" t="s">
        <v>29</v>
      </c>
      <c r="C205" s="3" t="s">
        <v>30</v>
      </c>
      <c r="D205" s="3" t="s">
        <v>65</v>
      </c>
      <c r="E205" s="3" t="s">
        <v>32</v>
      </c>
      <c r="F205" s="3" t="s">
        <v>135</v>
      </c>
      <c r="G205" s="3">
        <v>2025</v>
      </c>
      <c r="H205" s="3" t="str">
        <f>CONCATENATE("54240597788")</f>
        <v>54240597788</v>
      </c>
      <c r="I205" s="3" t="s">
        <v>34</v>
      </c>
      <c r="J205" s="3" t="s">
        <v>35</v>
      </c>
      <c r="K205" s="3"/>
      <c r="L205" s="3" t="s">
        <v>36</v>
      </c>
      <c r="M205" s="3" t="str">
        <f>CONCATENATE("LMBDDY85S26D749S")</f>
        <v>LMBDDY85S26D749S</v>
      </c>
      <c r="N205" s="3" t="s">
        <v>307</v>
      </c>
      <c r="O205" s="3" t="s">
        <v>38</v>
      </c>
      <c r="P205" s="3"/>
      <c r="Q205" s="4">
        <v>45968</v>
      </c>
      <c r="R205" s="3" t="s">
        <v>39</v>
      </c>
      <c r="S205" s="3" t="s">
        <v>38</v>
      </c>
      <c r="T205" s="3" t="s">
        <v>40</v>
      </c>
      <c r="U205" s="3"/>
      <c r="V205" s="3" t="s">
        <v>41</v>
      </c>
      <c r="W205" s="5">
        <v>10413.790000000001</v>
      </c>
      <c r="X205" s="5">
        <v>7810.34</v>
      </c>
      <c r="Y205" s="5">
        <v>1822.41</v>
      </c>
      <c r="Z205" s="3">
        <v>781.04</v>
      </c>
      <c r="AA205" s="3">
        <v>0</v>
      </c>
    </row>
    <row r="206" spans="1:27" ht="36.75" x14ac:dyDescent="0.25">
      <c r="A206" s="3" t="s">
        <v>28</v>
      </c>
      <c r="B206" s="3" t="s">
        <v>29</v>
      </c>
      <c r="C206" s="3" t="s">
        <v>30</v>
      </c>
      <c r="D206" s="3" t="s">
        <v>47</v>
      </c>
      <c r="E206" s="3" t="s">
        <v>51</v>
      </c>
      <c r="F206" s="3" t="s">
        <v>103</v>
      </c>
      <c r="G206" s="3">
        <v>2025</v>
      </c>
      <c r="H206" s="3" t="str">
        <f>CONCATENATE("54240609518")</f>
        <v>54240609518</v>
      </c>
      <c r="I206" s="3" t="s">
        <v>34</v>
      </c>
      <c r="J206" s="3" t="s">
        <v>35</v>
      </c>
      <c r="K206" s="3"/>
      <c r="L206" s="3" t="s">
        <v>36</v>
      </c>
      <c r="M206" s="3" t="str">
        <f>CONCATENATE("01914550437")</f>
        <v>01914550437</v>
      </c>
      <c r="N206" s="3" t="s">
        <v>308</v>
      </c>
      <c r="O206" s="3" t="s">
        <v>38</v>
      </c>
      <c r="P206" s="3"/>
      <c r="Q206" s="4">
        <v>45968</v>
      </c>
      <c r="R206" s="3" t="s">
        <v>39</v>
      </c>
      <c r="S206" s="3" t="s">
        <v>38</v>
      </c>
      <c r="T206" s="3" t="s">
        <v>40</v>
      </c>
      <c r="U206" s="3"/>
      <c r="V206" s="3" t="s">
        <v>41</v>
      </c>
      <c r="W206" s="5">
        <v>24349.68</v>
      </c>
      <c r="X206" s="5">
        <v>18262.259999999998</v>
      </c>
      <c r="Y206" s="5">
        <v>4261.1899999999996</v>
      </c>
      <c r="Z206" s="5">
        <v>1826.23</v>
      </c>
      <c r="AA206" s="3">
        <v>0</v>
      </c>
    </row>
    <row r="207" spans="1:27" ht="36.75" x14ac:dyDescent="0.25">
      <c r="A207" s="3" t="s">
        <v>28</v>
      </c>
      <c r="B207" s="3" t="s">
        <v>29</v>
      </c>
      <c r="C207" s="3" t="s">
        <v>30</v>
      </c>
      <c r="D207" s="3" t="s">
        <v>47</v>
      </c>
      <c r="E207" s="3" t="s">
        <v>51</v>
      </c>
      <c r="F207" s="3" t="s">
        <v>103</v>
      </c>
      <c r="G207" s="3">
        <v>2025</v>
      </c>
      <c r="H207" s="3" t="str">
        <f>CONCATENATE("54240598216")</f>
        <v>54240598216</v>
      </c>
      <c r="I207" s="3" t="s">
        <v>34</v>
      </c>
      <c r="J207" s="3" t="s">
        <v>35</v>
      </c>
      <c r="K207" s="3"/>
      <c r="L207" s="3" t="s">
        <v>36</v>
      </c>
      <c r="M207" s="3" t="str">
        <f>CONCATENATE("01980630436")</f>
        <v>01980630436</v>
      </c>
      <c r="N207" s="3" t="s">
        <v>309</v>
      </c>
      <c r="O207" s="3" t="s">
        <v>38</v>
      </c>
      <c r="P207" s="3"/>
      <c r="Q207" s="4">
        <v>45968</v>
      </c>
      <c r="R207" s="3" t="s">
        <v>39</v>
      </c>
      <c r="S207" s="3" t="s">
        <v>38</v>
      </c>
      <c r="T207" s="3" t="s">
        <v>40</v>
      </c>
      <c r="U207" s="3"/>
      <c r="V207" s="3" t="s">
        <v>41</v>
      </c>
      <c r="W207" s="5">
        <v>1609.19</v>
      </c>
      <c r="X207" s="5">
        <v>1206.8900000000001</v>
      </c>
      <c r="Y207" s="3">
        <v>281.61</v>
      </c>
      <c r="Z207" s="3">
        <v>120.69</v>
      </c>
      <c r="AA207" s="3">
        <v>0</v>
      </c>
    </row>
    <row r="208" spans="1:27" ht="36.75" x14ac:dyDescent="0.25">
      <c r="A208" s="3" t="s">
        <v>28</v>
      </c>
      <c r="B208" s="3" t="s">
        <v>29</v>
      </c>
      <c r="C208" s="3" t="s">
        <v>30</v>
      </c>
      <c r="D208" s="3" t="s">
        <v>42</v>
      </c>
      <c r="E208" s="3" t="s">
        <v>310</v>
      </c>
      <c r="F208" s="3" t="s">
        <v>311</v>
      </c>
      <c r="G208" s="3">
        <v>2025</v>
      </c>
      <c r="H208" s="3" t="str">
        <f>CONCATENATE("54240604568")</f>
        <v>54240604568</v>
      </c>
      <c r="I208" s="3" t="s">
        <v>34</v>
      </c>
      <c r="J208" s="3" t="s">
        <v>35</v>
      </c>
      <c r="K208" s="3"/>
      <c r="L208" s="3" t="s">
        <v>36</v>
      </c>
      <c r="M208" s="3" t="str">
        <f>CONCATENATE("05340750263")</f>
        <v>05340750263</v>
      </c>
      <c r="N208" s="3" t="s">
        <v>312</v>
      </c>
      <c r="O208" s="3" t="s">
        <v>38</v>
      </c>
      <c r="P208" s="3"/>
      <c r="Q208" s="4">
        <v>45968</v>
      </c>
      <c r="R208" s="3" t="s">
        <v>39</v>
      </c>
      <c r="S208" s="3" t="s">
        <v>38</v>
      </c>
      <c r="T208" s="3" t="s">
        <v>40</v>
      </c>
      <c r="U208" s="3"/>
      <c r="V208" s="3" t="s">
        <v>41</v>
      </c>
      <c r="W208" s="3">
        <v>713.49</v>
      </c>
      <c r="X208" s="3">
        <v>535.12</v>
      </c>
      <c r="Y208" s="3">
        <v>124.86</v>
      </c>
      <c r="Z208" s="3">
        <v>53.51</v>
      </c>
      <c r="AA208" s="3">
        <v>0</v>
      </c>
    </row>
    <row r="209" spans="1:27" ht="60.75" x14ac:dyDescent="0.25">
      <c r="A209" s="3" t="s">
        <v>28</v>
      </c>
      <c r="B209" s="3" t="s">
        <v>29</v>
      </c>
      <c r="C209" s="3" t="s">
        <v>30</v>
      </c>
      <c r="D209" s="3" t="s">
        <v>65</v>
      </c>
      <c r="E209" s="3" t="s">
        <v>51</v>
      </c>
      <c r="F209" s="3" t="s">
        <v>105</v>
      </c>
      <c r="G209" s="3">
        <v>2025</v>
      </c>
      <c r="H209" s="3" t="str">
        <f>CONCATENATE("54240600160")</f>
        <v>54240600160</v>
      </c>
      <c r="I209" s="3" t="s">
        <v>34</v>
      </c>
      <c r="J209" s="3" t="s">
        <v>35</v>
      </c>
      <c r="K209" s="3"/>
      <c r="L209" s="3" t="s">
        <v>36</v>
      </c>
      <c r="M209" s="3" t="str">
        <f>CONCATENATE("DCRCLD83C12D488U")</f>
        <v>DCRCLD83C12D488U</v>
      </c>
      <c r="N209" s="3" t="s">
        <v>313</v>
      </c>
      <c r="O209" s="3" t="s">
        <v>38</v>
      </c>
      <c r="P209" s="3"/>
      <c r="Q209" s="4">
        <v>45968</v>
      </c>
      <c r="R209" s="3" t="s">
        <v>39</v>
      </c>
      <c r="S209" s="3" t="s">
        <v>38</v>
      </c>
      <c r="T209" s="3" t="s">
        <v>40</v>
      </c>
      <c r="U209" s="3"/>
      <c r="V209" s="3" t="s">
        <v>41</v>
      </c>
      <c r="W209" s="5">
        <v>26726.1</v>
      </c>
      <c r="X209" s="5">
        <v>20044.580000000002</v>
      </c>
      <c r="Y209" s="5">
        <v>4677.07</v>
      </c>
      <c r="Z209" s="5">
        <v>2004.45</v>
      </c>
      <c r="AA209" s="3">
        <v>0</v>
      </c>
    </row>
    <row r="210" spans="1:27" ht="60.75" x14ac:dyDescent="0.25">
      <c r="A210" s="3" t="s">
        <v>28</v>
      </c>
      <c r="B210" s="3" t="s">
        <v>29</v>
      </c>
      <c r="C210" s="3" t="s">
        <v>30</v>
      </c>
      <c r="D210" s="3" t="s">
        <v>31</v>
      </c>
      <c r="E210" s="3" t="s">
        <v>51</v>
      </c>
      <c r="F210" s="3" t="s">
        <v>99</v>
      </c>
      <c r="G210" s="3">
        <v>2025</v>
      </c>
      <c r="H210" s="3" t="str">
        <f>CONCATENATE("54240598885")</f>
        <v>54240598885</v>
      </c>
      <c r="I210" s="3" t="s">
        <v>34</v>
      </c>
      <c r="J210" s="3" t="s">
        <v>35</v>
      </c>
      <c r="K210" s="3"/>
      <c r="L210" s="3" t="s">
        <v>36</v>
      </c>
      <c r="M210" s="3" t="str">
        <f>CONCATENATE("RPNMRK79T31B474M")</f>
        <v>RPNMRK79T31B474M</v>
      </c>
      <c r="N210" s="3" t="s">
        <v>314</v>
      </c>
      <c r="O210" s="3" t="s">
        <v>38</v>
      </c>
      <c r="P210" s="3"/>
      <c r="Q210" s="4">
        <v>45968</v>
      </c>
      <c r="R210" s="3" t="s">
        <v>39</v>
      </c>
      <c r="S210" s="3" t="s">
        <v>38</v>
      </c>
      <c r="T210" s="3" t="s">
        <v>40</v>
      </c>
      <c r="U210" s="3"/>
      <c r="V210" s="3" t="s">
        <v>41</v>
      </c>
      <c r="W210" s="3">
        <v>907.12</v>
      </c>
      <c r="X210" s="3">
        <v>680.34</v>
      </c>
      <c r="Y210" s="3">
        <v>158.75</v>
      </c>
      <c r="Z210" s="3">
        <v>68.03</v>
      </c>
      <c r="AA210" s="3">
        <v>0</v>
      </c>
    </row>
    <row r="211" spans="1:27" ht="36.75" x14ac:dyDescent="0.25">
      <c r="A211" s="3" t="s">
        <v>28</v>
      </c>
      <c r="B211" s="3" t="s">
        <v>29</v>
      </c>
      <c r="C211" s="3" t="s">
        <v>30</v>
      </c>
      <c r="D211" s="3" t="s">
        <v>42</v>
      </c>
      <c r="E211" s="3" t="s">
        <v>43</v>
      </c>
      <c r="F211" s="3" t="s">
        <v>43</v>
      </c>
      <c r="G211" s="3">
        <v>2025</v>
      </c>
      <c r="H211" s="3" t="str">
        <f>CONCATENATE("54240600889")</f>
        <v>54240600889</v>
      </c>
      <c r="I211" s="3" t="s">
        <v>34</v>
      </c>
      <c r="J211" s="3" t="s">
        <v>35</v>
      </c>
      <c r="K211" s="3"/>
      <c r="L211" s="3" t="s">
        <v>36</v>
      </c>
      <c r="M211" s="3" t="str">
        <f>CONCATENATE("00359070448")</f>
        <v>00359070448</v>
      </c>
      <c r="N211" s="3" t="s">
        <v>315</v>
      </c>
      <c r="O211" s="3" t="s">
        <v>38</v>
      </c>
      <c r="P211" s="3"/>
      <c r="Q211" s="4">
        <v>45968</v>
      </c>
      <c r="R211" s="3" t="s">
        <v>39</v>
      </c>
      <c r="S211" s="3" t="s">
        <v>38</v>
      </c>
      <c r="T211" s="3" t="s">
        <v>40</v>
      </c>
      <c r="U211" s="3"/>
      <c r="V211" s="3" t="s">
        <v>41</v>
      </c>
      <c r="W211" s="3">
        <v>787.98</v>
      </c>
      <c r="X211" s="3">
        <v>590.99</v>
      </c>
      <c r="Y211" s="3">
        <v>137.9</v>
      </c>
      <c r="Z211" s="3">
        <v>59.09</v>
      </c>
      <c r="AA211" s="3">
        <v>0</v>
      </c>
    </row>
    <row r="212" spans="1:27" ht="72.75" x14ac:dyDescent="0.25">
      <c r="A212" s="3" t="s">
        <v>28</v>
      </c>
      <c r="B212" s="3" t="s">
        <v>29</v>
      </c>
      <c r="C212" s="3" t="s">
        <v>30</v>
      </c>
      <c r="D212" s="3" t="s">
        <v>31</v>
      </c>
      <c r="E212" s="3" t="s">
        <v>51</v>
      </c>
      <c r="F212" s="3" t="s">
        <v>99</v>
      </c>
      <c r="G212" s="3">
        <v>2025</v>
      </c>
      <c r="H212" s="3" t="str">
        <f>CONCATENATE("54240599248")</f>
        <v>54240599248</v>
      </c>
      <c r="I212" s="3" t="s">
        <v>34</v>
      </c>
      <c r="J212" s="3" t="s">
        <v>35</v>
      </c>
      <c r="K212" s="3"/>
      <c r="L212" s="3" t="s">
        <v>36</v>
      </c>
      <c r="M212" s="3" t="str">
        <f>CONCATENATE("BLTGMM65T56A237K")</f>
        <v>BLTGMM65T56A237K</v>
      </c>
      <c r="N212" s="3" t="s">
        <v>316</v>
      </c>
      <c r="O212" s="3" t="s">
        <v>38</v>
      </c>
      <c r="P212" s="3"/>
      <c r="Q212" s="4">
        <v>45968</v>
      </c>
      <c r="R212" s="3" t="s">
        <v>39</v>
      </c>
      <c r="S212" s="3" t="s">
        <v>38</v>
      </c>
      <c r="T212" s="3" t="s">
        <v>40</v>
      </c>
      <c r="U212" s="3"/>
      <c r="V212" s="3" t="s">
        <v>41</v>
      </c>
      <c r="W212" s="3">
        <v>550.73</v>
      </c>
      <c r="X212" s="3">
        <v>413.05</v>
      </c>
      <c r="Y212" s="3">
        <v>96.38</v>
      </c>
      <c r="Z212" s="3">
        <v>41.3</v>
      </c>
      <c r="AA212" s="3">
        <v>0</v>
      </c>
    </row>
    <row r="213" spans="1:27" ht="60.75" x14ac:dyDescent="0.25">
      <c r="A213" s="3" t="s">
        <v>28</v>
      </c>
      <c r="B213" s="3" t="s">
        <v>29</v>
      </c>
      <c r="C213" s="3" t="s">
        <v>30</v>
      </c>
      <c r="D213" s="3" t="s">
        <v>47</v>
      </c>
      <c r="E213" s="3" t="s">
        <v>32</v>
      </c>
      <c r="F213" s="3" t="s">
        <v>33</v>
      </c>
      <c r="G213" s="3">
        <v>2025</v>
      </c>
      <c r="H213" s="3" t="str">
        <f>CONCATENATE("54240599586")</f>
        <v>54240599586</v>
      </c>
      <c r="I213" s="3" t="s">
        <v>34</v>
      </c>
      <c r="J213" s="3" t="s">
        <v>35</v>
      </c>
      <c r="K213" s="3"/>
      <c r="L213" s="3" t="s">
        <v>36</v>
      </c>
      <c r="M213" s="3" t="str">
        <f>CONCATENATE("CRRMCL57D20B474K")</f>
        <v>CRRMCL57D20B474K</v>
      </c>
      <c r="N213" s="3" t="s">
        <v>317</v>
      </c>
      <c r="O213" s="3" t="s">
        <v>38</v>
      </c>
      <c r="P213" s="3"/>
      <c r="Q213" s="4">
        <v>45968</v>
      </c>
      <c r="R213" s="3" t="s">
        <v>39</v>
      </c>
      <c r="S213" s="3" t="s">
        <v>38</v>
      </c>
      <c r="T213" s="3" t="s">
        <v>40</v>
      </c>
      <c r="U213" s="3"/>
      <c r="V213" s="3" t="s">
        <v>41</v>
      </c>
      <c r="W213" s="5">
        <v>7468.4</v>
      </c>
      <c r="X213" s="5">
        <v>5601.3</v>
      </c>
      <c r="Y213" s="5">
        <v>1306.97</v>
      </c>
      <c r="Z213" s="3">
        <v>560.13</v>
      </c>
      <c r="AA213" s="3">
        <v>0</v>
      </c>
    </row>
    <row r="214" spans="1:27" ht="36.75" x14ac:dyDescent="0.25">
      <c r="A214" s="3" t="s">
        <v>28</v>
      </c>
      <c r="B214" s="3" t="s">
        <v>29</v>
      </c>
      <c r="C214" s="3" t="s">
        <v>30</v>
      </c>
      <c r="D214" s="3" t="s">
        <v>65</v>
      </c>
      <c r="E214" s="3" t="s">
        <v>60</v>
      </c>
      <c r="F214" s="3" t="s">
        <v>85</v>
      </c>
      <c r="G214" s="3">
        <v>2025</v>
      </c>
      <c r="H214" s="3" t="str">
        <f>CONCATENATE("54240600152")</f>
        <v>54240600152</v>
      </c>
      <c r="I214" s="3" t="s">
        <v>34</v>
      </c>
      <c r="J214" s="3" t="s">
        <v>35</v>
      </c>
      <c r="K214" s="3"/>
      <c r="L214" s="3" t="s">
        <v>36</v>
      </c>
      <c r="M214" s="3" t="str">
        <f>CONCATENATE("01379100413")</f>
        <v>01379100413</v>
      </c>
      <c r="N214" s="3" t="s">
        <v>318</v>
      </c>
      <c r="O214" s="3" t="s">
        <v>38</v>
      </c>
      <c r="P214" s="3"/>
      <c r="Q214" s="4">
        <v>45968</v>
      </c>
      <c r="R214" s="3" t="s">
        <v>39</v>
      </c>
      <c r="S214" s="3" t="s">
        <v>38</v>
      </c>
      <c r="T214" s="3" t="s">
        <v>40</v>
      </c>
      <c r="U214" s="3"/>
      <c r="V214" s="3" t="s">
        <v>41</v>
      </c>
      <c r="W214" s="5">
        <v>24396.29</v>
      </c>
      <c r="X214" s="5">
        <v>18297.22</v>
      </c>
      <c r="Y214" s="5">
        <v>4269.3500000000004</v>
      </c>
      <c r="Z214" s="5">
        <v>1829.72</v>
      </c>
      <c r="AA214" s="3">
        <v>0</v>
      </c>
    </row>
    <row r="215" spans="1:27" ht="60.75" x14ac:dyDescent="0.25">
      <c r="A215" s="3" t="s">
        <v>28</v>
      </c>
      <c r="B215" s="3" t="s">
        <v>29</v>
      </c>
      <c r="C215" s="3" t="s">
        <v>30</v>
      </c>
      <c r="D215" s="3" t="s">
        <v>42</v>
      </c>
      <c r="E215" s="3" t="s">
        <v>132</v>
      </c>
      <c r="F215" s="3" t="s">
        <v>263</v>
      </c>
      <c r="G215" s="3">
        <v>2025</v>
      </c>
      <c r="H215" s="3" t="str">
        <f>CONCATENATE("54240600624")</f>
        <v>54240600624</v>
      </c>
      <c r="I215" s="3" t="s">
        <v>34</v>
      </c>
      <c r="J215" s="3" t="s">
        <v>35</v>
      </c>
      <c r="K215" s="3"/>
      <c r="L215" s="3" t="s">
        <v>36</v>
      </c>
      <c r="M215" s="3" t="str">
        <f>CONCATENATE("MRCLVN63M69E207H")</f>
        <v>MRCLVN63M69E207H</v>
      </c>
      <c r="N215" s="3" t="s">
        <v>319</v>
      </c>
      <c r="O215" s="3" t="s">
        <v>38</v>
      </c>
      <c r="P215" s="3"/>
      <c r="Q215" s="4">
        <v>45968</v>
      </c>
      <c r="R215" s="3" t="s">
        <v>39</v>
      </c>
      <c r="S215" s="3" t="s">
        <v>38</v>
      </c>
      <c r="T215" s="3" t="s">
        <v>40</v>
      </c>
      <c r="U215" s="3"/>
      <c r="V215" s="3" t="s">
        <v>41</v>
      </c>
      <c r="W215" s="5">
        <v>2975.1</v>
      </c>
      <c r="X215" s="5">
        <v>2231.33</v>
      </c>
      <c r="Y215" s="3">
        <v>520.64</v>
      </c>
      <c r="Z215" s="3">
        <v>223.13</v>
      </c>
      <c r="AA215" s="3">
        <v>0</v>
      </c>
    </row>
    <row r="216" spans="1:27" ht="60.75" x14ac:dyDescent="0.25">
      <c r="A216" s="3" t="s">
        <v>28</v>
      </c>
      <c r="B216" s="3" t="s">
        <v>29</v>
      </c>
      <c r="C216" s="3" t="s">
        <v>30</v>
      </c>
      <c r="D216" s="3" t="s">
        <v>42</v>
      </c>
      <c r="E216" s="3" t="s">
        <v>132</v>
      </c>
      <c r="F216" s="3" t="s">
        <v>263</v>
      </c>
      <c r="G216" s="3">
        <v>2025</v>
      </c>
      <c r="H216" s="3" t="str">
        <f>CONCATENATE("54240600814")</f>
        <v>54240600814</v>
      </c>
      <c r="I216" s="3" t="s">
        <v>34</v>
      </c>
      <c r="J216" s="3" t="s">
        <v>35</v>
      </c>
      <c r="K216" s="3"/>
      <c r="L216" s="3" t="s">
        <v>36</v>
      </c>
      <c r="M216" s="3" t="str">
        <f>CONCATENATE("GBRSNT59M14A047X")</f>
        <v>GBRSNT59M14A047X</v>
      </c>
      <c r="N216" s="3" t="s">
        <v>320</v>
      </c>
      <c r="O216" s="3" t="s">
        <v>38</v>
      </c>
      <c r="P216" s="3"/>
      <c r="Q216" s="4">
        <v>45968</v>
      </c>
      <c r="R216" s="3" t="s">
        <v>39</v>
      </c>
      <c r="S216" s="3" t="s">
        <v>38</v>
      </c>
      <c r="T216" s="3" t="s">
        <v>40</v>
      </c>
      <c r="U216" s="3"/>
      <c r="V216" s="3" t="s">
        <v>41</v>
      </c>
      <c r="W216" s="5">
        <v>3141.47</v>
      </c>
      <c r="X216" s="5">
        <v>2356.1</v>
      </c>
      <c r="Y216" s="3">
        <v>549.76</v>
      </c>
      <c r="Z216" s="3">
        <v>235.61</v>
      </c>
      <c r="AA216" s="3">
        <v>0</v>
      </c>
    </row>
    <row r="217" spans="1:27" ht="60.75" x14ac:dyDescent="0.25">
      <c r="A217" s="3" t="s">
        <v>28</v>
      </c>
      <c r="B217" s="3" t="s">
        <v>29</v>
      </c>
      <c r="C217" s="3" t="s">
        <v>30</v>
      </c>
      <c r="D217" s="3" t="s">
        <v>42</v>
      </c>
      <c r="E217" s="3" t="s">
        <v>43</v>
      </c>
      <c r="F217" s="3" t="s">
        <v>43</v>
      </c>
      <c r="G217" s="3">
        <v>2025</v>
      </c>
      <c r="H217" s="3" t="str">
        <f>CONCATENATE("54240600822")</f>
        <v>54240600822</v>
      </c>
      <c r="I217" s="3" t="s">
        <v>34</v>
      </c>
      <c r="J217" s="3" t="s">
        <v>35</v>
      </c>
      <c r="K217" s="3"/>
      <c r="L217" s="3" t="s">
        <v>36</v>
      </c>
      <c r="M217" s="3" t="str">
        <f>CONCATENATE("BRBPLA61A43D096O")</f>
        <v>BRBPLA61A43D096O</v>
      </c>
      <c r="N217" s="3" t="s">
        <v>321</v>
      </c>
      <c r="O217" s="3" t="s">
        <v>38</v>
      </c>
      <c r="P217" s="3"/>
      <c r="Q217" s="4">
        <v>45968</v>
      </c>
      <c r="R217" s="3" t="s">
        <v>39</v>
      </c>
      <c r="S217" s="3" t="s">
        <v>38</v>
      </c>
      <c r="T217" s="3" t="s">
        <v>40</v>
      </c>
      <c r="U217" s="3"/>
      <c r="V217" s="3" t="s">
        <v>41</v>
      </c>
      <c r="W217" s="5">
        <v>1740.56</v>
      </c>
      <c r="X217" s="5">
        <v>1305.42</v>
      </c>
      <c r="Y217" s="3">
        <v>304.60000000000002</v>
      </c>
      <c r="Z217" s="3">
        <v>130.54</v>
      </c>
      <c r="AA217" s="3">
        <v>0</v>
      </c>
    </row>
    <row r="218" spans="1:27" ht="60.75" x14ac:dyDescent="0.25">
      <c r="A218" s="3" t="s">
        <v>28</v>
      </c>
      <c r="B218" s="3" t="s">
        <v>29</v>
      </c>
      <c r="C218" s="3" t="s">
        <v>30</v>
      </c>
      <c r="D218" s="3" t="s">
        <v>42</v>
      </c>
      <c r="E218" s="3" t="s">
        <v>32</v>
      </c>
      <c r="F218" s="3" t="s">
        <v>322</v>
      </c>
      <c r="G218" s="3">
        <v>2025</v>
      </c>
      <c r="H218" s="3" t="str">
        <f>CONCATENATE("54240634235")</f>
        <v>54240634235</v>
      </c>
      <c r="I218" s="3" t="s">
        <v>34</v>
      </c>
      <c r="J218" s="3" t="s">
        <v>35</v>
      </c>
      <c r="K218" s="3"/>
      <c r="L218" s="3" t="s">
        <v>36</v>
      </c>
      <c r="M218" s="3" t="str">
        <f>CONCATENATE("NTGGRL54L57C070D")</f>
        <v>NTGGRL54L57C070D</v>
      </c>
      <c r="N218" s="3" t="s">
        <v>323</v>
      </c>
      <c r="O218" s="3" t="s">
        <v>38</v>
      </c>
      <c r="P218" s="3"/>
      <c r="Q218" s="4">
        <v>45968</v>
      </c>
      <c r="R218" s="3" t="s">
        <v>39</v>
      </c>
      <c r="S218" s="3" t="s">
        <v>38</v>
      </c>
      <c r="T218" s="3" t="s">
        <v>40</v>
      </c>
      <c r="U218" s="3"/>
      <c r="V218" s="3" t="s">
        <v>41</v>
      </c>
      <c r="W218" s="3">
        <v>892.58</v>
      </c>
      <c r="X218" s="3">
        <v>669.44</v>
      </c>
      <c r="Y218" s="3">
        <v>156.19999999999999</v>
      </c>
      <c r="Z218" s="3">
        <v>66.94</v>
      </c>
      <c r="AA218" s="3">
        <v>0</v>
      </c>
    </row>
    <row r="219" spans="1:27" ht="72.75" x14ac:dyDescent="0.25">
      <c r="A219" s="3" t="s">
        <v>28</v>
      </c>
      <c r="B219" s="3" t="s">
        <v>29</v>
      </c>
      <c r="C219" s="3" t="s">
        <v>30</v>
      </c>
      <c r="D219" s="3" t="s">
        <v>42</v>
      </c>
      <c r="E219" s="3" t="s">
        <v>207</v>
      </c>
      <c r="F219" s="3" t="s">
        <v>217</v>
      </c>
      <c r="G219" s="3">
        <v>2025</v>
      </c>
      <c r="H219" s="3" t="str">
        <f>CONCATENATE("54240601275")</f>
        <v>54240601275</v>
      </c>
      <c r="I219" s="3" t="s">
        <v>34</v>
      </c>
      <c r="J219" s="3" t="s">
        <v>35</v>
      </c>
      <c r="K219" s="3"/>
      <c r="L219" s="3" t="s">
        <v>36</v>
      </c>
      <c r="M219" s="3" t="str">
        <f>CONCATENATE("MRNMRA58T19D542B")</f>
        <v>MRNMRA58T19D542B</v>
      </c>
      <c r="N219" s="3" t="s">
        <v>324</v>
      </c>
      <c r="O219" s="3" t="s">
        <v>38</v>
      </c>
      <c r="P219" s="3"/>
      <c r="Q219" s="4">
        <v>45968</v>
      </c>
      <c r="R219" s="3" t="s">
        <v>39</v>
      </c>
      <c r="S219" s="3" t="s">
        <v>38</v>
      </c>
      <c r="T219" s="3" t="s">
        <v>40</v>
      </c>
      <c r="U219" s="3"/>
      <c r="V219" s="3" t="s">
        <v>41</v>
      </c>
      <c r="W219" s="5">
        <v>1537.23</v>
      </c>
      <c r="X219" s="5">
        <v>1152.92</v>
      </c>
      <c r="Y219" s="3">
        <v>269.02</v>
      </c>
      <c r="Z219" s="3">
        <v>115.29</v>
      </c>
      <c r="AA219" s="3">
        <v>0</v>
      </c>
    </row>
    <row r="220" spans="1:27" ht="60.75" x14ac:dyDescent="0.25">
      <c r="A220" s="3" t="s">
        <v>28</v>
      </c>
      <c r="B220" s="3" t="s">
        <v>29</v>
      </c>
      <c r="C220" s="3" t="s">
        <v>30</v>
      </c>
      <c r="D220" s="3" t="s">
        <v>47</v>
      </c>
      <c r="E220" s="3" t="s">
        <v>48</v>
      </c>
      <c r="F220" s="3" t="s">
        <v>90</v>
      </c>
      <c r="G220" s="3">
        <v>2025</v>
      </c>
      <c r="H220" s="3" t="str">
        <f>CONCATENATE("54240601374")</f>
        <v>54240601374</v>
      </c>
      <c r="I220" s="3" t="s">
        <v>34</v>
      </c>
      <c r="J220" s="3" t="s">
        <v>35</v>
      </c>
      <c r="K220" s="3"/>
      <c r="L220" s="3" t="s">
        <v>36</v>
      </c>
      <c r="M220" s="3" t="str">
        <f>CONCATENATE("DLLRFL60B21E783M")</f>
        <v>DLLRFL60B21E783M</v>
      </c>
      <c r="N220" s="3" t="s">
        <v>325</v>
      </c>
      <c r="O220" s="3" t="s">
        <v>38</v>
      </c>
      <c r="P220" s="3"/>
      <c r="Q220" s="4">
        <v>45968</v>
      </c>
      <c r="R220" s="3" t="s">
        <v>39</v>
      </c>
      <c r="S220" s="3" t="s">
        <v>38</v>
      </c>
      <c r="T220" s="3" t="s">
        <v>40</v>
      </c>
      <c r="U220" s="3"/>
      <c r="V220" s="3" t="s">
        <v>41</v>
      </c>
      <c r="W220" s="5">
        <v>22745.86</v>
      </c>
      <c r="X220" s="5">
        <v>17059.400000000001</v>
      </c>
      <c r="Y220" s="5">
        <v>3980.53</v>
      </c>
      <c r="Z220" s="5">
        <v>1705.93</v>
      </c>
      <c r="AA220" s="3">
        <v>0</v>
      </c>
    </row>
    <row r="221" spans="1:27" ht="60.75" x14ac:dyDescent="0.25">
      <c r="A221" s="3" t="s">
        <v>28</v>
      </c>
      <c r="B221" s="3" t="s">
        <v>29</v>
      </c>
      <c r="C221" s="3" t="s">
        <v>30</v>
      </c>
      <c r="D221" s="3" t="s">
        <v>47</v>
      </c>
      <c r="E221" s="3" t="s">
        <v>60</v>
      </c>
      <c r="F221" s="3" t="s">
        <v>81</v>
      </c>
      <c r="G221" s="3">
        <v>2025</v>
      </c>
      <c r="H221" s="3" t="str">
        <f>CONCATENATE("54240608924")</f>
        <v>54240608924</v>
      </c>
      <c r="I221" s="3" t="s">
        <v>34</v>
      </c>
      <c r="J221" s="3" t="s">
        <v>35</v>
      </c>
      <c r="K221" s="3"/>
      <c r="L221" s="3" t="s">
        <v>36</v>
      </c>
      <c r="M221" s="3" t="str">
        <f>CONCATENATE("GRMFNC71S53H501J")</f>
        <v>GRMFNC71S53H501J</v>
      </c>
      <c r="N221" s="3" t="s">
        <v>326</v>
      </c>
      <c r="O221" s="3" t="s">
        <v>38</v>
      </c>
      <c r="P221" s="3"/>
      <c r="Q221" s="4">
        <v>45968</v>
      </c>
      <c r="R221" s="3" t="s">
        <v>39</v>
      </c>
      <c r="S221" s="3" t="s">
        <v>38</v>
      </c>
      <c r="T221" s="3" t="s">
        <v>40</v>
      </c>
      <c r="U221" s="3"/>
      <c r="V221" s="3" t="s">
        <v>41</v>
      </c>
      <c r="W221" s="5">
        <v>22997.58</v>
      </c>
      <c r="X221" s="5">
        <v>17248.189999999999</v>
      </c>
      <c r="Y221" s="5">
        <v>4024.58</v>
      </c>
      <c r="Z221" s="5">
        <v>1724.81</v>
      </c>
      <c r="AA221" s="3">
        <v>0</v>
      </c>
    </row>
    <row r="222" spans="1:27" ht="60.75" x14ac:dyDescent="0.25">
      <c r="A222" s="3" t="s">
        <v>28</v>
      </c>
      <c r="B222" s="3" t="s">
        <v>29</v>
      </c>
      <c r="C222" s="3" t="s">
        <v>30</v>
      </c>
      <c r="D222" s="3" t="s">
        <v>31</v>
      </c>
      <c r="E222" s="3" t="s">
        <v>32</v>
      </c>
      <c r="F222" s="3" t="s">
        <v>63</v>
      </c>
      <c r="G222" s="3">
        <v>2025</v>
      </c>
      <c r="H222" s="3" t="str">
        <f>CONCATENATE("54240603230")</f>
        <v>54240603230</v>
      </c>
      <c r="I222" s="3" t="s">
        <v>34</v>
      </c>
      <c r="J222" s="3" t="s">
        <v>35</v>
      </c>
      <c r="K222" s="3"/>
      <c r="L222" s="3" t="s">
        <v>36</v>
      </c>
      <c r="M222" s="3" t="str">
        <f>CONCATENATE("PRGMRA47T41D612J")</f>
        <v>PRGMRA47T41D612J</v>
      </c>
      <c r="N222" s="3" t="s">
        <v>327</v>
      </c>
      <c r="O222" s="3" t="s">
        <v>38</v>
      </c>
      <c r="P222" s="3"/>
      <c r="Q222" s="4">
        <v>45968</v>
      </c>
      <c r="R222" s="3" t="s">
        <v>39</v>
      </c>
      <c r="S222" s="3" t="s">
        <v>38</v>
      </c>
      <c r="T222" s="3" t="s">
        <v>40</v>
      </c>
      <c r="U222" s="3"/>
      <c r="V222" s="3" t="s">
        <v>41</v>
      </c>
      <c r="W222" s="5">
        <v>1305.4000000000001</v>
      </c>
      <c r="X222" s="3">
        <v>979.05</v>
      </c>
      <c r="Y222" s="3">
        <v>228.45</v>
      </c>
      <c r="Z222" s="3">
        <v>97.9</v>
      </c>
      <c r="AA222" s="3">
        <v>0</v>
      </c>
    </row>
    <row r="223" spans="1:27" ht="36.75" x14ac:dyDescent="0.25">
      <c r="A223" s="3" t="s">
        <v>28</v>
      </c>
      <c r="B223" s="3" t="s">
        <v>29</v>
      </c>
      <c r="C223" s="3" t="s">
        <v>30</v>
      </c>
      <c r="D223" s="3" t="s">
        <v>47</v>
      </c>
      <c r="E223" s="3" t="s">
        <v>60</v>
      </c>
      <c r="F223" s="3" t="s">
        <v>81</v>
      </c>
      <c r="G223" s="3">
        <v>2025</v>
      </c>
      <c r="H223" s="3" t="str">
        <f>CONCATENATE("54240608841")</f>
        <v>54240608841</v>
      </c>
      <c r="I223" s="3" t="s">
        <v>34</v>
      </c>
      <c r="J223" s="3" t="s">
        <v>35</v>
      </c>
      <c r="K223" s="3"/>
      <c r="L223" s="3" t="s">
        <v>36</v>
      </c>
      <c r="M223" s="3" t="str">
        <f>CONCATENATE("01975760438")</f>
        <v>01975760438</v>
      </c>
      <c r="N223" s="3" t="s">
        <v>328</v>
      </c>
      <c r="O223" s="3" t="s">
        <v>38</v>
      </c>
      <c r="P223" s="3"/>
      <c r="Q223" s="4">
        <v>45968</v>
      </c>
      <c r="R223" s="3" t="s">
        <v>39</v>
      </c>
      <c r="S223" s="3" t="s">
        <v>38</v>
      </c>
      <c r="T223" s="3" t="s">
        <v>40</v>
      </c>
      <c r="U223" s="3"/>
      <c r="V223" s="3" t="s">
        <v>41</v>
      </c>
      <c r="W223" s="3">
        <v>628.41999999999996</v>
      </c>
      <c r="X223" s="3">
        <v>471.32</v>
      </c>
      <c r="Y223" s="3">
        <v>109.97</v>
      </c>
      <c r="Z223" s="3">
        <v>47.13</v>
      </c>
      <c r="AA223" s="3">
        <v>0</v>
      </c>
    </row>
    <row r="224" spans="1:27" ht="72.75" x14ac:dyDescent="0.25">
      <c r="A224" s="3" t="s">
        <v>28</v>
      </c>
      <c r="B224" s="3" t="s">
        <v>29</v>
      </c>
      <c r="C224" s="3" t="s">
        <v>30</v>
      </c>
      <c r="D224" s="3" t="s">
        <v>42</v>
      </c>
      <c r="E224" s="3" t="s">
        <v>32</v>
      </c>
      <c r="F224" s="3" t="s">
        <v>110</v>
      </c>
      <c r="G224" s="3">
        <v>2025</v>
      </c>
      <c r="H224" s="3" t="str">
        <f>CONCATENATE("54240603271")</f>
        <v>54240603271</v>
      </c>
      <c r="I224" s="3" t="s">
        <v>34</v>
      </c>
      <c r="J224" s="3" t="s">
        <v>35</v>
      </c>
      <c r="K224" s="3"/>
      <c r="L224" s="3" t="s">
        <v>36</v>
      </c>
      <c r="M224" s="3" t="str">
        <f>CONCATENATE("PLOBBR91B42H769V")</f>
        <v>PLOBBR91B42H769V</v>
      </c>
      <c r="N224" s="3" t="s">
        <v>329</v>
      </c>
      <c r="O224" s="3" t="s">
        <v>38</v>
      </c>
      <c r="P224" s="3"/>
      <c r="Q224" s="4">
        <v>45968</v>
      </c>
      <c r="R224" s="3" t="s">
        <v>39</v>
      </c>
      <c r="S224" s="3" t="s">
        <v>38</v>
      </c>
      <c r="T224" s="3" t="s">
        <v>40</v>
      </c>
      <c r="U224" s="3"/>
      <c r="V224" s="3" t="s">
        <v>41</v>
      </c>
      <c r="W224" s="5">
        <v>1458.34</v>
      </c>
      <c r="X224" s="5">
        <v>1093.76</v>
      </c>
      <c r="Y224" s="3">
        <v>255.21</v>
      </c>
      <c r="Z224" s="3">
        <v>109.37</v>
      </c>
      <c r="AA224" s="3">
        <v>0</v>
      </c>
    </row>
    <row r="225" spans="1:27" ht="36.75" x14ac:dyDescent="0.25">
      <c r="A225" s="3" t="s">
        <v>28</v>
      </c>
      <c r="B225" s="3" t="s">
        <v>29</v>
      </c>
      <c r="C225" s="3" t="s">
        <v>30</v>
      </c>
      <c r="D225" s="3" t="s">
        <v>42</v>
      </c>
      <c r="E225" s="3" t="s">
        <v>32</v>
      </c>
      <c r="F225" s="3" t="s">
        <v>110</v>
      </c>
      <c r="G225" s="3">
        <v>2025</v>
      </c>
      <c r="H225" s="3" t="str">
        <f>CONCATENATE("54240604469")</f>
        <v>54240604469</v>
      </c>
      <c r="I225" s="3" t="s">
        <v>34</v>
      </c>
      <c r="J225" s="3" t="s">
        <v>35</v>
      </c>
      <c r="K225" s="3"/>
      <c r="L225" s="3" t="s">
        <v>36</v>
      </c>
      <c r="M225" s="3" t="str">
        <f>CONCATENATE("02433910441")</f>
        <v>02433910441</v>
      </c>
      <c r="N225" s="3" t="s">
        <v>330</v>
      </c>
      <c r="O225" s="3" t="s">
        <v>38</v>
      </c>
      <c r="P225" s="3"/>
      <c r="Q225" s="4">
        <v>45968</v>
      </c>
      <c r="R225" s="3" t="s">
        <v>39</v>
      </c>
      <c r="S225" s="3" t="s">
        <v>38</v>
      </c>
      <c r="T225" s="3" t="s">
        <v>40</v>
      </c>
      <c r="U225" s="3"/>
      <c r="V225" s="3" t="s">
        <v>41</v>
      </c>
      <c r="W225" s="5">
        <v>3342.01</v>
      </c>
      <c r="X225" s="5">
        <v>2506.5100000000002</v>
      </c>
      <c r="Y225" s="3">
        <v>584.85</v>
      </c>
      <c r="Z225" s="3">
        <v>250.65</v>
      </c>
      <c r="AA225" s="3">
        <v>0</v>
      </c>
    </row>
    <row r="226" spans="1:27" ht="72.75" x14ac:dyDescent="0.25">
      <c r="A226" s="3" t="s">
        <v>28</v>
      </c>
      <c r="B226" s="3" t="s">
        <v>29</v>
      </c>
      <c r="C226" s="3" t="s">
        <v>30</v>
      </c>
      <c r="D226" s="3" t="s">
        <v>42</v>
      </c>
      <c r="E226" s="3" t="s">
        <v>43</v>
      </c>
      <c r="F226" s="3" t="s">
        <v>43</v>
      </c>
      <c r="G226" s="3">
        <v>2025</v>
      </c>
      <c r="H226" s="3" t="str">
        <f>CONCATENATE("54240605045")</f>
        <v>54240605045</v>
      </c>
      <c r="I226" s="3" t="s">
        <v>34</v>
      </c>
      <c r="J226" s="3" t="s">
        <v>35</v>
      </c>
      <c r="K226" s="3"/>
      <c r="L226" s="3" t="s">
        <v>36</v>
      </c>
      <c r="M226" s="3" t="str">
        <f>CONCATENATE("MSSLRA85M49H769D")</f>
        <v>MSSLRA85M49H769D</v>
      </c>
      <c r="N226" s="3" t="s">
        <v>331</v>
      </c>
      <c r="O226" s="3" t="s">
        <v>38</v>
      </c>
      <c r="P226" s="3"/>
      <c r="Q226" s="4">
        <v>45968</v>
      </c>
      <c r="R226" s="3" t="s">
        <v>39</v>
      </c>
      <c r="S226" s="3" t="s">
        <v>38</v>
      </c>
      <c r="T226" s="3" t="s">
        <v>40</v>
      </c>
      <c r="U226" s="3"/>
      <c r="V226" s="3" t="s">
        <v>41</v>
      </c>
      <c r="W226" s="5">
        <v>1023.85</v>
      </c>
      <c r="X226" s="3">
        <v>767.89</v>
      </c>
      <c r="Y226" s="3">
        <v>179.17</v>
      </c>
      <c r="Z226" s="3">
        <v>76.790000000000006</v>
      </c>
      <c r="AA226" s="3">
        <v>0</v>
      </c>
    </row>
    <row r="227" spans="1:27" ht="60.75" x14ac:dyDescent="0.25">
      <c r="A227" s="3" t="s">
        <v>28</v>
      </c>
      <c r="B227" s="3" t="s">
        <v>29</v>
      </c>
      <c r="C227" s="3" t="s">
        <v>30</v>
      </c>
      <c r="D227" s="3" t="s">
        <v>42</v>
      </c>
      <c r="E227" s="3" t="s">
        <v>43</v>
      </c>
      <c r="F227" s="3" t="s">
        <v>43</v>
      </c>
      <c r="G227" s="3">
        <v>2025</v>
      </c>
      <c r="H227" s="3" t="str">
        <f>CONCATENATE("54240605292")</f>
        <v>54240605292</v>
      </c>
      <c r="I227" s="3" t="s">
        <v>34</v>
      </c>
      <c r="J227" s="3" t="s">
        <v>35</v>
      </c>
      <c r="K227" s="3"/>
      <c r="L227" s="3" t="s">
        <v>36</v>
      </c>
      <c r="M227" s="3" t="str">
        <f>CONCATENATE("CRRGPR65C21C321Q")</f>
        <v>CRRGPR65C21C321Q</v>
      </c>
      <c r="N227" s="3" t="s">
        <v>332</v>
      </c>
      <c r="O227" s="3" t="s">
        <v>38</v>
      </c>
      <c r="P227" s="3"/>
      <c r="Q227" s="4">
        <v>45968</v>
      </c>
      <c r="R227" s="3" t="s">
        <v>39</v>
      </c>
      <c r="S227" s="3" t="s">
        <v>38</v>
      </c>
      <c r="T227" s="3" t="s">
        <v>40</v>
      </c>
      <c r="U227" s="3"/>
      <c r="V227" s="3" t="s">
        <v>41</v>
      </c>
      <c r="W227" s="5">
        <v>3033.53</v>
      </c>
      <c r="X227" s="5">
        <v>2275.15</v>
      </c>
      <c r="Y227" s="3">
        <v>530.87</v>
      </c>
      <c r="Z227" s="3">
        <v>227.51</v>
      </c>
      <c r="AA227" s="3">
        <v>0</v>
      </c>
    </row>
    <row r="228" spans="1:27" ht="36.75" x14ac:dyDescent="0.25">
      <c r="A228" s="3" t="s">
        <v>28</v>
      </c>
      <c r="B228" s="3" t="s">
        <v>29</v>
      </c>
      <c r="C228" s="3" t="s">
        <v>30</v>
      </c>
      <c r="D228" s="3" t="s">
        <v>42</v>
      </c>
      <c r="E228" s="3" t="s">
        <v>43</v>
      </c>
      <c r="F228" s="3" t="s">
        <v>43</v>
      </c>
      <c r="G228" s="3">
        <v>2025</v>
      </c>
      <c r="H228" s="3" t="str">
        <f>CONCATENATE("54240611423")</f>
        <v>54240611423</v>
      </c>
      <c r="I228" s="3" t="s">
        <v>34</v>
      </c>
      <c r="J228" s="3" t="s">
        <v>35</v>
      </c>
      <c r="K228" s="3"/>
      <c r="L228" s="3" t="s">
        <v>36</v>
      </c>
      <c r="M228" s="3" t="str">
        <f>CONCATENATE("01496660448")</f>
        <v>01496660448</v>
      </c>
      <c r="N228" s="3" t="s">
        <v>333</v>
      </c>
      <c r="O228" s="3" t="s">
        <v>38</v>
      </c>
      <c r="P228" s="3"/>
      <c r="Q228" s="4">
        <v>45968</v>
      </c>
      <c r="R228" s="3" t="s">
        <v>39</v>
      </c>
      <c r="S228" s="3" t="s">
        <v>38</v>
      </c>
      <c r="T228" s="3" t="s">
        <v>40</v>
      </c>
      <c r="U228" s="3"/>
      <c r="V228" s="3" t="s">
        <v>41</v>
      </c>
      <c r="W228" s="5">
        <v>25255.59</v>
      </c>
      <c r="X228" s="5">
        <v>18941.689999999999</v>
      </c>
      <c r="Y228" s="5">
        <v>4419.7299999999996</v>
      </c>
      <c r="Z228" s="5">
        <v>1894.17</v>
      </c>
      <c r="AA228" s="3">
        <v>0</v>
      </c>
    </row>
    <row r="229" spans="1:27" ht="60.75" x14ac:dyDescent="0.25">
      <c r="A229" s="3" t="s">
        <v>28</v>
      </c>
      <c r="B229" s="3" t="s">
        <v>29</v>
      </c>
      <c r="C229" s="3" t="s">
        <v>30</v>
      </c>
      <c r="D229" s="3" t="s">
        <v>65</v>
      </c>
      <c r="E229" s="3" t="s">
        <v>32</v>
      </c>
      <c r="F229" s="3" t="s">
        <v>334</v>
      </c>
      <c r="G229" s="3">
        <v>2025</v>
      </c>
      <c r="H229" s="3" t="str">
        <f>CONCATENATE("54240605508")</f>
        <v>54240605508</v>
      </c>
      <c r="I229" s="3" t="s">
        <v>34</v>
      </c>
      <c r="J229" s="3" t="s">
        <v>35</v>
      </c>
      <c r="K229" s="3"/>
      <c r="L229" s="3" t="s">
        <v>36</v>
      </c>
      <c r="M229" s="3" t="str">
        <f>CONCATENATE("NNBDGI92C12I608F")</f>
        <v>NNBDGI92C12I608F</v>
      </c>
      <c r="N229" s="3" t="s">
        <v>335</v>
      </c>
      <c r="O229" s="3" t="s">
        <v>38</v>
      </c>
      <c r="P229" s="3"/>
      <c r="Q229" s="4">
        <v>45968</v>
      </c>
      <c r="R229" s="3" t="s">
        <v>39</v>
      </c>
      <c r="S229" s="3" t="s">
        <v>38</v>
      </c>
      <c r="T229" s="3" t="s">
        <v>40</v>
      </c>
      <c r="U229" s="3"/>
      <c r="V229" s="3" t="s">
        <v>41</v>
      </c>
      <c r="W229" s="5">
        <v>2608.83</v>
      </c>
      <c r="X229" s="5">
        <v>1956.62</v>
      </c>
      <c r="Y229" s="3">
        <v>456.55</v>
      </c>
      <c r="Z229" s="3">
        <v>195.66</v>
      </c>
      <c r="AA229" s="3">
        <v>0</v>
      </c>
    </row>
    <row r="230" spans="1:27" ht="72.75" x14ac:dyDescent="0.25">
      <c r="A230" s="3" t="s">
        <v>28</v>
      </c>
      <c r="B230" s="3" t="s">
        <v>29</v>
      </c>
      <c r="C230" s="3" t="s">
        <v>30</v>
      </c>
      <c r="D230" s="3" t="s">
        <v>65</v>
      </c>
      <c r="E230" s="3" t="s">
        <v>48</v>
      </c>
      <c r="F230" s="3" t="s">
        <v>66</v>
      </c>
      <c r="G230" s="3">
        <v>2025</v>
      </c>
      <c r="H230" s="3" t="str">
        <f>CONCATENATE("54240605847")</f>
        <v>54240605847</v>
      </c>
      <c r="I230" s="3" t="s">
        <v>34</v>
      </c>
      <c r="J230" s="3" t="s">
        <v>35</v>
      </c>
      <c r="K230" s="3"/>
      <c r="L230" s="3" t="s">
        <v>36</v>
      </c>
      <c r="M230" s="3" t="str">
        <f>CONCATENATE("MRNSFN78D55L407E")</f>
        <v>MRNSFN78D55L407E</v>
      </c>
      <c r="N230" s="3" t="s">
        <v>336</v>
      </c>
      <c r="O230" s="3" t="s">
        <v>38</v>
      </c>
      <c r="P230" s="3"/>
      <c r="Q230" s="4">
        <v>45968</v>
      </c>
      <c r="R230" s="3" t="s">
        <v>39</v>
      </c>
      <c r="S230" s="3" t="s">
        <v>38</v>
      </c>
      <c r="T230" s="3" t="s">
        <v>40</v>
      </c>
      <c r="U230" s="3"/>
      <c r="V230" s="3" t="s">
        <v>41</v>
      </c>
      <c r="W230" s="5">
        <v>4243.45</v>
      </c>
      <c r="X230" s="5">
        <v>3182.59</v>
      </c>
      <c r="Y230" s="3">
        <v>742.6</v>
      </c>
      <c r="Z230" s="3">
        <v>318.26</v>
      </c>
      <c r="AA230" s="3">
        <v>0</v>
      </c>
    </row>
    <row r="231" spans="1:27" ht="60.75" x14ac:dyDescent="0.25">
      <c r="A231" s="3" t="s">
        <v>28</v>
      </c>
      <c r="B231" s="3" t="s">
        <v>29</v>
      </c>
      <c r="C231" s="3" t="s">
        <v>30</v>
      </c>
      <c r="D231" s="3" t="s">
        <v>42</v>
      </c>
      <c r="E231" s="3" t="s">
        <v>32</v>
      </c>
      <c r="F231" s="3" t="s">
        <v>322</v>
      </c>
      <c r="G231" s="3">
        <v>2025</v>
      </c>
      <c r="H231" s="3" t="str">
        <f>CONCATENATE("54240606183")</f>
        <v>54240606183</v>
      </c>
      <c r="I231" s="3" t="s">
        <v>34</v>
      </c>
      <c r="J231" s="3" t="s">
        <v>35</v>
      </c>
      <c r="K231" s="3"/>
      <c r="L231" s="3" t="s">
        <v>36</v>
      </c>
      <c r="M231" s="3" t="str">
        <f>CONCATENATE("PTTFRC98L04I324P")</f>
        <v>PTTFRC98L04I324P</v>
      </c>
      <c r="N231" s="3" t="s">
        <v>337</v>
      </c>
      <c r="O231" s="3" t="s">
        <v>38</v>
      </c>
      <c r="P231" s="3"/>
      <c r="Q231" s="4">
        <v>45968</v>
      </c>
      <c r="R231" s="3" t="s">
        <v>39</v>
      </c>
      <c r="S231" s="3" t="s">
        <v>38</v>
      </c>
      <c r="T231" s="3" t="s">
        <v>40</v>
      </c>
      <c r="U231" s="3"/>
      <c r="V231" s="3" t="s">
        <v>41</v>
      </c>
      <c r="W231" s="5">
        <v>4551.1899999999996</v>
      </c>
      <c r="X231" s="5">
        <v>3413.39</v>
      </c>
      <c r="Y231" s="3">
        <v>796.46</v>
      </c>
      <c r="Z231" s="3">
        <v>341.34</v>
      </c>
      <c r="AA231" s="3">
        <v>0</v>
      </c>
    </row>
    <row r="232" spans="1:27" ht="36.75" x14ac:dyDescent="0.25">
      <c r="A232" s="3" t="s">
        <v>28</v>
      </c>
      <c r="B232" s="3" t="s">
        <v>29</v>
      </c>
      <c r="C232" s="3" t="s">
        <v>30</v>
      </c>
      <c r="D232" s="3" t="s">
        <v>31</v>
      </c>
      <c r="E232" s="3" t="s">
        <v>32</v>
      </c>
      <c r="F232" s="3" t="s">
        <v>63</v>
      </c>
      <c r="G232" s="3">
        <v>2025</v>
      </c>
      <c r="H232" s="3" t="str">
        <f>CONCATENATE("54240606076")</f>
        <v>54240606076</v>
      </c>
      <c r="I232" s="3" t="s">
        <v>34</v>
      </c>
      <c r="J232" s="3" t="s">
        <v>35</v>
      </c>
      <c r="K232" s="3"/>
      <c r="L232" s="3" t="s">
        <v>36</v>
      </c>
      <c r="M232" s="3" t="str">
        <f>CONCATENATE("02876300423")</f>
        <v>02876300423</v>
      </c>
      <c r="N232" s="3" t="s">
        <v>338</v>
      </c>
      <c r="O232" s="3" t="s">
        <v>38</v>
      </c>
      <c r="P232" s="3"/>
      <c r="Q232" s="4">
        <v>45968</v>
      </c>
      <c r="R232" s="3" t="s">
        <v>39</v>
      </c>
      <c r="S232" s="3" t="s">
        <v>38</v>
      </c>
      <c r="T232" s="3" t="s">
        <v>40</v>
      </c>
      <c r="U232" s="3"/>
      <c r="V232" s="3" t="s">
        <v>41</v>
      </c>
      <c r="W232" s="3">
        <v>566.36</v>
      </c>
      <c r="X232" s="3">
        <v>424.77</v>
      </c>
      <c r="Y232" s="3">
        <v>99.11</v>
      </c>
      <c r="Z232" s="3">
        <v>42.48</v>
      </c>
      <c r="AA232" s="3">
        <v>0</v>
      </c>
    </row>
    <row r="233" spans="1:27" ht="60.75" x14ac:dyDescent="0.25">
      <c r="A233" s="3" t="s">
        <v>28</v>
      </c>
      <c r="B233" s="3" t="s">
        <v>29</v>
      </c>
      <c r="C233" s="3" t="s">
        <v>30</v>
      </c>
      <c r="D233" s="3" t="s">
        <v>47</v>
      </c>
      <c r="E233" s="3" t="s">
        <v>32</v>
      </c>
      <c r="F233" s="3" t="s">
        <v>33</v>
      </c>
      <c r="G233" s="3">
        <v>2025</v>
      </c>
      <c r="H233" s="3" t="str">
        <f>CONCATENATE("54240607306")</f>
        <v>54240607306</v>
      </c>
      <c r="I233" s="3" t="s">
        <v>34</v>
      </c>
      <c r="J233" s="3" t="s">
        <v>35</v>
      </c>
      <c r="K233" s="3"/>
      <c r="L233" s="3" t="s">
        <v>36</v>
      </c>
      <c r="M233" s="3" t="str">
        <f>CONCATENATE("CRRSMN78S09F051S")</f>
        <v>CRRSMN78S09F051S</v>
      </c>
      <c r="N233" s="3" t="s">
        <v>339</v>
      </c>
      <c r="O233" s="3" t="s">
        <v>38</v>
      </c>
      <c r="P233" s="3"/>
      <c r="Q233" s="4">
        <v>45968</v>
      </c>
      <c r="R233" s="3" t="s">
        <v>39</v>
      </c>
      <c r="S233" s="3" t="s">
        <v>38</v>
      </c>
      <c r="T233" s="3" t="s">
        <v>40</v>
      </c>
      <c r="U233" s="3"/>
      <c r="V233" s="3" t="s">
        <v>41</v>
      </c>
      <c r="W233" s="5">
        <v>4313.6899999999996</v>
      </c>
      <c r="X233" s="5">
        <v>3235.27</v>
      </c>
      <c r="Y233" s="3">
        <v>754.9</v>
      </c>
      <c r="Z233" s="3">
        <v>323.52</v>
      </c>
      <c r="AA233" s="3">
        <v>0</v>
      </c>
    </row>
    <row r="234" spans="1:27" ht="60.75" x14ac:dyDescent="0.25">
      <c r="A234" s="3" t="s">
        <v>28</v>
      </c>
      <c r="B234" s="3" t="s">
        <v>29</v>
      </c>
      <c r="C234" s="3" t="s">
        <v>30</v>
      </c>
      <c r="D234" s="3" t="s">
        <v>42</v>
      </c>
      <c r="E234" s="3" t="s">
        <v>32</v>
      </c>
      <c r="F234" s="3" t="s">
        <v>340</v>
      </c>
      <c r="G234" s="3">
        <v>2025</v>
      </c>
      <c r="H234" s="3" t="str">
        <f>CONCATENATE("54240608155")</f>
        <v>54240608155</v>
      </c>
      <c r="I234" s="3" t="s">
        <v>34</v>
      </c>
      <c r="J234" s="3" t="s">
        <v>35</v>
      </c>
      <c r="K234" s="3"/>
      <c r="L234" s="3" t="s">
        <v>36</v>
      </c>
      <c r="M234" s="3" t="str">
        <f>CONCATENATE("CMPNLL46R09F517Y")</f>
        <v>CMPNLL46R09F517Y</v>
      </c>
      <c r="N234" s="3" t="s">
        <v>341</v>
      </c>
      <c r="O234" s="3" t="s">
        <v>38</v>
      </c>
      <c r="P234" s="3"/>
      <c r="Q234" s="4">
        <v>45968</v>
      </c>
      <c r="R234" s="3" t="s">
        <v>39</v>
      </c>
      <c r="S234" s="3" t="s">
        <v>38</v>
      </c>
      <c r="T234" s="3" t="s">
        <v>40</v>
      </c>
      <c r="U234" s="3"/>
      <c r="V234" s="3" t="s">
        <v>41</v>
      </c>
      <c r="W234" s="5">
        <v>5907.77</v>
      </c>
      <c r="X234" s="5">
        <v>4430.83</v>
      </c>
      <c r="Y234" s="5">
        <v>1033.8599999999999</v>
      </c>
      <c r="Z234" s="3">
        <v>443.08</v>
      </c>
      <c r="AA234" s="3">
        <v>0</v>
      </c>
    </row>
    <row r="235" spans="1:27" ht="36.75" x14ac:dyDescent="0.25">
      <c r="A235" s="3" t="s">
        <v>28</v>
      </c>
      <c r="B235" s="3" t="s">
        <v>29</v>
      </c>
      <c r="C235" s="3" t="s">
        <v>30</v>
      </c>
      <c r="D235" s="3" t="s">
        <v>65</v>
      </c>
      <c r="E235" s="3" t="s">
        <v>60</v>
      </c>
      <c r="F235" s="3" t="s">
        <v>85</v>
      </c>
      <c r="G235" s="3">
        <v>2025</v>
      </c>
      <c r="H235" s="3" t="str">
        <f>CONCATENATE("54240609104")</f>
        <v>54240609104</v>
      </c>
      <c r="I235" s="3" t="s">
        <v>34</v>
      </c>
      <c r="J235" s="3" t="s">
        <v>35</v>
      </c>
      <c r="K235" s="3"/>
      <c r="L235" s="3" t="s">
        <v>36</v>
      </c>
      <c r="M235" s="3" t="str">
        <f>CONCATENATE("02090800414")</f>
        <v>02090800414</v>
      </c>
      <c r="N235" s="3" t="s">
        <v>342</v>
      </c>
      <c r="O235" s="3" t="s">
        <v>38</v>
      </c>
      <c r="P235" s="3"/>
      <c r="Q235" s="4">
        <v>45968</v>
      </c>
      <c r="R235" s="3" t="s">
        <v>39</v>
      </c>
      <c r="S235" s="3" t="s">
        <v>38</v>
      </c>
      <c r="T235" s="3" t="s">
        <v>40</v>
      </c>
      <c r="U235" s="3"/>
      <c r="V235" s="3" t="s">
        <v>41</v>
      </c>
      <c r="W235" s="5">
        <v>8358.4</v>
      </c>
      <c r="X235" s="5">
        <v>6268.8</v>
      </c>
      <c r="Y235" s="5">
        <v>1462.72</v>
      </c>
      <c r="Z235" s="3">
        <v>626.88</v>
      </c>
      <c r="AA235" s="3">
        <v>0</v>
      </c>
    </row>
    <row r="236" spans="1:27" ht="72.75" x14ac:dyDescent="0.25">
      <c r="A236" s="3" t="s">
        <v>28</v>
      </c>
      <c r="B236" s="3" t="s">
        <v>29</v>
      </c>
      <c r="C236" s="3" t="s">
        <v>30</v>
      </c>
      <c r="D236" s="3" t="s">
        <v>42</v>
      </c>
      <c r="E236" s="3" t="s">
        <v>43</v>
      </c>
      <c r="F236" s="3" t="s">
        <v>43</v>
      </c>
      <c r="G236" s="3">
        <v>2025</v>
      </c>
      <c r="H236" s="3" t="str">
        <f>CONCATENATE("54240609716")</f>
        <v>54240609716</v>
      </c>
      <c r="I236" s="3" t="s">
        <v>34</v>
      </c>
      <c r="J236" s="3" t="s">
        <v>35</v>
      </c>
      <c r="K236" s="3"/>
      <c r="L236" s="3" t="s">
        <v>36</v>
      </c>
      <c r="M236" s="3" t="str">
        <f>CONCATENATE("VGNMRA52A19H321G")</f>
        <v>VGNMRA52A19H321G</v>
      </c>
      <c r="N236" s="3" t="s">
        <v>343</v>
      </c>
      <c r="O236" s="3" t="s">
        <v>38</v>
      </c>
      <c r="P236" s="3"/>
      <c r="Q236" s="4">
        <v>45968</v>
      </c>
      <c r="R236" s="3" t="s">
        <v>39</v>
      </c>
      <c r="S236" s="3" t="s">
        <v>38</v>
      </c>
      <c r="T236" s="3" t="s">
        <v>40</v>
      </c>
      <c r="U236" s="3"/>
      <c r="V236" s="3" t="s">
        <v>41</v>
      </c>
      <c r="W236" s="3">
        <v>411.31</v>
      </c>
      <c r="X236" s="3">
        <v>308.48</v>
      </c>
      <c r="Y236" s="3">
        <v>71.98</v>
      </c>
      <c r="Z236" s="3">
        <v>30.85</v>
      </c>
      <c r="AA236" s="3">
        <v>0</v>
      </c>
    </row>
    <row r="237" spans="1:27" ht="60.75" x14ac:dyDescent="0.25">
      <c r="A237" s="3" t="s">
        <v>28</v>
      </c>
      <c r="B237" s="3" t="s">
        <v>29</v>
      </c>
      <c r="C237" s="3" t="s">
        <v>30</v>
      </c>
      <c r="D237" s="3" t="s">
        <v>42</v>
      </c>
      <c r="E237" s="3" t="s">
        <v>43</v>
      </c>
      <c r="F237" s="3" t="s">
        <v>43</v>
      </c>
      <c r="G237" s="3">
        <v>2025</v>
      </c>
      <c r="H237" s="3" t="str">
        <f>CONCATENATE("54240609781")</f>
        <v>54240609781</v>
      </c>
      <c r="I237" s="3" t="s">
        <v>34</v>
      </c>
      <c r="J237" s="3" t="s">
        <v>35</v>
      </c>
      <c r="K237" s="3"/>
      <c r="L237" s="3" t="s">
        <v>36</v>
      </c>
      <c r="M237" s="3" t="str">
        <f>CONCATENATE("FRVMHL04A21H769J")</f>
        <v>FRVMHL04A21H769J</v>
      </c>
      <c r="N237" s="3" t="s">
        <v>344</v>
      </c>
      <c r="O237" s="3" t="s">
        <v>38</v>
      </c>
      <c r="P237" s="3"/>
      <c r="Q237" s="4">
        <v>45968</v>
      </c>
      <c r="R237" s="3" t="s">
        <v>39</v>
      </c>
      <c r="S237" s="3" t="s">
        <v>38</v>
      </c>
      <c r="T237" s="3" t="s">
        <v>40</v>
      </c>
      <c r="U237" s="3"/>
      <c r="V237" s="3" t="s">
        <v>41</v>
      </c>
      <c r="W237" s="5">
        <v>4246.6899999999996</v>
      </c>
      <c r="X237" s="5">
        <v>3185.02</v>
      </c>
      <c r="Y237" s="3">
        <v>743.17</v>
      </c>
      <c r="Z237" s="3">
        <v>318.5</v>
      </c>
      <c r="AA237" s="3">
        <v>0</v>
      </c>
    </row>
    <row r="238" spans="1:27" ht="36.75" x14ac:dyDescent="0.25">
      <c r="A238" s="3" t="s">
        <v>28</v>
      </c>
      <c r="B238" s="3" t="s">
        <v>29</v>
      </c>
      <c r="C238" s="3" t="s">
        <v>30</v>
      </c>
      <c r="D238" s="3" t="s">
        <v>47</v>
      </c>
      <c r="E238" s="3" t="s">
        <v>51</v>
      </c>
      <c r="F238" s="3" t="s">
        <v>107</v>
      </c>
      <c r="G238" s="3">
        <v>2025</v>
      </c>
      <c r="H238" s="3" t="str">
        <f>CONCATENATE("54240610565")</f>
        <v>54240610565</v>
      </c>
      <c r="I238" s="3" t="s">
        <v>34</v>
      </c>
      <c r="J238" s="3" t="s">
        <v>35</v>
      </c>
      <c r="K238" s="3"/>
      <c r="L238" s="3" t="s">
        <v>36</v>
      </c>
      <c r="M238" s="3" t="str">
        <f>CONCATENATE("01916370438")</f>
        <v>01916370438</v>
      </c>
      <c r="N238" s="3" t="s">
        <v>345</v>
      </c>
      <c r="O238" s="3" t="s">
        <v>38</v>
      </c>
      <c r="P238" s="3"/>
      <c r="Q238" s="4">
        <v>45968</v>
      </c>
      <c r="R238" s="3" t="s">
        <v>39</v>
      </c>
      <c r="S238" s="3" t="s">
        <v>38</v>
      </c>
      <c r="T238" s="3" t="s">
        <v>40</v>
      </c>
      <c r="U238" s="3"/>
      <c r="V238" s="3" t="s">
        <v>41</v>
      </c>
      <c r="W238" s="5">
        <v>17944.78</v>
      </c>
      <c r="X238" s="5">
        <v>13458.59</v>
      </c>
      <c r="Y238" s="5">
        <v>3140.34</v>
      </c>
      <c r="Z238" s="5">
        <v>1345.85</v>
      </c>
      <c r="AA238" s="3">
        <v>0</v>
      </c>
    </row>
    <row r="239" spans="1:27" ht="36.75" x14ac:dyDescent="0.25">
      <c r="A239" s="3" t="s">
        <v>28</v>
      </c>
      <c r="B239" s="3" t="s">
        <v>29</v>
      </c>
      <c r="C239" s="3" t="s">
        <v>30</v>
      </c>
      <c r="D239" s="3" t="s">
        <v>42</v>
      </c>
      <c r="E239" s="3" t="s">
        <v>60</v>
      </c>
      <c r="F239" s="3" t="s">
        <v>245</v>
      </c>
      <c r="G239" s="3">
        <v>2025</v>
      </c>
      <c r="H239" s="3" t="str">
        <f>CONCATENATE("54240612678")</f>
        <v>54240612678</v>
      </c>
      <c r="I239" s="3" t="s">
        <v>34</v>
      </c>
      <c r="J239" s="3" t="s">
        <v>35</v>
      </c>
      <c r="K239" s="3"/>
      <c r="L239" s="3" t="s">
        <v>36</v>
      </c>
      <c r="M239" s="3" t="str">
        <f>CONCATENATE("00448090449")</f>
        <v>00448090449</v>
      </c>
      <c r="N239" s="3" t="s">
        <v>346</v>
      </c>
      <c r="O239" s="3" t="s">
        <v>38</v>
      </c>
      <c r="P239" s="3"/>
      <c r="Q239" s="4">
        <v>45968</v>
      </c>
      <c r="R239" s="3" t="s">
        <v>39</v>
      </c>
      <c r="S239" s="3" t="s">
        <v>38</v>
      </c>
      <c r="T239" s="3" t="s">
        <v>40</v>
      </c>
      <c r="U239" s="3"/>
      <c r="V239" s="3" t="s">
        <v>41</v>
      </c>
      <c r="W239" s="5">
        <v>26140.07</v>
      </c>
      <c r="X239" s="5">
        <v>19605.05</v>
      </c>
      <c r="Y239" s="5">
        <v>4574.51</v>
      </c>
      <c r="Z239" s="5">
        <v>1960.51</v>
      </c>
      <c r="AA239" s="3">
        <v>0</v>
      </c>
    </row>
    <row r="240" spans="1:27" ht="36.75" x14ac:dyDescent="0.25">
      <c r="A240" s="3" t="s">
        <v>28</v>
      </c>
      <c r="B240" s="3" t="s">
        <v>29</v>
      </c>
      <c r="C240" s="3" t="s">
        <v>30</v>
      </c>
      <c r="D240" s="3" t="s">
        <v>65</v>
      </c>
      <c r="E240" s="3" t="s">
        <v>60</v>
      </c>
      <c r="F240" s="3" t="s">
        <v>85</v>
      </c>
      <c r="G240" s="3">
        <v>2025</v>
      </c>
      <c r="H240" s="3" t="str">
        <f>CONCATENATE("54240611092")</f>
        <v>54240611092</v>
      </c>
      <c r="I240" s="3" t="s">
        <v>34</v>
      </c>
      <c r="J240" s="3" t="s">
        <v>35</v>
      </c>
      <c r="K240" s="3"/>
      <c r="L240" s="3" t="s">
        <v>36</v>
      </c>
      <c r="M240" s="3" t="str">
        <f>CONCATENATE("00809730419")</f>
        <v>00809730419</v>
      </c>
      <c r="N240" s="3" t="s">
        <v>347</v>
      </c>
      <c r="O240" s="3" t="s">
        <v>38</v>
      </c>
      <c r="P240" s="3"/>
      <c r="Q240" s="4">
        <v>45968</v>
      </c>
      <c r="R240" s="3" t="s">
        <v>39</v>
      </c>
      <c r="S240" s="3" t="s">
        <v>38</v>
      </c>
      <c r="T240" s="3" t="s">
        <v>40</v>
      </c>
      <c r="U240" s="3"/>
      <c r="V240" s="3" t="s">
        <v>41</v>
      </c>
      <c r="W240" s="3">
        <v>842.84</v>
      </c>
      <c r="X240" s="3">
        <v>632.13</v>
      </c>
      <c r="Y240" s="3">
        <v>147.5</v>
      </c>
      <c r="Z240" s="3">
        <v>63.21</v>
      </c>
      <c r="AA240" s="3">
        <v>0</v>
      </c>
    </row>
    <row r="241" spans="1:27" ht="60.75" x14ac:dyDescent="0.25">
      <c r="A241" s="3" t="s">
        <v>28</v>
      </c>
      <c r="B241" s="3" t="s">
        <v>29</v>
      </c>
      <c r="C241" s="3" t="s">
        <v>30</v>
      </c>
      <c r="D241" s="3" t="s">
        <v>31</v>
      </c>
      <c r="E241" s="3" t="s">
        <v>132</v>
      </c>
      <c r="F241" s="3" t="s">
        <v>133</v>
      </c>
      <c r="G241" s="3">
        <v>2025</v>
      </c>
      <c r="H241" s="3" t="str">
        <f>CONCATENATE("54240611076")</f>
        <v>54240611076</v>
      </c>
      <c r="I241" s="3" t="s">
        <v>34</v>
      </c>
      <c r="J241" s="3" t="s">
        <v>35</v>
      </c>
      <c r="K241" s="3"/>
      <c r="L241" s="3" t="s">
        <v>36</v>
      </c>
      <c r="M241" s="3" t="str">
        <f>CONCATENATE("BDLNDR87M31E388Z")</f>
        <v>BDLNDR87M31E388Z</v>
      </c>
      <c r="N241" s="3" t="s">
        <v>348</v>
      </c>
      <c r="O241" s="3" t="s">
        <v>38</v>
      </c>
      <c r="P241" s="3"/>
      <c r="Q241" s="4">
        <v>45968</v>
      </c>
      <c r="R241" s="3" t="s">
        <v>39</v>
      </c>
      <c r="S241" s="3" t="s">
        <v>38</v>
      </c>
      <c r="T241" s="3" t="s">
        <v>40</v>
      </c>
      <c r="U241" s="3"/>
      <c r="V241" s="3" t="s">
        <v>41</v>
      </c>
      <c r="W241" s="5">
        <v>2742.51</v>
      </c>
      <c r="X241" s="5">
        <v>2056.88</v>
      </c>
      <c r="Y241" s="3">
        <v>479.94</v>
      </c>
      <c r="Z241" s="3">
        <v>205.69</v>
      </c>
      <c r="AA241" s="3">
        <v>0</v>
      </c>
    </row>
    <row r="242" spans="1:27" ht="36.75" x14ac:dyDescent="0.25">
      <c r="A242" s="3" t="s">
        <v>28</v>
      </c>
      <c r="B242" s="3" t="s">
        <v>29</v>
      </c>
      <c r="C242" s="3" t="s">
        <v>30</v>
      </c>
      <c r="D242" s="3" t="s">
        <v>42</v>
      </c>
      <c r="E242" s="3" t="s">
        <v>43</v>
      </c>
      <c r="F242" s="3" t="s">
        <v>43</v>
      </c>
      <c r="G242" s="3">
        <v>2025</v>
      </c>
      <c r="H242" s="3" t="str">
        <f>CONCATENATE("54240611449")</f>
        <v>54240611449</v>
      </c>
      <c r="I242" s="3" t="s">
        <v>44</v>
      </c>
      <c r="J242" s="3" t="s">
        <v>35</v>
      </c>
      <c r="K242" s="3"/>
      <c r="L242" s="3" t="s">
        <v>36</v>
      </c>
      <c r="M242" s="3" t="str">
        <f>CONCATENATE("01839990445")</f>
        <v>01839990445</v>
      </c>
      <c r="N242" s="3" t="s">
        <v>349</v>
      </c>
      <c r="O242" s="3" t="s">
        <v>38</v>
      </c>
      <c r="P242" s="3"/>
      <c r="Q242" s="4">
        <v>45968</v>
      </c>
      <c r="R242" s="3" t="s">
        <v>39</v>
      </c>
      <c r="S242" s="3" t="s">
        <v>38</v>
      </c>
      <c r="T242" s="3" t="s">
        <v>40</v>
      </c>
      <c r="U242" s="3"/>
      <c r="V242" s="3" t="s">
        <v>41</v>
      </c>
      <c r="W242" s="5">
        <v>1758.87</v>
      </c>
      <c r="X242" s="5">
        <v>1319.15</v>
      </c>
      <c r="Y242" s="3">
        <v>307.8</v>
      </c>
      <c r="Z242" s="3">
        <v>131.91999999999999</v>
      </c>
      <c r="AA242" s="3">
        <v>0</v>
      </c>
    </row>
    <row r="243" spans="1:27" ht="60.75" x14ac:dyDescent="0.25">
      <c r="A243" s="3" t="s">
        <v>28</v>
      </c>
      <c r="B243" s="3" t="s">
        <v>29</v>
      </c>
      <c r="C243" s="3" t="s">
        <v>30</v>
      </c>
      <c r="D243" s="3" t="s">
        <v>42</v>
      </c>
      <c r="E243" s="3" t="s">
        <v>43</v>
      </c>
      <c r="F243" s="3" t="s">
        <v>43</v>
      </c>
      <c r="G243" s="3">
        <v>2025</v>
      </c>
      <c r="H243" s="3" t="str">
        <f>CONCATENATE("54240611480")</f>
        <v>54240611480</v>
      </c>
      <c r="I243" s="3" t="s">
        <v>34</v>
      </c>
      <c r="J243" s="3" t="s">
        <v>35</v>
      </c>
      <c r="K243" s="3"/>
      <c r="L243" s="3" t="s">
        <v>36</v>
      </c>
      <c r="M243" s="3" t="str">
        <f>CONCATENATE("FNRNTN49P09H588H")</f>
        <v>FNRNTN49P09H588H</v>
      </c>
      <c r="N243" s="3" t="s">
        <v>350</v>
      </c>
      <c r="O243" s="3" t="s">
        <v>38</v>
      </c>
      <c r="P243" s="3"/>
      <c r="Q243" s="4">
        <v>45968</v>
      </c>
      <c r="R243" s="3" t="s">
        <v>39</v>
      </c>
      <c r="S243" s="3" t="s">
        <v>38</v>
      </c>
      <c r="T243" s="3" t="s">
        <v>40</v>
      </c>
      <c r="U243" s="3"/>
      <c r="V243" s="3" t="s">
        <v>41</v>
      </c>
      <c r="W243" s="5">
        <v>4126.76</v>
      </c>
      <c r="X243" s="5">
        <v>3095.07</v>
      </c>
      <c r="Y243" s="3">
        <v>722.18</v>
      </c>
      <c r="Z243" s="3">
        <v>309.51</v>
      </c>
      <c r="AA243" s="3">
        <v>0</v>
      </c>
    </row>
    <row r="244" spans="1:27" ht="60.75" x14ac:dyDescent="0.25">
      <c r="A244" s="3" t="s">
        <v>28</v>
      </c>
      <c r="B244" s="3" t="s">
        <v>29</v>
      </c>
      <c r="C244" s="3" t="s">
        <v>30</v>
      </c>
      <c r="D244" s="3" t="s">
        <v>31</v>
      </c>
      <c r="E244" s="3" t="s">
        <v>48</v>
      </c>
      <c r="F244" s="3" t="s">
        <v>49</v>
      </c>
      <c r="G244" s="3">
        <v>2025</v>
      </c>
      <c r="H244" s="3" t="str">
        <f>CONCATENATE("54240502614")</f>
        <v>54240502614</v>
      </c>
      <c r="I244" s="3" t="s">
        <v>34</v>
      </c>
      <c r="J244" s="3" t="s">
        <v>35</v>
      </c>
      <c r="K244" s="3"/>
      <c r="L244" s="3" t="s">
        <v>36</v>
      </c>
      <c r="M244" s="3" t="str">
        <f>CONCATENATE("FCCGPP90E17H282N")</f>
        <v>FCCGPP90E17H282N</v>
      </c>
      <c r="N244" s="3" t="s">
        <v>351</v>
      </c>
      <c r="O244" s="3" t="s">
        <v>38</v>
      </c>
      <c r="P244" s="3"/>
      <c r="Q244" s="4">
        <v>45968</v>
      </c>
      <c r="R244" s="3" t="s">
        <v>39</v>
      </c>
      <c r="S244" s="3" t="s">
        <v>38</v>
      </c>
      <c r="T244" s="3" t="s">
        <v>40</v>
      </c>
      <c r="U244" s="3"/>
      <c r="V244" s="3" t="s">
        <v>41</v>
      </c>
      <c r="W244" s="5">
        <v>1504.89</v>
      </c>
      <c r="X244" s="5">
        <v>1128.67</v>
      </c>
      <c r="Y244" s="3">
        <v>263.36</v>
      </c>
      <c r="Z244" s="3">
        <v>112.86</v>
      </c>
      <c r="AA244" s="3">
        <v>0</v>
      </c>
    </row>
    <row r="245" spans="1:27" ht="72.75" x14ac:dyDescent="0.25">
      <c r="A245" s="3" t="s">
        <v>28</v>
      </c>
      <c r="B245" s="3" t="s">
        <v>29</v>
      </c>
      <c r="C245" s="3" t="s">
        <v>30</v>
      </c>
      <c r="D245" s="3" t="s">
        <v>47</v>
      </c>
      <c r="E245" s="3" t="s">
        <v>48</v>
      </c>
      <c r="F245" s="3" t="s">
        <v>49</v>
      </c>
      <c r="G245" s="3">
        <v>2025</v>
      </c>
      <c r="H245" s="3" t="str">
        <f>CONCATENATE("54240502655")</f>
        <v>54240502655</v>
      </c>
      <c r="I245" s="3" t="s">
        <v>34</v>
      </c>
      <c r="J245" s="3" t="s">
        <v>35</v>
      </c>
      <c r="K245" s="3"/>
      <c r="L245" s="3" t="s">
        <v>36</v>
      </c>
      <c r="M245" s="3" t="str">
        <f>CONCATENATE("MRCNZE66H03B474V")</f>
        <v>MRCNZE66H03B474V</v>
      </c>
      <c r="N245" s="3" t="s">
        <v>352</v>
      </c>
      <c r="O245" s="3" t="s">
        <v>38</v>
      </c>
      <c r="P245" s="3"/>
      <c r="Q245" s="4">
        <v>45968</v>
      </c>
      <c r="R245" s="3" t="s">
        <v>39</v>
      </c>
      <c r="S245" s="3" t="s">
        <v>38</v>
      </c>
      <c r="T245" s="3" t="s">
        <v>40</v>
      </c>
      <c r="U245" s="3"/>
      <c r="V245" s="3" t="s">
        <v>41</v>
      </c>
      <c r="W245" s="5">
        <v>4818</v>
      </c>
      <c r="X245" s="5">
        <v>3613.5</v>
      </c>
      <c r="Y245" s="3">
        <v>843.15</v>
      </c>
      <c r="Z245" s="3">
        <v>361.35</v>
      </c>
      <c r="AA245" s="3">
        <v>0</v>
      </c>
    </row>
    <row r="246" spans="1:27" ht="60.75" x14ac:dyDescent="0.25">
      <c r="A246" s="3" t="s">
        <v>28</v>
      </c>
      <c r="B246" s="3" t="s">
        <v>29</v>
      </c>
      <c r="C246" s="3" t="s">
        <v>30</v>
      </c>
      <c r="D246" s="3" t="s">
        <v>42</v>
      </c>
      <c r="E246" s="3" t="s">
        <v>51</v>
      </c>
      <c r="F246" s="3" t="s">
        <v>52</v>
      </c>
      <c r="G246" s="3">
        <v>2025</v>
      </c>
      <c r="H246" s="3" t="str">
        <f>CONCATENATE("54240502994")</f>
        <v>54240502994</v>
      </c>
      <c r="I246" s="3" t="s">
        <v>44</v>
      </c>
      <c r="J246" s="3" t="s">
        <v>35</v>
      </c>
      <c r="K246" s="3"/>
      <c r="L246" s="3" t="s">
        <v>36</v>
      </c>
      <c r="M246" s="3" t="str">
        <f>CONCATENATE("MNZRCR93B24A462S")</f>
        <v>MNZRCR93B24A462S</v>
      </c>
      <c r="N246" s="3" t="s">
        <v>353</v>
      </c>
      <c r="O246" s="3" t="s">
        <v>38</v>
      </c>
      <c r="P246" s="3"/>
      <c r="Q246" s="4">
        <v>45968</v>
      </c>
      <c r="R246" s="3" t="s">
        <v>39</v>
      </c>
      <c r="S246" s="3" t="s">
        <v>38</v>
      </c>
      <c r="T246" s="3" t="s">
        <v>40</v>
      </c>
      <c r="U246" s="3"/>
      <c r="V246" s="3" t="s">
        <v>41</v>
      </c>
      <c r="W246" s="5">
        <v>1156.52</v>
      </c>
      <c r="X246" s="3">
        <v>867.39</v>
      </c>
      <c r="Y246" s="3">
        <v>202.39</v>
      </c>
      <c r="Z246" s="3">
        <v>86.74</v>
      </c>
      <c r="AA246" s="3">
        <v>0</v>
      </c>
    </row>
    <row r="247" spans="1:27" ht="36.75" x14ac:dyDescent="0.25">
      <c r="A247" s="3" t="s">
        <v>28</v>
      </c>
      <c r="B247" s="3" t="s">
        <v>29</v>
      </c>
      <c r="C247" s="3" t="s">
        <v>30</v>
      </c>
      <c r="D247" s="3" t="s">
        <v>42</v>
      </c>
      <c r="E247" s="3" t="s">
        <v>207</v>
      </c>
      <c r="F247" s="3" t="s">
        <v>217</v>
      </c>
      <c r="G247" s="3">
        <v>2025</v>
      </c>
      <c r="H247" s="3" t="str">
        <f>CONCATENATE("54240566163")</f>
        <v>54240566163</v>
      </c>
      <c r="I247" s="3" t="s">
        <v>34</v>
      </c>
      <c r="J247" s="3" t="s">
        <v>35</v>
      </c>
      <c r="K247" s="3"/>
      <c r="L247" s="3" t="s">
        <v>36</v>
      </c>
      <c r="M247" s="3" t="str">
        <f>CONCATENATE("01987830443")</f>
        <v>01987830443</v>
      </c>
      <c r="N247" s="3" t="s">
        <v>354</v>
      </c>
      <c r="O247" s="3" t="s">
        <v>38</v>
      </c>
      <c r="P247" s="3"/>
      <c r="Q247" s="4">
        <v>45968</v>
      </c>
      <c r="R247" s="3" t="s">
        <v>39</v>
      </c>
      <c r="S247" s="3" t="s">
        <v>38</v>
      </c>
      <c r="T247" s="3" t="s">
        <v>40</v>
      </c>
      <c r="U247" s="3"/>
      <c r="V247" s="3" t="s">
        <v>41</v>
      </c>
      <c r="W247" s="5">
        <v>7594.77</v>
      </c>
      <c r="X247" s="5">
        <v>5696.08</v>
      </c>
      <c r="Y247" s="5">
        <v>1329.08</v>
      </c>
      <c r="Z247" s="3">
        <v>569.61</v>
      </c>
      <c r="AA247" s="3">
        <v>0</v>
      </c>
    </row>
    <row r="248" spans="1:27" ht="60.75" x14ac:dyDescent="0.25">
      <c r="A248" s="3" t="s">
        <v>28</v>
      </c>
      <c r="B248" s="3" t="s">
        <v>29</v>
      </c>
      <c r="C248" s="3" t="s">
        <v>30</v>
      </c>
      <c r="D248" s="3" t="s">
        <v>42</v>
      </c>
      <c r="E248" s="3" t="s">
        <v>51</v>
      </c>
      <c r="F248" s="3" t="s">
        <v>52</v>
      </c>
      <c r="G248" s="3">
        <v>2025</v>
      </c>
      <c r="H248" s="3" t="str">
        <f>CONCATENATE("54240627205")</f>
        <v>54240627205</v>
      </c>
      <c r="I248" s="3" t="s">
        <v>34</v>
      </c>
      <c r="J248" s="3" t="s">
        <v>35</v>
      </c>
      <c r="K248" s="3"/>
      <c r="L248" s="3" t="s">
        <v>36</v>
      </c>
      <c r="M248" s="3" t="str">
        <f>CONCATENATE("KRNPTR55P03Z112O")</f>
        <v>KRNPTR55P03Z112O</v>
      </c>
      <c r="N248" s="3" t="s">
        <v>355</v>
      </c>
      <c r="O248" s="3" t="s">
        <v>38</v>
      </c>
      <c r="P248" s="3"/>
      <c r="Q248" s="4">
        <v>45968</v>
      </c>
      <c r="R248" s="3" t="s">
        <v>39</v>
      </c>
      <c r="S248" s="3" t="s">
        <v>38</v>
      </c>
      <c r="T248" s="3" t="s">
        <v>40</v>
      </c>
      <c r="U248" s="3"/>
      <c r="V248" s="3" t="s">
        <v>41</v>
      </c>
      <c r="W248" s="5">
        <v>1505.78</v>
      </c>
      <c r="X248" s="5">
        <v>1129.3399999999999</v>
      </c>
      <c r="Y248" s="3">
        <v>263.51</v>
      </c>
      <c r="Z248" s="3">
        <v>112.93</v>
      </c>
      <c r="AA248" s="3">
        <v>0</v>
      </c>
    </row>
    <row r="249" spans="1:27" ht="60.75" x14ac:dyDescent="0.25">
      <c r="A249" s="3" t="s">
        <v>28</v>
      </c>
      <c r="B249" s="3" t="s">
        <v>29</v>
      </c>
      <c r="C249" s="3" t="s">
        <v>30</v>
      </c>
      <c r="D249" s="3" t="s">
        <v>31</v>
      </c>
      <c r="E249" s="3" t="s">
        <v>32</v>
      </c>
      <c r="F249" s="3" t="s">
        <v>63</v>
      </c>
      <c r="G249" s="3">
        <v>2025</v>
      </c>
      <c r="H249" s="3" t="str">
        <f>CONCATENATE("54240503505")</f>
        <v>54240503505</v>
      </c>
      <c r="I249" s="3" t="s">
        <v>34</v>
      </c>
      <c r="J249" s="3" t="s">
        <v>35</v>
      </c>
      <c r="K249" s="3"/>
      <c r="L249" s="3" t="s">
        <v>36</v>
      </c>
      <c r="M249" s="3" t="str">
        <f>CONCATENATE("CRDLRD98T19I608C")</f>
        <v>CRDLRD98T19I608C</v>
      </c>
      <c r="N249" s="3" t="s">
        <v>356</v>
      </c>
      <c r="O249" s="3" t="s">
        <v>38</v>
      </c>
      <c r="P249" s="3"/>
      <c r="Q249" s="4">
        <v>45968</v>
      </c>
      <c r="R249" s="3" t="s">
        <v>39</v>
      </c>
      <c r="S249" s="3" t="s">
        <v>38</v>
      </c>
      <c r="T249" s="3" t="s">
        <v>40</v>
      </c>
      <c r="U249" s="3"/>
      <c r="V249" s="3" t="s">
        <v>41</v>
      </c>
      <c r="W249" s="5">
        <v>1263.02</v>
      </c>
      <c r="X249" s="3">
        <v>947.27</v>
      </c>
      <c r="Y249" s="3">
        <v>221.03</v>
      </c>
      <c r="Z249" s="3">
        <v>94.72</v>
      </c>
      <c r="AA249" s="3">
        <v>0</v>
      </c>
    </row>
    <row r="250" spans="1:27" ht="72.75" x14ac:dyDescent="0.25">
      <c r="A250" s="3" t="s">
        <v>28</v>
      </c>
      <c r="B250" s="3" t="s">
        <v>29</v>
      </c>
      <c r="C250" s="3" t="s">
        <v>30</v>
      </c>
      <c r="D250" s="3" t="s">
        <v>42</v>
      </c>
      <c r="E250" s="3" t="s">
        <v>51</v>
      </c>
      <c r="F250" s="3" t="s">
        <v>52</v>
      </c>
      <c r="G250" s="3">
        <v>2025</v>
      </c>
      <c r="H250" s="3" t="str">
        <f>CONCATENATE("54240503364")</f>
        <v>54240503364</v>
      </c>
      <c r="I250" s="3" t="s">
        <v>34</v>
      </c>
      <c r="J250" s="3" t="s">
        <v>35</v>
      </c>
      <c r="K250" s="3"/>
      <c r="L250" s="3" t="s">
        <v>36</v>
      </c>
      <c r="M250" s="3" t="str">
        <f>CONCATENATE("FRRLSN55B16G273D")</f>
        <v>FRRLSN55B16G273D</v>
      </c>
      <c r="N250" s="3" t="s">
        <v>357</v>
      </c>
      <c r="O250" s="3" t="s">
        <v>38</v>
      </c>
      <c r="P250" s="3"/>
      <c r="Q250" s="4">
        <v>45968</v>
      </c>
      <c r="R250" s="3" t="s">
        <v>39</v>
      </c>
      <c r="S250" s="3" t="s">
        <v>38</v>
      </c>
      <c r="T250" s="3" t="s">
        <v>40</v>
      </c>
      <c r="U250" s="3"/>
      <c r="V250" s="3" t="s">
        <v>41</v>
      </c>
      <c r="W250" s="3">
        <v>580.84</v>
      </c>
      <c r="X250" s="3">
        <v>435.63</v>
      </c>
      <c r="Y250" s="3">
        <v>101.65</v>
      </c>
      <c r="Z250" s="3">
        <v>43.56</v>
      </c>
      <c r="AA250" s="3">
        <v>0</v>
      </c>
    </row>
    <row r="251" spans="1:27" ht="72.75" x14ac:dyDescent="0.25">
      <c r="A251" s="3" t="s">
        <v>28</v>
      </c>
      <c r="B251" s="3" t="s">
        <v>29</v>
      </c>
      <c r="C251" s="3" t="s">
        <v>30</v>
      </c>
      <c r="D251" s="3" t="s">
        <v>47</v>
      </c>
      <c r="E251" s="3" t="s">
        <v>48</v>
      </c>
      <c r="F251" s="3" t="s">
        <v>249</v>
      </c>
      <c r="G251" s="3">
        <v>2025</v>
      </c>
      <c r="H251" s="3" t="str">
        <f>CONCATENATE("54240503596")</f>
        <v>54240503596</v>
      </c>
      <c r="I251" s="3" t="s">
        <v>34</v>
      </c>
      <c r="J251" s="3" t="s">
        <v>35</v>
      </c>
      <c r="K251" s="3"/>
      <c r="L251" s="3" t="s">
        <v>36</v>
      </c>
      <c r="M251" s="3" t="str">
        <f>CONCATENATE("MNGGNN43L60D042R")</f>
        <v>MNGGNN43L60D042R</v>
      </c>
      <c r="N251" s="3" t="s">
        <v>358</v>
      </c>
      <c r="O251" s="3" t="s">
        <v>38</v>
      </c>
      <c r="P251" s="3"/>
      <c r="Q251" s="4">
        <v>45968</v>
      </c>
      <c r="R251" s="3" t="s">
        <v>39</v>
      </c>
      <c r="S251" s="3" t="s">
        <v>38</v>
      </c>
      <c r="T251" s="3" t="s">
        <v>40</v>
      </c>
      <c r="U251" s="3"/>
      <c r="V251" s="3" t="s">
        <v>41</v>
      </c>
      <c r="W251" s="3">
        <v>942.97</v>
      </c>
      <c r="X251" s="3">
        <v>707.23</v>
      </c>
      <c r="Y251" s="3">
        <v>165.02</v>
      </c>
      <c r="Z251" s="3">
        <v>70.72</v>
      </c>
      <c r="AA251" s="3">
        <v>0</v>
      </c>
    </row>
    <row r="252" spans="1:27" ht="72.75" x14ac:dyDescent="0.25">
      <c r="A252" s="3" t="s">
        <v>28</v>
      </c>
      <c r="B252" s="3" t="s">
        <v>29</v>
      </c>
      <c r="C252" s="3" t="s">
        <v>30</v>
      </c>
      <c r="D252" s="3" t="s">
        <v>47</v>
      </c>
      <c r="E252" s="3" t="s">
        <v>51</v>
      </c>
      <c r="F252" s="3" t="s">
        <v>103</v>
      </c>
      <c r="G252" s="3">
        <v>2025</v>
      </c>
      <c r="H252" s="3" t="str">
        <f>CONCATENATE("54240503794")</f>
        <v>54240503794</v>
      </c>
      <c r="I252" s="3" t="s">
        <v>34</v>
      </c>
      <c r="J252" s="3" t="s">
        <v>35</v>
      </c>
      <c r="K252" s="3"/>
      <c r="L252" s="3" t="s">
        <v>36</v>
      </c>
      <c r="M252" s="3" t="str">
        <f>CONCATENATE("RMMGMR91T08E783O")</f>
        <v>RMMGMR91T08E783O</v>
      </c>
      <c r="N252" s="3" t="s">
        <v>359</v>
      </c>
      <c r="O252" s="3" t="s">
        <v>38</v>
      </c>
      <c r="P252" s="3"/>
      <c r="Q252" s="4">
        <v>45968</v>
      </c>
      <c r="R252" s="3" t="s">
        <v>39</v>
      </c>
      <c r="S252" s="3" t="s">
        <v>38</v>
      </c>
      <c r="T252" s="3" t="s">
        <v>40</v>
      </c>
      <c r="U252" s="3"/>
      <c r="V252" s="3" t="s">
        <v>41</v>
      </c>
      <c r="W252" s="5">
        <v>6005.42</v>
      </c>
      <c r="X252" s="5">
        <v>4504.07</v>
      </c>
      <c r="Y252" s="5">
        <v>1050.95</v>
      </c>
      <c r="Z252" s="3">
        <v>450.4</v>
      </c>
      <c r="AA252" s="3">
        <v>0</v>
      </c>
    </row>
    <row r="253" spans="1:27" ht="60.75" x14ac:dyDescent="0.25">
      <c r="A253" s="3" t="s">
        <v>28</v>
      </c>
      <c r="B253" s="3" t="s">
        <v>29</v>
      </c>
      <c r="C253" s="3" t="s">
        <v>30</v>
      </c>
      <c r="D253" s="3" t="s">
        <v>47</v>
      </c>
      <c r="E253" s="3" t="s">
        <v>51</v>
      </c>
      <c r="F253" s="3" t="s">
        <v>107</v>
      </c>
      <c r="G253" s="3">
        <v>2025</v>
      </c>
      <c r="H253" s="3" t="str">
        <f>CONCATENATE("54240549102")</f>
        <v>54240549102</v>
      </c>
      <c r="I253" s="3" t="s">
        <v>34</v>
      </c>
      <c r="J253" s="3" t="s">
        <v>35</v>
      </c>
      <c r="K253" s="3"/>
      <c r="L253" s="3" t="s">
        <v>36</v>
      </c>
      <c r="M253" s="3" t="str">
        <f>CONCATENATE("VLLMPL52R51C877U")</f>
        <v>VLLMPL52R51C877U</v>
      </c>
      <c r="N253" s="3" t="s">
        <v>360</v>
      </c>
      <c r="O253" s="3" t="s">
        <v>38</v>
      </c>
      <c r="P253" s="3"/>
      <c r="Q253" s="4">
        <v>45968</v>
      </c>
      <c r="R253" s="3" t="s">
        <v>39</v>
      </c>
      <c r="S253" s="3" t="s">
        <v>38</v>
      </c>
      <c r="T253" s="3" t="s">
        <v>40</v>
      </c>
      <c r="U253" s="3"/>
      <c r="V253" s="3" t="s">
        <v>41</v>
      </c>
      <c r="W253" s="3">
        <v>158.71</v>
      </c>
      <c r="X253" s="3">
        <v>119.03</v>
      </c>
      <c r="Y253" s="3">
        <v>27.77</v>
      </c>
      <c r="Z253" s="3">
        <v>11.91</v>
      </c>
      <c r="AA253" s="3">
        <v>0</v>
      </c>
    </row>
    <row r="254" spans="1:27" ht="60.75" x14ac:dyDescent="0.25">
      <c r="A254" s="3" t="s">
        <v>28</v>
      </c>
      <c r="B254" s="3" t="s">
        <v>29</v>
      </c>
      <c r="C254" s="3" t="s">
        <v>30</v>
      </c>
      <c r="D254" s="3" t="s">
        <v>31</v>
      </c>
      <c r="E254" s="3" t="s">
        <v>51</v>
      </c>
      <c r="F254" s="3" t="s">
        <v>69</v>
      </c>
      <c r="G254" s="3">
        <v>2025</v>
      </c>
      <c r="H254" s="3" t="str">
        <f>CONCATENATE("54240503901")</f>
        <v>54240503901</v>
      </c>
      <c r="I254" s="3" t="s">
        <v>34</v>
      </c>
      <c r="J254" s="3" t="s">
        <v>35</v>
      </c>
      <c r="K254" s="3"/>
      <c r="L254" s="3" t="s">
        <v>36</v>
      </c>
      <c r="M254" s="3" t="str">
        <f>CONCATENATE("MNTMRZ66S16F401X")</f>
        <v>MNTMRZ66S16F401X</v>
      </c>
      <c r="N254" s="3" t="s">
        <v>361</v>
      </c>
      <c r="O254" s="3" t="s">
        <v>38</v>
      </c>
      <c r="P254" s="3"/>
      <c r="Q254" s="4">
        <v>45968</v>
      </c>
      <c r="R254" s="3" t="s">
        <v>39</v>
      </c>
      <c r="S254" s="3" t="s">
        <v>38</v>
      </c>
      <c r="T254" s="3" t="s">
        <v>40</v>
      </c>
      <c r="U254" s="3"/>
      <c r="V254" s="3" t="s">
        <v>41</v>
      </c>
      <c r="W254" s="3">
        <v>113.25</v>
      </c>
      <c r="X254" s="3">
        <v>84.94</v>
      </c>
      <c r="Y254" s="3">
        <v>19.82</v>
      </c>
      <c r="Z254" s="3">
        <v>8.49</v>
      </c>
      <c r="AA254" s="3">
        <v>0</v>
      </c>
    </row>
    <row r="255" spans="1:27" ht="36.75" x14ac:dyDescent="0.25">
      <c r="A255" s="3" t="s">
        <v>28</v>
      </c>
      <c r="B255" s="3" t="s">
        <v>29</v>
      </c>
      <c r="C255" s="3" t="s">
        <v>30</v>
      </c>
      <c r="D255" s="3" t="s">
        <v>65</v>
      </c>
      <c r="E255" s="3" t="s">
        <v>48</v>
      </c>
      <c r="F255" s="3" t="s">
        <v>66</v>
      </c>
      <c r="G255" s="3">
        <v>2025</v>
      </c>
      <c r="H255" s="3" t="str">
        <f>CONCATENATE("54240648102")</f>
        <v>54240648102</v>
      </c>
      <c r="I255" s="3" t="s">
        <v>34</v>
      </c>
      <c r="J255" s="3" t="s">
        <v>35</v>
      </c>
      <c r="K255" s="3"/>
      <c r="L255" s="3" t="s">
        <v>36</v>
      </c>
      <c r="M255" s="3" t="str">
        <f>CONCATENATE("00449670413")</f>
        <v>00449670413</v>
      </c>
      <c r="N255" s="3" t="s">
        <v>362</v>
      </c>
      <c r="O255" s="3" t="s">
        <v>38</v>
      </c>
      <c r="P255" s="3"/>
      <c r="Q255" s="4">
        <v>45968</v>
      </c>
      <c r="R255" s="3" t="s">
        <v>39</v>
      </c>
      <c r="S255" s="3" t="s">
        <v>38</v>
      </c>
      <c r="T255" s="3" t="s">
        <v>40</v>
      </c>
      <c r="U255" s="3"/>
      <c r="V255" s="3" t="s">
        <v>41</v>
      </c>
      <c r="W255" s="5">
        <v>28681.200000000001</v>
      </c>
      <c r="X255" s="5">
        <v>21510.9</v>
      </c>
      <c r="Y255" s="5">
        <v>5019.21</v>
      </c>
      <c r="Z255" s="5">
        <v>2151.09</v>
      </c>
      <c r="AA255" s="3">
        <v>0</v>
      </c>
    </row>
    <row r="256" spans="1:27" ht="36.75" x14ac:dyDescent="0.25">
      <c r="A256" s="3" t="s">
        <v>28</v>
      </c>
      <c r="B256" s="3" t="s">
        <v>29</v>
      </c>
      <c r="C256" s="3" t="s">
        <v>30</v>
      </c>
      <c r="D256" s="3" t="s">
        <v>65</v>
      </c>
      <c r="E256" s="3" t="s">
        <v>207</v>
      </c>
      <c r="F256" s="3" t="s">
        <v>208</v>
      </c>
      <c r="G256" s="3">
        <v>2025</v>
      </c>
      <c r="H256" s="3" t="str">
        <f>CONCATENATE("54240504826")</f>
        <v>54240504826</v>
      </c>
      <c r="I256" s="3" t="s">
        <v>34</v>
      </c>
      <c r="J256" s="3" t="s">
        <v>35</v>
      </c>
      <c r="K256" s="3"/>
      <c r="L256" s="3" t="s">
        <v>36</v>
      </c>
      <c r="M256" s="3" t="str">
        <f>CONCATENATE("02670320411")</f>
        <v>02670320411</v>
      </c>
      <c r="N256" s="3" t="s">
        <v>363</v>
      </c>
      <c r="O256" s="3" t="s">
        <v>38</v>
      </c>
      <c r="P256" s="3"/>
      <c r="Q256" s="4">
        <v>45968</v>
      </c>
      <c r="R256" s="3" t="s">
        <v>39</v>
      </c>
      <c r="S256" s="3" t="s">
        <v>38</v>
      </c>
      <c r="T256" s="3" t="s">
        <v>40</v>
      </c>
      <c r="U256" s="3"/>
      <c r="V256" s="3" t="s">
        <v>41</v>
      </c>
      <c r="W256" s="3">
        <v>695.56</v>
      </c>
      <c r="X256" s="3">
        <v>521.66999999999996</v>
      </c>
      <c r="Y256" s="3">
        <v>121.72</v>
      </c>
      <c r="Z256" s="3">
        <v>52.17</v>
      </c>
      <c r="AA256" s="3">
        <v>0</v>
      </c>
    </row>
    <row r="257" spans="1:27" ht="60.75" x14ac:dyDescent="0.25">
      <c r="A257" s="3" t="s">
        <v>28</v>
      </c>
      <c r="B257" s="3" t="s">
        <v>29</v>
      </c>
      <c r="C257" s="3" t="s">
        <v>30</v>
      </c>
      <c r="D257" s="3" t="s">
        <v>42</v>
      </c>
      <c r="E257" s="3" t="s">
        <v>51</v>
      </c>
      <c r="F257" s="3" t="s">
        <v>157</v>
      </c>
      <c r="G257" s="3">
        <v>2025</v>
      </c>
      <c r="H257" s="3" t="str">
        <f>CONCATENATE("54240632221")</f>
        <v>54240632221</v>
      </c>
      <c r="I257" s="3" t="s">
        <v>34</v>
      </c>
      <c r="J257" s="3" t="s">
        <v>35</v>
      </c>
      <c r="K257" s="3"/>
      <c r="L257" s="3" t="s">
        <v>36</v>
      </c>
      <c r="M257" s="3" t="str">
        <f>CONCATENATE("PPTLNZ47R24D542S")</f>
        <v>PPTLNZ47R24D542S</v>
      </c>
      <c r="N257" s="3" t="s">
        <v>364</v>
      </c>
      <c r="O257" s="3" t="s">
        <v>38</v>
      </c>
      <c r="P257" s="3"/>
      <c r="Q257" s="4">
        <v>45968</v>
      </c>
      <c r="R257" s="3" t="s">
        <v>39</v>
      </c>
      <c r="S257" s="3" t="s">
        <v>38</v>
      </c>
      <c r="T257" s="3" t="s">
        <v>40</v>
      </c>
      <c r="U257" s="3"/>
      <c r="V257" s="3" t="s">
        <v>41</v>
      </c>
      <c r="W257" s="5">
        <v>2137.5</v>
      </c>
      <c r="X257" s="5">
        <v>1603.13</v>
      </c>
      <c r="Y257" s="3">
        <v>374.06</v>
      </c>
      <c r="Z257" s="3">
        <v>160.31</v>
      </c>
      <c r="AA257" s="3">
        <v>0</v>
      </c>
    </row>
    <row r="258" spans="1:27" ht="36.75" x14ac:dyDescent="0.25">
      <c r="A258" s="3" t="s">
        <v>28</v>
      </c>
      <c r="B258" s="3" t="s">
        <v>29</v>
      </c>
      <c r="C258" s="3" t="s">
        <v>30</v>
      </c>
      <c r="D258" s="3" t="s">
        <v>42</v>
      </c>
      <c r="E258" s="3" t="s">
        <v>43</v>
      </c>
      <c r="F258" s="3" t="s">
        <v>43</v>
      </c>
      <c r="G258" s="3">
        <v>2025</v>
      </c>
      <c r="H258" s="3" t="str">
        <f>CONCATENATE("54240575255")</f>
        <v>54240575255</v>
      </c>
      <c r="I258" s="3" t="s">
        <v>34</v>
      </c>
      <c r="J258" s="3" t="s">
        <v>35</v>
      </c>
      <c r="K258" s="3"/>
      <c r="L258" s="3" t="s">
        <v>36</v>
      </c>
      <c r="M258" s="3" t="str">
        <f>CONCATENATE("02559550443")</f>
        <v>02559550443</v>
      </c>
      <c r="N258" s="3" t="s">
        <v>365</v>
      </c>
      <c r="O258" s="3" t="s">
        <v>38</v>
      </c>
      <c r="P258" s="3"/>
      <c r="Q258" s="4">
        <v>45968</v>
      </c>
      <c r="R258" s="3" t="s">
        <v>39</v>
      </c>
      <c r="S258" s="3" t="s">
        <v>38</v>
      </c>
      <c r="T258" s="3" t="s">
        <v>40</v>
      </c>
      <c r="U258" s="3"/>
      <c r="V258" s="3" t="s">
        <v>41</v>
      </c>
      <c r="W258" s="5">
        <v>9032.16</v>
      </c>
      <c r="X258" s="5">
        <v>6774.12</v>
      </c>
      <c r="Y258" s="5">
        <v>1580.63</v>
      </c>
      <c r="Z258" s="3">
        <v>677.41</v>
      </c>
      <c r="AA258" s="3">
        <v>0</v>
      </c>
    </row>
    <row r="259" spans="1:27" ht="60.75" x14ac:dyDescent="0.25">
      <c r="A259" s="3" t="s">
        <v>28</v>
      </c>
      <c r="B259" s="3" t="s">
        <v>29</v>
      </c>
      <c r="C259" s="3" t="s">
        <v>30</v>
      </c>
      <c r="D259" s="3" t="s">
        <v>42</v>
      </c>
      <c r="E259" s="3" t="s">
        <v>43</v>
      </c>
      <c r="F259" s="3" t="s">
        <v>43</v>
      </c>
      <c r="G259" s="3">
        <v>2025</v>
      </c>
      <c r="H259" s="3" t="str">
        <f>CONCATENATE("54240575420")</f>
        <v>54240575420</v>
      </c>
      <c r="I259" s="3" t="s">
        <v>34</v>
      </c>
      <c r="J259" s="3" t="s">
        <v>35</v>
      </c>
      <c r="K259" s="3"/>
      <c r="L259" s="3" t="s">
        <v>36</v>
      </c>
      <c r="M259" s="3" t="str">
        <f>CONCATENATE("NGLRNZ68P26D096H")</f>
        <v>NGLRNZ68P26D096H</v>
      </c>
      <c r="N259" s="3" t="s">
        <v>366</v>
      </c>
      <c r="O259" s="3" t="s">
        <v>38</v>
      </c>
      <c r="P259" s="3"/>
      <c r="Q259" s="4">
        <v>45968</v>
      </c>
      <c r="R259" s="3" t="s">
        <v>39</v>
      </c>
      <c r="S259" s="3" t="s">
        <v>38</v>
      </c>
      <c r="T259" s="3" t="s">
        <v>40</v>
      </c>
      <c r="U259" s="3"/>
      <c r="V259" s="3" t="s">
        <v>41</v>
      </c>
      <c r="W259" s="5">
        <v>4899.88</v>
      </c>
      <c r="X259" s="5">
        <v>3674.91</v>
      </c>
      <c r="Y259" s="3">
        <v>857.48</v>
      </c>
      <c r="Z259" s="3">
        <v>367.49</v>
      </c>
      <c r="AA259" s="3">
        <v>0</v>
      </c>
    </row>
    <row r="260" spans="1:27" ht="60.75" x14ac:dyDescent="0.25">
      <c r="A260" s="3" t="s">
        <v>28</v>
      </c>
      <c r="B260" s="3" t="s">
        <v>29</v>
      </c>
      <c r="C260" s="3" t="s">
        <v>30</v>
      </c>
      <c r="D260" s="3" t="s">
        <v>65</v>
      </c>
      <c r="E260" s="3" t="s">
        <v>32</v>
      </c>
      <c r="F260" s="3" t="s">
        <v>144</v>
      </c>
      <c r="G260" s="3">
        <v>2025</v>
      </c>
      <c r="H260" s="3" t="str">
        <f>CONCATENATE("54240575479")</f>
        <v>54240575479</v>
      </c>
      <c r="I260" s="3" t="s">
        <v>44</v>
      </c>
      <c r="J260" s="3" t="s">
        <v>35</v>
      </c>
      <c r="K260" s="3"/>
      <c r="L260" s="3" t="s">
        <v>36</v>
      </c>
      <c r="M260" s="3" t="str">
        <f>CONCATENATE("PRSFNC41E03L500G")</f>
        <v>PRSFNC41E03L500G</v>
      </c>
      <c r="N260" s="3" t="s">
        <v>367</v>
      </c>
      <c r="O260" s="3" t="s">
        <v>38</v>
      </c>
      <c r="P260" s="3"/>
      <c r="Q260" s="4">
        <v>45968</v>
      </c>
      <c r="R260" s="3" t="s">
        <v>39</v>
      </c>
      <c r="S260" s="3" t="s">
        <v>38</v>
      </c>
      <c r="T260" s="3" t="s">
        <v>40</v>
      </c>
      <c r="U260" s="3"/>
      <c r="V260" s="3" t="s">
        <v>41</v>
      </c>
      <c r="W260" s="5">
        <v>4100.51</v>
      </c>
      <c r="X260" s="5">
        <v>3075.38</v>
      </c>
      <c r="Y260" s="3">
        <v>717.59</v>
      </c>
      <c r="Z260" s="3">
        <v>307.54000000000002</v>
      </c>
      <c r="AA260" s="3">
        <v>0</v>
      </c>
    </row>
    <row r="261" spans="1:27" ht="60.75" x14ac:dyDescent="0.25">
      <c r="A261" s="3" t="s">
        <v>28</v>
      </c>
      <c r="B261" s="3" t="s">
        <v>29</v>
      </c>
      <c r="C261" s="3" t="s">
        <v>30</v>
      </c>
      <c r="D261" s="3" t="s">
        <v>47</v>
      </c>
      <c r="E261" s="3" t="s">
        <v>51</v>
      </c>
      <c r="F261" s="3" t="s">
        <v>83</v>
      </c>
      <c r="G261" s="3">
        <v>2025</v>
      </c>
      <c r="H261" s="3" t="str">
        <f>CONCATENATE("54240575628")</f>
        <v>54240575628</v>
      </c>
      <c r="I261" s="3" t="s">
        <v>34</v>
      </c>
      <c r="J261" s="3" t="s">
        <v>35</v>
      </c>
      <c r="K261" s="3"/>
      <c r="L261" s="3" t="s">
        <v>36</v>
      </c>
      <c r="M261" s="3" t="str">
        <f>CONCATENATE("MRCFBA70M30F051R")</f>
        <v>MRCFBA70M30F051R</v>
      </c>
      <c r="N261" s="3" t="s">
        <v>368</v>
      </c>
      <c r="O261" s="3" t="s">
        <v>38</v>
      </c>
      <c r="P261" s="3"/>
      <c r="Q261" s="4">
        <v>45968</v>
      </c>
      <c r="R261" s="3" t="s">
        <v>39</v>
      </c>
      <c r="S261" s="3" t="s">
        <v>38</v>
      </c>
      <c r="T261" s="3" t="s">
        <v>40</v>
      </c>
      <c r="U261" s="3"/>
      <c r="V261" s="3" t="s">
        <v>41</v>
      </c>
      <c r="W261" s="5">
        <v>13774.82</v>
      </c>
      <c r="X261" s="5">
        <v>10331.120000000001</v>
      </c>
      <c r="Y261" s="5">
        <v>2410.59</v>
      </c>
      <c r="Z261" s="5">
        <v>1033.1099999999999</v>
      </c>
      <c r="AA261" s="3">
        <v>0</v>
      </c>
    </row>
    <row r="262" spans="1:27" ht="72.75" x14ac:dyDescent="0.25">
      <c r="A262" s="3" t="s">
        <v>28</v>
      </c>
      <c r="B262" s="3" t="s">
        <v>29</v>
      </c>
      <c r="C262" s="3" t="s">
        <v>30</v>
      </c>
      <c r="D262" s="3" t="s">
        <v>42</v>
      </c>
      <c r="E262" s="3" t="s">
        <v>43</v>
      </c>
      <c r="F262" s="3" t="s">
        <v>43</v>
      </c>
      <c r="G262" s="3">
        <v>2025</v>
      </c>
      <c r="H262" s="3" t="str">
        <f>CONCATENATE("54240575487")</f>
        <v>54240575487</v>
      </c>
      <c r="I262" s="3" t="s">
        <v>34</v>
      </c>
      <c r="J262" s="3" t="s">
        <v>35</v>
      </c>
      <c r="K262" s="3"/>
      <c r="L262" s="3" t="s">
        <v>36</v>
      </c>
      <c r="M262" s="3" t="str">
        <f>CONCATENATE("SMNDRD96A15H769V")</f>
        <v>SMNDRD96A15H769V</v>
      </c>
      <c r="N262" s="3" t="s">
        <v>369</v>
      </c>
      <c r="O262" s="3" t="s">
        <v>38</v>
      </c>
      <c r="P262" s="3"/>
      <c r="Q262" s="4">
        <v>45968</v>
      </c>
      <c r="R262" s="3" t="s">
        <v>39</v>
      </c>
      <c r="S262" s="3" t="s">
        <v>38</v>
      </c>
      <c r="T262" s="3" t="s">
        <v>40</v>
      </c>
      <c r="U262" s="3"/>
      <c r="V262" s="3" t="s">
        <v>41</v>
      </c>
      <c r="W262" s="5">
        <v>6138.83</v>
      </c>
      <c r="X262" s="5">
        <v>4604.12</v>
      </c>
      <c r="Y262" s="5">
        <v>1074.3</v>
      </c>
      <c r="Z262" s="3">
        <v>460.41</v>
      </c>
      <c r="AA262" s="3">
        <v>0</v>
      </c>
    </row>
    <row r="263" spans="1:27" ht="36.75" x14ac:dyDescent="0.25">
      <c r="A263" s="3" t="s">
        <v>28</v>
      </c>
      <c r="B263" s="3" t="s">
        <v>29</v>
      </c>
      <c r="C263" s="3" t="s">
        <v>30</v>
      </c>
      <c r="D263" s="3" t="s">
        <v>47</v>
      </c>
      <c r="E263" s="3" t="s">
        <v>48</v>
      </c>
      <c r="F263" s="3" t="s">
        <v>90</v>
      </c>
      <c r="G263" s="3">
        <v>2025</v>
      </c>
      <c r="H263" s="3" t="str">
        <f>CONCATENATE("54240575644")</f>
        <v>54240575644</v>
      </c>
      <c r="I263" s="3" t="s">
        <v>34</v>
      </c>
      <c r="J263" s="3" t="s">
        <v>35</v>
      </c>
      <c r="K263" s="3"/>
      <c r="L263" s="3" t="s">
        <v>36</v>
      </c>
      <c r="M263" s="3" t="str">
        <f>CONCATENATE("01914880438")</f>
        <v>01914880438</v>
      </c>
      <c r="N263" s="3" t="s">
        <v>370</v>
      </c>
      <c r="O263" s="3" t="s">
        <v>38</v>
      </c>
      <c r="P263" s="3"/>
      <c r="Q263" s="4">
        <v>45968</v>
      </c>
      <c r="R263" s="3" t="s">
        <v>39</v>
      </c>
      <c r="S263" s="3" t="s">
        <v>38</v>
      </c>
      <c r="T263" s="3" t="s">
        <v>40</v>
      </c>
      <c r="U263" s="3"/>
      <c r="V263" s="3" t="s">
        <v>41</v>
      </c>
      <c r="W263" s="5">
        <v>2579.14</v>
      </c>
      <c r="X263" s="5">
        <v>1934.36</v>
      </c>
      <c r="Y263" s="3">
        <v>451.35</v>
      </c>
      <c r="Z263" s="3">
        <v>193.43</v>
      </c>
      <c r="AA263" s="3">
        <v>0</v>
      </c>
    </row>
    <row r="264" spans="1:27" ht="36.75" x14ac:dyDescent="0.25">
      <c r="A264" s="3" t="s">
        <v>28</v>
      </c>
      <c r="B264" s="3" t="s">
        <v>29</v>
      </c>
      <c r="C264" s="3" t="s">
        <v>30</v>
      </c>
      <c r="D264" s="3" t="s">
        <v>31</v>
      </c>
      <c r="E264" s="3" t="s">
        <v>32</v>
      </c>
      <c r="F264" s="3" t="s">
        <v>33</v>
      </c>
      <c r="G264" s="3">
        <v>2025</v>
      </c>
      <c r="H264" s="3" t="str">
        <f>CONCATENATE("54240576147")</f>
        <v>54240576147</v>
      </c>
      <c r="I264" s="3" t="s">
        <v>34</v>
      </c>
      <c r="J264" s="3" t="s">
        <v>35</v>
      </c>
      <c r="K264" s="3"/>
      <c r="L264" s="3" t="s">
        <v>36</v>
      </c>
      <c r="M264" s="3" t="str">
        <f>CONCATENATE("02868520426")</f>
        <v>02868520426</v>
      </c>
      <c r="N264" s="3" t="s">
        <v>371</v>
      </c>
      <c r="O264" s="3" t="s">
        <v>38</v>
      </c>
      <c r="P264" s="3"/>
      <c r="Q264" s="4">
        <v>45968</v>
      </c>
      <c r="R264" s="3" t="s">
        <v>39</v>
      </c>
      <c r="S264" s="3" t="s">
        <v>38</v>
      </c>
      <c r="T264" s="3" t="s">
        <v>40</v>
      </c>
      <c r="U264" s="3"/>
      <c r="V264" s="3" t="s">
        <v>41</v>
      </c>
      <c r="W264" s="5">
        <v>3545.24</v>
      </c>
      <c r="X264" s="5">
        <v>2658.93</v>
      </c>
      <c r="Y264" s="3">
        <v>620.41999999999996</v>
      </c>
      <c r="Z264" s="3">
        <v>265.89</v>
      </c>
      <c r="AA264" s="3">
        <v>0</v>
      </c>
    </row>
    <row r="265" spans="1:27" ht="36.75" x14ac:dyDescent="0.25">
      <c r="A265" s="3" t="s">
        <v>28</v>
      </c>
      <c r="B265" s="3" t="s">
        <v>29</v>
      </c>
      <c r="C265" s="3" t="s">
        <v>30</v>
      </c>
      <c r="D265" s="3" t="s">
        <v>47</v>
      </c>
      <c r="E265" s="3" t="s">
        <v>48</v>
      </c>
      <c r="F265" s="3" t="s">
        <v>249</v>
      </c>
      <c r="G265" s="3">
        <v>2025</v>
      </c>
      <c r="H265" s="3" t="str">
        <f>CONCATENATE("54240576576")</f>
        <v>54240576576</v>
      </c>
      <c r="I265" s="3" t="s">
        <v>34</v>
      </c>
      <c r="J265" s="3" t="s">
        <v>35</v>
      </c>
      <c r="K265" s="3"/>
      <c r="L265" s="3" t="s">
        <v>36</v>
      </c>
      <c r="M265" s="3" t="str">
        <f>CONCATENATE("01463690436")</f>
        <v>01463690436</v>
      </c>
      <c r="N265" s="3" t="s">
        <v>372</v>
      </c>
      <c r="O265" s="3" t="s">
        <v>38</v>
      </c>
      <c r="P265" s="3"/>
      <c r="Q265" s="4">
        <v>45968</v>
      </c>
      <c r="R265" s="3" t="s">
        <v>39</v>
      </c>
      <c r="S265" s="3" t="s">
        <v>38</v>
      </c>
      <c r="T265" s="3" t="s">
        <v>40</v>
      </c>
      <c r="U265" s="3"/>
      <c r="V265" s="3" t="s">
        <v>41</v>
      </c>
      <c r="W265" s="5">
        <v>58101.68</v>
      </c>
      <c r="X265" s="5">
        <v>43576.26</v>
      </c>
      <c r="Y265" s="5">
        <v>10167.790000000001</v>
      </c>
      <c r="Z265" s="5">
        <v>4357.63</v>
      </c>
      <c r="AA265" s="3">
        <v>0</v>
      </c>
    </row>
    <row r="266" spans="1:27" ht="36.75" x14ac:dyDescent="0.25">
      <c r="A266" s="3" t="s">
        <v>28</v>
      </c>
      <c r="B266" s="3" t="s">
        <v>29</v>
      </c>
      <c r="C266" s="3" t="s">
        <v>30</v>
      </c>
      <c r="D266" s="3" t="s">
        <v>65</v>
      </c>
      <c r="E266" s="3" t="s">
        <v>32</v>
      </c>
      <c r="F266" s="3" t="s">
        <v>144</v>
      </c>
      <c r="G266" s="3">
        <v>2025</v>
      </c>
      <c r="H266" s="3" t="str">
        <f>CONCATENATE("54240576741")</f>
        <v>54240576741</v>
      </c>
      <c r="I266" s="3" t="s">
        <v>44</v>
      </c>
      <c r="J266" s="3" t="s">
        <v>35</v>
      </c>
      <c r="K266" s="3"/>
      <c r="L266" s="3" t="s">
        <v>36</v>
      </c>
      <c r="M266" s="3" t="str">
        <f>CONCATENATE("02393300419")</f>
        <v>02393300419</v>
      </c>
      <c r="N266" s="3" t="s">
        <v>373</v>
      </c>
      <c r="O266" s="3" t="s">
        <v>38</v>
      </c>
      <c r="P266" s="3"/>
      <c r="Q266" s="4">
        <v>45968</v>
      </c>
      <c r="R266" s="3" t="s">
        <v>39</v>
      </c>
      <c r="S266" s="3" t="s">
        <v>38</v>
      </c>
      <c r="T266" s="3" t="s">
        <v>40</v>
      </c>
      <c r="U266" s="3"/>
      <c r="V266" s="3" t="s">
        <v>41</v>
      </c>
      <c r="W266" s="5">
        <v>23489.89</v>
      </c>
      <c r="X266" s="5">
        <v>17617.419999999998</v>
      </c>
      <c r="Y266" s="5">
        <v>4110.7299999999996</v>
      </c>
      <c r="Z266" s="5">
        <v>1761.74</v>
      </c>
      <c r="AA266" s="3">
        <v>0</v>
      </c>
    </row>
    <row r="267" spans="1:27" ht="36.75" x14ac:dyDescent="0.25">
      <c r="A267" s="3" t="s">
        <v>28</v>
      </c>
      <c r="B267" s="3" t="s">
        <v>29</v>
      </c>
      <c r="C267" s="3" t="s">
        <v>30</v>
      </c>
      <c r="D267" s="3" t="s">
        <v>47</v>
      </c>
      <c r="E267" s="3" t="s">
        <v>60</v>
      </c>
      <c r="F267" s="3" t="s">
        <v>81</v>
      </c>
      <c r="G267" s="3">
        <v>2025</v>
      </c>
      <c r="H267" s="3" t="str">
        <f>CONCATENATE("54240590809")</f>
        <v>54240590809</v>
      </c>
      <c r="I267" s="3" t="s">
        <v>34</v>
      </c>
      <c r="J267" s="3" t="s">
        <v>35</v>
      </c>
      <c r="K267" s="3"/>
      <c r="L267" s="3" t="s">
        <v>36</v>
      </c>
      <c r="M267" s="3" t="str">
        <f>CONCATENATE("02090120433")</f>
        <v>02090120433</v>
      </c>
      <c r="N267" s="3" t="s">
        <v>374</v>
      </c>
      <c r="O267" s="3" t="s">
        <v>38</v>
      </c>
      <c r="P267" s="3"/>
      <c r="Q267" s="4">
        <v>45968</v>
      </c>
      <c r="R267" s="3" t="s">
        <v>39</v>
      </c>
      <c r="S267" s="3" t="s">
        <v>38</v>
      </c>
      <c r="T267" s="3" t="s">
        <v>40</v>
      </c>
      <c r="U267" s="3"/>
      <c r="V267" s="3" t="s">
        <v>41</v>
      </c>
      <c r="W267" s="5">
        <v>1420.86</v>
      </c>
      <c r="X267" s="5">
        <v>1065.6500000000001</v>
      </c>
      <c r="Y267" s="3">
        <v>248.65</v>
      </c>
      <c r="Z267" s="3">
        <v>106.56</v>
      </c>
      <c r="AA267" s="3">
        <v>0</v>
      </c>
    </row>
    <row r="268" spans="1:27" ht="60.75" x14ac:dyDescent="0.25">
      <c r="A268" s="3" t="s">
        <v>28</v>
      </c>
      <c r="B268" s="3" t="s">
        <v>29</v>
      </c>
      <c r="C268" s="3" t="s">
        <v>30</v>
      </c>
      <c r="D268" s="3" t="s">
        <v>42</v>
      </c>
      <c r="E268" s="3" t="s">
        <v>51</v>
      </c>
      <c r="F268" s="3" t="s">
        <v>375</v>
      </c>
      <c r="G268" s="3">
        <v>2025</v>
      </c>
      <c r="H268" s="3" t="str">
        <f>CONCATENATE("54240577368")</f>
        <v>54240577368</v>
      </c>
      <c r="I268" s="3" t="s">
        <v>34</v>
      </c>
      <c r="J268" s="3" t="s">
        <v>35</v>
      </c>
      <c r="K268" s="3"/>
      <c r="L268" s="3" t="s">
        <v>36</v>
      </c>
      <c r="M268" s="3" t="str">
        <f>CONCATENATE("VTTMNL78L60H769R")</f>
        <v>VTTMNL78L60H769R</v>
      </c>
      <c r="N268" s="3" t="s">
        <v>376</v>
      </c>
      <c r="O268" s="3" t="s">
        <v>38</v>
      </c>
      <c r="P268" s="3"/>
      <c r="Q268" s="4">
        <v>45968</v>
      </c>
      <c r="R268" s="3" t="s">
        <v>39</v>
      </c>
      <c r="S268" s="3" t="s">
        <v>38</v>
      </c>
      <c r="T268" s="3" t="s">
        <v>40</v>
      </c>
      <c r="U268" s="3"/>
      <c r="V268" s="3" t="s">
        <v>41</v>
      </c>
      <c r="W268" s="5">
        <v>2305.6799999999998</v>
      </c>
      <c r="X268" s="5">
        <v>1729.26</v>
      </c>
      <c r="Y268" s="3">
        <v>403.49</v>
      </c>
      <c r="Z268" s="3">
        <v>172.93</v>
      </c>
      <c r="AA268" s="3">
        <v>0</v>
      </c>
    </row>
    <row r="269" spans="1:27" ht="60.75" x14ac:dyDescent="0.25">
      <c r="A269" s="3" t="s">
        <v>28</v>
      </c>
      <c r="B269" s="3" t="s">
        <v>29</v>
      </c>
      <c r="C269" s="3" t="s">
        <v>30</v>
      </c>
      <c r="D269" s="3" t="s">
        <v>65</v>
      </c>
      <c r="E269" s="3" t="s">
        <v>51</v>
      </c>
      <c r="F269" s="3" t="s">
        <v>105</v>
      </c>
      <c r="G269" s="3">
        <v>2025</v>
      </c>
      <c r="H269" s="3" t="str">
        <f>CONCATENATE("54240584737")</f>
        <v>54240584737</v>
      </c>
      <c r="I269" s="3" t="s">
        <v>34</v>
      </c>
      <c r="J269" s="3" t="s">
        <v>35</v>
      </c>
      <c r="K269" s="3"/>
      <c r="L269" s="3" t="s">
        <v>36</v>
      </c>
      <c r="M269" s="3" t="str">
        <f>CONCATENATE("LSIDBR67B26G479N")</f>
        <v>LSIDBR67B26G479N</v>
      </c>
      <c r="N269" s="3" t="s">
        <v>377</v>
      </c>
      <c r="O269" s="3" t="s">
        <v>38</v>
      </c>
      <c r="P269" s="3"/>
      <c r="Q269" s="4">
        <v>45968</v>
      </c>
      <c r="R269" s="3" t="s">
        <v>39</v>
      </c>
      <c r="S269" s="3" t="s">
        <v>38</v>
      </c>
      <c r="T269" s="3" t="s">
        <v>40</v>
      </c>
      <c r="U269" s="3"/>
      <c r="V269" s="3" t="s">
        <v>41</v>
      </c>
      <c r="W269" s="5">
        <v>17647.86</v>
      </c>
      <c r="X269" s="5">
        <v>13235.9</v>
      </c>
      <c r="Y269" s="5">
        <v>3088.38</v>
      </c>
      <c r="Z269" s="5">
        <v>1323.58</v>
      </c>
      <c r="AA269" s="3">
        <v>0</v>
      </c>
    </row>
    <row r="270" spans="1:27" ht="60.75" x14ac:dyDescent="0.25">
      <c r="A270" s="3" t="s">
        <v>28</v>
      </c>
      <c r="B270" s="3" t="s">
        <v>29</v>
      </c>
      <c r="C270" s="3" t="s">
        <v>30</v>
      </c>
      <c r="D270" s="3" t="s">
        <v>31</v>
      </c>
      <c r="E270" s="3" t="s">
        <v>32</v>
      </c>
      <c r="F270" s="3" t="s">
        <v>33</v>
      </c>
      <c r="G270" s="3">
        <v>2025</v>
      </c>
      <c r="H270" s="3" t="str">
        <f>CONCATENATE("54240577848")</f>
        <v>54240577848</v>
      </c>
      <c r="I270" s="3" t="s">
        <v>34</v>
      </c>
      <c r="J270" s="3" t="s">
        <v>35</v>
      </c>
      <c r="K270" s="3"/>
      <c r="L270" s="3" t="s">
        <v>36</v>
      </c>
      <c r="M270" s="3" t="str">
        <f>CONCATENATE("MRNMKL85E31I608C")</f>
        <v>MRNMKL85E31I608C</v>
      </c>
      <c r="N270" s="3" t="s">
        <v>378</v>
      </c>
      <c r="O270" s="3" t="s">
        <v>38</v>
      </c>
      <c r="P270" s="3"/>
      <c r="Q270" s="4">
        <v>45968</v>
      </c>
      <c r="R270" s="3" t="s">
        <v>39</v>
      </c>
      <c r="S270" s="3" t="s">
        <v>38</v>
      </c>
      <c r="T270" s="3" t="s">
        <v>40</v>
      </c>
      <c r="U270" s="3"/>
      <c r="V270" s="3" t="s">
        <v>41</v>
      </c>
      <c r="W270" s="5">
        <v>1094.22</v>
      </c>
      <c r="X270" s="3">
        <v>820.67</v>
      </c>
      <c r="Y270" s="3">
        <v>191.49</v>
      </c>
      <c r="Z270" s="3">
        <v>82.06</v>
      </c>
      <c r="AA270" s="3">
        <v>0</v>
      </c>
    </row>
    <row r="271" spans="1:27" ht="60.75" x14ac:dyDescent="0.25">
      <c r="A271" s="3" t="s">
        <v>28</v>
      </c>
      <c r="B271" s="3" t="s">
        <v>29</v>
      </c>
      <c r="C271" s="3" t="s">
        <v>30</v>
      </c>
      <c r="D271" s="3" t="s">
        <v>31</v>
      </c>
      <c r="E271" s="3" t="s">
        <v>32</v>
      </c>
      <c r="F271" s="3" t="s">
        <v>379</v>
      </c>
      <c r="G271" s="3">
        <v>2025</v>
      </c>
      <c r="H271" s="3" t="str">
        <f>CONCATENATE("54240578093")</f>
        <v>54240578093</v>
      </c>
      <c r="I271" s="3" t="s">
        <v>34</v>
      </c>
      <c r="J271" s="3" t="s">
        <v>35</v>
      </c>
      <c r="K271" s="3"/>
      <c r="L271" s="3" t="s">
        <v>36</v>
      </c>
      <c r="M271" s="3" t="str">
        <f>CONCATENATE("DGNMTT00P16I608K")</f>
        <v>DGNMTT00P16I608K</v>
      </c>
      <c r="N271" s="3" t="s">
        <v>380</v>
      </c>
      <c r="O271" s="3" t="s">
        <v>38</v>
      </c>
      <c r="P271" s="3"/>
      <c r="Q271" s="4">
        <v>45968</v>
      </c>
      <c r="R271" s="3" t="s">
        <v>39</v>
      </c>
      <c r="S271" s="3" t="s">
        <v>38</v>
      </c>
      <c r="T271" s="3" t="s">
        <v>40</v>
      </c>
      <c r="U271" s="3"/>
      <c r="V271" s="3" t="s">
        <v>41</v>
      </c>
      <c r="W271" s="5">
        <v>1470.59</v>
      </c>
      <c r="X271" s="5">
        <v>1102.94</v>
      </c>
      <c r="Y271" s="3">
        <v>257.35000000000002</v>
      </c>
      <c r="Z271" s="3">
        <v>110.3</v>
      </c>
      <c r="AA271" s="3">
        <v>0</v>
      </c>
    </row>
    <row r="272" spans="1:27" ht="60.75" x14ac:dyDescent="0.25">
      <c r="A272" s="3" t="s">
        <v>28</v>
      </c>
      <c r="B272" s="3" t="s">
        <v>29</v>
      </c>
      <c r="C272" s="3" t="s">
        <v>30</v>
      </c>
      <c r="D272" s="3" t="s">
        <v>31</v>
      </c>
      <c r="E272" s="3" t="s">
        <v>32</v>
      </c>
      <c r="F272" s="3" t="s">
        <v>33</v>
      </c>
      <c r="G272" s="3">
        <v>2025</v>
      </c>
      <c r="H272" s="3" t="str">
        <f>CONCATENATE("54240578416")</f>
        <v>54240578416</v>
      </c>
      <c r="I272" s="3" t="s">
        <v>34</v>
      </c>
      <c r="J272" s="3" t="s">
        <v>35</v>
      </c>
      <c r="K272" s="3"/>
      <c r="L272" s="3" t="s">
        <v>36</v>
      </c>
      <c r="M272" s="3" t="str">
        <f>CONCATENATE("RHLKST49T70Z112B")</f>
        <v>RHLKST49T70Z112B</v>
      </c>
      <c r="N272" s="3" t="s">
        <v>381</v>
      </c>
      <c r="O272" s="3" t="s">
        <v>38</v>
      </c>
      <c r="P272" s="3"/>
      <c r="Q272" s="4">
        <v>45968</v>
      </c>
      <c r="R272" s="3" t="s">
        <v>39</v>
      </c>
      <c r="S272" s="3" t="s">
        <v>38</v>
      </c>
      <c r="T272" s="3" t="s">
        <v>40</v>
      </c>
      <c r="U272" s="3"/>
      <c r="V272" s="3" t="s">
        <v>41</v>
      </c>
      <c r="W272" s="3">
        <v>794.23</v>
      </c>
      <c r="X272" s="3">
        <v>595.66999999999996</v>
      </c>
      <c r="Y272" s="3">
        <v>138.99</v>
      </c>
      <c r="Z272" s="3">
        <v>59.57</v>
      </c>
      <c r="AA272" s="3">
        <v>0</v>
      </c>
    </row>
    <row r="273" spans="1:27" ht="60.75" x14ac:dyDescent="0.25">
      <c r="A273" s="3" t="s">
        <v>28</v>
      </c>
      <c r="B273" s="3" t="s">
        <v>29</v>
      </c>
      <c r="C273" s="3" t="s">
        <v>30</v>
      </c>
      <c r="D273" s="3" t="s">
        <v>47</v>
      </c>
      <c r="E273" s="3" t="s">
        <v>60</v>
      </c>
      <c r="F273" s="3" t="s">
        <v>81</v>
      </c>
      <c r="G273" s="3">
        <v>2025</v>
      </c>
      <c r="H273" s="3" t="str">
        <f>CONCATENATE("54240591609")</f>
        <v>54240591609</v>
      </c>
      <c r="I273" s="3" t="s">
        <v>34</v>
      </c>
      <c r="J273" s="3" t="s">
        <v>35</v>
      </c>
      <c r="K273" s="3"/>
      <c r="L273" s="3" t="s">
        <v>36</v>
      </c>
      <c r="M273" s="3" t="str">
        <f>CONCATENATE("PPGJRU82S30I156F")</f>
        <v>PPGJRU82S30I156F</v>
      </c>
      <c r="N273" s="3" t="s">
        <v>382</v>
      </c>
      <c r="O273" s="3" t="s">
        <v>38</v>
      </c>
      <c r="P273" s="3"/>
      <c r="Q273" s="4">
        <v>45968</v>
      </c>
      <c r="R273" s="3" t="s">
        <v>39</v>
      </c>
      <c r="S273" s="3" t="s">
        <v>38</v>
      </c>
      <c r="T273" s="3" t="s">
        <v>40</v>
      </c>
      <c r="U273" s="3"/>
      <c r="V273" s="3" t="s">
        <v>41</v>
      </c>
      <c r="W273" s="5">
        <v>61603.17</v>
      </c>
      <c r="X273" s="5">
        <v>46202.38</v>
      </c>
      <c r="Y273" s="5">
        <v>10780.55</v>
      </c>
      <c r="Z273" s="5">
        <v>4620.24</v>
      </c>
      <c r="AA273" s="3">
        <v>0</v>
      </c>
    </row>
    <row r="274" spans="1:27" ht="72.75" x14ac:dyDescent="0.25">
      <c r="A274" s="3" t="s">
        <v>28</v>
      </c>
      <c r="B274" s="3" t="s">
        <v>29</v>
      </c>
      <c r="C274" s="3" t="s">
        <v>30</v>
      </c>
      <c r="D274" s="3" t="s">
        <v>31</v>
      </c>
      <c r="E274" s="3" t="s">
        <v>132</v>
      </c>
      <c r="F274" s="3" t="s">
        <v>190</v>
      </c>
      <c r="G274" s="3">
        <v>2025</v>
      </c>
      <c r="H274" s="3" t="str">
        <f>CONCATENATE("54240578101")</f>
        <v>54240578101</v>
      </c>
      <c r="I274" s="3" t="s">
        <v>34</v>
      </c>
      <c r="J274" s="3" t="s">
        <v>35</v>
      </c>
      <c r="K274" s="3"/>
      <c r="L274" s="3" t="s">
        <v>36</v>
      </c>
      <c r="M274" s="3" t="str">
        <f>CONCATENATE("MZZMSM67A08D007J")</f>
        <v>MZZMSM67A08D007J</v>
      </c>
      <c r="N274" s="3" t="s">
        <v>383</v>
      </c>
      <c r="O274" s="3" t="s">
        <v>38</v>
      </c>
      <c r="P274" s="3"/>
      <c r="Q274" s="4">
        <v>45968</v>
      </c>
      <c r="R274" s="3" t="s">
        <v>39</v>
      </c>
      <c r="S274" s="3" t="s">
        <v>38</v>
      </c>
      <c r="T274" s="3" t="s">
        <v>40</v>
      </c>
      <c r="U274" s="3"/>
      <c r="V274" s="3" t="s">
        <v>41</v>
      </c>
      <c r="W274" s="5">
        <v>1098.99</v>
      </c>
      <c r="X274" s="3">
        <v>824.24</v>
      </c>
      <c r="Y274" s="3">
        <v>192.32</v>
      </c>
      <c r="Z274" s="3">
        <v>82.43</v>
      </c>
      <c r="AA274" s="3">
        <v>0</v>
      </c>
    </row>
    <row r="275" spans="1:27" ht="60.75" x14ac:dyDescent="0.25">
      <c r="A275" s="3" t="s">
        <v>28</v>
      </c>
      <c r="B275" s="3" t="s">
        <v>29</v>
      </c>
      <c r="C275" s="3" t="s">
        <v>30</v>
      </c>
      <c r="D275" s="3" t="s">
        <v>42</v>
      </c>
      <c r="E275" s="3" t="s">
        <v>51</v>
      </c>
      <c r="F275" s="3" t="s">
        <v>103</v>
      </c>
      <c r="G275" s="3">
        <v>2025</v>
      </c>
      <c r="H275" s="3" t="str">
        <f>CONCATENATE("54240578721")</f>
        <v>54240578721</v>
      </c>
      <c r="I275" s="3" t="s">
        <v>34</v>
      </c>
      <c r="J275" s="3" t="s">
        <v>35</v>
      </c>
      <c r="K275" s="3"/>
      <c r="L275" s="3" t="s">
        <v>36</v>
      </c>
      <c r="M275" s="3" t="str">
        <f>CONCATENATE("NRERRT88M03H769L")</f>
        <v>NRERRT88M03H769L</v>
      </c>
      <c r="N275" s="3" t="s">
        <v>384</v>
      </c>
      <c r="O275" s="3" t="s">
        <v>38</v>
      </c>
      <c r="P275" s="3"/>
      <c r="Q275" s="4">
        <v>45968</v>
      </c>
      <c r="R275" s="3" t="s">
        <v>39</v>
      </c>
      <c r="S275" s="3" t="s">
        <v>38</v>
      </c>
      <c r="T275" s="3" t="s">
        <v>40</v>
      </c>
      <c r="U275" s="3"/>
      <c r="V275" s="3" t="s">
        <v>41</v>
      </c>
      <c r="W275" s="5">
        <v>3470.8</v>
      </c>
      <c r="X275" s="5">
        <v>2603.1</v>
      </c>
      <c r="Y275" s="3">
        <v>607.39</v>
      </c>
      <c r="Z275" s="3">
        <v>260.31</v>
      </c>
      <c r="AA275" s="3">
        <v>0</v>
      </c>
    </row>
    <row r="276" spans="1:27" ht="60.75" x14ac:dyDescent="0.25">
      <c r="A276" s="3" t="s">
        <v>28</v>
      </c>
      <c r="B276" s="3" t="s">
        <v>29</v>
      </c>
      <c r="C276" s="3" t="s">
        <v>30</v>
      </c>
      <c r="D276" s="3" t="s">
        <v>65</v>
      </c>
      <c r="E276" s="3" t="s">
        <v>132</v>
      </c>
      <c r="F276" s="3" t="s">
        <v>190</v>
      </c>
      <c r="G276" s="3">
        <v>2025</v>
      </c>
      <c r="H276" s="3" t="str">
        <f>CONCATENATE("54240579158")</f>
        <v>54240579158</v>
      </c>
      <c r="I276" s="3" t="s">
        <v>34</v>
      </c>
      <c r="J276" s="3" t="s">
        <v>35</v>
      </c>
      <c r="K276" s="3"/>
      <c r="L276" s="3" t="s">
        <v>36</v>
      </c>
      <c r="M276" s="3" t="str">
        <f>CONCATENATE("PGGSLV81M50L500G")</f>
        <v>PGGSLV81M50L500G</v>
      </c>
      <c r="N276" s="3" t="s">
        <v>385</v>
      </c>
      <c r="O276" s="3" t="s">
        <v>38</v>
      </c>
      <c r="P276" s="3"/>
      <c r="Q276" s="4">
        <v>45968</v>
      </c>
      <c r="R276" s="3" t="s">
        <v>39</v>
      </c>
      <c r="S276" s="3" t="s">
        <v>38</v>
      </c>
      <c r="T276" s="3" t="s">
        <v>40</v>
      </c>
      <c r="U276" s="3"/>
      <c r="V276" s="3" t="s">
        <v>41</v>
      </c>
      <c r="W276" s="3">
        <v>760.93</v>
      </c>
      <c r="X276" s="3">
        <v>570.70000000000005</v>
      </c>
      <c r="Y276" s="3">
        <v>133.16</v>
      </c>
      <c r="Z276" s="3">
        <v>57.07</v>
      </c>
      <c r="AA276" s="3">
        <v>0</v>
      </c>
    </row>
    <row r="277" spans="1:27" ht="60.75" x14ac:dyDescent="0.25">
      <c r="A277" s="3" t="s">
        <v>28</v>
      </c>
      <c r="B277" s="3" t="s">
        <v>29</v>
      </c>
      <c r="C277" s="3" t="s">
        <v>30</v>
      </c>
      <c r="D277" s="3" t="s">
        <v>31</v>
      </c>
      <c r="E277" s="3" t="s">
        <v>51</v>
      </c>
      <c r="F277" s="3" t="s">
        <v>120</v>
      </c>
      <c r="G277" s="3">
        <v>2025</v>
      </c>
      <c r="H277" s="3" t="str">
        <f>CONCATENATE("54240579000")</f>
        <v>54240579000</v>
      </c>
      <c r="I277" s="3" t="s">
        <v>34</v>
      </c>
      <c r="J277" s="3" t="s">
        <v>35</v>
      </c>
      <c r="K277" s="3"/>
      <c r="L277" s="3" t="s">
        <v>36</v>
      </c>
      <c r="M277" s="3" t="str">
        <f>CONCATENATE("CRGNLN67T02F453E")</f>
        <v>CRGNLN67T02F453E</v>
      </c>
      <c r="N277" s="3" t="s">
        <v>386</v>
      </c>
      <c r="O277" s="3" t="s">
        <v>38</v>
      </c>
      <c r="P277" s="3"/>
      <c r="Q277" s="4">
        <v>45968</v>
      </c>
      <c r="R277" s="3" t="s">
        <v>39</v>
      </c>
      <c r="S277" s="3" t="s">
        <v>38</v>
      </c>
      <c r="T277" s="3" t="s">
        <v>40</v>
      </c>
      <c r="U277" s="3"/>
      <c r="V277" s="3" t="s">
        <v>41</v>
      </c>
      <c r="W277" s="5">
        <v>6850.75</v>
      </c>
      <c r="X277" s="5">
        <v>5138.0600000000004</v>
      </c>
      <c r="Y277" s="5">
        <v>1198.8800000000001</v>
      </c>
      <c r="Z277" s="3">
        <v>513.80999999999995</v>
      </c>
      <c r="AA277" s="3">
        <v>0</v>
      </c>
    </row>
    <row r="278" spans="1:27" ht="36.75" x14ac:dyDescent="0.25">
      <c r="A278" s="3" t="s">
        <v>28</v>
      </c>
      <c r="B278" s="3" t="s">
        <v>29</v>
      </c>
      <c r="C278" s="3" t="s">
        <v>30</v>
      </c>
      <c r="D278" s="3" t="s">
        <v>31</v>
      </c>
      <c r="E278" s="3" t="s">
        <v>51</v>
      </c>
      <c r="F278" s="3" t="s">
        <v>120</v>
      </c>
      <c r="G278" s="3">
        <v>2025</v>
      </c>
      <c r="H278" s="3" t="str">
        <f>CONCATENATE("54240579794")</f>
        <v>54240579794</v>
      </c>
      <c r="I278" s="3" t="s">
        <v>34</v>
      </c>
      <c r="J278" s="3" t="s">
        <v>35</v>
      </c>
      <c r="K278" s="3"/>
      <c r="L278" s="3" t="s">
        <v>36</v>
      </c>
      <c r="M278" s="3" t="str">
        <f>CONCATENATE("02717490425")</f>
        <v>02717490425</v>
      </c>
      <c r="N278" s="3" t="s">
        <v>387</v>
      </c>
      <c r="O278" s="3" t="s">
        <v>38</v>
      </c>
      <c r="P278" s="3"/>
      <c r="Q278" s="4">
        <v>45968</v>
      </c>
      <c r="R278" s="3" t="s">
        <v>39</v>
      </c>
      <c r="S278" s="3" t="s">
        <v>38</v>
      </c>
      <c r="T278" s="3" t="s">
        <v>40</v>
      </c>
      <c r="U278" s="3"/>
      <c r="V278" s="3" t="s">
        <v>41</v>
      </c>
      <c r="W278" s="5">
        <v>4512.28</v>
      </c>
      <c r="X278" s="5">
        <v>3384.21</v>
      </c>
      <c r="Y278" s="3">
        <v>789.65</v>
      </c>
      <c r="Z278" s="3">
        <v>338.42</v>
      </c>
      <c r="AA278" s="3">
        <v>0</v>
      </c>
    </row>
    <row r="279" spans="1:27" ht="60.75" x14ac:dyDescent="0.25">
      <c r="A279" s="3" t="s">
        <v>28</v>
      </c>
      <c r="B279" s="3" t="s">
        <v>29</v>
      </c>
      <c r="C279" s="3" t="s">
        <v>30</v>
      </c>
      <c r="D279" s="3" t="s">
        <v>31</v>
      </c>
      <c r="E279" s="3" t="s">
        <v>32</v>
      </c>
      <c r="F279" s="3" t="s">
        <v>33</v>
      </c>
      <c r="G279" s="3">
        <v>2025</v>
      </c>
      <c r="H279" s="3" t="str">
        <f>CONCATENATE("54240579331")</f>
        <v>54240579331</v>
      </c>
      <c r="I279" s="3" t="s">
        <v>34</v>
      </c>
      <c r="J279" s="3" t="s">
        <v>35</v>
      </c>
      <c r="K279" s="3"/>
      <c r="L279" s="3" t="s">
        <v>36</v>
      </c>
      <c r="M279" s="3" t="str">
        <f>CONCATENATE("SPDTTL52C09I653Y")</f>
        <v>SPDTTL52C09I653Y</v>
      </c>
      <c r="N279" s="3" t="s">
        <v>388</v>
      </c>
      <c r="O279" s="3" t="s">
        <v>38</v>
      </c>
      <c r="P279" s="3"/>
      <c r="Q279" s="4">
        <v>45968</v>
      </c>
      <c r="R279" s="3" t="s">
        <v>39</v>
      </c>
      <c r="S279" s="3" t="s">
        <v>38</v>
      </c>
      <c r="T279" s="3" t="s">
        <v>40</v>
      </c>
      <c r="U279" s="3"/>
      <c r="V279" s="3" t="s">
        <v>41</v>
      </c>
      <c r="W279" s="3">
        <v>448.67</v>
      </c>
      <c r="X279" s="3">
        <v>336.5</v>
      </c>
      <c r="Y279" s="3">
        <v>78.52</v>
      </c>
      <c r="Z279" s="3">
        <v>33.65</v>
      </c>
      <c r="AA279" s="3">
        <v>0</v>
      </c>
    </row>
    <row r="280" spans="1:27" ht="60.75" x14ac:dyDescent="0.25">
      <c r="A280" s="3" t="s">
        <v>28</v>
      </c>
      <c r="B280" s="3" t="s">
        <v>29</v>
      </c>
      <c r="C280" s="3" t="s">
        <v>30</v>
      </c>
      <c r="D280" s="3" t="s">
        <v>31</v>
      </c>
      <c r="E280" s="3" t="s">
        <v>51</v>
      </c>
      <c r="F280" s="3" t="s">
        <v>120</v>
      </c>
      <c r="G280" s="3">
        <v>2025</v>
      </c>
      <c r="H280" s="3" t="str">
        <f>CONCATENATE("54240579398")</f>
        <v>54240579398</v>
      </c>
      <c r="I280" s="3" t="s">
        <v>34</v>
      </c>
      <c r="J280" s="3" t="s">
        <v>35</v>
      </c>
      <c r="K280" s="3"/>
      <c r="L280" s="3" t="s">
        <v>36</v>
      </c>
      <c r="M280" s="3" t="str">
        <f>CONCATENATE("DTTNDR96R14E388E")</f>
        <v>DTTNDR96R14E388E</v>
      </c>
      <c r="N280" s="3" t="s">
        <v>389</v>
      </c>
      <c r="O280" s="3" t="s">
        <v>38</v>
      </c>
      <c r="P280" s="3"/>
      <c r="Q280" s="4">
        <v>45968</v>
      </c>
      <c r="R280" s="3" t="s">
        <v>39</v>
      </c>
      <c r="S280" s="3" t="s">
        <v>38</v>
      </c>
      <c r="T280" s="3" t="s">
        <v>40</v>
      </c>
      <c r="U280" s="3"/>
      <c r="V280" s="3" t="s">
        <v>41</v>
      </c>
      <c r="W280" s="5">
        <v>8715.4599999999991</v>
      </c>
      <c r="X280" s="5">
        <v>6536.6</v>
      </c>
      <c r="Y280" s="5">
        <v>1525.21</v>
      </c>
      <c r="Z280" s="3">
        <v>653.65</v>
      </c>
      <c r="AA280" s="3">
        <v>0</v>
      </c>
    </row>
    <row r="281" spans="1:27" ht="60.75" x14ac:dyDescent="0.25">
      <c r="A281" s="3" t="s">
        <v>28</v>
      </c>
      <c r="B281" s="3" t="s">
        <v>29</v>
      </c>
      <c r="C281" s="3" t="s">
        <v>30</v>
      </c>
      <c r="D281" s="3" t="s">
        <v>31</v>
      </c>
      <c r="E281" s="3" t="s">
        <v>32</v>
      </c>
      <c r="F281" s="3" t="s">
        <v>33</v>
      </c>
      <c r="G281" s="3">
        <v>2025</v>
      </c>
      <c r="H281" s="3" t="str">
        <f>CONCATENATE("54240579570")</f>
        <v>54240579570</v>
      </c>
      <c r="I281" s="3" t="s">
        <v>34</v>
      </c>
      <c r="J281" s="3" t="s">
        <v>35</v>
      </c>
      <c r="K281" s="3"/>
      <c r="L281" s="3" t="s">
        <v>36</v>
      </c>
      <c r="M281" s="3" t="str">
        <f>CONCATENATE("PTRFNC93S20I608I")</f>
        <v>PTRFNC93S20I608I</v>
      </c>
      <c r="N281" s="3" t="s">
        <v>390</v>
      </c>
      <c r="O281" s="3" t="s">
        <v>38</v>
      </c>
      <c r="P281" s="3"/>
      <c r="Q281" s="4">
        <v>45968</v>
      </c>
      <c r="R281" s="3" t="s">
        <v>39</v>
      </c>
      <c r="S281" s="3" t="s">
        <v>38</v>
      </c>
      <c r="T281" s="3" t="s">
        <v>40</v>
      </c>
      <c r="U281" s="3"/>
      <c r="V281" s="3" t="s">
        <v>41</v>
      </c>
      <c r="W281" s="5">
        <v>4222.2700000000004</v>
      </c>
      <c r="X281" s="5">
        <v>3166.7</v>
      </c>
      <c r="Y281" s="3">
        <v>738.9</v>
      </c>
      <c r="Z281" s="3">
        <v>316.67</v>
      </c>
      <c r="AA281" s="3">
        <v>0</v>
      </c>
    </row>
    <row r="282" spans="1:27" ht="60.75" x14ac:dyDescent="0.25">
      <c r="A282" s="3" t="s">
        <v>28</v>
      </c>
      <c r="B282" s="3" t="s">
        <v>29</v>
      </c>
      <c r="C282" s="3" t="s">
        <v>30</v>
      </c>
      <c r="D282" s="3" t="s">
        <v>31</v>
      </c>
      <c r="E282" s="3" t="s">
        <v>51</v>
      </c>
      <c r="F282" s="3" t="s">
        <v>120</v>
      </c>
      <c r="G282" s="3">
        <v>2025</v>
      </c>
      <c r="H282" s="3" t="str">
        <f>CONCATENATE("54240579547")</f>
        <v>54240579547</v>
      </c>
      <c r="I282" s="3" t="s">
        <v>34</v>
      </c>
      <c r="J282" s="3" t="s">
        <v>35</v>
      </c>
      <c r="K282" s="3"/>
      <c r="L282" s="3" t="s">
        <v>36</v>
      </c>
      <c r="M282" s="3" t="str">
        <f>CONCATENATE("LTNTLL71C13I643M")</f>
        <v>LTNTLL71C13I643M</v>
      </c>
      <c r="N282" s="3" t="s">
        <v>391</v>
      </c>
      <c r="O282" s="3" t="s">
        <v>38</v>
      </c>
      <c r="P282" s="3"/>
      <c r="Q282" s="4">
        <v>45968</v>
      </c>
      <c r="R282" s="3" t="s">
        <v>39</v>
      </c>
      <c r="S282" s="3" t="s">
        <v>38</v>
      </c>
      <c r="T282" s="3" t="s">
        <v>40</v>
      </c>
      <c r="U282" s="3"/>
      <c r="V282" s="3" t="s">
        <v>41</v>
      </c>
      <c r="W282" s="5">
        <v>1240.68</v>
      </c>
      <c r="X282" s="3">
        <v>930.51</v>
      </c>
      <c r="Y282" s="3">
        <v>217.12</v>
      </c>
      <c r="Z282" s="3">
        <v>93.05</v>
      </c>
      <c r="AA282" s="3">
        <v>0</v>
      </c>
    </row>
    <row r="283" spans="1:27" ht="72.75" x14ac:dyDescent="0.25">
      <c r="A283" s="3" t="s">
        <v>28</v>
      </c>
      <c r="B283" s="3" t="s">
        <v>29</v>
      </c>
      <c r="C283" s="3" t="s">
        <v>30</v>
      </c>
      <c r="D283" s="3" t="s">
        <v>42</v>
      </c>
      <c r="E283" s="3" t="s">
        <v>43</v>
      </c>
      <c r="F283" s="3" t="s">
        <v>43</v>
      </c>
      <c r="G283" s="3">
        <v>2025</v>
      </c>
      <c r="H283" s="3" t="str">
        <f>CONCATENATE("54240580081")</f>
        <v>54240580081</v>
      </c>
      <c r="I283" s="3" t="s">
        <v>34</v>
      </c>
      <c r="J283" s="3" t="s">
        <v>35</v>
      </c>
      <c r="K283" s="3"/>
      <c r="L283" s="3" t="s">
        <v>36</v>
      </c>
      <c r="M283" s="3" t="str">
        <f>CONCATENATE("LNCFBA85R03H769N")</f>
        <v>LNCFBA85R03H769N</v>
      </c>
      <c r="N283" s="3" t="s">
        <v>392</v>
      </c>
      <c r="O283" s="3" t="s">
        <v>38</v>
      </c>
      <c r="P283" s="3"/>
      <c r="Q283" s="4">
        <v>45968</v>
      </c>
      <c r="R283" s="3" t="s">
        <v>39</v>
      </c>
      <c r="S283" s="3" t="s">
        <v>38</v>
      </c>
      <c r="T283" s="3" t="s">
        <v>40</v>
      </c>
      <c r="U283" s="3"/>
      <c r="V283" s="3" t="s">
        <v>41</v>
      </c>
      <c r="W283" s="5">
        <v>3932.35</v>
      </c>
      <c r="X283" s="5">
        <v>2949.26</v>
      </c>
      <c r="Y283" s="3">
        <v>688.16</v>
      </c>
      <c r="Z283" s="3">
        <v>294.93</v>
      </c>
      <c r="AA283" s="3">
        <v>0</v>
      </c>
    </row>
    <row r="284" spans="1:27" ht="60.75" x14ac:dyDescent="0.25">
      <c r="A284" s="3" t="s">
        <v>28</v>
      </c>
      <c r="B284" s="3" t="s">
        <v>29</v>
      </c>
      <c r="C284" s="3" t="s">
        <v>30</v>
      </c>
      <c r="D284" s="3" t="s">
        <v>42</v>
      </c>
      <c r="E284" s="3" t="s">
        <v>43</v>
      </c>
      <c r="F284" s="3" t="s">
        <v>43</v>
      </c>
      <c r="G284" s="3">
        <v>2025</v>
      </c>
      <c r="H284" s="3" t="str">
        <f>CONCATENATE("54240580313")</f>
        <v>54240580313</v>
      </c>
      <c r="I284" s="3" t="s">
        <v>34</v>
      </c>
      <c r="J284" s="3" t="s">
        <v>35</v>
      </c>
      <c r="K284" s="3"/>
      <c r="L284" s="3" t="s">
        <v>36</v>
      </c>
      <c r="M284" s="3" t="str">
        <f>CONCATENATE("MRCLCU92S26H769X")</f>
        <v>MRCLCU92S26H769X</v>
      </c>
      <c r="N284" s="3" t="s">
        <v>393</v>
      </c>
      <c r="O284" s="3" t="s">
        <v>38</v>
      </c>
      <c r="P284" s="3"/>
      <c r="Q284" s="4">
        <v>45968</v>
      </c>
      <c r="R284" s="3" t="s">
        <v>39</v>
      </c>
      <c r="S284" s="3" t="s">
        <v>38</v>
      </c>
      <c r="T284" s="3" t="s">
        <v>40</v>
      </c>
      <c r="U284" s="3"/>
      <c r="V284" s="3" t="s">
        <v>41</v>
      </c>
      <c r="W284" s="5">
        <v>6189.41</v>
      </c>
      <c r="X284" s="5">
        <v>4642.0600000000004</v>
      </c>
      <c r="Y284" s="5">
        <v>1083.1500000000001</v>
      </c>
      <c r="Z284" s="3">
        <v>464.2</v>
      </c>
      <c r="AA284" s="3">
        <v>0</v>
      </c>
    </row>
    <row r="285" spans="1:27" ht="72.75" x14ac:dyDescent="0.25">
      <c r="A285" s="3" t="s">
        <v>28</v>
      </c>
      <c r="B285" s="3" t="s">
        <v>29</v>
      </c>
      <c r="C285" s="3" t="s">
        <v>30</v>
      </c>
      <c r="D285" s="3" t="s">
        <v>42</v>
      </c>
      <c r="E285" s="3" t="s">
        <v>32</v>
      </c>
      <c r="F285" s="3" t="s">
        <v>110</v>
      </c>
      <c r="G285" s="3">
        <v>2025</v>
      </c>
      <c r="H285" s="3" t="str">
        <f>CONCATENATE("54240580610")</f>
        <v>54240580610</v>
      </c>
      <c r="I285" s="3" t="s">
        <v>34</v>
      </c>
      <c r="J285" s="3" t="s">
        <v>35</v>
      </c>
      <c r="K285" s="3"/>
      <c r="L285" s="3" t="s">
        <v>36</v>
      </c>
      <c r="M285" s="3" t="str">
        <f>CONCATENATE("PPPRNR53H29D652D")</f>
        <v>PPPRNR53H29D652D</v>
      </c>
      <c r="N285" s="3" t="s">
        <v>394</v>
      </c>
      <c r="O285" s="3" t="s">
        <v>38</v>
      </c>
      <c r="P285" s="3"/>
      <c r="Q285" s="4">
        <v>45968</v>
      </c>
      <c r="R285" s="3" t="s">
        <v>39</v>
      </c>
      <c r="S285" s="3" t="s">
        <v>38</v>
      </c>
      <c r="T285" s="3" t="s">
        <v>40</v>
      </c>
      <c r="U285" s="3"/>
      <c r="V285" s="3" t="s">
        <v>41</v>
      </c>
      <c r="W285" s="5">
        <v>1429.86</v>
      </c>
      <c r="X285" s="5">
        <v>1072.4000000000001</v>
      </c>
      <c r="Y285" s="3">
        <v>250.23</v>
      </c>
      <c r="Z285" s="3">
        <v>107.23</v>
      </c>
      <c r="AA285" s="3">
        <v>0</v>
      </c>
    </row>
    <row r="286" spans="1:27" ht="36.75" x14ac:dyDescent="0.25">
      <c r="A286" s="3" t="s">
        <v>28</v>
      </c>
      <c r="B286" s="3" t="s">
        <v>29</v>
      </c>
      <c r="C286" s="3" t="s">
        <v>30</v>
      </c>
      <c r="D286" s="3" t="s">
        <v>47</v>
      </c>
      <c r="E286" s="3" t="s">
        <v>51</v>
      </c>
      <c r="F286" s="3" t="s">
        <v>107</v>
      </c>
      <c r="G286" s="3">
        <v>2025</v>
      </c>
      <c r="H286" s="3" t="str">
        <f>CONCATENATE("54240580727")</f>
        <v>54240580727</v>
      </c>
      <c r="I286" s="3" t="s">
        <v>34</v>
      </c>
      <c r="J286" s="3" t="s">
        <v>35</v>
      </c>
      <c r="K286" s="3"/>
      <c r="L286" s="3" t="s">
        <v>36</v>
      </c>
      <c r="M286" s="3" t="str">
        <f>CONCATENATE("80005460433")</f>
        <v>80005460433</v>
      </c>
      <c r="N286" s="3" t="s">
        <v>395</v>
      </c>
      <c r="O286" s="3" t="s">
        <v>38</v>
      </c>
      <c r="P286" s="3"/>
      <c r="Q286" s="4">
        <v>45968</v>
      </c>
      <c r="R286" s="3" t="s">
        <v>39</v>
      </c>
      <c r="S286" s="3" t="s">
        <v>38</v>
      </c>
      <c r="T286" s="3" t="s">
        <v>40</v>
      </c>
      <c r="U286" s="3"/>
      <c r="V286" s="3" t="s">
        <v>41</v>
      </c>
      <c r="W286" s="5">
        <v>8839.75</v>
      </c>
      <c r="X286" s="5">
        <v>6629.81</v>
      </c>
      <c r="Y286" s="5">
        <v>1546.96</v>
      </c>
      <c r="Z286" s="3">
        <v>662.98</v>
      </c>
      <c r="AA286" s="3">
        <v>0</v>
      </c>
    </row>
    <row r="287" spans="1:27" ht="36.75" x14ac:dyDescent="0.25">
      <c r="A287" s="3" t="s">
        <v>28</v>
      </c>
      <c r="B287" s="3" t="s">
        <v>29</v>
      </c>
      <c r="C287" s="3" t="s">
        <v>30</v>
      </c>
      <c r="D287" s="3" t="s">
        <v>31</v>
      </c>
      <c r="E287" s="3" t="s">
        <v>51</v>
      </c>
      <c r="F287" s="3" t="s">
        <v>120</v>
      </c>
      <c r="G287" s="3">
        <v>2025</v>
      </c>
      <c r="H287" s="3" t="str">
        <f>CONCATENATE("54240582483")</f>
        <v>54240582483</v>
      </c>
      <c r="I287" s="3" t="s">
        <v>34</v>
      </c>
      <c r="J287" s="3" t="s">
        <v>35</v>
      </c>
      <c r="K287" s="3"/>
      <c r="L287" s="3" t="s">
        <v>36</v>
      </c>
      <c r="M287" s="3" t="str">
        <f>CONCATENATE("02200520423")</f>
        <v>02200520423</v>
      </c>
      <c r="N287" s="3" t="s">
        <v>396</v>
      </c>
      <c r="O287" s="3" t="s">
        <v>38</v>
      </c>
      <c r="P287" s="3"/>
      <c r="Q287" s="4">
        <v>45968</v>
      </c>
      <c r="R287" s="3" t="s">
        <v>39</v>
      </c>
      <c r="S287" s="3" t="s">
        <v>38</v>
      </c>
      <c r="T287" s="3" t="s">
        <v>40</v>
      </c>
      <c r="U287" s="3"/>
      <c r="V287" s="3" t="s">
        <v>41</v>
      </c>
      <c r="W287" s="5">
        <v>11131.88</v>
      </c>
      <c r="X287" s="5">
        <v>8348.91</v>
      </c>
      <c r="Y287" s="5">
        <v>1948.08</v>
      </c>
      <c r="Z287" s="3">
        <v>834.89</v>
      </c>
      <c r="AA287" s="3">
        <v>0</v>
      </c>
    </row>
    <row r="288" spans="1:27" ht="60.75" x14ac:dyDescent="0.25">
      <c r="A288" s="3" t="s">
        <v>28</v>
      </c>
      <c r="B288" s="3" t="s">
        <v>29</v>
      </c>
      <c r="C288" s="3" t="s">
        <v>30</v>
      </c>
      <c r="D288" s="3" t="s">
        <v>65</v>
      </c>
      <c r="E288" s="3" t="s">
        <v>32</v>
      </c>
      <c r="F288" s="3" t="s">
        <v>144</v>
      </c>
      <c r="G288" s="3">
        <v>2025</v>
      </c>
      <c r="H288" s="3" t="str">
        <f>CONCATENATE("54240581113")</f>
        <v>54240581113</v>
      </c>
      <c r="I288" s="3" t="s">
        <v>34</v>
      </c>
      <c r="J288" s="3" t="s">
        <v>35</v>
      </c>
      <c r="K288" s="3"/>
      <c r="L288" s="3" t="s">
        <v>36</v>
      </c>
      <c r="M288" s="3" t="str">
        <f>CONCATENATE("CNTRRT70S13F135E")</f>
        <v>CNTRRT70S13F135E</v>
      </c>
      <c r="N288" s="3" t="s">
        <v>397</v>
      </c>
      <c r="O288" s="3" t="s">
        <v>38</v>
      </c>
      <c r="P288" s="3"/>
      <c r="Q288" s="4">
        <v>45968</v>
      </c>
      <c r="R288" s="3" t="s">
        <v>39</v>
      </c>
      <c r="S288" s="3" t="s">
        <v>38</v>
      </c>
      <c r="T288" s="3" t="s">
        <v>40</v>
      </c>
      <c r="U288" s="3"/>
      <c r="V288" s="3" t="s">
        <v>41</v>
      </c>
      <c r="W288" s="5">
        <v>3541.23</v>
      </c>
      <c r="X288" s="5">
        <v>2655.92</v>
      </c>
      <c r="Y288" s="3">
        <v>619.72</v>
      </c>
      <c r="Z288" s="3">
        <v>265.58999999999997</v>
      </c>
      <c r="AA288" s="3">
        <v>0</v>
      </c>
    </row>
    <row r="289" spans="1:27" ht="72.75" x14ac:dyDescent="0.25">
      <c r="A289" s="3" t="s">
        <v>28</v>
      </c>
      <c r="B289" s="3" t="s">
        <v>29</v>
      </c>
      <c r="C289" s="3" t="s">
        <v>30</v>
      </c>
      <c r="D289" s="3" t="s">
        <v>31</v>
      </c>
      <c r="E289" s="3" t="s">
        <v>51</v>
      </c>
      <c r="F289" s="3" t="s">
        <v>93</v>
      </c>
      <c r="G289" s="3">
        <v>2025</v>
      </c>
      <c r="H289" s="3" t="str">
        <f>CONCATENATE("54240581998")</f>
        <v>54240581998</v>
      </c>
      <c r="I289" s="3" t="s">
        <v>44</v>
      </c>
      <c r="J289" s="3" t="s">
        <v>35</v>
      </c>
      <c r="K289" s="3"/>
      <c r="L289" s="3" t="s">
        <v>36</v>
      </c>
      <c r="M289" s="3" t="str">
        <f>CONCATENATE("BLTMBN87L55Z129Q")</f>
        <v>BLTMBN87L55Z129Q</v>
      </c>
      <c r="N289" s="3" t="s">
        <v>398</v>
      </c>
      <c r="O289" s="3" t="s">
        <v>38</v>
      </c>
      <c r="P289" s="3"/>
      <c r="Q289" s="4">
        <v>45968</v>
      </c>
      <c r="R289" s="3" t="s">
        <v>39</v>
      </c>
      <c r="S289" s="3" t="s">
        <v>38</v>
      </c>
      <c r="T289" s="3" t="s">
        <v>40</v>
      </c>
      <c r="U289" s="3"/>
      <c r="V289" s="3" t="s">
        <v>41</v>
      </c>
      <c r="W289" s="5">
        <v>6033.51</v>
      </c>
      <c r="X289" s="5">
        <v>4525.13</v>
      </c>
      <c r="Y289" s="5">
        <v>1055.8599999999999</v>
      </c>
      <c r="Z289" s="3">
        <v>452.52</v>
      </c>
      <c r="AA289" s="3">
        <v>0</v>
      </c>
    </row>
    <row r="290" spans="1:27" ht="60.75" x14ac:dyDescent="0.25">
      <c r="A290" s="3" t="s">
        <v>28</v>
      </c>
      <c r="B290" s="3" t="s">
        <v>29</v>
      </c>
      <c r="C290" s="3" t="s">
        <v>30</v>
      </c>
      <c r="D290" s="3" t="s">
        <v>65</v>
      </c>
      <c r="E290" s="3" t="s">
        <v>51</v>
      </c>
      <c r="F290" s="3" t="s">
        <v>105</v>
      </c>
      <c r="G290" s="3">
        <v>2025</v>
      </c>
      <c r="H290" s="3" t="str">
        <f>CONCATENATE("54240592367")</f>
        <v>54240592367</v>
      </c>
      <c r="I290" s="3" t="s">
        <v>34</v>
      </c>
      <c r="J290" s="3" t="s">
        <v>35</v>
      </c>
      <c r="K290" s="3"/>
      <c r="L290" s="3" t="s">
        <v>36</v>
      </c>
      <c r="M290" s="3" t="str">
        <f>CONCATENATE("KLNSNS66B60Z112S")</f>
        <v>KLNSNS66B60Z112S</v>
      </c>
      <c r="N290" s="3" t="s">
        <v>399</v>
      </c>
      <c r="O290" s="3" t="s">
        <v>38</v>
      </c>
      <c r="P290" s="3"/>
      <c r="Q290" s="4">
        <v>45968</v>
      </c>
      <c r="R290" s="3" t="s">
        <v>39</v>
      </c>
      <c r="S290" s="3" t="s">
        <v>38</v>
      </c>
      <c r="T290" s="3" t="s">
        <v>40</v>
      </c>
      <c r="U290" s="3"/>
      <c r="V290" s="3" t="s">
        <v>41</v>
      </c>
      <c r="W290" s="5">
        <v>3938.96</v>
      </c>
      <c r="X290" s="5">
        <v>2954.22</v>
      </c>
      <c r="Y290" s="3">
        <v>689.32</v>
      </c>
      <c r="Z290" s="3">
        <v>295.42</v>
      </c>
      <c r="AA290" s="3">
        <v>0</v>
      </c>
    </row>
    <row r="291" spans="1:27" ht="60.75" x14ac:dyDescent="0.25">
      <c r="A291" s="3" t="s">
        <v>28</v>
      </c>
      <c r="B291" s="3" t="s">
        <v>29</v>
      </c>
      <c r="C291" s="3" t="s">
        <v>30</v>
      </c>
      <c r="D291" s="3" t="s">
        <v>31</v>
      </c>
      <c r="E291" s="3" t="s">
        <v>51</v>
      </c>
      <c r="F291" s="3" t="s">
        <v>120</v>
      </c>
      <c r="G291" s="3">
        <v>2025</v>
      </c>
      <c r="H291" s="3" t="str">
        <f>CONCATENATE("54240582541")</f>
        <v>54240582541</v>
      </c>
      <c r="I291" s="3" t="s">
        <v>34</v>
      </c>
      <c r="J291" s="3" t="s">
        <v>35</v>
      </c>
      <c r="K291" s="3"/>
      <c r="L291" s="3" t="s">
        <v>36</v>
      </c>
      <c r="M291" s="3" t="str">
        <f>CONCATENATE("SMNLLN57A70I643F")</f>
        <v>SMNLLN57A70I643F</v>
      </c>
      <c r="N291" s="3" t="s">
        <v>400</v>
      </c>
      <c r="O291" s="3" t="s">
        <v>38</v>
      </c>
      <c r="P291" s="3"/>
      <c r="Q291" s="4">
        <v>45968</v>
      </c>
      <c r="R291" s="3" t="s">
        <v>39</v>
      </c>
      <c r="S291" s="3" t="s">
        <v>38</v>
      </c>
      <c r="T291" s="3" t="s">
        <v>40</v>
      </c>
      <c r="U291" s="3"/>
      <c r="V291" s="3" t="s">
        <v>41</v>
      </c>
      <c r="W291" s="5">
        <v>1293.56</v>
      </c>
      <c r="X291" s="3">
        <v>970.17</v>
      </c>
      <c r="Y291" s="3">
        <v>226.37</v>
      </c>
      <c r="Z291" s="3">
        <v>97.02</v>
      </c>
      <c r="AA291" s="3">
        <v>0</v>
      </c>
    </row>
    <row r="292" spans="1:27" ht="60.75" x14ac:dyDescent="0.25">
      <c r="A292" s="3" t="s">
        <v>28</v>
      </c>
      <c r="B292" s="3" t="s">
        <v>29</v>
      </c>
      <c r="C292" s="3" t="s">
        <v>30</v>
      </c>
      <c r="D292" s="3" t="s">
        <v>47</v>
      </c>
      <c r="E292" s="3" t="s">
        <v>51</v>
      </c>
      <c r="F292" s="3" t="s">
        <v>103</v>
      </c>
      <c r="G292" s="3">
        <v>2025</v>
      </c>
      <c r="H292" s="3" t="str">
        <f>CONCATENATE("54240582566")</f>
        <v>54240582566</v>
      </c>
      <c r="I292" s="3" t="s">
        <v>34</v>
      </c>
      <c r="J292" s="3" t="s">
        <v>35</v>
      </c>
      <c r="K292" s="3"/>
      <c r="L292" s="3" t="s">
        <v>36</v>
      </c>
      <c r="M292" s="3" t="str">
        <f>CONCATENATE("GRSSMN71H21I436J")</f>
        <v>GRSSMN71H21I436J</v>
      </c>
      <c r="N292" s="3" t="s">
        <v>401</v>
      </c>
      <c r="O292" s="3" t="s">
        <v>38</v>
      </c>
      <c r="P292" s="3"/>
      <c r="Q292" s="4">
        <v>45968</v>
      </c>
      <c r="R292" s="3" t="s">
        <v>39</v>
      </c>
      <c r="S292" s="3" t="s">
        <v>38</v>
      </c>
      <c r="T292" s="3" t="s">
        <v>40</v>
      </c>
      <c r="U292" s="3"/>
      <c r="V292" s="3" t="s">
        <v>41</v>
      </c>
      <c r="W292" s="5">
        <v>4414.66</v>
      </c>
      <c r="X292" s="5">
        <v>3311</v>
      </c>
      <c r="Y292" s="3">
        <v>772.57</v>
      </c>
      <c r="Z292" s="3">
        <v>331.09</v>
      </c>
      <c r="AA292" s="3">
        <v>0</v>
      </c>
    </row>
    <row r="293" spans="1:27" ht="60.75" x14ac:dyDescent="0.25">
      <c r="A293" s="3" t="s">
        <v>28</v>
      </c>
      <c r="B293" s="3" t="s">
        <v>29</v>
      </c>
      <c r="C293" s="3" t="s">
        <v>30</v>
      </c>
      <c r="D293" s="3" t="s">
        <v>31</v>
      </c>
      <c r="E293" s="3" t="s">
        <v>51</v>
      </c>
      <c r="F293" s="3" t="s">
        <v>93</v>
      </c>
      <c r="G293" s="3">
        <v>2025</v>
      </c>
      <c r="H293" s="3" t="str">
        <f>CONCATENATE("54240582475")</f>
        <v>54240582475</v>
      </c>
      <c r="I293" s="3" t="s">
        <v>34</v>
      </c>
      <c r="J293" s="3" t="s">
        <v>35</v>
      </c>
      <c r="K293" s="3"/>
      <c r="L293" s="3" t="s">
        <v>36</v>
      </c>
      <c r="M293" s="3" t="str">
        <f>CONCATENATE("GNNMRS54C62E388B")</f>
        <v>GNNMRS54C62E388B</v>
      </c>
      <c r="N293" s="3" t="s">
        <v>402</v>
      </c>
      <c r="O293" s="3" t="s">
        <v>38</v>
      </c>
      <c r="P293" s="3"/>
      <c r="Q293" s="4">
        <v>45968</v>
      </c>
      <c r="R293" s="3" t="s">
        <v>39</v>
      </c>
      <c r="S293" s="3" t="s">
        <v>38</v>
      </c>
      <c r="T293" s="3" t="s">
        <v>40</v>
      </c>
      <c r="U293" s="3"/>
      <c r="V293" s="3" t="s">
        <v>41</v>
      </c>
      <c r="W293" s="5">
        <v>1140.6300000000001</v>
      </c>
      <c r="X293" s="3">
        <v>855.47</v>
      </c>
      <c r="Y293" s="3">
        <v>199.61</v>
      </c>
      <c r="Z293" s="3">
        <v>85.55</v>
      </c>
      <c r="AA293" s="3">
        <v>0</v>
      </c>
    </row>
    <row r="294" spans="1:27" ht="60.75" x14ac:dyDescent="0.25">
      <c r="A294" s="3" t="s">
        <v>28</v>
      </c>
      <c r="B294" s="3" t="s">
        <v>29</v>
      </c>
      <c r="C294" s="3" t="s">
        <v>30</v>
      </c>
      <c r="D294" s="3" t="s">
        <v>31</v>
      </c>
      <c r="E294" s="3" t="s">
        <v>51</v>
      </c>
      <c r="F294" s="3" t="s">
        <v>93</v>
      </c>
      <c r="G294" s="3">
        <v>2025</v>
      </c>
      <c r="H294" s="3" t="str">
        <f>CONCATENATE("54240582426")</f>
        <v>54240582426</v>
      </c>
      <c r="I294" s="3" t="s">
        <v>34</v>
      </c>
      <c r="J294" s="3" t="s">
        <v>35</v>
      </c>
      <c r="K294" s="3"/>
      <c r="L294" s="3" t="s">
        <v>36</v>
      </c>
      <c r="M294" s="3" t="str">
        <f>CONCATENATE("FZZMTN75M41C704Q")</f>
        <v>FZZMTN75M41C704Q</v>
      </c>
      <c r="N294" s="3" t="s">
        <v>403</v>
      </c>
      <c r="O294" s="3" t="s">
        <v>38</v>
      </c>
      <c r="P294" s="3"/>
      <c r="Q294" s="4">
        <v>45968</v>
      </c>
      <c r="R294" s="3" t="s">
        <v>39</v>
      </c>
      <c r="S294" s="3" t="s">
        <v>38</v>
      </c>
      <c r="T294" s="3" t="s">
        <v>40</v>
      </c>
      <c r="U294" s="3"/>
      <c r="V294" s="3" t="s">
        <v>41</v>
      </c>
      <c r="W294" s="5">
        <v>1947.2</v>
      </c>
      <c r="X294" s="5">
        <v>1460.4</v>
      </c>
      <c r="Y294" s="3">
        <v>340.76</v>
      </c>
      <c r="Z294" s="3">
        <v>146.04</v>
      </c>
      <c r="AA294" s="3">
        <v>0</v>
      </c>
    </row>
    <row r="295" spans="1:27" ht="60.75" x14ac:dyDescent="0.25">
      <c r="A295" s="3" t="s">
        <v>28</v>
      </c>
      <c r="B295" s="3" t="s">
        <v>29</v>
      </c>
      <c r="C295" s="3" t="s">
        <v>30</v>
      </c>
      <c r="D295" s="3" t="s">
        <v>31</v>
      </c>
      <c r="E295" s="3" t="s">
        <v>51</v>
      </c>
      <c r="F295" s="3" t="s">
        <v>120</v>
      </c>
      <c r="G295" s="3">
        <v>2025</v>
      </c>
      <c r="H295" s="3" t="str">
        <f>CONCATENATE("54240584612")</f>
        <v>54240584612</v>
      </c>
      <c r="I295" s="3" t="s">
        <v>34</v>
      </c>
      <c r="J295" s="3" t="s">
        <v>35</v>
      </c>
      <c r="K295" s="3"/>
      <c r="L295" s="3" t="s">
        <v>36</v>
      </c>
      <c r="M295" s="3" t="str">
        <f>CONCATENATE("MNCFRC76R14D007J")</f>
        <v>MNCFRC76R14D007J</v>
      </c>
      <c r="N295" s="3" t="s">
        <v>404</v>
      </c>
      <c r="O295" s="3" t="s">
        <v>38</v>
      </c>
      <c r="P295" s="3"/>
      <c r="Q295" s="4">
        <v>45968</v>
      </c>
      <c r="R295" s="3" t="s">
        <v>39</v>
      </c>
      <c r="S295" s="3" t="s">
        <v>38</v>
      </c>
      <c r="T295" s="3" t="s">
        <v>40</v>
      </c>
      <c r="U295" s="3"/>
      <c r="V295" s="3" t="s">
        <v>41</v>
      </c>
      <c r="W295" s="5">
        <v>7713.68</v>
      </c>
      <c r="X295" s="5">
        <v>5785.26</v>
      </c>
      <c r="Y295" s="5">
        <v>1349.89</v>
      </c>
      <c r="Z295" s="3">
        <v>578.53</v>
      </c>
      <c r="AA295" s="3">
        <v>0</v>
      </c>
    </row>
    <row r="296" spans="1:27" ht="36.75" x14ac:dyDescent="0.25">
      <c r="A296" s="3" t="s">
        <v>28</v>
      </c>
      <c r="B296" s="3" t="s">
        <v>29</v>
      </c>
      <c r="C296" s="3" t="s">
        <v>30</v>
      </c>
      <c r="D296" s="3" t="s">
        <v>31</v>
      </c>
      <c r="E296" s="3" t="s">
        <v>132</v>
      </c>
      <c r="F296" s="3" t="s">
        <v>133</v>
      </c>
      <c r="G296" s="3">
        <v>2025</v>
      </c>
      <c r="H296" s="3" t="str">
        <f>CONCATENATE("54240584745")</f>
        <v>54240584745</v>
      </c>
      <c r="I296" s="3" t="s">
        <v>34</v>
      </c>
      <c r="J296" s="3" t="s">
        <v>35</v>
      </c>
      <c r="K296" s="3"/>
      <c r="L296" s="3" t="s">
        <v>36</v>
      </c>
      <c r="M296" s="3" t="str">
        <f>CONCATENATE("02784810422")</f>
        <v>02784810422</v>
      </c>
      <c r="N296" s="3" t="s">
        <v>405</v>
      </c>
      <c r="O296" s="3" t="s">
        <v>38</v>
      </c>
      <c r="P296" s="3"/>
      <c r="Q296" s="4">
        <v>45968</v>
      </c>
      <c r="R296" s="3" t="s">
        <v>39</v>
      </c>
      <c r="S296" s="3" t="s">
        <v>38</v>
      </c>
      <c r="T296" s="3" t="s">
        <v>40</v>
      </c>
      <c r="U296" s="3"/>
      <c r="V296" s="3" t="s">
        <v>41</v>
      </c>
      <c r="W296" s="5">
        <v>10513.43</v>
      </c>
      <c r="X296" s="5">
        <v>7885.07</v>
      </c>
      <c r="Y296" s="5">
        <v>1839.85</v>
      </c>
      <c r="Z296" s="3">
        <v>788.51</v>
      </c>
      <c r="AA296" s="3">
        <v>0</v>
      </c>
    </row>
    <row r="297" spans="1:27" ht="60.75" x14ac:dyDescent="0.25">
      <c r="A297" s="3" t="s">
        <v>28</v>
      </c>
      <c r="B297" s="3" t="s">
        <v>29</v>
      </c>
      <c r="C297" s="3" t="s">
        <v>30</v>
      </c>
      <c r="D297" s="3" t="s">
        <v>31</v>
      </c>
      <c r="E297" s="3" t="s">
        <v>60</v>
      </c>
      <c r="F297" s="3" t="s">
        <v>61</v>
      </c>
      <c r="G297" s="3">
        <v>2025</v>
      </c>
      <c r="H297" s="3" t="str">
        <f>CONCATENATE("54240584828")</f>
        <v>54240584828</v>
      </c>
      <c r="I297" s="3" t="s">
        <v>34</v>
      </c>
      <c r="J297" s="3" t="s">
        <v>35</v>
      </c>
      <c r="K297" s="3"/>
      <c r="L297" s="3" t="s">
        <v>36</v>
      </c>
      <c r="M297" s="3" t="str">
        <f>CONCATENATE("BLDPRZ60T62D451T")</f>
        <v>BLDPRZ60T62D451T</v>
      </c>
      <c r="N297" s="3" t="s">
        <v>406</v>
      </c>
      <c r="O297" s="3" t="s">
        <v>38</v>
      </c>
      <c r="P297" s="3"/>
      <c r="Q297" s="4">
        <v>45968</v>
      </c>
      <c r="R297" s="3" t="s">
        <v>39</v>
      </c>
      <c r="S297" s="3" t="s">
        <v>38</v>
      </c>
      <c r="T297" s="3" t="s">
        <v>40</v>
      </c>
      <c r="U297" s="3"/>
      <c r="V297" s="3" t="s">
        <v>41</v>
      </c>
      <c r="W297" s="5">
        <v>24520.65</v>
      </c>
      <c r="X297" s="5">
        <v>18390.490000000002</v>
      </c>
      <c r="Y297" s="5">
        <v>4291.1099999999997</v>
      </c>
      <c r="Z297" s="5">
        <v>1839.05</v>
      </c>
      <c r="AA297" s="3">
        <v>0</v>
      </c>
    </row>
    <row r="298" spans="1:27" ht="60.75" x14ac:dyDescent="0.25">
      <c r="A298" s="3" t="s">
        <v>28</v>
      </c>
      <c r="B298" s="3" t="s">
        <v>29</v>
      </c>
      <c r="C298" s="3" t="s">
        <v>30</v>
      </c>
      <c r="D298" s="3" t="s">
        <v>31</v>
      </c>
      <c r="E298" s="3" t="s">
        <v>51</v>
      </c>
      <c r="F298" s="3" t="s">
        <v>120</v>
      </c>
      <c r="G298" s="3">
        <v>2025</v>
      </c>
      <c r="H298" s="3" t="str">
        <f>CONCATENATE("54240600764")</f>
        <v>54240600764</v>
      </c>
      <c r="I298" s="3" t="s">
        <v>34</v>
      </c>
      <c r="J298" s="3" t="s">
        <v>35</v>
      </c>
      <c r="K298" s="3"/>
      <c r="L298" s="3" t="s">
        <v>36</v>
      </c>
      <c r="M298" s="3" t="str">
        <f>CONCATENATE("BGLVTR66M22C060O")</f>
        <v>BGLVTR66M22C060O</v>
      </c>
      <c r="N298" s="3" t="s">
        <v>407</v>
      </c>
      <c r="O298" s="3" t="s">
        <v>38</v>
      </c>
      <c r="P298" s="3"/>
      <c r="Q298" s="4">
        <v>45968</v>
      </c>
      <c r="R298" s="3" t="s">
        <v>39</v>
      </c>
      <c r="S298" s="3" t="s">
        <v>38</v>
      </c>
      <c r="T298" s="3" t="s">
        <v>40</v>
      </c>
      <c r="U298" s="3"/>
      <c r="V298" s="3" t="s">
        <v>41</v>
      </c>
      <c r="W298" s="3">
        <v>764.02</v>
      </c>
      <c r="X298" s="3">
        <v>573.02</v>
      </c>
      <c r="Y298" s="3">
        <v>133.69999999999999</v>
      </c>
      <c r="Z298" s="3">
        <v>57.3</v>
      </c>
      <c r="AA298" s="3">
        <v>0</v>
      </c>
    </row>
    <row r="299" spans="1:27" ht="60.75" x14ac:dyDescent="0.25">
      <c r="A299" s="3" t="s">
        <v>28</v>
      </c>
      <c r="B299" s="3" t="s">
        <v>29</v>
      </c>
      <c r="C299" s="3" t="s">
        <v>30</v>
      </c>
      <c r="D299" s="3" t="s">
        <v>47</v>
      </c>
      <c r="E299" s="3" t="s">
        <v>51</v>
      </c>
      <c r="F299" s="3" t="s">
        <v>161</v>
      </c>
      <c r="G299" s="3">
        <v>2025</v>
      </c>
      <c r="H299" s="3" t="str">
        <f>CONCATENATE("54240585403")</f>
        <v>54240585403</v>
      </c>
      <c r="I299" s="3" t="s">
        <v>34</v>
      </c>
      <c r="J299" s="3" t="s">
        <v>35</v>
      </c>
      <c r="K299" s="3"/>
      <c r="L299" s="3" t="s">
        <v>36</v>
      </c>
      <c r="M299" s="3" t="str">
        <f>CONCATENATE("MRCRRT87T07A859E")</f>
        <v>MRCRRT87T07A859E</v>
      </c>
      <c r="N299" s="3" t="s">
        <v>408</v>
      </c>
      <c r="O299" s="3" t="s">
        <v>38</v>
      </c>
      <c r="P299" s="3"/>
      <c r="Q299" s="4">
        <v>45968</v>
      </c>
      <c r="R299" s="3" t="s">
        <v>39</v>
      </c>
      <c r="S299" s="3" t="s">
        <v>38</v>
      </c>
      <c r="T299" s="3" t="s">
        <v>40</v>
      </c>
      <c r="U299" s="3"/>
      <c r="V299" s="3" t="s">
        <v>41</v>
      </c>
      <c r="W299" s="5">
        <v>5655.19</v>
      </c>
      <c r="X299" s="5">
        <v>4241.3900000000003</v>
      </c>
      <c r="Y299" s="3">
        <v>989.66</v>
      </c>
      <c r="Z299" s="3">
        <v>424.14</v>
      </c>
      <c r="AA299" s="3">
        <v>0</v>
      </c>
    </row>
    <row r="300" spans="1:27" ht="60.75" x14ac:dyDescent="0.25">
      <c r="A300" s="3" t="s">
        <v>28</v>
      </c>
      <c r="B300" s="3" t="s">
        <v>29</v>
      </c>
      <c r="C300" s="3" t="s">
        <v>30</v>
      </c>
      <c r="D300" s="3" t="s">
        <v>31</v>
      </c>
      <c r="E300" s="3" t="s">
        <v>32</v>
      </c>
      <c r="F300" s="3" t="s">
        <v>33</v>
      </c>
      <c r="G300" s="3">
        <v>2025</v>
      </c>
      <c r="H300" s="3" t="str">
        <f>CONCATENATE("54240585700")</f>
        <v>54240585700</v>
      </c>
      <c r="I300" s="3" t="s">
        <v>34</v>
      </c>
      <c r="J300" s="3" t="s">
        <v>35</v>
      </c>
      <c r="K300" s="3"/>
      <c r="L300" s="3" t="s">
        <v>36</v>
      </c>
      <c r="M300" s="3" t="str">
        <f>CONCATENATE("PTRMRC80A21E388I")</f>
        <v>PTRMRC80A21E388I</v>
      </c>
      <c r="N300" s="3" t="s">
        <v>409</v>
      </c>
      <c r="O300" s="3" t="s">
        <v>38</v>
      </c>
      <c r="P300" s="3"/>
      <c r="Q300" s="4">
        <v>45968</v>
      </c>
      <c r="R300" s="3" t="s">
        <v>39</v>
      </c>
      <c r="S300" s="3" t="s">
        <v>38</v>
      </c>
      <c r="T300" s="3" t="s">
        <v>40</v>
      </c>
      <c r="U300" s="3"/>
      <c r="V300" s="3" t="s">
        <v>41</v>
      </c>
      <c r="W300" s="3">
        <v>996.46</v>
      </c>
      <c r="X300" s="3">
        <v>747.35</v>
      </c>
      <c r="Y300" s="3">
        <v>174.38</v>
      </c>
      <c r="Z300" s="3">
        <v>74.73</v>
      </c>
      <c r="AA300" s="3">
        <v>0</v>
      </c>
    </row>
    <row r="301" spans="1:27" ht="60.75" x14ac:dyDescent="0.25">
      <c r="A301" s="3" t="s">
        <v>28</v>
      </c>
      <c r="B301" s="3" t="s">
        <v>29</v>
      </c>
      <c r="C301" s="3" t="s">
        <v>30</v>
      </c>
      <c r="D301" s="3" t="s">
        <v>65</v>
      </c>
      <c r="E301" s="3" t="s">
        <v>32</v>
      </c>
      <c r="F301" s="3" t="s">
        <v>135</v>
      </c>
      <c r="G301" s="3">
        <v>2025</v>
      </c>
      <c r="H301" s="3" t="str">
        <f>CONCATENATE("54240586039")</f>
        <v>54240586039</v>
      </c>
      <c r="I301" s="3" t="s">
        <v>34</v>
      </c>
      <c r="J301" s="3" t="s">
        <v>35</v>
      </c>
      <c r="K301" s="3"/>
      <c r="L301" s="3" t="s">
        <v>36</v>
      </c>
      <c r="M301" s="3" t="str">
        <f>CONCATENATE("GRDLSJ81T13D488W")</f>
        <v>GRDLSJ81T13D488W</v>
      </c>
      <c r="N301" s="3" t="s">
        <v>410</v>
      </c>
      <c r="O301" s="3" t="s">
        <v>38</v>
      </c>
      <c r="P301" s="3"/>
      <c r="Q301" s="4">
        <v>45968</v>
      </c>
      <c r="R301" s="3" t="s">
        <v>39</v>
      </c>
      <c r="S301" s="3" t="s">
        <v>38</v>
      </c>
      <c r="T301" s="3" t="s">
        <v>40</v>
      </c>
      <c r="U301" s="3"/>
      <c r="V301" s="3" t="s">
        <v>41</v>
      </c>
      <c r="W301" s="5">
        <v>8079.95</v>
      </c>
      <c r="X301" s="5">
        <v>6059.96</v>
      </c>
      <c r="Y301" s="5">
        <v>1413.99</v>
      </c>
      <c r="Z301" s="3">
        <v>606</v>
      </c>
      <c r="AA301" s="3">
        <v>0</v>
      </c>
    </row>
    <row r="302" spans="1:27" ht="72.75" x14ac:dyDescent="0.25">
      <c r="A302" s="3" t="s">
        <v>28</v>
      </c>
      <c r="B302" s="3" t="s">
        <v>29</v>
      </c>
      <c r="C302" s="3" t="s">
        <v>30</v>
      </c>
      <c r="D302" s="3" t="s">
        <v>42</v>
      </c>
      <c r="E302" s="3" t="s">
        <v>43</v>
      </c>
      <c r="F302" s="3" t="s">
        <v>43</v>
      </c>
      <c r="G302" s="3">
        <v>2025</v>
      </c>
      <c r="H302" s="3" t="str">
        <f>CONCATENATE("54240585890")</f>
        <v>54240585890</v>
      </c>
      <c r="I302" s="3" t="s">
        <v>34</v>
      </c>
      <c r="J302" s="3" t="s">
        <v>35</v>
      </c>
      <c r="K302" s="3"/>
      <c r="L302" s="3" t="s">
        <v>36</v>
      </c>
      <c r="M302" s="3" t="str">
        <f>CONCATENATE("CTNGZN57R18D096G")</f>
        <v>CTNGZN57R18D096G</v>
      </c>
      <c r="N302" s="3" t="s">
        <v>411</v>
      </c>
      <c r="O302" s="3" t="s">
        <v>38</v>
      </c>
      <c r="P302" s="3"/>
      <c r="Q302" s="4">
        <v>45968</v>
      </c>
      <c r="R302" s="3" t="s">
        <v>39</v>
      </c>
      <c r="S302" s="3" t="s">
        <v>38</v>
      </c>
      <c r="T302" s="3" t="s">
        <v>40</v>
      </c>
      <c r="U302" s="3"/>
      <c r="V302" s="3" t="s">
        <v>41</v>
      </c>
      <c r="W302" s="5">
        <v>2161.23</v>
      </c>
      <c r="X302" s="5">
        <v>1620.92</v>
      </c>
      <c r="Y302" s="3">
        <v>378.22</v>
      </c>
      <c r="Z302" s="3">
        <v>162.09</v>
      </c>
      <c r="AA302" s="3">
        <v>0</v>
      </c>
    </row>
    <row r="303" spans="1:27" ht="60.75" x14ac:dyDescent="0.25">
      <c r="A303" s="3" t="s">
        <v>28</v>
      </c>
      <c r="B303" s="3" t="s">
        <v>29</v>
      </c>
      <c r="C303" s="3" t="s">
        <v>30</v>
      </c>
      <c r="D303" s="3" t="s">
        <v>42</v>
      </c>
      <c r="E303" s="3" t="s">
        <v>43</v>
      </c>
      <c r="F303" s="3" t="s">
        <v>43</v>
      </c>
      <c r="G303" s="3">
        <v>2025</v>
      </c>
      <c r="H303" s="3" t="str">
        <f>CONCATENATE("54240585841")</f>
        <v>54240585841</v>
      </c>
      <c r="I303" s="3" t="s">
        <v>34</v>
      </c>
      <c r="J303" s="3" t="s">
        <v>35</v>
      </c>
      <c r="K303" s="3"/>
      <c r="L303" s="3" t="s">
        <v>36</v>
      </c>
      <c r="M303" s="3" t="str">
        <f>CONCATENATE("CRMLRD49R11E207L")</f>
        <v>CRMLRD49R11E207L</v>
      </c>
      <c r="N303" s="3" t="s">
        <v>412</v>
      </c>
      <c r="O303" s="3" t="s">
        <v>38</v>
      </c>
      <c r="P303" s="3"/>
      <c r="Q303" s="4">
        <v>45968</v>
      </c>
      <c r="R303" s="3" t="s">
        <v>39</v>
      </c>
      <c r="S303" s="3" t="s">
        <v>38</v>
      </c>
      <c r="T303" s="3" t="s">
        <v>40</v>
      </c>
      <c r="U303" s="3"/>
      <c r="V303" s="3" t="s">
        <v>41</v>
      </c>
      <c r="W303" s="5">
        <v>3060.6</v>
      </c>
      <c r="X303" s="5">
        <v>2295.4499999999998</v>
      </c>
      <c r="Y303" s="3">
        <v>535.61</v>
      </c>
      <c r="Z303" s="3">
        <v>229.54</v>
      </c>
      <c r="AA303" s="3">
        <v>0</v>
      </c>
    </row>
    <row r="304" spans="1:27" ht="60.75" x14ac:dyDescent="0.25">
      <c r="A304" s="3" t="s">
        <v>28</v>
      </c>
      <c r="B304" s="3" t="s">
        <v>29</v>
      </c>
      <c r="C304" s="3" t="s">
        <v>30</v>
      </c>
      <c r="D304" s="3" t="s">
        <v>31</v>
      </c>
      <c r="E304" s="3" t="s">
        <v>132</v>
      </c>
      <c r="F304" s="3" t="s">
        <v>133</v>
      </c>
      <c r="G304" s="3">
        <v>2025</v>
      </c>
      <c r="H304" s="3" t="str">
        <f>CONCATENATE("54240586179")</f>
        <v>54240586179</v>
      </c>
      <c r="I304" s="3" t="s">
        <v>34</v>
      </c>
      <c r="J304" s="3" t="s">
        <v>35</v>
      </c>
      <c r="K304" s="3"/>
      <c r="L304" s="3" t="s">
        <v>36</v>
      </c>
      <c r="M304" s="3" t="str">
        <f>CONCATENATE("PRZCTT94R57A459M")</f>
        <v>PRZCTT94R57A459M</v>
      </c>
      <c r="N304" s="3" t="s">
        <v>413</v>
      </c>
      <c r="O304" s="3" t="s">
        <v>38</v>
      </c>
      <c r="P304" s="3"/>
      <c r="Q304" s="4">
        <v>45968</v>
      </c>
      <c r="R304" s="3" t="s">
        <v>39</v>
      </c>
      <c r="S304" s="3" t="s">
        <v>38</v>
      </c>
      <c r="T304" s="3" t="s">
        <v>40</v>
      </c>
      <c r="U304" s="3"/>
      <c r="V304" s="3" t="s">
        <v>41</v>
      </c>
      <c r="W304" s="5">
        <v>1792.49</v>
      </c>
      <c r="X304" s="5">
        <v>1344.37</v>
      </c>
      <c r="Y304" s="3">
        <v>313.69</v>
      </c>
      <c r="Z304" s="3">
        <v>134.43</v>
      </c>
      <c r="AA304" s="3">
        <v>0</v>
      </c>
    </row>
    <row r="305" spans="1:27" ht="60.75" x14ac:dyDescent="0.25">
      <c r="A305" s="3" t="s">
        <v>28</v>
      </c>
      <c r="B305" s="3" t="s">
        <v>29</v>
      </c>
      <c r="C305" s="3" t="s">
        <v>30</v>
      </c>
      <c r="D305" s="3" t="s">
        <v>47</v>
      </c>
      <c r="E305" s="3" t="s">
        <v>51</v>
      </c>
      <c r="F305" s="3" t="s">
        <v>161</v>
      </c>
      <c r="G305" s="3">
        <v>2025</v>
      </c>
      <c r="H305" s="3" t="str">
        <f>CONCATENATE("54240586518")</f>
        <v>54240586518</v>
      </c>
      <c r="I305" s="3" t="s">
        <v>34</v>
      </c>
      <c r="J305" s="3" t="s">
        <v>35</v>
      </c>
      <c r="K305" s="3"/>
      <c r="L305" s="3" t="s">
        <v>36</v>
      </c>
      <c r="M305" s="3" t="str">
        <f>CONCATENATE("SGLLBR63S12I156K")</f>
        <v>SGLLBR63S12I156K</v>
      </c>
      <c r="N305" s="3" t="s">
        <v>414</v>
      </c>
      <c r="O305" s="3" t="s">
        <v>38</v>
      </c>
      <c r="P305" s="3"/>
      <c r="Q305" s="4">
        <v>45968</v>
      </c>
      <c r="R305" s="3" t="s">
        <v>39</v>
      </c>
      <c r="S305" s="3" t="s">
        <v>38</v>
      </c>
      <c r="T305" s="3" t="s">
        <v>40</v>
      </c>
      <c r="U305" s="3"/>
      <c r="V305" s="3" t="s">
        <v>41</v>
      </c>
      <c r="W305" s="5">
        <v>3816.33</v>
      </c>
      <c r="X305" s="5">
        <v>2862.25</v>
      </c>
      <c r="Y305" s="3">
        <v>667.86</v>
      </c>
      <c r="Z305" s="3">
        <v>286.22000000000003</v>
      </c>
      <c r="AA305" s="3">
        <v>0</v>
      </c>
    </row>
    <row r="306" spans="1:27" ht="60.75" x14ac:dyDescent="0.25">
      <c r="A306" s="3" t="s">
        <v>28</v>
      </c>
      <c r="B306" s="3" t="s">
        <v>29</v>
      </c>
      <c r="C306" s="3" t="s">
        <v>30</v>
      </c>
      <c r="D306" s="3" t="s">
        <v>42</v>
      </c>
      <c r="E306" s="3" t="s">
        <v>43</v>
      </c>
      <c r="F306" s="3" t="s">
        <v>43</v>
      </c>
      <c r="G306" s="3">
        <v>2025</v>
      </c>
      <c r="H306" s="3" t="str">
        <f>CONCATENATE("54240586591")</f>
        <v>54240586591</v>
      </c>
      <c r="I306" s="3" t="s">
        <v>34</v>
      </c>
      <c r="J306" s="3" t="s">
        <v>35</v>
      </c>
      <c r="K306" s="3"/>
      <c r="L306" s="3" t="s">
        <v>36</v>
      </c>
      <c r="M306" s="3" t="str">
        <f>CONCATENATE("FLZRST36B22D096N")</f>
        <v>FLZRST36B22D096N</v>
      </c>
      <c r="N306" s="3" t="s">
        <v>415</v>
      </c>
      <c r="O306" s="3" t="s">
        <v>38</v>
      </c>
      <c r="P306" s="3"/>
      <c r="Q306" s="4">
        <v>45968</v>
      </c>
      <c r="R306" s="3" t="s">
        <v>39</v>
      </c>
      <c r="S306" s="3" t="s">
        <v>38</v>
      </c>
      <c r="T306" s="3" t="s">
        <v>40</v>
      </c>
      <c r="U306" s="3"/>
      <c r="V306" s="3" t="s">
        <v>41</v>
      </c>
      <c r="W306" s="5">
        <v>3166.39</v>
      </c>
      <c r="X306" s="5">
        <v>2374.79</v>
      </c>
      <c r="Y306" s="3">
        <v>554.12</v>
      </c>
      <c r="Z306" s="3">
        <v>237.48</v>
      </c>
      <c r="AA306" s="3">
        <v>0</v>
      </c>
    </row>
    <row r="307" spans="1:27" ht="60.75" x14ac:dyDescent="0.25">
      <c r="A307" s="3" t="s">
        <v>28</v>
      </c>
      <c r="B307" s="3" t="s">
        <v>29</v>
      </c>
      <c r="C307" s="3" t="s">
        <v>30</v>
      </c>
      <c r="D307" s="3" t="s">
        <v>42</v>
      </c>
      <c r="E307" s="3" t="s">
        <v>154</v>
      </c>
      <c r="F307" s="3" t="s">
        <v>155</v>
      </c>
      <c r="G307" s="3">
        <v>2025</v>
      </c>
      <c r="H307" s="3" t="str">
        <f>CONCATENATE("54240590924")</f>
        <v>54240590924</v>
      </c>
      <c r="I307" s="3" t="s">
        <v>34</v>
      </c>
      <c r="J307" s="3" t="s">
        <v>35</v>
      </c>
      <c r="K307" s="3"/>
      <c r="L307" s="3" t="s">
        <v>36</v>
      </c>
      <c r="M307" s="3" t="str">
        <f>CONCATENATE("FRRPLA64L17A462O")</f>
        <v>FRRPLA64L17A462O</v>
      </c>
      <c r="N307" s="3" t="s">
        <v>416</v>
      </c>
      <c r="O307" s="3" t="s">
        <v>38</v>
      </c>
      <c r="P307" s="3"/>
      <c r="Q307" s="4">
        <v>45968</v>
      </c>
      <c r="R307" s="3" t="s">
        <v>39</v>
      </c>
      <c r="S307" s="3" t="s">
        <v>38</v>
      </c>
      <c r="T307" s="3" t="s">
        <v>40</v>
      </c>
      <c r="U307" s="3"/>
      <c r="V307" s="3" t="s">
        <v>41</v>
      </c>
      <c r="W307" s="5">
        <v>7046.23</v>
      </c>
      <c r="X307" s="5">
        <v>5284.67</v>
      </c>
      <c r="Y307" s="5">
        <v>1233.0899999999999</v>
      </c>
      <c r="Z307" s="3">
        <v>528.47</v>
      </c>
      <c r="AA307" s="3">
        <v>0</v>
      </c>
    </row>
    <row r="308" spans="1:27" ht="60.75" x14ac:dyDescent="0.25">
      <c r="A308" s="3" t="s">
        <v>28</v>
      </c>
      <c r="B308" s="3" t="s">
        <v>29</v>
      </c>
      <c r="C308" s="3" t="s">
        <v>30</v>
      </c>
      <c r="D308" s="3" t="s">
        <v>31</v>
      </c>
      <c r="E308" s="3" t="s">
        <v>60</v>
      </c>
      <c r="F308" s="3" t="s">
        <v>61</v>
      </c>
      <c r="G308" s="3">
        <v>2025</v>
      </c>
      <c r="H308" s="3" t="str">
        <f>CONCATENATE("54240588209")</f>
        <v>54240588209</v>
      </c>
      <c r="I308" s="3" t="s">
        <v>34</v>
      </c>
      <c r="J308" s="3" t="s">
        <v>35</v>
      </c>
      <c r="K308" s="3"/>
      <c r="L308" s="3" t="s">
        <v>36</v>
      </c>
      <c r="M308" s="3" t="str">
        <f>CONCATENATE("BNCNLS40A50H501L")</f>
        <v>BNCNLS40A50H501L</v>
      </c>
      <c r="N308" s="3" t="s">
        <v>417</v>
      </c>
      <c r="O308" s="3" t="s">
        <v>38</v>
      </c>
      <c r="P308" s="3"/>
      <c r="Q308" s="4">
        <v>45968</v>
      </c>
      <c r="R308" s="3" t="s">
        <v>39</v>
      </c>
      <c r="S308" s="3" t="s">
        <v>38</v>
      </c>
      <c r="T308" s="3" t="s">
        <v>40</v>
      </c>
      <c r="U308" s="3"/>
      <c r="V308" s="3" t="s">
        <v>41</v>
      </c>
      <c r="W308" s="5">
        <v>67274</v>
      </c>
      <c r="X308" s="5">
        <v>50455.5</v>
      </c>
      <c r="Y308" s="5">
        <v>11772.95</v>
      </c>
      <c r="Z308" s="5">
        <v>5045.55</v>
      </c>
      <c r="AA308" s="3">
        <v>0</v>
      </c>
    </row>
    <row r="309" spans="1:27" ht="72.75" x14ac:dyDescent="0.25">
      <c r="A309" s="3" t="s">
        <v>28</v>
      </c>
      <c r="B309" s="3" t="s">
        <v>29</v>
      </c>
      <c r="C309" s="3" t="s">
        <v>30</v>
      </c>
      <c r="D309" s="3" t="s">
        <v>31</v>
      </c>
      <c r="E309" s="3" t="s">
        <v>51</v>
      </c>
      <c r="F309" s="3" t="s">
        <v>300</v>
      </c>
      <c r="G309" s="3">
        <v>2025</v>
      </c>
      <c r="H309" s="3" t="str">
        <f>CONCATENATE("54240588332")</f>
        <v>54240588332</v>
      </c>
      <c r="I309" s="3" t="s">
        <v>34</v>
      </c>
      <c r="J309" s="3" t="s">
        <v>35</v>
      </c>
      <c r="K309" s="3"/>
      <c r="L309" s="3" t="s">
        <v>36</v>
      </c>
      <c r="M309" s="3" t="str">
        <f>CONCATENATE("BNGFNC75M01A271D")</f>
        <v>BNGFNC75M01A271D</v>
      </c>
      <c r="N309" s="3" t="s">
        <v>418</v>
      </c>
      <c r="O309" s="3" t="s">
        <v>38</v>
      </c>
      <c r="P309" s="3"/>
      <c r="Q309" s="4">
        <v>45968</v>
      </c>
      <c r="R309" s="3" t="s">
        <v>39</v>
      </c>
      <c r="S309" s="3" t="s">
        <v>38</v>
      </c>
      <c r="T309" s="3" t="s">
        <v>40</v>
      </c>
      <c r="U309" s="3"/>
      <c r="V309" s="3" t="s">
        <v>41</v>
      </c>
      <c r="W309" s="3">
        <v>149.97</v>
      </c>
      <c r="X309" s="3">
        <v>112.48</v>
      </c>
      <c r="Y309" s="3">
        <v>26.24</v>
      </c>
      <c r="Z309" s="3">
        <v>11.25</v>
      </c>
      <c r="AA309" s="3">
        <v>0</v>
      </c>
    </row>
    <row r="310" spans="1:27" ht="60.75" x14ac:dyDescent="0.25">
      <c r="A310" s="3" t="s">
        <v>28</v>
      </c>
      <c r="B310" s="3" t="s">
        <v>29</v>
      </c>
      <c r="C310" s="3" t="s">
        <v>30</v>
      </c>
      <c r="D310" s="3" t="s">
        <v>31</v>
      </c>
      <c r="E310" s="3" t="s">
        <v>60</v>
      </c>
      <c r="F310" s="3" t="s">
        <v>61</v>
      </c>
      <c r="G310" s="3">
        <v>2025</v>
      </c>
      <c r="H310" s="3" t="str">
        <f>CONCATENATE("54240588993")</f>
        <v>54240588993</v>
      </c>
      <c r="I310" s="3" t="s">
        <v>34</v>
      </c>
      <c r="J310" s="3" t="s">
        <v>35</v>
      </c>
      <c r="K310" s="3"/>
      <c r="L310" s="3" t="s">
        <v>36</v>
      </c>
      <c r="M310" s="3" t="str">
        <f>CONCATENATE("JNNTTR80B22F205X")</f>
        <v>JNNTTR80B22F205X</v>
      </c>
      <c r="N310" s="3" t="s">
        <v>419</v>
      </c>
      <c r="O310" s="3" t="s">
        <v>38</v>
      </c>
      <c r="P310" s="3"/>
      <c r="Q310" s="4">
        <v>45968</v>
      </c>
      <c r="R310" s="3" t="s">
        <v>39</v>
      </c>
      <c r="S310" s="3" t="s">
        <v>38</v>
      </c>
      <c r="T310" s="3" t="s">
        <v>40</v>
      </c>
      <c r="U310" s="3"/>
      <c r="V310" s="3" t="s">
        <v>41</v>
      </c>
      <c r="W310" s="5">
        <v>4306.5200000000004</v>
      </c>
      <c r="X310" s="5">
        <v>3229.89</v>
      </c>
      <c r="Y310" s="3">
        <v>753.64</v>
      </c>
      <c r="Z310" s="3">
        <v>322.99</v>
      </c>
      <c r="AA310" s="3">
        <v>0</v>
      </c>
    </row>
    <row r="311" spans="1:27" ht="36.75" x14ac:dyDescent="0.25">
      <c r="A311" s="3" t="s">
        <v>28</v>
      </c>
      <c r="B311" s="3" t="s">
        <v>29</v>
      </c>
      <c r="C311" s="3" t="s">
        <v>30</v>
      </c>
      <c r="D311" s="3" t="s">
        <v>47</v>
      </c>
      <c r="E311" s="3" t="s">
        <v>51</v>
      </c>
      <c r="F311" s="3" t="s">
        <v>103</v>
      </c>
      <c r="G311" s="3">
        <v>2025</v>
      </c>
      <c r="H311" s="3" t="str">
        <f>CONCATENATE("54240589769")</f>
        <v>54240589769</v>
      </c>
      <c r="I311" s="3" t="s">
        <v>34</v>
      </c>
      <c r="J311" s="3" t="s">
        <v>35</v>
      </c>
      <c r="K311" s="3"/>
      <c r="L311" s="3" t="s">
        <v>36</v>
      </c>
      <c r="M311" s="3" t="str">
        <f>CONCATENATE("01445980434")</f>
        <v>01445980434</v>
      </c>
      <c r="N311" s="3" t="s">
        <v>420</v>
      </c>
      <c r="O311" s="3" t="s">
        <v>38</v>
      </c>
      <c r="P311" s="3"/>
      <c r="Q311" s="4">
        <v>45968</v>
      </c>
      <c r="R311" s="3" t="s">
        <v>39</v>
      </c>
      <c r="S311" s="3" t="s">
        <v>38</v>
      </c>
      <c r="T311" s="3" t="s">
        <v>40</v>
      </c>
      <c r="U311" s="3"/>
      <c r="V311" s="3" t="s">
        <v>41</v>
      </c>
      <c r="W311" s="5">
        <v>8281.73</v>
      </c>
      <c r="X311" s="5">
        <v>6211.3</v>
      </c>
      <c r="Y311" s="5">
        <v>1449.3</v>
      </c>
      <c r="Z311" s="3">
        <v>621.13</v>
      </c>
      <c r="AA311" s="3">
        <v>0</v>
      </c>
    </row>
    <row r="312" spans="1:27" ht="72.75" x14ac:dyDescent="0.25">
      <c r="A312" s="3" t="s">
        <v>28</v>
      </c>
      <c r="B312" s="3" t="s">
        <v>29</v>
      </c>
      <c r="C312" s="3" t="s">
        <v>30</v>
      </c>
      <c r="D312" s="3" t="s">
        <v>47</v>
      </c>
      <c r="E312" s="3" t="s">
        <v>60</v>
      </c>
      <c r="F312" s="3" t="s">
        <v>81</v>
      </c>
      <c r="G312" s="3">
        <v>2025</v>
      </c>
      <c r="H312" s="3" t="str">
        <f>CONCATENATE("54240590049")</f>
        <v>54240590049</v>
      </c>
      <c r="I312" s="3" t="s">
        <v>34</v>
      </c>
      <c r="J312" s="3" t="s">
        <v>35</v>
      </c>
      <c r="K312" s="3"/>
      <c r="L312" s="3" t="s">
        <v>36</v>
      </c>
      <c r="M312" s="3" t="str">
        <f>CONCATENATE("DMNLCU65T55E783H")</f>
        <v>DMNLCU65T55E783H</v>
      </c>
      <c r="N312" s="3" t="s">
        <v>421</v>
      </c>
      <c r="O312" s="3" t="s">
        <v>38</v>
      </c>
      <c r="P312" s="3"/>
      <c r="Q312" s="4">
        <v>45968</v>
      </c>
      <c r="R312" s="3" t="s">
        <v>39</v>
      </c>
      <c r="S312" s="3" t="s">
        <v>38</v>
      </c>
      <c r="T312" s="3" t="s">
        <v>40</v>
      </c>
      <c r="U312" s="3"/>
      <c r="V312" s="3" t="s">
        <v>41</v>
      </c>
      <c r="W312" s="3">
        <v>889.87</v>
      </c>
      <c r="X312" s="3">
        <v>667.4</v>
      </c>
      <c r="Y312" s="3">
        <v>155.72999999999999</v>
      </c>
      <c r="Z312" s="3">
        <v>66.739999999999995</v>
      </c>
      <c r="AA312" s="3">
        <v>0</v>
      </c>
    </row>
    <row r="313" spans="1:27" ht="60.75" x14ac:dyDescent="0.25">
      <c r="A313" s="3" t="s">
        <v>28</v>
      </c>
      <c r="B313" s="3" t="s">
        <v>29</v>
      </c>
      <c r="C313" s="3" t="s">
        <v>30</v>
      </c>
      <c r="D313" s="3" t="s">
        <v>65</v>
      </c>
      <c r="E313" s="3" t="s">
        <v>32</v>
      </c>
      <c r="F313" s="3" t="s">
        <v>144</v>
      </c>
      <c r="G313" s="3">
        <v>2025</v>
      </c>
      <c r="H313" s="3" t="str">
        <f>CONCATENATE("54240590213")</f>
        <v>54240590213</v>
      </c>
      <c r="I313" s="3" t="s">
        <v>34</v>
      </c>
      <c r="J313" s="3" t="s">
        <v>35</v>
      </c>
      <c r="K313" s="3"/>
      <c r="L313" s="3" t="s">
        <v>36</v>
      </c>
      <c r="M313" s="3" t="str">
        <f>CONCATENATE("TNTPLA59A65D541S")</f>
        <v>TNTPLA59A65D541S</v>
      </c>
      <c r="N313" s="3" t="s">
        <v>422</v>
      </c>
      <c r="O313" s="3" t="s">
        <v>38</v>
      </c>
      <c r="P313" s="3"/>
      <c r="Q313" s="4">
        <v>45968</v>
      </c>
      <c r="R313" s="3" t="s">
        <v>39</v>
      </c>
      <c r="S313" s="3" t="s">
        <v>38</v>
      </c>
      <c r="T313" s="3" t="s">
        <v>40</v>
      </c>
      <c r="U313" s="3"/>
      <c r="V313" s="3" t="s">
        <v>41</v>
      </c>
      <c r="W313" s="3">
        <v>639.41999999999996</v>
      </c>
      <c r="X313" s="3">
        <v>479.57</v>
      </c>
      <c r="Y313" s="3">
        <v>111.9</v>
      </c>
      <c r="Z313" s="3">
        <v>47.95</v>
      </c>
      <c r="AA313" s="3">
        <v>0</v>
      </c>
    </row>
    <row r="314" spans="1:27" ht="36.75" x14ac:dyDescent="0.25">
      <c r="A314" s="3" t="s">
        <v>28</v>
      </c>
      <c r="B314" s="3" t="s">
        <v>29</v>
      </c>
      <c r="C314" s="3" t="s">
        <v>30</v>
      </c>
      <c r="D314" s="3" t="s">
        <v>31</v>
      </c>
      <c r="E314" s="3" t="s">
        <v>32</v>
      </c>
      <c r="F314" s="3" t="s">
        <v>33</v>
      </c>
      <c r="G314" s="3">
        <v>2025</v>
      </c>
      <c r="H314" s="3" t="str">
        <f>CONCATENATE("54240590361")</f>
        <v>54240590361</v>
      </c>
      <c r="I314" s="3" t="s">
        <v>34</v>
      </c>
      <c r="J314" s="3" t="s">
        <v>35</v>
      </c>
      <c r="K314" s="3"/>
      <c r="L314" s="3" t="s">
        <v>36</v>
      </c>
      <c r="M314" s="3" t="str">
        <f>CONCATENATE("02965800424")</f>
        <v>02965800424</v>
      </c>
      <c r="N314" s="3" t="s">
        <v>423</v>
      </c>
      <c r="O314" s="3" t="s">
        <v>38</v>
      </c>
      <c r="P314" s="3"/>
      <c r="Q314" s="4">
        <v>45968</v>
      </c>
      <c r="R314" s="3" t="s">
        <v>39</v>
      </c>
      <c r="S314" s="3" t="s">
        <v>38</v>
      </c>
      <c r="T314" s="3" t="s">
        <v>40</v>
      </c>
      <c r="U314" s="3"/>
      <c r="V314" s="3" t="s">
        <v>41</v>
      </c>
      <c r="W314" s="3">
        <v>68.3</v>
      </c>
      <c r="X314" s="3">
        <v>51.23</v>
      </c>
      <c r="Y314" s="3">
        <v>11.95</v>
      </c>
      <c r="Z314" s="3">
        <v>5.12</v>
      </c>
      <c r="AA314" s="3">
        <v>0</v>
      </c>
    </row>
    <row r="315" spans="1:27" ht="60.75" x14ac:dyDescent="0.25">
      <c r="A315" s="3" t="s">
        <v>28</v>
      </c>
      <c r="B315" s="3" t="s">
        <v>29</v>
      </c>
      <c r="C315" s="3" t="s">
        <v>30</v>
      </c>
      <c r="D315" s="3" t="s">
        <v>65</v>
      </c>
      <c r="E315" s="3" t="s">
        <v>32</v>
      </c>
      <c r="F315" s="3" t="s">
        <v>144</v>
      </c>
      <c r="G315" s="3">
        <v>2025</v>
      </c>
      <c r="H315" s="3" t="str">
        <f>CONCATENATE("54240590882")</f>
        <v>54240590882</v>
      </c>
      <c r="I315" s="3" t="s">
        <v>34</v>
      </c>
      <c r="J315" s="3" t="s">
        <v>35</v>
      </c>
      <c r="K315" s="3"/>
      <c r="L315" s="3" t="s">
        <v>36</v>
      </c>
      <c r="M315" s="3" t="str">
        <f>CONCATENATE("RBNNLD61E47G479I")</f>
        <v>RBNNLD61E47G479I</v>
      </c>
      <c r="N315" s="3" t="s">
        <v>424</v>
      </c>
      <c r="O315" s="3" t="s">
        <v>38</v>
      </c>
      <c r="P315" s="3"/>
      <c r="Q315" s="4">
        <v>45968</v>
      </c>
      <c r="R315" s="3" t="s">
        <v>39</v>
      </c>
      <c r="S315" s="3" t="s">
        <v>38</v>
      </c>
      <c r="T315" s="3" t="s">
        <v>40</v>
      </c>
      <c r="U315" s="3"/>
      <c r="V315" s="3" t="s">
        <v>41</v>
      </c>
      <c r="W315" s="5">
        <v>1368.32</v>
      </c>
      <c r="X315" s="5">
        <v>1026.24</v>
      </c>
      <c r="Y315" s="3">
        <v>239.46</v>
      </c>
      <c r="Z315" s="3">
        <v>102.62</v>
      </c>
      <c r="AA315" s="3">
        <v>0</v>
      </c>
    </row>
    <row r="316" spans="1:27" ht="60.75" x14ac:dyDescent="0.25">
      <c r="A316" s="3" t="s">
        <v>28</v>
      </c>
      <c r="B316" s="3" t="s">
        <v>29</v>
      </c>
      <c r="C316" s="3" t="s">
        <v>30</v>
      </c>
      <c r="D316" s="3" t="s">
        <v>31</v>
      </c>
      <c r="E316" s="3" t="s">
        <v>60</v>
      </c>
      <c r="F316" s="3" t="s">
        <v>61</v>
      </c>
      <c r="G316" s="3">
        <v>2025</v>
      </c>
      <c r="H316" s="3" t="str">
        <f>CONCATENATE("54240592359")</f>
        <v>54240592359</v>
      </c>
      <c r="I316" s="3" t="s">
        <v>34</v>
      </c>
      <c r="J316" s="3" t="s">
        <v>35</v>
      </c>
      <c r="K316" s="3"/>
      <c r="L316" s="3" t="s">
        <v>36</v>
      </c>
      <c r="M316" s="3" t="str">
        <f>CONCATENATE("ZMPSVN64S53L746N")</f>
        <v>ZMPSVN64S53L746N</v>
      </c>
      <c r="N316" s="3" t="s">
        <v>425</v>
      </c>
      <c r="O316" s="3" t="s">
        <v>38</v>
      </c>
      <c r="P316" s="3"/>
      <c r="Q316" s="4">
        <v>45968</v>
      </c>
      <c r="R316" s="3" t="s">
        <v>39</v>
      </c>
      <c r="S316" s="3" t="s">
        <v>38</v>
      </c>
      <c r="T316" s="3" t="s">
        <v>40</v>
      </c>
      <c r="U316" s="3"/>
      <c r="V316" s="3" t="s">
        <v>41</v>
      </c>
      <c r="W316" s="5">
        <v>7449.6</v>
      </c>
      <c r="X316" s="5">
        <v>5587.2</v>
      </c>
      <c r="Y316" s="5">
        <v>1303.68</v>
      </c>
      <c r="Z316" s="3">
        <v>558.72</v>
      </c>
      <c r="AA316" s="3">
        <v>0</v>
      </c>
    </row>
    <row r="317" spans="1:27" ht="36.75" x14ac:dyDescent="0.25">
      <c r="A317" s="3" t="s">
        <v>28</v>
      </c>
      <c r="B317" s="3" t="s">
        <v>29</v>
      </c>
      <c r="C317" s="3" t="s">
        <v>30</v>
      </c>
      <c r="D317" s="3" t="s">
        <v>31</v>
      </c>
      <c r="E317" s="3" t="s">
        <v>32</v>
      </c>
      <c r="F317" s="3" t="s">
        <v>33</v>
      </c>
      <c r="G317" s="3">
        <v>2025</v>
      </c>
      <c r="H317" s="3" t="str">
        <f>CONCATENATE("54240592805")</f>
        <v>54240592805</v>
      </c>
      <c r="I317" s="3" t="s">
        <v>34</v>
      </c>
      <c r="J317" s="3" t="s">
        <v>35</v>
      </c>
      <c r="K317" s="3"/>
      <c r="L317" s="3" t="s">
        <v>36</v>
      </c>
      <c r="M317" s="3" t="str">
        <f>CONCATENATE("02426390429")</f>
        <v>02426390429</v>
      </c>
      <c r="N317" s="3" t="s">
        <v>426</v>
      </c>
      <c r="O317" s="3" t="s">
        <v>38</v>
      </c>
      <c r="P317" s="3"/>
      <c r="Q317" s="4">
        <v>45968</v>
      </c>
      <c r="R317" s="3" t="s">
        <v>39</v>
      </c>
      <c r="S317" s="3" t="s">
        <v>38</v>
      </c>
      <c r="T317" s="3" t="s">
        <v>40</v>
      </c>
      <c r="U317" s="3"/>
      <c r="V317" s="3" t="s">
        <v>41</v>
      </c>
      <c r="W317" s="5">
        <v>3279.94</v>
      </c>
      <c r="X317" s="5">
        <v>2459.96</v>
      </c>
      <c r="Y317" s="3">
        <v>573.99</v>
      </c>
      <c r="Z317" s="3">
        <v>245.99</v>
      </c>
      <c r="AA317" s="3">
        <v>0</v>
      </c>
    </row>
    <row r="318" spans="1:27" ht="60.75" x14ac:dyDescent="0.25">
      <c r="A318" s="3" t="s">
        <v>28</v>
      </c>
      <c r="B318" s="3" t="s">
        <v>29</v>
      </c>
      <c r="C318" s="3" t="s">
        <v>30</v>
      </c>
      <c r="D318" s="3" t="s">
        <v>47</v>
      </c>
      <c r="E318" s="3" t="s">
        <v>51</v>
      </c>
      <c r="F318" s="3" t="s">
        <v>83</v>
      </c>
      <c r="G318" s="3">
        <v>2025</v>
      </c>
      <c r="H318" s="3" t="str">
        <f>CONCATENATE("54240593217")</f>
        <v>54240593217</v>
      </c>
      <c r="I318" s="3" t="s">
        <v>34</v>
      </c>
      <c r="J318" s="3" t="s">
        <v>35</v>
      </c>
      <c r="K318" s="3"/>
      <c r="L318" s="3" t="s">
        <v>36</v>
      </c>
      <c r="M318" s="3" t="str">
        <f>CONCATENATE("GGLRNZ60L25I661U")</f>
        <v>GGLRNZ60L25I661U</v>
      </c>
      <c r="N318" s="3" t="s">
        <v>427</v>
      </c>
      <c r="O318" s="3" t="s">
        <v>38</v>
      </c>
      <c r="P318" s="3"/>
      <c r="Q318" s="4">
        <v>45968</v>
      </c>
      <c r="R318" s="3" t="s">
        <v>39</v>
      </c>
      <c r="S318" s="3" t="s">
        <v>38</v>
      </c>
      <c r="T318" s="3" t="s">
        <v>40</v>
      </c>
      <c r="U318" s="3"/>
      <c r="V318" s="3" t="s">
        <v>41</v>
      </c>
      <c r="W318" s="5">
        <v>11698.99</v>
      </c>
      <c r="X318" s="5">
        <v>8774.24</v>
      </c>
      <c r="Y318" s="5">
        <v>2047.32</v>
      </c>
      <c r="Z318" s="3">
        <v>877.43</v>
      </c>
      <c r="AA318" s="3">
        <v>0</v>
      </c>
    </row>
    <row r="319" spans="1:27" ht="72.75" x14ac:dyDescent="0.25">
      <c r="A319" s="3" t="s">
        <v>28</v>
      </c>
      <c r="B319" s="3" t="s">
        <v>29</v>
      </c>
      <c r="C319" s="3" t="s">
        <v>30</v>
      </c>
      <c r="D319" s="3" t="s">
        <v>31</v>
      </c>
      <c r="E319" s="3" t="s">
        <v>51</v>
      </c>
      <c r="F319" s="3" t="s">
        <v>192</v>
      </c>
      <c r="G319" s="3">
        <v>2025</v>
      </c>
      <c r="H319" s="3" t="str">
        <f>CONCATENATE("54240592938")</f>
        <v>54240592938</v>
      </c>
      <c r="I319" s="3" t="s">
        <v>34</v>
      </c>
      <c r="J319" s="3" t="s">
        <v>35</v>
      </c>
      <c r="K319" s="3"/>
      <c r="L319" s="3" t="s">
        <v>36</v>
      </c>
      <c r="M319" s="3" t="str">
        <f>CONCATENATE("GFFNDR77R06H501H")</f>
        <v>GFFNDR77R06H501H</v>
      </c>
      <c r="N319" s="3" t="s">
        <v>428</v>
      </c>
      <c r="O319" s="3" t="s">
        <v>38</v>
      </c>
      <c r="P319" s="3"/>
      <c r="Q319" s="4">
        <v>45968</v>
      </c>
      <c r="R319" s="3" t="s">
        <v>39</v>
      </c>
      <c r="S319" s="3" t="s">
        <v>38</v>
      </c>
      <c r="T319" s="3" t="s">
        <v>40</v>
      </c>
      <c r="U319" s="3"/>
      <c r="V319" s="3" t="s">
        <v>41</v>
      </c>
      <c r="W319" s="5">
        <v>1428.87</v>
      </c>
      <c r="X319" s="5">
        <v>1071.6500000000001</v>
      </c>
      <c r="Y319" s="3">
        <v>250.05</v>
      </c>
      <c r="Z319" s="3">
        <v>107.17</v>
      </c>
      <c r="AA319" s="3">
        <v>0</v>
      </c>
    </row>
    <row r="320" spans="1:27" ht="36.75" x14ac:dyDescent="0.25">
      <c r="A320" s="3" t="s">
        <v>28</v>
      </c>
      <c r="B320" s="3" t="s">
        <v>29</v>
      </c>
      <c r="C320" s="3" t="s">
        <v>30</v>
      </c>
      <c r="D320" s="3" t="s">
        <v>42</v>
      </c>
      <c r="E320" s="3" t="s">
        <v>43</v>
      </c>
      <c r="F320" s="3" t="s">
        <v>43</v>
      </c>
      <c r="G320" s="3">
        <v>2025</v>
      </c>
      <c r="H320" s="3" t="str">
        <f>CONCATENATE("54240593068")</f>
        <v>54240593068</v>
      </c>
      <c r="I320" s="3" t="s">
        <v>34</v>
      </c>
      <c r="J320" s="3" t="s">
        <v>35</v>
      </c>
      <c r="K320" s="3"/>
      <c r="L320" s="3" t="s">
        <v>36</v>
      </c>
      <c r="M320" s="3" t="str">
        <f>CONCATENATE("01514140449")</f>
        <v>01514140449</v>
      </c>
      <c r="N320" s="3" t="s">
        <v>429</v>
      </c>
      <c r="O320" s="3" t="s">
        <v>38</v>
      </c>
      <c r="P320" s="3"/>
      <c r="Q320" s="4">
        <v>45968</v>
      </c>
      <c r="R320" s="3" t="s">
        <v>39</v>
      </c>
      <c r="S320" s="3" t="s">
        <v>38</v>
      </c>
      <c r="T320" s="3" t="s">
        <v>40</v>
      </c>
      <c r="U320" s="3"/>
      <c r="V320" s="3" t="s">
        <v>41</v>
      </c>
      <c r="W320" s="5">
        <v>3979.01</v>
      </c>
      <c r="X320" s="5">
        <v>2984.26</v>
      </c>
      <c r="Y320" s="3">
        <v>696.33</v>
      </c>
      <c r="Z320" s="3">
        <v>298.42</v>
      </c>
      <c r="AA320" s="3">
        <v>0</v>
      </c>
    </row>
    <row r="321" spans="1:27" ht="36.75" x14ac:dyDescent="0.25">
      <c r="A321" s="3" t="s">
        <v>28</v>
      </c>
      <c r="B321" s="3" t="s">
        <v>29</v>
      </c>
      <c r="C321" s="3" t="s">
        <v>30</v>
      </c>
      <c r="D321" s="3" t="s">
        <v>47</v>
      </c>
      <c r="E321" s="3" t="s">
        <v>60</v>
      </c>
      <c r="F321" s="3" t="s">
        <v>81</v>
      </c>
      <c r="G321" s="3">
        <v>2025</v>
      </c>
      <c r="H321" s="3" t="str">
        <f>CONCATENATE("54240566486")</f>
        <v>54240566486</v>
      </c>
      <c r="I321" s="3" t="s">
        <v>34</v>
      </c>
      <c r="J321" s="3" t="s">
        <v>35</v>
      </c>
      <c r="K321" s="3"/>
      <c r="L321" s="3" t="s">
        <v>36</v>
      </c>
      <c r="M321" s="3" t="str">
        <f>CONCATENATE("01429600438")</f>
        <v>01429600438</v>
      </c>
      <c r="N321" s="3" t="s">
        <v>430</v>
      </c>
      <c r="O321" s="3" t="s">
        <v>38</v>
      </c>
      <c r="P321" s="3"/>
      <c r="Q321" s="4">
        <v>45968</v>
      </c>
      <c r="R321" s="3" t="s">
        <v>39</v>
      </c>
      <c r="S321" s="3" t="s">
        <v>38</v>
      </c>
      <c r="T321" s="3" t="s">
        <v>40</v>
      </c>
      <c r="U321" s="3"/>
      <c r="V321" s="3" t="s">
        <v>41</v>
      </c>
      <c r="W321" s="5">
        <v>1682.54</v>
      </c>
      <c r="X321" s="5">
        <v>1261.9100000000001</v>
      </c>
      <c r="Y321" s="3">
        <v>294.44</v>
      </c>
      <c r="Z321" s="3">
        <v>126.19</v>
      </c>
      <c r="AA321" s="3">
        <v>0</v>
      </c>
    </row>
    <row r="322" spans="1:27" ht="60.75" x14ac:dyDescent="0.25">
      <c r="A322" s="3" t="s">
        <v>28</v>
      </c>
      <c r="B322" s="3" t="s">
        <v>29</v>
      </c>
      <c r="C322" s="3" t="s">
        <v>30</v>
      </c>
      <c r="D322" s="3" t="s">
        <v>47</v>
      </c>
      <c r="E322" s="3" t="s">
        <v>48</v>
      </c>
      <c r="F322" s="3" t="s">
        <v>90</v>
      </c>
      <c r="G322" s="3">
        <v>2025</v>
      </c>
      <c r="H322" s="3" t="str">
        <f>CONCATENATE("54240566056")</f>
        <v>54240566056</v>
      </c>
      <c r="I322" s="3" t="s">
        <v>34</v>
      </c>
      <c r="J322" s="3" t="s">
        <v>35</v>
      </c>
      <c r="K322" s="3"/>
      <c r="L322" s="3" t="s">
        <v>36</v>
      </c>
      <c r="M322" s="3" t="str">
        <f>CONCATENATE("GHRSFN67P16F567A")</f>
        <v>GHRSFN67P16F567A</v>
      </c>
      <c r="N322" s="3" t="s">
        <v>431</v>
      </c>
      <c r="O322" s="3" t="s">
        <v>38</v>
      </c>
      <c r="P322" s="3"/>
      <c r="Q322" s="4">
        <v>45968</v>
      </c>
      <c r="R322" s="3" t="s">
        <v>39</v>
      </c>
      <c r="S322" s="3" t="s">
        <v>38</v>
      </c>
      <c r="T322" s="3" t="s">
        <v>40</v>
      </c>
      <c r="U322" s="3"/>
      <c r="V322" s="3" t="s">
        <v>41</v>
      </c>
      <c r="W322" s="3">
        <v>473.85</v>
      </c>
      <c r="X322" s="3">
        <v>355.39</v>
      </c>
      <c r="Y322" s="3">
        <v>82.92</v>
      </c>
      <c r="Z322" s="3">
        <v>35.54</v>
      </c>
      <c r="AA322" s="3">
        <v>0</v>
      </c>
    </row>
    <row r="323" spans="1:27" ht="72.75" x14ac:dyDescent="0.25">
      <c r="A323" s="3" t="s">
        <v>28</v>
      </c>
      <c r="B323" s="3" t="s">
        <v>29</v>
      </c>
      <c r="C323" s="3" t="s">
        <v>30</v>
      </c>
      <c r="D323" s="3" t="s">
        <v>42</v>
      </c>
      <c r="E323" s="3" t="s">
        <v>43</v>
      </c>
      <c r="F323" s="3" t="s">
        <v>43</v>
      </c>
      <c r="G323" s="3">
        <v>2025</v>
      </c>
      <c r="H323" s="3" t="str">
        <f>CONCATENATE("54240566890")</f>
        <v>54240566890</v>
      </c>
      <c r="I323" s="3" t="s">
        <v>44</v>
      </c>
      <c r="J323" s="3" t="s">
        <v>35</v>
      </c>
      <c r="K323" s="3"/>
      <c r="L323" s="3" t="s">
        <v>36</v>
      </c>
      <c r="M323" s="3" t="str">
        <f>CONCATENATE("PRTGPR62B11A258D")</f>
        <v>PRTGPR62B11A258D</v>
      </c>
      <c r="N323" s="3" t="s">
        <v>432</v>
      </c>
      <c r="O323" s="3" t="s">
        <v>38</v>
      </c>
      <c r="P323" s="3"/>
      <c r="Q323" s="4">
        <v>45968</v>
      </c>
      <c r="R323" s="3" t="s">
        <v>39</v>
      </c>
      <c r="S323" s="3" t="s">
        <v>38</v>
      </c>
      <c r="T323" s="3" t="s">
        <v>40</v>
      </c>
      <c r="U323" s="3"/>
      <c r="V323" s="3" t="s">
        <v>41</v>
      </c>
      <c r="W323" s="5">
        <v>1586.27</v>
      </c>
      <c r="X323" s="5">
        <v>1189.7</v>
      </c>
      <c r="Y323" s="3">
        <v>277.60000000000002</v>
      </c>
      <c r="Z323" s="3">
        <v>118.97</v>
      </c>
      <c r="AA323" s="3">
        <v>0</v>
      </c>
    </row>
    <row r="324" spans="1:27" ht="60.75" x14ac:dyDescent="0.25">
      <c r="A324" s="3" t="s">
        <v>28</v>
      </c>
      <c r="B324" s="3" t="s">
        <v>29</v>
      </c>
      <c r="C324" s="3" t="s">
        <v>30</v>
      </c>
      <c r="D324" s="3" t="s">
        <v>42</v>
      </c>
      <c r="E324" s="3" t="s">
        <v>43</v>
      </c>
      <c r="F324" s="3" t="s">
        <v>43</v>
      </c>
      <c r="G324" s="3">
        <v>2025</v>
      </c>
      <c r="H324" s="3" t="str">
        <f>CONCATENATE("54240566973")</f>
        <v>54240566973</v>
      </c>
      <c r="I324" s="3" t="s">
        <v>44</v>
      </c>
      <c r="J324" s="3" t="s">
        <v>35</v>
      </c>
      <c r="K324" s="3"/>
      <c r="L324" s="3" t="s">
        <v>36</v>
      </c>
      <c r="M324" s="3" t="str">
        <f>CONCATENATE("LNCMRC66E26G005H")</f>
        <v>LNCMRC66E26G005H</v>
      </c>
      <c r="N324" s="3" t="s">
        <v>433</v>
      </c>
      <c r="O324" s="3" t="s">
        <v>38</v>
      </c>
      <c r="P324" s="3"/>
      <c r="Q324" s="4">
        <v>45968</v>
      </c>
      <c r="R324" s="3" t="s">
        <v>39</v>
      </c>
      <c r="S324" s="3" t="s">
        <v>38</v>
      </c>
      <c r="T324" s="3" t="s">
        <v>40</v>
      </c>
      <c r="U324" s="3"/>
      <c r="V324" s="3" t="s">
        <v>41</v>
      </c>
      <c r="W324" s="5">
        <v>3083.02</v>
      </c>
      <c r="X324" s="5">
        <v>2312.27</v>
      </c>
      <c r="Y324" s="3">
        <v>539.53</v>
      </c>
      <c r="Z324" s="3">
        <v>231.22</v>
      </c>
      <c r="AA324" s="3">
        <v>0</v>
      </c>
    </row>
    <row r="325" spans="1:27" ht="36.75" x14ac:dyDescent="0.25">
      <c r="A325" s="3" t="s">
        <v>28</v>
      </c>
      <c r="B325" s="3" t="s">
        <v>29</v>
      </c>
      <c r="C325" s="3" t="s">
        <v>30</v>
      </c>
      <c r="D325" s="3" t="s">
        <v>31</v>
      </c>
      <c r="E325" s="3" t="s">
        <v>51</v>
      </c>
      <c r="F325" s="3" t="s">
        <v>69</v>
      </c>
      <c r="G325" s="3">
        <v>2025</v>
      </c>
      <c r="H325" s="3" t="str">
        <f>CONCATENATE("54240569266")</f>
        <v>54240569266</v>
      </c>
      <c r="I325" s="3" t="s">
        <v>34</v>
      </c>
      <c r="J325" s="3" t="s">
        <v>35</v>
      </c>
      <c r="K325" s="3"/>
      <c r="L325" s="3" t="s">
        <v>36</v>
      </c>
      <c r="M325" s="3" t="str">
        <f>CONCATENATE("02715590424")</f>
        <v>02715590424</v>
      </c>
      <c r="N325" s="3" t="s">
        <v>434</v>
      </c>
      <c r="O325" s="3" t="s">
        <v>38</v>
      </c>
      <c r="P325" s="3"/>
      <c r="Q325" s="4">
        <v>45968</v>
      </c>
      <c r="R325" s="3" t="s">
        <v>39</v>
      </c>
      <c r="S325" s="3" t="s">
        <v>38</v>
      </c>
      <c r="T325" s="3" t="s">
        <v>40</v>
      </c>
      <c r="U325" s="3"/>
      <c r="V325" s="3" t="s">
        <v>41</v>
      </c>
      <c r="W325" s="5">
        <v>3447.13</v>
      </c>
      <c r="X325" s="5">
        <v>2585.35</v>
      </c>
      <c r="Y325" s="3">
        <v>603.25</v>
      </c>
      <c r="Z325" s="3">
        <v>258.52999999999997</v>
      </c>
      <c r="AA325" s="3">
        <v>0</v>
      </c>
    </row>
    <row r="326" spans="1:27" ht="60.75" x14ac:dyDescent="0.25">
      <c r="A326" s="3" t="s">
        <v>28</v>
      </c>
      <c r="B326" s="3" t="s">
        <v>29</v>
      </c>
      <c r="C326" s="3" t="s">
        <v>30</v>
      </c>
      <c r="D326" s="3" t="s">
        <v>42</v>
      </c>
      <c r="E326" s="3" t="s">
        <v>51</v>
      </c>
      <c r="F326" s="3" t="s">
        <v>115</v>
      </c>
      <c r="G326" s="3">
        <v>2025</v>
      </c>
      <c r="H326" s="3" t="str">
        <f>CONCATENATE("54240569084")</f>
        <v>54240569084</v>
      </c>
      <c r="I326" s="3" t="s">
        <v>34</v>
      </c>
      <c r="J326" s="3" t="s">
        <v>35</v>
      </c>
      <c r="K326" s="3"/>
      <c r="L326" s="3" t="s">
        <v>36</v>
      </c>
      <c r="M326" s="3" t="str">
        <f>CONCATENATE("FBNGLL64E02H769J")</f>
        <v>FBNGLL64E02H769J</v>
      </c>
      <c r="N326" s="3" t="s">
        <v>435</v>
      </c>
      <c r="O326" s="3" t="s">
        <v>38</v>
      </c>
      <c r="P326" s="3"/>
      <c r="Q326" s="4">
        <v>45968</v>
      </c>
      <c r="R326" s="3" t="s">
        <v>39</v>
      </c>
      <c r="S326" s="3" t="s">
        <v>38</v>
      </c>
      <c r="T326" s="3" t="s">
        <v>40</v>
      </c>
      <c r="U326" s="3"/>
      <c r="V326" s="3" t="s">
        <v>41</v>
      </c>
      <c r="W326" s="3">
        <v>980.25</v>
      </c>
      <c r="X326" s="3">
        <v>735.19</v>
      </c>
      <c r="Y326" s="3">
        <v>171.54</v>
      </c>
      <c r="Z326" s="3">
        <v>73.52</v>
      </c>
      <c r="AA326" s="3">
        <v>0</v>
      </c>
    </row>
    <row r="327" spans="1:27" ht="36.75" x14ac:dyDescent="0.25">
      <c r="A327" s="3" t="s">
        <v>28</v>
      </c>
      <c r="B327" s="3" t="s">
        <v>29</v>
      </c>
      <c r="C327" s="3" t="s">
        <v>30</v>
      </c>
      <c r="D327" s="3" t="s">
        <v>31</v>
      </c>
      <c r="E327" s="3" t="s">
        <v>51</v>
      </c>
      <c r="F327" s="3" t="s">
        <v>151</v>
      </c>
      <c r="G327" s="3">
        <v>2025</v>
      </c>
      <c r="H327" s="3" t="str">
        <f>CONCATENATE("54240607553")</f>
        <v>54240607553</v>
      </c>
      <c r="I327" s="3" t="s">
        <v>34</v>
      </c>
      <c r="J327" s="3" t="s">
        <v>35</v>
      </c>
      <c r="K327" s="3"/>
      <c r="L327" s="3" t="s">
        <v>36</v>
      </c>
      <c r="M327" s="3" t="str">
        <f>CONCATENATE("01651450437")</f>
        <v>01651450437</v>
      </c>
      <c r="N327" s="3" t="s">
        <v>436</v>
      </c>
      <c r="O327" s="3" t="s">
        <v>38</v>
      </c>
      <c r="P327" s="3"/>
      <c r="Q327" s="4">
        <v>45968</v>
      </c>
      <c r="R327" s="3" t="s">
        <v>39</v>
      </c>
      <c r="S327" s="3" t="s">
        <v>38</v>
      </c>
      <c r="T327" s="3" t="s">
        <v>40</v>
      </c>
      <c r="U327" s="3"/>
      <c r="V327" s="3" t="s">
        <v>41</v>
      </c>
      <c r="W327" s="5">
        <v>7252.95</v>
      </c>
      <c r="X327" s="5">
        <v>5439.71</v>
      </c>
      <c r="Y327" s="5">
        <v>1269.27</v>
      </c>
      <c r="Z327" s="3">
        <v>543.97</v>
      </c>
      <c r="AA327" s="3">
        <v>0</v>
      </c>
    </row>
    <row r="328" spans="1:27" ht="60.75" x14ac:dyDescent="0.25">
      <c r="A328" s="3" t="s">
        <v>28</v>
      </c>
      <c r="B328" s="3" t="s">
        <v>29</v>
      </c>
      <c r="C328" s="3" t="s">
        <v>30</v>
      </c>
      <c r="D328" s="3" t="s">
        <v>47</v>
      </c>
      <c r="E328" s="3" t="s">
        <v>48</v>
      </c>
      <c r="F328" s="3" t="s">
        <v>249</v>
      </c>
      <c r="G328" s="3">
        <v>2025</v>
      </c>
      <c r="H328" s="3" t="str">
        <f>CONCATENATE("54240553708")</f>
        <v>54240553708</v>
      </c>
      <c r="I328" s="3" t="s">
        <v>34</v>
      </c>
      <c r="J328" s="3" t="s">
        <v>35</v>
      </c>
      <c r="K328" s="3"/>
      <c r="L328" s="3" t="s">
        <v>36</v>
      </c>
      <c r="M328" s="3" t="str">
        <f>CONCATENATE("PRMJRU95S23I156U")</f>
        <v>PRMJRU95S23I156U</v>
      </c>
      <c r="N328" s="3" t="s">
        <v>437</v>
      </c>
      <c r="O328" s="3" t="s">
        <v>38</v>
      </c>
      <c r="P328" s="3"/>
      <c r="Q328" s="4">
        <v>45968</v>
      </c>
      <c r="R328" s="3" t="s">
        <v>39</v>
      </c>
      <c r="S328" s="3" t="s">
        <v>38</v>
      </c>
      <c r="T328" s="3" t="s">
        <v>40</v>
      </c>
      <c r="U328" s="3"/>
      <c r="V328" s="3" t="s">
        <v>41</v>
      </c>
      <c r="W328" s="5">
        <v>7713.92</v>
      </c>
      <c r="X328" s="5">
        <v>5785.44</v>
      </c>
      <c r="Y328" s="5">
        <v>1349.94</v>
      </c>
      <c r="Z328" s="3">
        <v>578.54</v>
      </c>
      <c r="AA328" s="3">
        <v>0</v>
      </c>
    </row>
    <row r="329" spans="1:27" ht="36.75" x14ac:dyDescent="0.25">
      <c r="A329" s="3" t="s">
        <v>28</v>
      </c>
      <c r="B329" s="3" t="s">
        <v>29</v>
      </c>
      <c r="C329" s="3" t="s">
        <v>30</v>
      </c>
      <c r="D329" s="3" t="s">
        <v>47</v>
      </c>
      <c r="E329" s="3" t="s">
        <v>60</v>
      </c>
      <c r="F329" s="3" t="s">
        <v>81</v>
      </c>
      <c r="G329" s="3">
        <v>2025</v>
      </c>
      <c r="H329" s="3" t="str">
        <f>CONCATENATE("54240562410")</f>
        <v>54240562410</v>
      </c>
      <c r="I329" s="3" t="s">
        <v>34</v>
      </c>
      <c r="J329" s="3" t="s">
        <v>35</v>
      </c>
      <c r="K329" s="3"/>
      <c r="L329" s="3" t="s">
        <v>36</v>
      </c>
      <c r="M329" s="3" t="str">
        <f>CONCATENATE("01885310431")</f>
        <v>01885310431</v>
      </c>
      <c r="N329" s="3" t="s">
        <v>438</v>
      </c>
      <c r="O329" s="3" t="s">
        <v>38</v>
      </c>
      <c r="P329" s="3"/>
      <c r="Q329" s="4">
        <v>45968</v>
      </c>
      <c r="R329" s="3" t="s">
        <v>39</v>
      </c>
      <c r="S329" s="3" t="s">
        <v>38</v>
      </c>
      <c r="T329" s="3" t="s">
        <v>40</v>
      </c>
      <c r="U329" s="3"/>
      <c r="V329" s="3" t="s">
        <v>41</v>
      </c>
      <c r="W329" s="5">
        <v>3713.55</v>
      </c>
      <c r="X329" s="5">
        <v>2785.16</v>
      </c>
      <c r="Y329" s="3">
        <v>649.87</v>
      </c>
      <c r="Z329" s="3">
        <v>278.52</v>
      </c>
      <c r="AA329" s="3">
        <v>0</v>
      </c>
    </row>
    <row r="330" spans="1:27" ht="60.75" x14ac:dyDescent="0.25">
      <c r="A330" s="3" t="s">
        <v>28</v>
      </c>
      <c r="B330" s="3" t="s">
        <v>29</v>
      </c>
      <c r="C330" s="3" t="s">
        <v>30</v>
      </c>
      <c r="D330" s="3" t="s">
        <v>42</v>
      </c>
      <c r="E330" s="3" t="s">
        <v>43</v>
      </c>
      <c r="F330" s="3" t="s">
        <v>43</v>
      </c>
      <c r="G330" s="3">
        <v>2025</v>
      </c>
      <c r="H330" s="3" t="str">
        <f>CONCATENATE("54240656725")</f>
        <v>54240656725</v>
      </c>
      <c r="I330" s="3" t="s">
        <v>34</v>
      </c>
      <c r="J330" s="3" t="s">
        <v>35</v>
      </c>
      <c r="K330" s="3"/>
      <c r="L330" s="3" t="s">
        <v>36</v>
      </c>
      <c r="M330" s="3" t="str">
        <f>CONCATENATE("BGLRRT78M03I324A")</f>
        <v>BGLRRT78M03I324A</v>
      </c>
      <c r="N330" s="3" t="s">
        <v>439</v>
      </c>
      <c r="O330" s="3" t="s">
        <v>38</v>
      </c>
      <c r="P330" s="3"/>
      <c r="Q330" s="4">
        <v>45968</v>
      </c>
      <c r="R330" s="3" t="s">
        <v>39</v>
      </c>
      <c r="S330" s="3" t="s">
        <v>38</v>
      </c>
      <c r="T330" s="3" t="s">
        <v>40</v>
      </c>
      <c r="U330" s="3"/>
      <c r="V330" s="3" t="s">
        <v>41</v>
      </c>
      <c r="W330" s="3">
        <v>429.81</v>
      </c>
      <c r="X330" s="3">
        <v>322.36</v>
      </c>
      <c r="Y330" s="3">
        <v>75.22</v>
      </c>
      <c r="Z330" s="3">
        <v>32.229999999999997</v>
      </c>
      <c r="AA330" s="3">
        <v>0</v>
      </c>
    </row>
    <row r="331" spans="1:27" ht="36.75" x14ac:dyDescent="0.25">
      <c r="A331" s="3" t="s">
        <v>28</v>
      </c>
      <c r="B331" s="3" t="s">
        <v>29</v>
      </c>
      <c r="C331" s="3" t="s">
        <v>30</v>
      </c>
      <c r="D331" s="3" t="s">
        <v>65</v>
      </c>
      <c r="E331" s="3" t="s">
        <v>48</v>
      </c>
      <c r="F331" s="3" t="s">
        <v>66</v>
      </c>
      <c r="G331" s="3">
        <v>2025</v>
      </c>
      <c r="H331" s="3" t="str">
        <f>CONCATENATE("54240555505")</f>
        <v>54240555505</v>
      </c>
      <c r="I331" s="3" t="s">
        <v>34</v>
      </c>
      <c r="J331" s="3" t="s">
        <v>35</v>
      </c>
      <c r="K331" s="3"/>
      <c r="L331" s="3" t="s">
        <v>36</v>
      </c>
      <c r="M331" s="3" t="str">
        <f>CONCATENATE("01181430529")</f>
        <v>01181430529</v>
      </c>
      <c r="N331" s="3" t="s">
        <v>440</v>
      </c>
      <c r="O331" s="3" t="s">
        <v>38</v>
      </c>
      <c r="P331" s="3"/>
      <c r="Q331" s="4">
        <v>45968</v>
      </c>
      <c r="R331" s="3" t="s">
        <v>39</v>
      </c>
      <c r="S331" s="3" t="s">
        <v>38</v>
      </c>
      <c r="T331" s="3" t="s">
        <v>40</v>
      </c>
      <c r="U331" s="3"/>
      <c r="V331" s="3" t="s">
        <v>41</v>
      </c>
      <c r="W331" s="5">
        <v>3225.85</v>
      </c>
      <c r="X331" s="5">
        <v>2419.39</v>
      </c>
      <c r="Y331" s="3">
        <v>564.52</v>
      </c>
      <c r="Z331" s="3">
        <v>241.94</v>
      </c>
      <c r="AA331" s="3">
        <v>0</v>
      </c>
    </row>
    <row r="332" spans="1:27" ht="36.75" x14ac:dyDescent="0.25">
      <c r="A332" s="3" t="s">
        <v>28</v>
      </c>
      <c r="B332" s="3" t="s">
        <v>29</v>
      </c>
      <c r="C332" s="3" t="s">
        <v>30</v>
      </c>
      <c r="D332" s="3" t="s">
        <v>47</v>
      </c>
      <c r="E332" s="3" t="s">
        <v>48</v>
      </c>
      <c r="F332" s="3" t="s">
        <v>79</v>
      </c>
      <c r="G332" s="3">
        <v>2025</v>
      </c>
      <c r="H332" s="3" t="str">
        <f>CONCATENATE("54240555968")</f>
        <v>54240555968</v>
      </c>
      <c r="I332" s="3" t="s">
        <v>34</v>
      </c>
      <c r="J332" s="3" t="s">
        <v>35</v>
      </c>
      <c r="K332" s="3"/>
      <c r="L332" s="3" t="s">
        <v>36</v>
      </c>
      <c r="M332" s="3" t="str">
        <f>CONCATENATE("01466010434")</f>
        <v>01466010434</v>
      </c>
      <c r="N332" s="3" t="s">
        <v>441</v>
      </c>
      <c r="O332" s="3" t="s">
        <v>38</v>
      </c>
      <c r="P332" s="3"/>
      <c r="Q332" s="4">
        <v>45968</v>
      </c>
      <c r="R332" s="3" t="s">
        <v>39</v>
      </c>
      <c r="S332" s="3" t="s">
        <v>38</v>
      </c>
      <c r="T332" s="3" t="s">
        <v>40</v>
      </c>
      <c r="U332" s="3"/>
      <c r="V332" s="3" t="s">
        <v>41</v>
      </c>
      <c r="W332" s="5">
        <v>11961.21</v>
      </c>
      <c r="X332" s="5">
        <v>8970.91</v>
      </c>
      <c r="Y332" s="5">
        <v>2093.21</v>
      </c>
      <c r="Z332" s="3">
        <v>897.09</v>
      </c>
      <c r="AA332" s="3">
        <v>0</v>
      </c>
    </row>
    <row r="333" spans="1:27" ht="60.75" x14ac:dyDescent="0.25">
      <c r="A333" s="3" t="s">
        <v>28</v>
      </c>
      <c r="B333" s="3" t="s">
        <v>29</v>
      </c>
      <c r="C333" s="3" t="s">
        <v>30</v>
      </c>
      <c r="D333" s="3" t="s">
        <v>31</v>
      </c>
      <c r="E333" s="3" t="s">
        <v>32</v>
      </c>
      <c r="F333" s="3" t="s">
        <v>442</v>
      </c>
      <c r="G333" s="3">
        <v>2025</v>
      </c>
      <c r="H333" s="3" t="str">
        <f>CONCATENATE("54240555992")</f>
        <v>54240555992</v>
      </c>
      <c r="I333" s="3" t="s">
        <v>34</v>
      </c>
      <c r="J333" s="3" t="s">
        <v>35</v>
      </c>
      <c r="K333" s="3"/>
      <c r="L333" s="3" t="s">
        <v>36</v>
      </c>
      <c r="M333" s="3" t="str">
        <f>CONCATENATE("DPPCST69H60E783M")</f>
        <v>DPPCST69H60E783M</v>
      </c>
      <c r="N333" s="3" t="s">
        <v>443</v>
      </c>
      <c r="O333" s="3" t="s">
        <v>38</v>
      </c>
      <c r="P333" s="3"/>
      <c r="Q333" s="4">
        <v>45968</v>
      </c>
      <c r="R333" s="3" t="s">
        <v>39</v>
      </c>
      <c r="S333" s="3" t="s">
        <v>38</v>
      </c>
      <c r="T333" s="3" t="s">
        <v>40</v>
      </c>
      <c r="U333" s="3"/>
      <c r="V333" s="3" t="s">
        <v>41</v>
      </c>
      <c r="W333" s="5">
        <v>2348.88</v>
      </c>
      <c r="X333" s="5">
        <v>1761.66</v>
      </c>
      <c r="Y333" s="3">
        <v>411.05</v>
      </c>
      <c r="Z333" s="3">
        <v>176.17</v>
      </c>
      <c r="AA333" s="3">
        <v>0</v>
      </c>
    </row>
    <row r="334" spans="1:27" ht="36.75" x14ac:dyDescent="0.25">
      <c r="A334" s="3" t="s">
        <v>28</v>
      </c>
      <c r="B334" s="3" t="s">
        <v>29</v>
      </c>
      <c r="C334" s="3" t="s">
        <v>30</v>
      </c>
      <c r="D334" s="3" t="s">
        <v>65</v>
      </c>
      <c r="E334" s="3" t="s">
        <v>51</v>
      </c>
      <c r="F334" s="3" t="s">
        <v>126</v>
      </c>
      <c r="G334" s="3">
        <v>2025</v>
      </c>
      <c r="H334" s="3" t="str">
        <f>CONCATENATE("54240556149")</f>
        <v>54240556149</v>
      </c>
      <c r="I334" s="3" t="s">
        <v>34</v>
      </c>
      <c r="J334" s="3" t="s">
        <v>35</v>
      </c>
      <c r="K334" s="3"/>
      <c r="L334" s="3" t="s">
        <v>36</v>
      </c>
      <c r="M334" s="3" t="str">
        <f>CONCATENATE("02720600424")</f>
        <v>02720600424</v>
      </c>
      <c r="N334" s="3" t="s">
        <v>444</v>
      </c>
      <c r="O334" s="3" t="s">
        <v>38</v>
      </c>
      <c r="P334" s="3"/>
      <c r="Q334" s="4">
        <v>45968</v>
      </c>
      <c r="R334" s="3" t="s">
        <v>39</v>
      </c>
      <c r="S334" s="3" t="s">
        <v>38</v>
      </c>
      <c r="T334" s="3" t="s">
        <v>40</v>
      </c>
      <c r="U334" s="3"/>
      <c r="V334" s="3" t="s">
        <v>41</v>
      </c>
      <c r="W334" s="5">
        <v>2666.81</v>
      </c>
      <c r="X334" s="5">
        <v>2000.11</v>
      </c>
      <c r="Y334" s="3">
        <v>466.69</v>
      </c>
      <c r="Z334" s="3">
        <v>200.01</v>
      </c>
      <c r="AA334" s="3">
        <v>0</v>
      </c>
    </row>
    <row r="335" spans="1:27" ht="60.75" x14ac:dyDescent="0.25">
      <c r="A335" s="3" t="s">
        <v>28</v>
      </c>
      <c r="B335" s="3" t="s">
        <v>29</v>
      </c>
      <c r="C335" s="3" t="s">
        <v>30</v>
      </c>
      <c r="D335" s="3" t="s">
        <v>47</v>
      </c>
      <c r="E335" s="3" t="s">
        <v>51</v>
      </c>
      <c r="F335" s="3" t="s">
        <v>103</v>
      </c>
      <c r="G335" s="3">
        <v>2025</v>
      </c>
      <c r="H335" s="3" t="str">
        <f>CONCATENATE("54240556438")</f>
        <v>54240556438</v>
      </c>
      <c r="I335" s="3" t="s">
        <v>34</v>
      </c>
      <c r="J335" s="3" t="s">
        <v>35</v>
      </c>
      <c r="K335" s="3"/>
      <c r="L335" s="3" t="s">
        <v>36</v>
      </c>
      <c r="M335" s="3" t="str">
        <f>CONCATENATE("CRDBBR75P63E783R")</f>
        <v>CRDBBR75P63E783R</v>
      </c>
      <c r="N335" s="3" t="s">
        <v>445</v>
      </c>
      <c r="O335" s="3" t="s">
        <v>38</v>
      </c>
      <c r="P335" s="3"/>
      <c r="Q335" s="4">
        <v>45968</v>
      </c>
      <c r="R335" s="3" t="s">
        <v>39</v>
      </c>
      <c r="S335" s="3" t="s">
        <v>38</v>
      </c>
      <c r="T335" s="3" t="s">
        <v>40</v>
      </c>
      <c r="U335" s="3"/>
      <c r="V335" s="3" t="s">
        <v>41</v>
      </c>
      <c r="W335" s="3">
        <v>402.94</v>
      </c>
      <c r="X335" s="3">
        <v>302.20999999999998</v>
      </c>
      <c r="Y335" s="3">
        <v>70.510000000000005</v>
      </c>
      <c r="Z335" s="3">
        <v>30.22</v>
      </c>
      <c r="AA335" s="3">
        <v>0</v>
      </c>
    </row>
    <row r="336" spans="1:27" ht="60.75" x14ac:dyDescent="0.25">
      <c r="A336" s="3" t="s">
        <v>28</v>
      </c>
      <c r="B336" s="3" t="s">
        <v>29</v>
      </c>
      <c r="C336" s="3" t="s">
        <v>30</v>
      </c>
      <c r="D336" s="3" t="s">
        <v>42</v>
      </c>
      <c r="E336" s="3" t="s">
        <v>32</v>
      </c>
      <c r="F336" s="3" t="s">
        <v>101</v>
      </c>
      <c r="G336" s="3">
        <v>2025</v>
      </c>
      <c r="H336" s="3" t="str">
        <f>CONCATENATE("54240556545")</f>
        <v>54240556545</v>
      </c>
      <c r="I336" s="3" t="s">
        <v>34</v>
      </c>
      <c r="J336" s="3" t="s">
        <v>35</v>
      </c>
      <c r="K336" s="3"/>
      <c r="L336" s="3" t="s">
        <v>36</v>
      </c>
      <c r="M336" s="3" t="str">
        <f>CONCATENATE("VLLRRT74M19H769Z")</f>
        <v>VLLRRT74M19H769Z</v>
      </c>
      <c r="N336" s="3" t="s">
        <v>446</v>
      </c>
      <c r="O336" s="3" t="s">
        <v>38</v>
      </c>
      <c r="P336" s="3"/>
      <c r="Q336" s="4">
        <v>45968</v>
      </c>
      <c r="R336" s="3" t="s">
        <v>39</v>
      </c>
      <c r="S336" s="3" t="s">
        <v>38</v>
      </c>
      <c r="T336" s="3" t="s">
        <v>40</v>
      </c>
      <c r="U336" s="3"/>
      <c r="V336" s="3" t="s">
        <v>41</v>
      </c>
      <c r="W336" s="5">
        <v>1264.3399999999999</v>
      </c>
      <c r="X336" s="3">
        <v>948.26</v>
      </c>
      <c r="Y336" s="3">
        <v>221.26</v>
      </c>
      <c r="Z336" s="3">
        <v>94.82</v>
      </c>
      <c r="AA336" s="3">
        <v>0</v>
      </c>
    </row>
    <row r="337" spans="1:27" ht="60.75" x14ac:dyDescent="0.25">
      <c r="A337" s="3" t="s">
        <v>28</v>
      </c>
      <c r="B337" s="3" t="s">
        <v>29</v>
      </c>
      <c r="C337" s="3" t="s">
        <v>30</v>
      </c>
      <c r="D337" s="3" t="s">
        <v>42</v>
      </c>
      <c r="E337" s="3" t="s">
        <v>43</v>
      </c>
      <c r="F337" s="3" t="s">
        <v>43</v>
      </c>
      <c r="G337" s="3">
        <v>2025</v>
      </c>
      <c r="H337" s="3" t="str">
        <f>CONCATENATE("54240568532")</f>
        <v>54240568532</v>
      </c>
      <c r="I337" s="3" t="s">
        <v>34</v>
      </c>
      <c r="J337" s="3" t="s">
        <v>35</v>
      </c>
      <c r="K337" s="3"/>
      <c r="L337" s="3" t="s">
        <v>36</v>
      </c>
      <c r="M337" s="3" t="str">
        <f>CONCATENATE("VGNMRA46E23H321B")</f>
        <v>VGNMRA46E23H321B</v>
      </c>
      <c r="N337" s="3" t="s">
        <v>343</v>
      </c>
      <c r="O337" s="3" t="s">
        <v>38</v>
      </c>
      <c r="P337" s="3"/>
      <c r="Q337" s="4">
        <v>45968</v>
      </c>
      <c r="R337" s="3" t="s">
        <v>39</v>
      </c>
      <c r="S337" s="3" t="s">
        <v>38</v>
      </c>
      <c r="T337" s="3" t="s">
        <v>40</v>
      </c>
      <c r="U337" s="3"/>
      <c r="V337" s="3" t="s">
        <v>41</v>
      </c>
      <c r="W337" s="5">
        <v>3638.4</v>
      </c>
      <c r="X337" s="5">
        <v>2728.8</v>
      </c>
      <c r="Y337" s="3">
        <v>636.72</v>
      </c>
      <c r="Z337" s="3">
        <v>272.88</v>
      </c>
      <c r="AA337" s="3">
        <v>0</v>
      </c>
    </row>
    <row r="338" spans="1:27" ht="48.75" x14ac:dyDescent="0.25">
      <c r="A338" s="3" t="s">
        <v>28</v>
      </c>
      <c r="B338" s="3" t="s">
        <v>29</v>
      </c>
      <c r="C338" s="3" t="s">
        <v>30</v>
      </c>
      <c r="D338" s="3" t="s">
        <v>47</v>
      </c>
      <c r="E338" s="3" t="s">
        <v>48</v>
      </c>
      <c r="F338" s="3" t="s">
        <v>79</v>
      </c>
      <c r="G338" s="3">
        <v>2025</v>
      </c>
      <c r="H338" s="3" t="str">
        <f>CONCATENATE("54240557741")</f>
        <v>54240557741</v>
      </c>
      <c r="I338" s="3" t="s">
        <v>34</v>
      </c>
      <c r="J338" s="3" t="s">
        <v>35</v>
      </c>
      <c r="K338" s="3"/>
      <c r="L338" s="3" t="s">
        <v>36</v>
      </c>
      <c r="M338" s="3" t="str">
        <f>CONCATENATE("PZZPLA69L26B474L")</f>
        <v>PZZPLA69L26B474L</v>
      </c>
      <c r="N338" s="3" t="s">
        <v>447</v>
      </c>
      <c r="O338" s="3" t="s">
        <v>38</v>
      </c>
      <c r="P338" s="3"/>
      <c r="Q338" s="4">
        <v>45968</v>
      </c>
      <c r="R338" s="3" t="s">
        <v>39</v>
      </c>
      <c r="S338" s="3" t="s">
        <v>38</v>
      </c>
      <c r="T338" s="3" t="s">
        <v>40</v>
      </c>
      <c r="U338" s="3"/>
      <c r="V338" s="3" t="s">
        <v>41</v>
      </c>
      <c r="W338" s="5">
        <v>22522.78</v>
      </c>
      <c r="X338" s="5">
        <v>16892.09</v>
      </c>
      <c r="Y338" s="5">
        <v>3941.49</v>
      </c>
      <c r="Z338" s="5">
        <v>1689.2</v>
      </c>
      <c r="AA338" s="3">
        <v>0</v>
      </c>
    </row>
    <row r="339" spans="1:27" ht="72.75" x14ac:dyDescent="0.25">
      <c r="A339" s="3" t="s">
        <v>28</v>
      </c>
      <c r="B339" s="3" t="s">
        <v>29</v>
      </c>
      <c r="C339" s="3" t="s">
        <v>30</v>
      </c>
      <c r="D339" s="3" t="s">
        <v>65</v>
      </c>
      <c r="E339" s="3" t="s">
        <v>48</v>
      </c>
      <c r="F339" s="3" t="s">
        <v>66</v>
      </c>
      <c r="G339" s="3">
        <v>2025</v>
      </c>
      <c r="H339" s="3" t="str">
        <f>CONCATENATE("54240559721")</f>
        <v>54240559721</v>
      </c>
      <c r="I339" s="3" t="s">
        <v>34</v>
      </c>
      <c r="J339" s="3" t="s">
        <v>35</v>
      </c>
      <c r="K339" s="3"/>
      <c r="L339" s="3" t="s">
        <v>36</v>
      </c>
      <c r="M339" s="3" t="str">
        <f>CONCATENATE("MGNRNZ56M20G479H")</f>
        <v>MGNRNZ56M20G479H</v>
      </c>
      <c r="N339" s="3" t="s">
        <v>448</v>
      </c>
      <c r="O339" s="3" t="s">
        <v>38</v>
      </c>
      <c r="P339" s="3"/>
      <c r="Q339" s="4">
        <v>45968</v>
      </c>
      <c r="R339" s="3" t="s">
        <v>39</v>
      </c>
      <c r="S339" s="3" t="s">
        <v>38</v>
      </c>
      <c r="T339" s="3" t="s">
        <v>40</v>
      </c>
      <c r="U339" s="3"/>
      <c r="V339" s="3" t="s">
        <v>41</v>
      </c>
      <c r="W339" s="5">
        <v>109204.83</v>
      </c>
      <c r="X339" s="5">
        <v>81903.62</v>
      </c>
      <c r="Y339" s="5">
        <v>19110.849999999999</v>
      </c>
      <c r="Z339" s="5">
        <v>8190.36</v>
      </c>
      <c r="AA339" s="3">
        <v>0</v>
      </c>
    </row>
    <row r="340" spans="1:27" ht="36.75" x14ac:dyDescent="0.25">
      <c r="A340" s="3" t="s">
        <v>28</v>
      </c>
      <c r="B340" s="3" t="s">
        <v>29</v>
      </c>
      <c r="C340" s="3" t="s">
        <v>30</v>
      </c>
      <c r="D340" s="3" t="s">
        <v>65</v>
      </c>
      <c r="E340" s="3" t="s">
        <v>51</v>
      </c>
      <c r="F340" s="3" t="s">
        <v>126</v>
      </c>
      <c r="G340" s="3">
        <v>2025</v>
      </c>
      <c r="H340" s="3" t="str">
        <f>CONCATENATE("54240557931")</f>
        <v>54240557931</v>
      </c>
      <c r="I340" s="3" t="s">
        <v>34</v>
      </c>
      <c r="J340" s="3" t="s">
        <v>35</v>
      </c>
      <c r="K340" s="3"/>
      <c r="L340" s="3" t="s">
        <v>36</v>
      </c>
      <c r="M340" s="3" t="str">
        <f>CONCATENATE("02014880419")</f>
        <v>02014880419</v>
      </c>
      <c r="N340" s="3" t="s">
        <v>449</v>
      </c>
      <c r="O340" s="3" t="s">
        <v>38</v>
      </c>
      <c r="P340" s="3"/>
      <c r="Q340" s="4">
        <v>45968</v>
      </c>
      <c r="R340" s="3" t="s">
        <v>39</v>
      </c>
      <c r="S340" s="3" t="s">
        <v>38</v>
      </c>
      <c r="T340" s="3" t="s">
        <v>40</v>
      </c>
      <c r="U340" s="3"/>
      <c r="V340" s="3" t="s">
        <v>41</v>
      </c>
      <c r="W340" s="5">
        <v>1930.66</v>
      </c>
      <c r="X340" s="5">
        <v>1448</v>
      </c>
      <c r="Y340" s="3">
        <v>337.87</v>
      </c>
      <c r="Z340" s="3">
        <v>144.79</v>
      </c>
      <c r="AA340" s="3">
        <v>0</v>
      </c>
    </row>
    <row r="341" spans="1:27" ht="36.75" x14ac:dyDescent="0.25">
      <c r="A341" s="3" t="s">
        <v>28</v>
      </c>
      <c r="B341" s="3" t="s">
        <v>29</v>
      </c>
      <c r="C341" s="3" t="s">
        <v>30</v>
      </c>
      <c r="D341" s="3" t="s">
        <v>65</v>
      </c>
      <c r="E341" s="3" t="s">
        <v>51</v>
      </c>
      <c r="F341" s="3" t="s">
        <v>278</v>
      </c>
      <c r="G341" s="3">
        <v>2025</v>
      </c>
      <c r="H341" s="3" t="str">
        <f>CONCATENATE("54240560695")</f>
        <v>54240560695</v>
      </c>
      <c r="I341" s="3" t="s">
        <v>34</v>
      </c>
      <c r="J341" s="3" t="s">
        <v>35</v>
      </c>
      <c r="K341" s="3"/>
      <c r="L341" s="3" t="s">
        <v>36</v>
      </c>
      <c r="M341" s="3" t="str">
        <f>CONCATENATE("02012480410")</f>
        <v>02012480410</v>
      </c>
      <c r="N341" s="3" t="s">
        <v>450</v>
      </c>
      <c r="O341" s="3" t="s">
        <v>38</v>
      </c>
      <c r="P341" s="3"/>
      <c r="Q341" s="4">
        <v>45968</v>
      </c>
      <c r="R341" s="3" t="s">
        <v>39</v>
      </c>
      <c r="S341" s="3" t="s">
        <v>38</v>
      </c>
      <c r="T341" s="3" t="s">
        <v>40</v>
      </c>
      <c r="U341" s="3"/>
      <c r="V341" s="3" t="s">
        <v>41</v>
      </c>
      <c r="W341" s="5">
        <v>4852.82</v>
      </c>
      <c r="X341" s="5">
        <v>3639.62</v>
      </c>
      <c r="Y341" s="3">
        <v>849.24</v>
      </c>
      <c r="Z341" s="3">
        <v>363.96</v>
      </c>
      <c r="AA341" s="3">
        <v>0</v>
      </c>
    </row>
    <row r="342" spans="1:27" ht="60.75" x14ac:dyDescent="0.25">
      <c r="A342" s="3" t="s">
        <v>28</v>
      </c>
      <c r="B342" s="3" t="s">
        <v>29</v>
      </c>
      <c r="C342" s="3" t="s">
        <v>30</v>
      </c>
      <c r="D342" s="3" t="s">
        <v>47</v>
      </c>
      <c r="E342" s="3" t="s">
        <v>51</v>
      </c>
      <c r="F342" s="3" t="s">
        <v>103</v>
      </c>
      <c r="G342" s="3">
        <v>2025</v>
      </c>
      <c r="H342" s="3" t="str">
        <f>CONCATENATE("54240559663")</f>
        <v>54240559663</v>
      </c>
      <c r="I342" s="3" t="s">
        <v>34</v>
      </c>
      <c r="J342" s="3" t="s">
        <v>35</v>
      </c>
      <c r="K342" s="3"/>
      <c r="L342" s="3" t="s">
        <v>36</v>
      </c>
      <c r="M342" s="3" t="str">
        <f>CONCATENATE("BRTMNL69L44E783V")</f>
        <v>BRTMNL69L44E783V</v>
      </c>
      <c r="N342" s="3" t="s">
        <v>451</v>
      </c>
      <c r="O342" s="3" t="s">
        <v>38</v>
      </c>
      <c r="P342" s="3"/>
      <c r="Q342" s="4">
        <v>45968</v>
      </c>
      <c r="R342" s="3" t="s">
        <v>39</v>
      </c>
      <c r="S342" s="3" t="s">
        <v>38</v>
      </c>
      <c r="T342" s="3" t="s">
        <v>40</v>
      </c>
      <c r="U342" s="3"/>
      <c r="V342" s="3" t="s">
        <v>41</v>
      </c>
      <c r="W342" s="5">
        <v>2328.2199999999998</v>
      </c>
      <c r="X342" s="5">
        <v>1746.17</v>
      </c>
      <c r="Y342" s="3">
        <v>407.44</v>
      </c>
      <c r="Z342" s="3">
        <v>174.61</v>
      </c>
      <c r="AA342" s="3">
        <v>0</v>
      </c>
    </row>
    <row r="343" spans="1:27" ht="36.75" x14ac:dyDescent="0.25">
      <c r="A343" s="3" t="s">
        <v>28</v>
      </c>
      <c r="B343" s="3" t="s">
        <v>29</v>
      </c>
      <c r="C343" s="3" t="s">
        <v>30</v>
      </c>
      <c r="D343" s="3" t="s">
        <v>42</v>
      </c>
      <c r="E343" s="3" t="s">
        <v>51</v>
      </c>
      <c r="F343" s="3" t="s">
        <v>52</v>
      </c>
      <c r="G343" s="3">
        <v>2025</v>
      </c>
      <c r="H343" s="3" t="str">
        <f>CONCATENATE("54240572948")</f>
        <v>54240572948</v>
      </c>
      <c r="I343" s="3" t="s">
        <v>34</v>
      </c>
      <c r="J343" s="3" t="s">
        <v>35</v>
      </c>
      <c r="K343" s="3"/>
      <c r="L343" s="3" t="s">
        <v>36</v>
      </c>
      <c r="M343" s="3" t="str">
        <f>CONCATENATE("02328350448")</f>
        <v>02328350448</v>
      </c>
      <c r="N343" s="3" t="s">
        <v>452</v>
      </c>
      <c r="O343" s="3" t="s">
        <v>38</v>
      </c>
      <c r="P343" s="3"/>
      <c r="Q343" s="4">
        <v>45968</v>
      </c>
      <c r="R343" s="3" t="s">
        <v>39</v>
      </c>
      <c r="S343" s="3" t="s">
        <v>38</v>
      </c>
      <c r="T343" s="3" t="s">
        <v>40</v>
      </c>
      <c r="U343" s="3"/>
      <c r="V343" s="3" t="s">
        <v>41</v>
      </c>
      <c r="W343" s="5">
        <v>10158.549999999999</v>
      </c>
      <c r="X343" s="5">
        <v>7618.91</v>
      </c>
      <c r="Y343" s="5">
        <v>1777.75</v>
      </c>
      <c r="Z343" s="3">
        <v>761.89</v>
      </c>
      <c r="AA343" s="3">
        <v>0</v>
      </c>
    </row>
    <row r="344" spans="1:27" ht="60.75" x14ac:dyDescent="0.25">
      <c r="A344" s="3" t="s">
        <v>28</v>
      </c>
      <c r="B344" s="3" t="s">
        <v>29</v>
      </c>
      <c r="C344" s="3" t="s">
        <v>30</v>
      </c>
      <c r="D344" s="3" t="s">
        <v>65</v>
      </c>
      <c r="E344" s="3" t="s">
        <v>48</v>
      </c>
      <c r="F344" s="3" t="s">
        <v>66</v>
      </c>
      <c r="G344" s="3">
        <v>2025</v>
      </c>
      <c r="H344" s="3" t="str">
        <f>CONCATENATE("54240563723")</f>
        <v>54240563723</v>
      </c>
      <c r="I344" s="3" t="s">
        <v>34</v>
      </c>
      <c r="J344" s="3" t="s">
        <v>35</v>
      </c>
      <c r="K344" s="3"/>
      <c r="L344" s="3" t="s">
        <v>36</v>
      </c>
      <c r="M344" s="3" t="str">
        <f>CONCATENATE("VNNGST60B11D488F")</f>
        <v>VNNGST60B11D488F</v>
      </c>
      <c r="N344" s="3" t="s">
        <v>453</v>
      </c>
      <c r="O344" s="3" t="s">
        <v>38</v>
      </c>
      <c r="P344" s="3"/>
      <c r="Q344" s="4">
        <v>45968</v>
      </c>
      <c r="R344" s="3" t="s">
        <v>39</v>
      </c>
      <c r="S344" s="3" t="s">
        <v>38</v>
      </c>
      <c r="T344" s="3" t="s">
        <v>40</v>
      </c>
      <c r="U344" s="3"/>
      <c r="V344" s="3" t="s">
        <v>41</v>
      </c>
      <c r="W344" s="5">
        <v>21525.72</v>
      </c>
      <c r="X344" s="5">
        <v>16144.29</v>
      </c>
      <c r="Y344" s="5">
        <v>3767</v>
      </c>
      <c r="Z344" s="5">
        <v>1614.43</v>
      </c>
      <c r="AA344" s="3">
        <v>0</v>
      </c>
    </row>
    <row r="345" spans="1:27" ht="60.75" x14ac:dyDescent="0.25">
      <c r="A345" s="3" t="s">
        <v>28</v>
      </c>
      <c r="B345" s="3" t="s">
        <v>29</v>
      </c>
      <c r="C345" s="3" t="s">
        <v>30</v>
      </c>
      <c r="D345" s="3" t="s">
        <v>31</v>
      </c>
      <c r="E345" s="3" t="s">
        <v>32</v>
      </c>
      <c r="F345" s="3" t="s">
        <v>33</v>
      </c>
      <c r="G345" s="3">
        <v>2025</v>
      </c>
      <c r="H345" s="3" t="str">
        <f>CONCATENATE("54240561958")</f>
        <v>54240561958</v>
      </c>
      <c r="I345" s="3" t="s">
        <v>34</v>
      </c>
      <c r="J345" s="3" t="s">
        <v>35</v>
      </c>
      <c r="K345" s="3"/>
      <c r="L345" s="3" t="s">
        <v>36</v>
      </c>
      <c r="M345" s="3" t="str">
        <f>CONCATENATE("PRCFRZ78C24A271M")</f>
        <v>PRCFRZ78C24A271M</v>
      </c>
      <c r="N345" s="3" t="s">
        <v>454</v>
      </c>
      <c r="O345" s="3" t="s">
        <v>38</v>
      </c>
      <c r="P345" s="3"/>
      <c r="Q345" s="4">
        <v>45968</v>
      </c>
      <c r="R345" s="3" t="s">
        <v>39</v>
      </c>
      <c r="S345" s="3" t="s">
        <v>38</v>
      </c>
      <c r="T345" s="3" t="s">
        <v>40</v>
      </c>
      <c r="U345" s="3"/>
      <c r="V345" s="3" t="s">
        <v>41</v>
      </c>
      <c r="W345" s="3">
        <v>997.56</v>
      </c>
      <c r="X345" s="3">
        <v>748.17</v>
      </c>
      <c r="Y345" s="3">
        <v>174.57</v>
      </c>
      <c r="Z345" s="3">
        <v>74.819999999999993</v>
      </c>
      <c r="AA345" s="3">
        <v>0</v>
      </c>
    </row>
    <row r="346" spans="1:27" ht="72.75" x14ac:dyDescent="0.25">
      <c r="A346" s="3" t="s">
        <v>28</v>
      </c>
      <c r="B346" s="3" t="s">
        <v>29</v>
      </c>
      <c r="C346" s="3" t="s">
        <v>30</v>
      </c>
      <c r="D346" s="3" t="s">
        <v>42</v>
      </c>
      <c r="E346" s="3" t="s">
        <v>51</v>
      </c>
      <c r="F346" s="3" t="s">
        <v>115</v>
      </c>
      <c r="G346" s="3">
        <v>2025</v>
      </c>
      <c r="H346" s="3" t="str">
        <f>CONCATENATE("54240562030")</f>
        <v>54240562030</v>
      </c>
      <c r="I346" s="3" t="s">
        <v>34</v>
      </c>
      <c r="J346" s="3" t="s">
        <v>35</v>
      </c>
      <c r="K346" s="3"/>
      <c r="L346" s="3" t="s">
        <v>36</v>
      </c>
      <c r="M346" s="3" t="str">
        <f>CONCATENATE("SPNFBA85D05H769R")</f>
        <v>SPNFBA85D05H769R</v>
      </c>
      <c r="N346" s="3" t="s">
        <v>455</v>
      </c>
      <c r="O346" s="3" t="s">
        <v>38</v>
      </c>
      <c r="P346" s="3"/>
      <c r="Q346" s="4">
        <v>45968</v>
      </c>
      <c r="R346" s="3" t="s">
        <v>39</v>
      </c>
      <c r="S346" s="3" t="s">
        <v>38</v>
      </c>
      <c r="T346" s="3" t="s">
        <v>40</v>
      </c>
      <c r="U346" s="3"/>
      <c r="V346" s="3" t="s">
        <v>41</v>
      </c>
      <c r="W346" s="3">
        <v>717.66</v>
      </c>
      <c r="X346" s="3">
        <v>538.25</v>
      </c>
      <c r="Y346" s="3">
        <v>125.59</v>
      </c>
      <c r="Z346" s="3">
        <v>53.82</v>
      </c>
      <c r="AA346" s="3">
        <v>0</v>
      </c>
    </row>
    <row r="347" spans="1:27" ht="36.75" x14ac:dyDescent="0.25">
      <c r="A347" s="3" t="s">
        <v>28</v>
      </c>
      <c r="B347" s="3" t="s">
        <v>29</v>
      </c>
      <c r="C347" s="3" t="s">
        <v>30</v>
      </c>
      <c r="D347" s="3" t="s">
        <v>42</v>
      </c>
      <c r="E347" s="3" t="s">
        <v>51</v>
      </c>
      <c r="F347" s="3" t="s">
        <v>157</v>
      </c>
      <c r="G347" s="3">
        <v>2025</v>
      </c>
      <c r="H347" s="3" t="str">
        <f>CONCATENATE("54240574522")</f>
        <v>54240574522</v>
      </c>
      <c r="I347" s="3" t="s">
        <v>34</v>
      </c>
      <c r="J347" s="3" t="s">
        <v>35</v>
      </c>
      <c r="K347" s="3"/>
      <c r="L347" s="3" t="s">
        <v>36</v>
      </c>
      <c r="M347" s="3" t="str">
        <f>CONCATENATE("02271300440")</f>
        <v>02271300440</v>
      </c>
      <c r="N347" s="3" t="s">
        <v>456</v>
      </c>
      <c r="O347" s="3" t="s">
        <v>38</v>
      </c>
      <c r="P347" s="3"/>
      <c r="Q347" s="4">
        <v>45968</v>
      </c>
      <c r="R347" s="3" t="s">
        <v>39</v>
      </c>
      <c r="S347" s="3" t="s">
        <v>38</v>
      </c>
      <c r="T347" s="3" t="s">
        <v>40</v>
      </c>
      <c r="U347" s="3"/>
      <c r="V347" s="3" t="s">
        <v>41</v>
      </c>
      <c r="W347" s="5">
        <v>4128.76</v>
      </c>
      <c r="X347" s="5">
        <v>3096.57</v>
      </c>
      <c r="Y347" s="3">
        <v>722.53</v>
      </c>
      <c r="Z347" s="3">
        <v>309.66000000000003</v>
      </c>
      <c r="AA347" s="3">
        <v>0</v>
      </c>
    </row>
    <row r="348" spans="1:27" ht="36.75" x14ac:dyDescent="0.25">
      <c r="A348" s="3" t="s">
        <v>28</v>
      </c>
      <c r="B348" s="3" t="s">
        <v>29</v>
      </c>
      <c r="C348" s="3" t="s">
        <v>30</v>
      </c>
      <c r="D348" s="3" t="s">
        <v>65</v>
      </c>
      <c r="E348" s="3" t="s">
        <v>32</v>
      </c>
      <c r="F348" s="3" t="s">
        <v>144</v>
      </c>
      <c r="G348" s="3">
        <v>2025</v>
      </c>
      <c r="H348" s="3" t="str">
        <f>CONCATENATE("54240563574")</f>
        <v>54240563574</v>
      </c>
      <c r="I348" s="3" t="s">
        <v>44</v>
      </c>
      <c r="J348" s="3" t="s">
        <v>35</v>
      </c>
      <c r="K348" s="3"/>
      <c r="L348" s="3" t="s">
        <v>36</v>
      </c>
      <c r="M348" s="3" t="str">
        <f>CONCATENATE("01026620417")</f>
        <v>01026620417</v>
      </c>
      <c r="N348" s="3" t="s">
        <v>457</v>
      </c>
      <c r="O348" s="3" t="s">
        <v>38</v>
      </c>
      <c r="P348" s="3"/>
      <c r="Q348" s="4">
        <v>45968</v>
      </c>
      <c r="R348" s="3" t="s">
        <v>39</v>
      </c>
      <c r="S348" s="3" t="s">
        <v>38</v>
      </c>
      <c r="T348" s="3" t="s">
        <v>40</v>
      </c>
      <c r="U348" s="3"/>
      <c r="V348" s="3" t="s">
        <v>41</v>
      </c>
      <c r="W348" s="5">
        <v>6293.86</v>
      </c>
      <c r="X348" s="5">
        <v>4720.3999999999996</v>
      </c>
      <c r="Y348" s="5">
        <v>1101.43</v>
      </c>
      <c r="Z348" s="3">
        <v>472.03</v>
      </c>
      <c r="AA348" s="3">
        <v>0</v>
      </c>
    </row>
    <row r="349" spans="1:27" ht="60.75" x14ac:dyDescent="0.25">
      <c r="A349" s="3" t="s">
        <v>28</v>
      </c>
      <c r="B349" s="3" t="s">
        <v>29</v>
      </c>
      <c r="C349" s="3" t="s">
        <v>30</v>
      </c>
      <c r="D349" s="3" t="s">
        <v>42</v>
      </c>
      <c r="E349" s="3" t="s">
        <v>207</v>
      </c>
      <c r="F349" s="3" t="s">
        <v>217</v>
      </c>
      <c r="G349" s="3">
        <v>2025</v>
      </c>
      <c r="H349" s="3" t="str">
        <f>CONCATENATE("54240604444")</f>
        <v>54240604444</v>
      </c>
      <c r="I349" s="3" t="s">
        <v>34</v>
      </c>
      <c r="J349" s="3" t="s">
        <v>35</v>
      </c>
      <c r="K349" s="3"/>
      <c r="L349" s="3" t="s">
        <v>36</v>
      </c>
      <c r="M349" s="3" t="str">
        <f>CONCATENATE("CRCLRA77P50A462V")</f>
        <v>CRCLRA77P50A462V</v>
      </c>
      <c r="N349" s="3" t="s">
        <v>458</v>
      </c>
      <c r="O349" s="3" t="s">
        <v>38</v>
      </c>
      <c r="P349" s="3"/>
      <c r="Q349" s="4">
        <v>45968</v>
      </c>
      <c r="R349" s="3" t="s">
        <v>39</v>
      </c>
      <c r="S349" s="3" t="s">
        <v>38</v>
      </c>
      <c r="T349" s="3" t="s">
        <v>40</v>
      </c>
      <c r="U349" s="3"/>
      <c r="V349" s="3" t="s">
        <v>41</v>
      </c>
      <c r="W349" s="5">
        <v>2782.37</v>
      </c>
      <c r="X349" s="5">
        <v>2086.7800000000002</v>
      </c>
      <c r="Y349" s="3">
        <v>486.91</v>
      </c>
      <c r="Z349" s="3">
        <v>208.68</v>
      </c>
      <c r="AA349" s="3">
        <v>0</v>
      </c>
    </row>
    <row r="350" spans="1:27" ht="36.75" x14ac:dyDescent="0.25">
      <c r="A350" s="3" t="s">
        <v>28</v>
      </c>
      <c r="B350" s="3" t="s">
        <v>29</v>
      </c>
      <c r="C350" s="3" t="s">
        <v>30</v>
      </c>
      <c r="D350" s="3" t="s">
        <v>42</v>
      </c>
      <c r="E350" s="3" t="s">
        <v>43</v>
      </c>
      <c r="F350" s="3" t="s">
        <v>43</v>
      </c>
      <c r="G350" s="3">
        <v>2025</v>
      </c>
      <c r="H350" s="3" t="str">
        <f>CONCATENATE("54240664406")</f>
        <v>54240664406</v>
      </c>
      <c r="I350" s="3" t="s">
        <v>34</v>
      </c>
      <c r="J350" s="3" t="s">
        <v>35</v>
      </c>
      <c r="K350" s="3"/>
      <c r="L350" s="3" t="s">
        <v>36</v>
      </c>
      <c r="M350" s="3" t="str">
        <f>CONCATENATE("02488730447")</f>
        <v>02488730447</v>
      </c>
      <c r="N350" s="3" t="s">
        <v>459</v>
      </c>
      <c r="O350" s="3" t="s">
        <v>38</v>
      </c>
      <c r="P350" s="3"/>
      <c r="Q350" s="4">
        <v>45968</v>
      </c>
      <c r="R350" s="3" t="s">
        <v>39</v>
      </c>
      <c r="S350" s="3" t="s">
        <v>38</v>
      </c>
      <c r="T350" s="3" t="s">
        <v>40</v>
      </c>
      <c r="U350" s="3"/>
      <c r="V350" s="3" t="s">
        <v>41</v>
      </c>
      <c r="W350" s="3">
        <v>832.49</v>
      </c>
      <c r="X350" s="3">
        <v>624.37</v>
      </c>
      <c r="Y350" s="3">
        <v>145.69</v>
      </c>
      <c r="Z350" s="3">
        <v>62.43</v>
      </c>
      <c r="AA350" s="3">
        <v>0</v>
      </c>
    </row>
    <row r="351" spans="1:27" ht="60.75" x14ac:dyDescent="0.25">
      <c r="A351" s="3" t="s">
        <v>28</v>
      </c>
      <c r="B351" s="3" t="s">
        <v>29</v>
      </c>
      <c r="C351" s="3" t="s">
        <v>30</v>
      </c>
      <c r="D351" s="3" t="s">
        <v>65</v>
      </c>
      <c r="E351" s="3" t="s">
        <v>51</v>
      </c>
      <c r="F351" s="3" t="s">
        <v>460</v>
      </c>
      <c r="G351" s="3">
        <v>2025</v>
      </c>
      <c r="H351" s="3" t="str">
        <f>CONCATENATE("54240565728")</f>
        <v>54240565728</v>
      </c>
      <c r="I351" s="3" t="s">
        <v>34</v>
      </c>
      <c r="J351" s="3" t="s">
        <v>35</v>
      </c>
      <c r="K351" s="3"/>
      <c r="L351" s="3" t="s">
        <v>36</v>
      </c>
      <c r="M351" s="3" t="str">
        <f>CONCATENATE("PLZRLF47R16D541T")</f>
        <v>PLZRLF47R16D541T</v>
      </c>
      <c r="N351" s="3" t="s">
        <v>461</v>
      </c>
      <c r="O351" s="3" t="s">
        <v>38</v>
      </c>
      <c r="P351" s="3"/>
      <c r="Q351" s="4">
        <v>45968</v>
      </c>
      <c r="R351" s="3" t="s">
        <v>39</v>
      </c>
      <c r="S351" s="3" t="s">
        <v>38</v>
      </c>
      <c r="T351" s="3" t="s">
        <v>40</v>
      </c>
      <c r="U351" s="3"/>
      <c r="V351" s="3" t="s">
        <v>41</v>
      </c>
      <c r="W351" s="3">
        <v>703.04</v>
      </c>
      <c r="X351" s="3">
        <v>527.28</v>
      </c>
      <c r="Y351" s="3">
        <v>123.03</v>
      </c>
      <c r="Z351" s="3">
        <v>52.73</v>
      </c>
      <c r="AA351" s="3">
        <v>0</v>
      </c>
    </row>
    <row r="352" spans="1:27" ht="60.75" x14ac:dyDescent="0.25">
      <c r="A352" s="3" t="s">
        <v>28</v>
      </c>
      <c r="B352" s="3" t="s">
        <v>29</v>
      </c>
      <c r="C352" s="3" t="s">
        <v>30</v>
      </c>
      <c r="D352" s="3" t="s">
        <v>65</v>
      </c>
      <c r="E352" s="3" t="s">
        <v>51</v>
      </c>
      <c r="F352" s="3" t="s">
        <v>105</v>
      </c>
      <c r="G352" s="3">
        <v>2025</v>
      </c>
      <c r="H352" s="3" t="str">
        <f>CONCATENATE("54240568888")</f>
        <v>54240568888</v>
      </c>
      <c r="I352" s="3" t="s">
        <v>34</v>
      </c>
      <c r="J352" s="3" t="s">
        <v>35</v>
      </c>
      <c r="K352" s="3"/>
      <c r="L352" s="3" t="s">
        <v>36</v>
      </c>
      <c r="M352" s="3" t="str">
        <f>CONCATENATE("SRCLCU61P30F348Y")</f>
        <v>SRCLCU61P30F348Y</v>
      </c>
      <c r="N352" s="3" t="s">
        <v>462</v>
      </c>
      <c r="O352" s="3" t="s">
        <v>38</v>
      </c>
      <c r="P352" s="3"/>
      <c r="Q352" s="4">
        <v>45968</v>
      </c>
      <c r="R352" s="3" t="s">
        <v>39</v>
      </c>
      <c r="S352" s="3" t="s">
        <v>38</v>
      </c>
      <c r="T352" s="3" t="s">
        <v>40</v>
      </c>
      <c r="U352" s="3"/>
      <c r="V352" s="3" t="s">
        <v>41</v>
      </c>
      <c r="W352" s="3">
        <v>973.32</v>
      </c>
      <c r="X352" s="3">
        <v>729.99</v>
      </c>
      <c r="Y352" s="3">
        <v>170.33</v>
      </c>
      <c r="Z352" s="3">
        <v>73</v>
      </c>
      <c r="AA352" s="3">
        <v>0</v>
      </c>
    </row>
    <row r="353" spans="1:27" ht="60.75" x14ac:dyDescent="0.25">
      <c r="A353" s="3" t="s">
        <v>28</v>
      </c>
      <c r="B353" s="3" t="s">
        <v>29</v>
      </c>
      <c r="C353" s="3" t="s">
        <v>30</v>
      </c>
      <c r="D353" s="3" t="s">
        <v>65</v>
      </c>
      <c r="E353" s="3" t="s">
        <v>32</v>
      </c>
      <c r="F353" s="3" t="s">
        <v>270</v>
      </c>
      <c r="G353" s="3">
        <v>2025</v>
      </c>
      <c r="H353" s="3" t="str">
        <f>CONCATENATE("54240565637")</f>
        <v>54240565637</v>
      </c>
      <c r="I353" s="3" t="s">
        <v>34</v>
      </c>
      <c r="J353" s="3" t="s">
        <v>35</v>
      </c>
      <c r="K353" s="3"/>
      <c r="L353" s="3" t="s">
        <v>36</v>
      </c>
      <c r="M353" s="3" t="str">
        <f>CONCATENATE("RCNFBL60T41L081V")</f>
        <v>RCNFBL60T41L081V</v>
      </c>
      <c r="N353" s="3" t="s">
        <v>463</v>
      </c>
      <c r="O353" s="3" t="s">
        <v>38</v>
      </c>
      <c r="P353" s="3"/>
      <c r="Q353" s="4">
        <v>45968</v>
      </c>
      <c r="R353" s="3" t="s">
        <v>39</v>
      </c>
      <c r="S353" s="3" t="s">
        <v>38</v>
      </c>
      <c r="T353" s="3" t="s">
        <v>40</v>
      </c>
      <c r="U353" s="3"/>
      <c r="V353" s="3" t="s">
        <v>41</v>
      </c>
      <c r="W353" s="3">
        <v>667.34</v>
      </c>
      <c r="X353" s="3">
        <v>500.51</v>
      </c>
      <c r="Y353" s="3">
        <v>116.78</v>
      </c>
      <c r="Z353" s="3">
        <v>50.05</v>
      </c>
      <c r="AA353" s="3">
        <v>0</v>
      </c>
    </row>
    <row r="354" spans="1:27" ht="60.75" x14ac:dyDescent="0.25">
      <c r="A354" s="3" t="s">
        <v>28</v>
      </c>
      <c r="B354" s="3" t="s">
        <v>29</v>
      </c>
      <c r="C354" s="3" t="s">
        <v>30</v>
      </c>
      <c r="D354" s="3" t="s">
        <v>31</v>
      </c>
      <c r="E354" s="3" t="s">
        <v>51</v>
      </c>
      <c r="F354" s="3" t="s">
        <v>120</v>
      </c>
      <c r="G354" s="3">
        <v>2025</v>
      </c>
      <c r="H354" s="3" t="str">
        <f>CONCATENATE("54240565439")</f>
        <v>54240565439</v>
      </c>
      <c r="I354" s="3" t="s">
        <v>34</v>
      </c>
      <c r="J354" s="3" t="s">
        <v>35</v>
      </c>
      <c r="K354" s="3"/>
      <c r="L354" s="3" t="s">
        <v>36</v>
      </c>
      <c r="M354" s="3" t="str">
        <f>CONCATENATE("RSSFCM85H28E388E")</f>
        <v>RSSFCM85H28E388E</v>
      </c>
      <c r="N354" s="3" t="s">
        <v>464</v>
      </c>
      <c r="O354" s="3" t="s">
        <v>38</v>
      </c>
      <c r="P354" s="3"/>
      <c r="Q354" s="4">
        <v>45968</v>
      </c>
      <c r="R354" s="3" t="s">
        <v>39</v>
      </c>
      <c r="S354" s="3" t="s">
        <v>38</v>
      </c>
      <c r="T354" s="3" t="s">
        <v>40</v>
      </c>
      <c r="U354" s="3"/>
      <c r="V354" s="3" t="s">
        <v>41</v>
      </c>
      <c r="W354" s="3">
        <v>265</v>
      </c>
      <c r="X354" s="3">
        <v>198.75</v>
      </c>
      <c r="Y354" s="3">
        <v>46.38</v>
      </c>
      <c r="Z354" s="3">
        <v>19.87</v>
      </c>
      <c r="AA354" s="3">
        <v>0</v>
      </c>
    </row>
    <row r="355" spans="1:27" ht="60.75" x14ac:dyDescent="0.25">
      <c r="A355" s="3" t="s">
        <v>28</v>
      </c>
      <c r="B355" s="3" t="s">
        <v>29</v>
      </c>
      <c r="C355" s="3" t="s">
        <v>30</v>
      </c>
      <c r="D355" s="3" t="s">
        <v>65</v>
      </c>
      <c r="E355" s="3" t="s">
        <v>32</v>
      </c>
      <c r="F355" s="3" t="s">
        <v>144</v>
      </c>
      <c r="G355" s="3">
        <v>2025</v>
      </c>
      <c r="H355" s="3" t="str">
        <f>CONCATENATE("54240565801")</f>
        <v>54240565801</v>
      </c>
      <c r="I355" s="3" t="s">
        <v>34</v>
      </c>
      <c r="J355" s="3" t="s">
        <v>35</v>
      </c>
      <c r="K355" s="3"/>
      <c r="L355" s="3" t="s">
        <v>36</v>
      </c>
      <c r="M355" s="3" t="str">
        <f>CONCATENATE("FDDSFN80R29L500M")</f>
        <v>FDDSFN80R29L500M</v>
      </c>
      <c r="N355" s="3" t="s">
        <v>465</v>
      </c>
      <c r="O355" s="3" t="s">
        <v>38</v>
      </c>
      <c r="P355" s="3"/>
      <c r="Q355" s="4">
        <v>45968</v>
      </c>
      <c r="R355" s="3" t="s">
        <v>39</v>
      </c>
      <c r="S355" s="3" t="s">
        <v>38</v>
      </c>
      <c r="T355" s="3" t="s">
        <v>40</v>
      </c>
      <c r="U355" s="3"/>
      <c r="V355" s="3" t="s">
        <v>41</v>
      </c>
      <c r="W355" s="5">
        <v>1673.98</v>
      </c>
      <c r="X355" s="5">
        <v>1255.49</v>
      </c>
      <c r="Y355" s="3">
        <v>292.95</v>
      </c>
      <c r="Z355" s="3">
        <v>125.54</v>
      </c>
      <c r="AA355" s="3">
        <v>0</v>
      </c>
    </row>
    <row r="356" spans="1:27" ht="60.75" x14ac:dyDescent="0.25">
      <c r="A356" s="3" t="s">
        <v>28</v>
      </c>
      <c r="B356" s="3" t="s">
        <v>29</v>
      </c>
      <c r="C356" s="3" t="s">
        <v>30</v>
      </c>
      <c r="D356" s="3" t="s">
        <v>47</v>
      </c>
      <c r="E356" s="3" t="s">
        <v>51</v>
      </c>
      <c r="F356" s="3" t="s">
        <v>147</v>
      </c>
      <c r="G356" s="3">
        <v>2025</v>
      </c>
      <c r="H356" s="3" t="str">
        <f>CONCATENATE("54240567575")</f>
        <v>54240567575</v>
      </c>
      <c r="I356" s="3" t="s">
        <v>34</v>
      </c>
      <c r="J356" s="3" t="s">
        <v>35</v>
      </c>
      <c r="K356" s="3"/>
      <c r="L356" s="3" t="s">
        <v>36</v>
      </c>
      <c r="M356" s="3" t="str">
        <f>CONCATENATE("CRTSDR46R31A739P")</f>
        <v>CRTSDR46R31A739P</v>
      </c>
      <c r="N356" s="3" t="s">
        <v>466</v>
      </c>
      <c r="O356" s="3" t="s">
        <v>38</v>
      </c>
      <c r="P356" s="3"/>
      <c r="Q356" s="4">
        <v>45968</v>
      </c>
      <c r="R356" s="3" t="s">
        <v>39</v>
      </c>
      <c r="S356" s="3" t="s">
        <v>38</v>
      </c>
      <c r="T356" s="3" t="s">
        <v>40</v>
      </c>
      <c r="U356" s="3"/>
      <c r="V356" s="3" t="s">
        <v>41</v>
      </c>
      <c r="W356" s="5">
        <v>2684.69</v>
      </c>
      <c r="X356" s="5">
        <v>2013.52</v>
      </c>
      <c r="Y356" s="3">
        <v>469.82</v>
      </c>
      <c r="Z356" s="3">
        <v>201.35</v>
      </c>
      <c r="AA356" s="3">
        <v>0</v>
      </c>
    </row>
    <row r="357" spans="1:27" ht="60.75" x14ac:dyDescent="0.25">
      <c r="A357" s="3" t="s">
        <v>28</v>
      </c>
      <c r="B357" s="3" t="s">
        <v>29</v>
      </c>
      <c r="C357" s="3" t="s">
        <v>30</v>
      </c>
      <c r="D357" s="3" t="s">
        <v>65</v>
      </c>
      <c r="E357" s="3" t="s">
        <v>51</v>
      </c>
      <c r="F357" s="3" t="s">
        <v>105</v>
      </c>
      <c r="G357" s="3">
        <v>2025</v>
      </c>
      <c r="H357" s="3" t="str">
        <f>CONCATENATE("54240568060")</f>
        <v>54240568060</v>
      </c>
      <c r="I357" s="3" t="s">
        <v>34</v>
      </c>
      <c r="J357" s="3" t="s">
        <v>35</v>
      </c>
      <c r="K357" s="3"/>
      <c r="L357" s="3" t="s">
        <v>36</v>
      </c>
      <c r="M357" s="3" t="str">
        <f>CONCATENATE("FLVRNN78H06C745V")</f>
        <v>FLVRNN78H06C745V</v>
      </c>
      <c r="N357" s="3" t="s">
        <v>467</v>
      </c>
      <c r="O357" s="3" t="s">
        <v>38</v>
      </c>
      <c r="P357" s="3"/>
      <c r="Q357" s="4">
        <v>45968</v>
      </c>
      <c r="R357" s="3" t="s">
        <v>39</v>
      </c>
      <c r="S357" s="3" t="s">
        <v>38</v>
      </c>
      <c r="T357" s="3" t="s">
        <v>40</v>
      </c>
      <c r="U357" s="3"/>
      <c r="V357" s="3" t="s">
        <v>41</v>
      </c>
      <c r="W357" s="5">
        <v>11885.87</v>
      </c>
      <c r="X357" s="5">
        <v>8914.4</v>
      </c>
      <c r="Y357" s="5">
        <v>2080.0300000000002</v>
      </c>
      <c r="Z357" s="3">
        <v>891.44</v>
      </c>
      <c r="AA357" s="3">
        <v>0</v>
      </c>
    </row>
    <row r="358" spans="1:27" ht="36.75" x14ac:dyDescent="0.25">
      <c r="A358" s="3" t="s">
        <v>28</v>
      </c>
      <c r="B358" s="3" t="s">
        <v>29</v>
      </c>
      <c r="C358" s="3" t="s">
        <v>30</v>
      </c>
      <c r="D358" s="3" t="s">
        <v>65</v>
      </c>
      <c r="E358" s="3" t="s">
        <v>48</v>
      </c>
      <c r="F358" s="3" t="s">
        <v>66</v>
      </c>
      <c r="G358" s="3">
        <v>2025</v>
      </c>
      <c r="H358" s="3" t="str">
        <f>CONCATENATE("54240569241")</f>
        <v>54240569241</v>
      </c>
      <c r="I358" s="3" t="s">
        <v>34</v>
      </c>
      <c r="J358" s="3" t="s">
        <v>35</v>
      </c>
      <c r="K358" s="3"/>
      <c r="L358" s="3" t="s">
        <v>36</v>
      </c>
      <c r="M358" s="3" t="str">
        <f>CONCATENATE("01065340414")</f>
        <v>01065340414</v>
      </c>
      <c r="N358" s="3" t="s">
        <v>468</v>
      </c>
      <c r="O358" s="3" t="s">
        <v>38</v>
      </c>
      <c r="P358" s="3"/>
      <c r="Q358" s="4">
        <v>45968</v>
      </c>
      <c r="R358" s="3" t="s">
        <v>39</v>
      </c>
      <c r="S358" s="3" t="s">
        <v>38</v>
      </c>
      <c r="T358" s="3" t="s">
        <v>40</v>
      </c>
      <c r="U358" s="3"/>
      <c r="V358" s="3" t="s">
        <v>41</v>
      </c>
      <c r="W358" s="3">
        <v>848.46</v>
      </c>
      <c r="X358" s="3">
        <v>636.35</v>
      </c>
      <c r="Y358" s="3">
        <v>148.47999999999999</v>
      </c>
      <c r="Z358" s="3">
        <v>63.63</v>
      </c>
      <c r="AA358" s="3">
        <v>0</v>
      </c>
    </row>
    <row r="359" spans="1:27" ht="36.75" x14ac:dyDescent="0.25">
      <c r="A359" s="3" t="s">
        <v>28</v>
      </c>
      <c r="B359" s="3" t="s">
        <v>29</v>
      </c>
      <c r="C359" s="3" t="s">
        <v>30</v>
      </c>
      <c r="D359" s="3" t="s">
        <v>42</v>
      </c>
      <c r="E359" s="3" t="s">
        <v>51</v>
      </c>
      <c r="F359" s="3" t="s">
        <v>115</v>
      </c>
      <c r="G359" s="3">
        <v>2025</v>
      </c>
      <c r="H359" s="3" t="str">
        <f>CONCATENATE("54240569209")</f>
        <v>54240569209</v>
      </c>
      <c r="I359" s="3" t="s">
        <v>34</v>
      </c>
      <c r="J359" s="3" t="s">
        <v>35</v>
      </c>
      <c r="K359" s="3"/>
      <c r="L359" s="3" t="s">
        <v>36</v>
      </c>
      <c r="M359" s="3" t="str">
        <f>CONCATENATE("01197370446")</f>
        <v>01197370446</v>
      </c>
      <c r="N359" s="3" t="s">
        <v>469</v>
      </c>
      <c r="O359" s="3" t="s">
        <v>38</v>
      </c>
      <c r="P359" s="3"/>
      <c r="Q359" s="4">
        <v>45968</v>
      </c>
      <c r="R359" s="3" t="s">
        <v>39</v>
      </c>
      <c r="S359" s="3" t="s">
        <v>38</v>
      </c>
      <c r="T359" s="3" t="s">
        <v>40</v>
      </c>
      <c r="U359" s="3"/>
      <c r="V359" s="3" t="s">
        <v>41</v>
      </c>
      <c r="W359" s="5">
        <v>6288.8</v>
      </c>
      <c r="X359" s="5">
        <v>4716.6000000000004</v>
      </c>
      <c r="Y359" s="5">
        <v>1100.54</v>
      </c>
      <c r="Z359" s="3">
        <v>471.66</v>
      </c>
      <c r="AA359" s="3">
        <v>0</v>
      </c>
    </row>
    <row r="360" spans="1:27" ht="36.75" x14ac:dyDescent="0.25">
      <c r="A360" s="3" t="s">
        <v>28</v>
      </c>
      <c r="B360" s="3" t="s">
        <v>29</v>
      </c>
      <c r="C360" s="3" t="s">
        <v>30</v>
      </c>
      <c r="D360" s="3" t="s">
        <v>65</v>
      </c>
      <c r="E360" s="3" t="s">
        <v>51</v>
      </c>
      <c r="F360" s="3" t="s">
        <v>105</v>
      </c>
      <c r="G360" s="3">
        <v>2025</v>
      </c>
      <c r="H360" s="3" t="str">
        <f>CONCATENATE("54240569423")</f>
        <v>54240569423</v>
      </c>
      <c r="I360" s="3" t="s">
        <v>34</v>
      </c>
      <c r="J360" s="3" t="s">
        <v>35</v>
      </c>
      <c r="K360" s="3"/>
      <c r="L360" s="3" t="s">
        <v>36</v>
      </c>
      <c r="M360" s="3" t="str">
        <f>CONCATENATE("02666630419")</f>
        <v>02666630419</v>
      </c>
      <c r="N360" s="3" t="s">
        <v>470</v>
      </c>
      <c r="O360" s="3" t="s">
        <v>38</v>
      </c>
      <c r="P360" s="3"/>
      <c r="Q360" s="4">
        <v>45968</v>
      </c>
      <c r="R360" s="3" t="s">
        <v>39</v>
      </c>
      <c r="S360" s="3" t="s">
        <v>38</v>
      </c>
      <c r="T360" s="3" t="s">
        <v>40</v>
      </c>
      <c r="U360" s="3"/>
      <c r="V360" s="3" t="s">
        <v>41</v>
      </c>
      <c r="W360" s="5">
        <v>20867.25</v>
      </c>
      <c r="X360" s="5">
        <v>15650.44</v>
      </c>
      <c r="Y360" s="5">
        <v>3651.77</v>
      </c>
      <c r="Z360" s="5">
        <v>1565.04</v>
      </c>
      <c r="AA360" s="3">
        <v>0</v>
      </c>
    </row>
    <row r="361" spans="1:27" ht="36.75" x14ac:dyDescent="0.25">
      <c r="A361" s="3" t="s">
        <v>28</v>
      </c>
      <c r="B361" s="3" t="s">
        <v>29</v>
      </c>
      <c r="C361" s="3" t="s">
        <v>30</v>
      </c>
      <c r="D361" s="3" t="s">
        <v>42</v>
      </c>
      <c r="E361" s="3" t="s">
        <v>51</v>
      </c>
      <c r="F361" s="3" t="s">
        <v>157</v>
      </c>
      <c r="G361" s="3">
        <v>2025</v>
      </c>
      <c r="H361" s="3" t="str">
        <f>CONCATENATE("54240569704")</f>
        <v>54240569704</v>
      </c>
      <c r="I361" s="3" t="s">
        <v>34</v>
      </c>
      <c r="J361" s="3" t="s">
        <v>35</v>
      </c>
      <c r="K361" s="3"/>
      <c r="L361" s="3" t="s">
        <v>36</v>
      </c>
      <c r="M361" s="3" t="str">
        <f>CONCATENATE("02179520446")</f>
        <v>02179520446</v>
      </c>
      <c r="N361" s="3" t="s">
        <v>471</v>
      </c>
      <c r="O361" s="3" t="s">
        <v>38</v>
      </c>
      <c r="P361" s="3"/>
      <c r="Q361" s="4">
        <v>45968</v>
      </c>
      <c r="R361" s="3" t="s">
        <v>39</v>
      </c>
      <c r="S361" s="3" t="s">
        <v>38</v>
      </c>
      <c r="T361" s="3" t="s">
        <v>40</v>
      </c>
      <c r="U361" s="3"/>
      <c r="V361" s="3" t="s">
        <v>41</v>
      </c>
      <c r="W361" s="5">
        <v>5860.43</v>
      </c>
      <c r="X361" s="5">
        <v>4395.32</v>
      </c>
      <c r="Y361" s="5">
        <v>1025.58</v>
      </c>
      <c r="Z361" s="3">
        <v>439.53</v>
      </c>
      <c r="AA361" s="3">
        <v>0</v>
      </c>
    </row>
    <row r="362" spans="1:27" ht="60.75" x14ac:dyDescent="0.25">
      <c r="A362" s="3" t="s">
        <v>28</v>
      </c>
      <c r="B362" s="3" t="s">
        <v>29</v>
      </c>
      <c r="C362" s="3" t="s">
        <v>30</v>
      </c>
      <c r="D362" s="3" t="s">
        <v>42</v>
      </c>
      <c r="E362" s="3" t="s">
        <v>51</v>
      </c>
      <c r="F362" s="3" t="s">
        <v>157</v>
      </c>
      <c r="G362" s="3">
        <v>2025</v>
      </c>
      <c r="H362" s="3" t="str">
        <f>CONCATENATE("54240574605")</f>
        <v>54240574605</v>
      </c>
      <c r="I362" s="3" t="s">
        <v>34</v>
      </c>
      <c r="J362" s="3" t="s">
        <v>35</v>
      </c>
      <c r="K362" s="3"/>
      <c r="L362" s="3" t="s">
        <v>36</v>
      </c>
      <c r="M362" s="3" t="str">
        <f>CONCATENATE("CNTMRA44C50F493C")</f>
        <v>CNTMRA44C50F493C</v>
      </c>
      <c r="N362" s="3" t="s">
        <v>472</v>
      </c>
      <c r="O362" s="3" t="s">
        <v>38</v>
      </c>
      <c r="P362" s="3"/>
      <c r="Q362" s="4">
        <v>45968</v>
      </c>
      <c r="R362" s="3" t="s">
        <v>39</v>
      </c>
      <c r="S362" s="3" t="s">
        <v>38</v>
      </c>
      <c r="T362" s="3" t="s">
        <v>40</v>
      </c>
      <c r="U362" s="3"/>
      <c r="V362" s="3" t="s">
        <v>41</v>
      </c>
      <c r="W362" s="5">
        <v>6875.65</v>
      </c>
      <c r="X362" s="5">
        <v>5156.74</v>
      </c>
      <c r="Y362" s="5">
        <v>1203.24</v>
      </c>
      <c r="Z362" s="3">
        <v>515.66999999999996</v>
      </c>
      <c r="AA362" s="3">
        <v>0</v>
      </c>
    </row>
    <row r="363" spans="1:27" ht="72.75" x14ac:dyDescent="0.25">
      <c r="A363" s="3" t="s">
        <v>28</v>
      </c>
      <c r="B363" s="3" t="s">
        <v>29</v>
      </c>
      <c r="C363" s="3" t="s">
        <v>30</v>
      </c>
      <c r="D363" s="3" t="s">
        <v>42</v>
      </c>
      <c r="E363" s="3" t="s">
        <v>154</v>
      </c>
      <c r="F363" s="3" t="s">
        <v>155</v>
      </c>
      <c r="G363" s="3">
        <v>2025</v>
      </c>
      <c r="H363" s="3" t="str">
        <f>CONCATENATE("54240570876")</f>
        <v>54240570876</v>
      </c>
      <c r="I363" s="3" t="s">
        <v>34</v>
      </c>
      <c r="J363" s="3" t="s">
        <v>35</v>
      </c>
      <c r="K363" s="3"/>
      <c r="L363" s="3" t="s">
        <v>36</v>
      </c>
      <c r="M363" s="3" t="str">
        <f>CONCATENATE("CCCDNL89D07A462O")</f>
        <v>CCCDNL89D07A462O</v>
      </c>
      <c r="N363" s="3" t="s">
        <v>473</v>
      </c>
      <c r="O363" s="3" t="s">
        <v>38</v>
      </c>
      <c r="P363" s="3"/>
      <c r="Q363" s="4">
        <v>45968</v>
      </c>
      <c r="R363" s="3" t="s">
        <v>39</v>
      </c>
      <c r="S363" s="3" t="s">
        <v>38</v>
      </c>
      <c r="T363" s="3" t="s">
        <v>40</v>
      </c>
      <c r="U363" s="3"/>
      <c r="V363" s="3" t="s">
        <v>41</v>
      </c>
      <c r="W363" s="3">
        <v>459.88</v>
      </c>
      <c r="X363" s="3">
        <v>344.91</v>
      </c>
      <c r="Y363" s="3">
        <v>80.48</v>
      </c>
      <c r="Z363" s="3">
        <v>34.49</v>
      </c>
      <c r="AA363" s="3">
        <v>0</v>
      </c>
    </row>
    <row r="364" spans="1:27" ht="60.75" x14ac:dyDescent="0.25">
      <c r="A364" s="3" t="s">
        <v>28</v>
      </c>
      <c r="B364" s="3" t="s">
        <v>29</v>
      </c>
      <c r="C364" s="3" t="s">
        <v>30</v>
      </c>
      <c r="D364" s="3" t="s">
        <v>65</v>
      </c>
      <c r="E364" s="3" t="s">
        <v>51</v>
      </c>
      <c r="F364" s="3" t="s">
        <v>460</v>
      </c>
      <c r="G364" s="3">
        <v>2025</v>
      </c>
      <c r="H364" s="3" t="str">
        <f>CONCATENATE("54240569969")</f>
        <v>54240569969</v>
      </c>
      <c r="I364" s="3" t="s">
        <v>44</v>
      </c>
      <c r="J364" s="3" t="s">
        <v>35</v>
      </c>
      <c r="K364" s="3"/>
      <c r="L364" s="3" t="s">
        <v>36</v>
      </c>
      <c r="M364" s="3" t="str">
        <f>CONCATENATE("SCLVTR47E22L500X")</f>
        <v>SCLVTR47E22L500X</v>
      </c>
      <c r="N364" s="3" t="s">
        <v>474</v>
      </c>
      <c r="O364" s="3" t="s">
        <v>38</v>
      </c>
      <c r="P364" s="3"/>
      <c r="Q364" s="4">
        <v>45968</v>
      </c>
      <c r="R364" s="3" t="s">
        <v>39</v>
      </c>
      <c r="S364" s="3" t="s">
        <v>38</v>
      </c>
      <c r="T364" s="3" t="s">
        <v>40</v>
      </c>
      <c r="U364" s="3"/>
      <c r="V364" s="3" t="s">
        <v>41</v>
      </c>
      <c r="W364" s="5">
        <v>5061.3599999999997</v>
      </c>
      <c r="X364" s="5">
        <v>3796.02</v>
      </c>
      <c r="Y364" s="3">
        <v>885.74</v>
      </c>
      <c r="Z364" s="3">
        <v>379.6</v>
      </c>
      <c r="AA364" s="3">
        <v>0</v>
      </c>
    </row>
    <row r="365" spans="1:27" ht="60.75" x14ac:dyDescent="0.25">
      <c r="A365" s="3" t="s">
        <v>28</v>
      </c>
      <c r="B365" s="3" t="s">
        <v>29</v>
      </c>
      <c r="C365" s="3" t="s">
        <v>30</v>
      </c>
      <c r="D365" s="3" t="s">
        <v>65</v>
      </c>
      <c r="E365" s="3" t="s">
        <v>32</v>
      </c>
      <c r="F365" s="3" t="s">
        <v>144</v>
      </c>
      <c r="G365" s="3">
        <v>2025</v>
      </c>
      <c r="H365" s="3" t="str">
        <f>CONCATENATE("54240572088")</f>
        <v>54240572088</v>
      </c>
      <c r="I365" s="3" t="s">
        <v>44</v>
      </c>
      <c r="J365" s="3" t="s">
        <v>35</v>
      </c>
      <c r="K365" s="3"/>
      <c r="L365" s="3" t="s">
        <v>36</v>
      </c>
      <c r="M365" s="3" t="str">
        <f>CONCATENATE("MTTMHL74B21L500J")</f>
        <v>MTTMHL74B21L500J</v>
      </c>
      <c r="N365" s="3" t="s">
        <v>475</v>
      </c>
      <c r="O365" s="3" t="s">
        <v>38</v>
      </c>
      <c r="P365" s="3"/>
      <c r="Q365" s="4">
        <v>45968</v>
      </c>
      <c r="R365" s="3" t="s">
        <v>39</v>
      </c>
      <c r="S365" s="3" t="s">
        <v>38</v>
      </c>
      <c r="T365" s="3" t="s">
        <v>40</v>
      </c>
      <c r="U365" s="3"/>
      <c r="V365" s="3" t="s">
        <v>41</v>
      </c>
      <c r="W365" s="5">
        <v>10101.33</v>
      </c>
      <c r="X365" s="5">
        <v>7576</v>
      </c>
      <c r="Y365" s="5">
        <v>1767.73</v>
      </c>
      <c r="Z365" s="3">
        <v>757.6</v>
      </c>
      <c r="AA365" s="3">
        <v>0</v>
      </c>
    </row>
    <row r="366" spans="1:27" ht="60.75" x14ac:dyDescent="0.25">
      <c r="A366" s="3" t="s">
        <v>28</v>
      </c>
      <c r="B366" s="3" t="s">
        <v>29</v>
      </c>
      <c r="C366" s="3" t="s">
        <v>30</v>
      </c>
      <c r="D366" s="3" t="s">
        <v>47</v>
      </c>
      <c r="E366" s="3" t="s">
        <v>60</v>
      </c>
      <c r="F366" s="3" t="s">
        <v>61</v>
      </c>
      <c r="G366" s="3">
        <v>2025</v>
      </c>
      <c r="H366" s="3" t="str">
        <f>CONCATENATE("54240557212")</f>
        <v>54240557212</v>
      </c>
      <c r="I366" s="3" t="s">
        <v>34</v>
      </c>
      <c r="J366" s="3" t="s">
        <v>35</v>
      </c>
      <c r="K366" s="3"/>
      <c r="L366" s="3" t="s">
        <v>36</v>
      </c>
      <c r="M366" s="3" t="str">
        <f>CONCATENATE("BLNMRA64C43H440D")</f>
        <v>BLNMRA64C43H440D</v>
      </c>
      <c r="N366" s="3" t="s">
        <v>476</v>
      </c>
      <c r="O366" s="3" t="s">
        <v>38</v>
      </c>
      <c r="P366" s="3"/>
      <c r="Q366" s="4">
        <v>45968</v>
      </c>
      <c r="R366" s="3" t="s">
        <v>39</v>
      </c>
      <c r="S366" s="3" t="s">
        <v>38</v>
      </c>
      <c r="T366" s="3" t="s">
        <v>40</v>
      </c>
      <c r="U366" s="3"/>
      <c r="V366" s="3" t="s">
        <v>41</v>
      </c>
      <c r="W366" s="5">
        <v>37096.559999999998</v>
      </c>
      <c r="X366" s="5">
        <v>27822.42</v>
      </c>
      <c r="Y366" s="5">
        <v>6491.9</v>
      </c>
      <c r="Z366" s="5">
        <v>2782.24</v>
      </c>
      <c r="AA366" s="3">
        <v>0</v>
      </c>
    </row>
    <row r="367" spans="1:27" ht="60.75" x14ac:dyDescent="0.25">
      <c r="A367" s="3" t="s">
        <v>28</v>
      </c>
      <c r="B367" s="3" t="s">
        <v>29</v>
      </c>
      <c r="C367" s="3" t="s">
        <v>30</v>
      </c>
      <c r="D367" s="3" t="s">
        <v>42</v>
      </c>
      <c r="E367" s="3" t="s">
        <v>43</v>
      </c>
      <c r="F367" s="3" t="s">
        <v>43</v>
      </c>
      <c r="G367" s="3">
        <v>2025</v>
      </c>
      <c r="H367" s="3" t="str">
        <f>CONCATENATE("54240664455")</f>
        <v>54240664455</v>
      </c>
      <c r="I367" s="3" t="s">
        <v>34</v>
      </c>
      <c r="J367" s="3" t="s">
        <v>35</v>
      </c>
      <c r="K367" s="3"/>
      <c r="L367" s="3" t="s">
        <v>36</v>
      </c>
      <c r="M367" s="3" t="str">
        <f>CONCATENATE("SNTFNC97A23I324A")</f>
        <v>SNTFNC97A23I324A</v>
      </c>
      <c r="N367" s="3" t="s">
        <v>477</v>
      </c>
      <c r="O367" s="3" t="s">
        <v>38</v>
      </c>
      <c r="P367" s="3"/>
      <c r="Q367" s="4">
        <v>45968</v>
      </c>
      <c r="R367" s="3" t="s">
        <v>39</v>
      </c>
      <c r="S367" s="3" t="s">
        <v>38</v>
      </c>
      <c r="T367" s="3" t="s">
        <v>40</v>
      </c>
      <c r="U367" s="3"/>
      <c r="V367" s="3" t="s">
        <v>41</v>
      </c>
      <c r="W367" s="5">
        <v>6434.36</v>
      </c>
      <c r="X367" s="5">
        <v>4825.7700000000004</v>
      </c>
      <c r="Y367" s="5">
        <v>1126.01</v>
      </c>
      <c r="Z367" s="3">
        <v>482.58</v>
      </c>
      <c r="AA367" s="3">
        <v>0</v>
      </c>
    </row>
    <row r="368" spans="1:27" ht="60.75" x14ac:dyDescent="0.25">
      <c r="A368" s="3" t="s">
        <v>28</v>
      </c>
      <c r="B368" s="3" t="s">
        <v>29</v>
      </c>
      <c r="C368" s="3" t="s">
        <v>30</v>
      </c>
      <c r="D368" s="3" t="s">
        <v>31</v>
      </c>
      <c r="E368" s="3" t="s">
        <v>478</v>
      </c>
      <c r="F368" s="3" t="s">
        <v>479</v>
      </c>
      <c r="G368" s="3">
        <v>2025</v>
      </c>
      <c r="H368" s="3" t="str">
        <f>CONCATENATE("54240573029")</f>
        <v>54240573029</v>
      </c>
      <c r="I368" s="3" t="s">
        <v>34</v>
      </c>
      <c r="J368" s="3" t="s">
        <v>35</v>
      </c>
      <c r="K368" s="3"/>
      <c r="L368" s="3" t="s">
        <v>36</v>
      </c>
      <c r="M368" s="3" t="str">
        <f>CONCATENATE("PTRFNC70R54A271E")</f>
        <v>PTRFNC70R54A271E</v>
      </c>
      <c r="N368" s="3" t="s">
        <v>480</v>
      </c>
      <c r="O368" s="3" t="s">
        <v>38</v>
      </c>
      <c r="P368" s="3"/>
      <c r="Q368" s="4">
        <v>45968</v>
      </c>
      <c r="R368" s="3" t="s">
        <v>39</v>
      </c>
      <c r="S368" s="3" t="s">
        <v>38</v>
      </c>
      <c r="T368" s="3" t="s">
        <v>40</v>
      </c>
      <c r="U368" s="3"/>
      <c r="V368" s="3" t="s">
        <v>41</v>
      </c>
      <c r="W368" s="5">
        <v>5439.21</v>
      </c>
      <c r="X368" s="5">
        <v>4079.41</v>
      </c>
      <c r="Y368" s="3">
        <v>951.86</v>
      </c>
      <c r="Z368" s="3">
        <v>407.94</v>
      </c>
      <c r="AA368" s="3">
        <v>0</v>
      </c>
    </row>
    <row r="369" spans="1:27" ht="36.75" x14ac:dyDescent="0.25">
      <c r="A369" s="3" t="s">
        <v>28</v>
      </c>
      <c r="B369" s="3" t="s">
        <v>29</v>
      </c>
      <c r="C369" s="3" t="s">
        <v>30</v>
      </c>
      <c r="D369" s="3" t="s">
        <v>31</v>
      </c>
      <c r="E369" s="3" t="s">
        <v>51</v>
      </c>
      <c r="F369" s="3" t="s">
        <v>74</v>
      </c>
      <c r="G369" s="3">
        <v>2025</v>
      </c>
      <c r="H369" s="3" t="str">
        <f>CONCATENATE("54240574670")</f>
        <v>54240574670</v>
      </c>
      <c r="I369" s="3" t="s">
        <v>34</v>
      </c>
      <c r="J369" s="3" t="s">
        <v>35</v>
      </c>
      <c r="K369" s="3"/>
      <c r="L369" s="3" t="s">
        <v>36</v>
      </c>
      <c r="M369" s="3" t="str">
        <f>CONCATENATE("02510910421")</f>
        <v>02510910421</v>
      </c>
      <c r="N369" s="3" t="s">
        <v>481</v>
      </c>
      <c r="O369" s="3" t="s">
        <v>38</v>
      </c>
      <c r="P369" s="3"/>
      <c r="Q369" s="4">
        <v>45968</v>
      </c>
      <c r="R369" s="3" t="s">
        <v>39</v>
      </c>
      <c r="S369" s="3" t="s">
        <v>38</v>
      </c>
      <c r="T369" s="3" t="s">
        <v>40</v>
      </c>
      <c r="U369" s="3"/>
      <c r="V369" s="3" t="s">
        <v>41</v>
      </c>
      <c r="W369" s="5">
        <v>1300.53</v>
      </c>
      <c r="X369" s="3">
        <v>975.4</v>
      </c>
      <c r="Y369" s="3">
        <v>227.59</v>
      </c>
      <c r="Z369" s="3">
        <v>97.54</v>
      </c>
      <c r="AA369" s="3">
        <v>0</v>
      </c>
    </row>
    <row r="370" spans="1:27" ht="36.75" x14ac:dyDescent="0.25">
      <c r="A370" s="3" t="s">
        <v>28</v>
      </c>
      <c r="B370" s="3" t="s">
        <v>29</v>
      </c>
      <c r="C370" s="3" t="s">
        <v>30</v>
      </c>
      <c r="D370" s="3" t="s">
        <v>65</v>
      </c>
      <c r="E370" s="3" t="s">
        <v>32</v>
      </c>
      <c r="F370" s="3" t="s">
        <v>135</v>
      </c>
      <c r="G370" s="3">
        <v>2025</v>
      </c>
      <c r="H370" s="3" t="str">
        <f>CONCATENATE("54240573474")</f>
        <v>54240573474</v>
      </c>
      <c r="I370" s="3" t="s">
        <v>34</v>
      </c>
      <c r="J370" s="3" t="s">
        <v>35</v>
      </c>
      <c r="K370" s="3"/>
      <c r="L370" s="3" t="s">
        <v>36</v>
      </c>
      <c r="M370" s="3" t="str">
        <f>CONCATENATE("02784740413")</f>
        <v>02784740413</v>
      </c>
      <c r="N370" s="3" t="s">
        <v>482</v>
      </c>
      <c r="O370" s="3" t="s">
        <v>38</v>
      </c>
      <c r="P370" s="3"/>
      <c r="Q370" s="4">
        <v>45968</v>
      </c>
      <c r="R370" s="3" t="s">
        <v>39</v>
      </c>
      <c r="S370" s="3" t="s">
        <v>38</v>
      </c>
      <c r="T370" s="3" t="s">
        <v>40</v>
      </c>
      <c r="U370" s="3"/>
      <c r="V370" s="3" t="s">
        <v>41</v>
      </c>
      <c r="W370" s="5">
        <v>5420.79</v>
      </c>
      <c r="X370" s="5">
        <v>4065.59</v>
      </c>
      <c r="Y370" s="3">
        <v>948.64</v>
      </c>
      <c r="Z370" s="3">
        <v>406.56</v>
      </c>
      <c r="AA370" s="3">
        <v>0</v>
      </c>
    </row>
    <row r="371" spans="1:27" ht="60.75" x14ac:dyDescent="0.25">
      <c r="A371" s="3" t="s">
        <v>28</v>
      </c>
      <c r="B371" s="3" t="s">
        <v>29</v>
      </c>
      <c r="C371" s="3" t="s">
        <v>30</v>
      </c>
      <c r="D371" s="3" t="s">
        <v>31</v>
      </c>
      <c r="E371" s="3" t="s">
        <v>132</v>
      </c>
      <c r="F371" s="3" t="s">
        <v>190</v>
      </c>
      <c r="G371" s="3">
        <v>2025</v>
      </c>
      <c r="H371" s="3" t="str">
        <f>CONCATENATE("54240573433")</f>
        <v>54240573433</v>
      </c>
      <c r="I371" s="3" t="s">
        <v>34</v>
      </c>
      <c r="J371" s="3" t="s">
        <v>35</v>
      </c>
      <c r="K371" s="3"/>
      <c r="L371" s="3" t="s">
        <v>36</v>
      </c>
      <c r="M371" s="3" t="str">
        <f>CONCATENATE("MREGCR86T16A271J")</f>
        <v>MREGCR86T16A271J</v>
      </c>
      <c r="N371" s="3" t="s">
        <v>483</v>
      </c>
      <c r="O371" s="3" t="s">
        <v>38</v>
      </c>
      <c r="P371" s="3"/>
      <c r="Q371" s="4">
        <v>45968</v>
      </c>
      <c r="R371" s="3" t="s">
        <v>39</v>
      </c>
      <c r="S371" s="3" t="s">
        <v>38</v>
      </c>
      <c r="T371" s="3" t="s">
        <v>40</v>
      </c>
      <c r="U371" s="3"/>
      <c r="V371" s="3" t="s">
        <v>41</v>
      </c>
      <c r="W371" s="5">
        <v>9161.4599999999991</v>
      </c>
      <c r="X371" s="5">
        <v>6871.1</v>
      </c>
      <c r="Y371" s="5">
        <v>1603.26</v>
      </c>
      <c r="Z371" s="3">
        <v>687.1</v>
      </c>
      <c r="AA371" s="3">
        <v>0</v>
      </c>
    </row>
    <row r="372" spans="1:27" ht="60.75" x14ac:dyDescent="0.25">
      <c r="A372" s="3" t="s">
        <v>28</v>
      </c>
      <c r="B372" s="3" t="s">
        <v>29</v>
      </c>
      <c r="C372" s="3" t="s">
        <v>30</v>
      </c>
      <c r="D372" s="3" t="s">
        <v>65</v>
      </c>
      <c r="E372" s="3" t="s">
        <v>32</v>
      </c>
      <c r="F372" s="3" t="s">
        <v>135</v>
      </c>
      <c r="G372" s="3">
        <v>2025</v>
      </c>
      <c r="H372" s="3" t="str">
        <f>CONCATENATE("54240573771")</f>
        <v>54240573771</v>
      </c>
      <c r="I372" s="3" t="s">
        <v>34</v>
      </c>
      <c r="J372" s="3" t="s">
        <v>35</v>
      </c>
      <c r="K372" s="3"/>
      <c r="L372" s="3" t="s">
        <v>36</v>
      </c>
      <c r="M372" s="3" t="str">
        <f>CONCATENATE("BRNCRL56E17D541U")</f>
        <v>BRNCRL56E17D541U</v>
      </c>
      <c r="N372" s="3" t="s">
        <v>484</v>
      </c>
      <c r="O372" s="3" t="s">
        <v>38</v>
      </c>
      <c r="P372" s="3"/>
      <c r="Q372" s="4">
        <v>45968</v>
      </c>
      <c r="R372" s="3" t="s">
        <v>39</v>
      </c>
      <c r="S372" s="3" t="s">
        <v>38</v>
      </c>
      <c r="T372" s="3" t="s">
        <v>40</v>
      </c>
      <c r="U372" s="3"/>
      <c r="V372" s="3" t="s">
        <v>41</v>
      </c>
      <c r="W372" s="5">
        <v>2378.19</v>
      </c>
      <c r="X372" s="5">
        <v>1783.64</v>
      </c>
      <c r="Y372" s="3">
        <v>416.18</v>
      </c>
      <c r="Z372" s="3">
        <v>178.37</v>
      </c>
      <c r="AA372" s="3">
        <v>0</v>
      </c>
    </row>
    <row r="373" spans="1:27" ht="36.75" x14ac:dyDescent="0.25">
      <c r="A373" s="3" t="s">
        <v>28</v>
      </c>
      <c r="B373" s="3" t="s">
        <v>29</v>
      </c>
      <c r="C373" s="3" t="s">
        <v>30</v>
      </c>
      <c r="D373" s="3" t="s">
        <v>47</v>
      </c>
      <c r="E373" s="3" t="s">
        <v>51</v>
      </c>
      <c r="F373" s="3" t="s">
        <v>282</v>
      </c>
      <c r="G373" s="3">
        <v>2025</v>
      </c>
      <c r="H373" s="3" t="str">
        <f>CONCATENATE("54240573722")</f>
        <v>54240573722</v>
      </c>
      <c r="I373" s="3" t="s">
        <v>34</v>
      </c>
      <c r="J373" s="3" t="s">
        <v>35</v>
      </c>
      <c r="K373" s="3"/>
      <c r="L373" s="3" t="s">
        <v>36</v>
      </c>
      <c r="M373" s="3" t="str">
        <f>CONCATENATE("01836970432")</f>
        <v>01836970432</v>
      </c>
      <c r="N373" s="3" t="s">
        <v>485</v>
      </c>
      <c r="O373" s="3" t="s">
        <v>38</v>
      </c>
      <c r="P373" s="3"/>
      <c r="Q373" s="4">
        <v>45968</v>
      </c>
      <c r="R373" s="3" t="s">
        <v>39</v>
      </c>
      <c r="S373" s="3" t="s">
        <v>38</v>
      </c>
      <c r="T373" s="3" t="s">
        <v>40</v>
      </c>
      <c r="U373" s="3"/>
      <c r="V373" s="3" t="s">
        <v>41</v>
      </c>
      <c r="W373" s="5">
        <v>1878.98</v>
      </c>
      <c r="X373" s="5">
        <v>1409.24</v>
      </c>
      <c r="Y373" s="3">
        <v>328.82</v>
      </c>
      <c r="Z373" s="3">
        <v>140.91999999999999</v>
      </c>
      <c r="AA373" s="3">
        <v>0</v>
      </c>
    </row>
    <row r="374" spans="1:27" ht="60.75" x14ac:dyDescent="0.25">
      <c r="A374" s="3" t="s">
        <v>28</v>
      </c>
      <c r="B374" s="3" t="s">
        <v>29</v>
      </c>
      <c r="C374" s="3" t="s">
        <v>30</v>
      </c>
      <c r="D374" s="3" t="s">
        <v>65</v>
      </c>
      <c r="E374" s="3" t="s">
        <v>51</v>
      </c>
      <c r="F374" s="3" t="s">
        <v>105</v>
      </c>
      <c r="G374" s="3">
        <v>2025</v>
      </c>
      <c r="H374" s="3" t="str">
        <f>CONCATENATE("54240573748")</f>
        <v>54240573748</v>
      </c>
      <c r="I374" s="3" t="s">
        <v>34</v>
      </c>
      <c r="J374" s="3" t="s">
        <v>35</v>
      </c>
      <c r="K374" s="3"/>
      <c r="L374" s="3" t="s">
        <v>36</v>
      </c>
      <c r="M374" s="3" t="str">
        <f>CONCATENATE("RSSPRN44T63F555U")</f>
        <v>RSSPRN44T63F555U</v>
      </c>
      <c r="N374" s="3" t="s">
        <v>486</v>
      </c>
      <c r="O374" s="3" t="s">
        <v>38</v>
      </c>
      <c r="P374" s="3"/>
      <c r="Q374" s="4">
        <v>45968</v>
      </c>
      <c r="R374" s="3" t="s">
        <v>39</v>
      </c>
      <c r="S374" s="3" t="s">
        <v>38</v>
      </c>
      <c r="T374" s="3" t="s">
        <v>40</v>
      </c>
      <c r="U374" s="3"/>
      <c r="V374" s="3" t="s">
        <v>41</v>
      </c>
      <c r="W374" s="5">
        <v>1149.55</v>
      </c>
      <c r="X374" s="3">
        <v>862.16</v>
      </c>
      <c r="Y374" s="3">
        <v>201.17</v>
      </c>
      <c r="Z374" s="3">
        <v>86.22</v>
      </c>
      <c r="AA374" s="3">
        <v>0</v>
      </c>
    </row>
    <row r="375" spans="1:27" ht="72.75" x14ac:dyDescent="0.25">
      <c r="A375" s="3" t="s">
        <v>28</v>
      </c>
      <c r="B375" s="3" t="s">
        <v>29</v>
      </c>
      <c r="C375" s="3" t="s">
        <v>30</v>
      </c>
      <c r="D375" s="3" t="s">
        <v>65</v>
      </c>
      <c r="E375" s="3" t="s">
        <v>60</v>
      </c>
      <c r="F375" s="3" t="s">
        <v>85</v>
      </c>
      <c r="G375" s="3">
        <v>2025</v>
      </c>
      <c r="H375" s="3" t="str">
        <f>CONCATENATE("54240574001")</f>
        <v>54240574001</v>
      </c>
      <c r="I375" s="3" t="s">
        <v>34</v>
      </c>
      <c r="J375" s="3" t="s">
        <v>35</v>
      </c>
      <c r="K375" s="3"/>
      <c r="L375" s="3" t="s">
        <v>36</v>
      </c>
      <c r="M375" s="3" t="str">
        <f>CONCATENATE("TRGGRN55B48G337R")</f>
        <v>TRGGRN55B48G337R</v>
      </c>
      <c r="N375" s="3" t="s">
        <v>487</v>
      </c>
      <c r="O375" s="3" t="s">
        <v>38</v>
      </c>
      <c r="P375" s="3"/>
      <c r="Q375" s="4">
        <v>45968</v>
      </c>
      <c r="R375" s="3" t="s">
        <v>39</v>
      </c>
      <c r="S375" s="3" t="s">
        <v>38</v>
      </c>
      <c r="T375" s="3" t="s">
        <v>40</v>
      </c>
      <c r="U375" s="3"/>
      <c r="V375" s="3" t="s">
        <v>41</v>
      </c>
      <c r="W375" s="5">
        <v>1274.74</v>
      </c>
      <c r="X375" s="3">
        <v>956.06</v>
      </c>
      <c r="Y375" s="3">
        <v>223.08</v>
      </c>
      <c r="Z375" s="3">
        <v>95.6</v>
      </c>
      <c r="AA375" s="3">
        <v>0</v>
      </c>
    </row>
    <row r="376" spans="1:27" ht="36.75" x14ac:dyDescent="0.25">
      <c r="A376" s="3" t="s">
        <v>28</v>
      </c>
      <c r="B376" s="3" t="s">
        <v>29</v>
      </c>
      <c r="C376" s="3" t="s">
        <v>30</v>
      </c>
      <c r="D376" s="3" t="s">
        <v>47</v>
      </c>
      <c r="E376" s="3" t="s">
        <v>60</v>
      </c>
      <c r="F376" s="3" t="s">
        <v>81</v>
      </c>
      <c r="G376" s="3">
        <v>2025</v>
      </c>
      <c r="H376" s="3" t="str">
        <f>CONCATENATE("54240573912")</f>
        <v>54240573912</v>
      </c>
      <c r="I376" s="3" t="s">
        <v>34</v>
      </c>
      <c r="J376" s="3" t="s">
        <v>35</v>
      </c>
      <c r="K376" s="3"/>
      <c r="L376" s="3" t="s">
        <v>36</v>
      </c>
      <c r="M376" s="3" t="str">
        <f>CONCATENATE("01912920434")</f>
        <v>01912920434</v>
      </c>
      <c r="N376" s="3" t="s">
        <v>488</v>
      </c>
      <c r="O376" s="3" t="s">
        <v>38</v>
      </c>
      <c r="P376" s="3"/>
      <c r="Q376" s="4">
        <v>45968</v>
      </c>
      <c r="R376" s="3" t="s">
        <v>39</v>
      </c>
      <c r="S376" s="3" t="s">
        <v>38</v>
      </c>
      <c r="T376" s="3" t="s">
        <v>40</v>
      </c>
      <c r="U376" s="3"/>
      <c r="V376" s="3" t="s">
        <v>41</v>
      </c>
      <c r="W376" s="5">
        <v>39164.160000000003</v>
      </c>
      <c r="X376" s="5">
        <v>29373.119999999999</v>
      </c>
      <c r="Y376" s="5">
        <v>6853.73</v>
      </c>
      <c r="Z376" s="5">
        <v>2937.31</v>
      </c>
      <c r="AA376" s="3">
        <v>0</v>
      </c>
    </row>
    <row r="377" spans="1:27" ht="60.75" x14ac:dyDescent="0.25">
      <c r="A377" s="3" t="s">
        <v>28</v>
      </c>
      <c r="B377" s="3" t="s">
        <v>29</v>
      </c>
      <c r="C377" s="3" t="s">
        <v>30</v>
      </c>
      <c r="D377" s="3" t="s">
        <v>42</v>
      </c>
      <c r="E377" s="3" t="s">
        <v>43</v>
      </c>
      <c r="F377" s="3" t="s">
        <v>43</v>
      </c>
      <c r="G377" s="3">
        <v>2025</v>
      </c>
      <c r="H377" s="3" t="str">
        <f>CONCATENATE("54240574399")</f>
        <v>54240574399</v>
      </c>
      <c r="I377" s="3" t="s">
        <v>34</v>
      </c>
      <c r="J377" s="3" t="s">
        <v>35</v>
      </c>
      <c r="K377" s="3"/>
      <c r="L377" s="3" t="s">
        <v>36</v>
      </c>
      <c r="M377" s="3" t="str">
        <f>CONCATENATE("FRNGLI44B13F501D")</f>
        <v>FRNGLI44B13F501D</v>
      </c>
      <c r="N377" s="3" t="s">
        <v>489</v>
      </c>
      <c r="O377" s="3" t="s">
        <v>38</v>
      </c>
      <c r="P377" s="3"/>
      <c r="Q377" s="4">
        <v>45968</v>
      </c>
      <c r="R377" s="3" t="s">
        <v>39</v>
      </c>
      <c r="S377" s="3" t="s">
        <v>38</v>
      </c>
      <c r="T377" s="3" t="s">
        <v>40</v>
      </c>
      <c r="U377" s="3"/>
      <c r="V377" s="3" t="s">
        <v>41</v>
      </c>
      <c r="W377" s="5">
        <v>8111.31</v>
      </c>
      <c r="X377" s="5">
        <v>6083.48</v>
      </c>
      <c r="Y377" s="5">
        <v>1419.48</v>
      </c>
      <c r="Z377" s="3">
        <v>608.35</v>
      </c>
      <c r="AA377" s="3">
        <v>0</v>
      </c>
    </row>
    <row r="378" spans="1:27" ht="60.75" x14ac:dyDescent="0.25">
      <c r="A378" s="3" t="s">
        <v>28</v>
      </c>
      <c r="B378" s="3" t="s">
        <v>29</v>
      </c>
      <c r="C378" s="3" t="s">
        <v>30</v>
      </c>
      <c r="D378" s="3" t="s">
        <v>42</v>
      </c>
      <c r="E378" s="3" t="s">
        <v>43</v>
      </c>
      <c r="F378" s="3" t="s">
        <v>43</v>
      </c>
      <c r="G378" s="3">
        <v>2025</v>
      </c>
      <c r="H378" s="3" t="str">
        <f>CONCATENATE("54240574373")</f>
        <v>54240574373</v>
      </c>
      <c r="I378" s="3" t="s">
        <v>34</v>
      </c>
      <c r="J378" s="3" t="s">
        <v>35</v>
      </c>
      <c r="K378" s="3"/>
      <c r="L378" s="3" t="s">
        <v>36</v>
      </c>
      <c r="M378" s="3" t="str">
        <f>CONCATENATE("PLNLGU53C23B727R")</f>
        <v>PLNLGU53C23B727R</v>
      </c>
      <c r="N378" s="3" t="s">
        <v>490</v>
      </c>
      <c r="O378" s="3" t="s">
        <v>38</v>
      </c>
      <c r="P378" s="3"/>
      <c r="Q378" s="4">
        <v>45968</v>
      </c>
      <c r="R378" s="3" t="s">
        <v>39</v>
      </c>
      <c r="S378" s="3" t="s">
        <v>38</v>
      </c>
      <c r="T378" s="3" t="s">
        <v>40</v>
      </c>
      <c r="U378" s="3"/>
      <c r="V378" s="3" t="s">
        <v>41</v>
      </c>
      <c r="W378" s="5">
        <v>4703.1499999999996</v>
      </c>
      <c r="X378" s="5">
        <v>3527.36</v>
      </c>
      <c r="Y378" s="3">
        <v>823.05</v>
      </c>
      <c r="Z378" s="3">
        <v>352.74</v>
      </c>
      <c r="AA378" s="3">
        <v>0</v>
      </c>
    </row>
    <row r="379" spans="1:27" ht="36.75" x14ac:dyDescent="0.25">
      <c r="A379" s="3" t="s">
        <v>28</v>
      </c>
      <c r="B379" s="3" t="s">
        <v>29</v>
      </c>
      <c r="C379" s="3" t="s">
        <v>30</v>
      </c>
      <c r="D379" s="3" t="s">
        <v>42</v>
      </c>
      <c r="E379" s="3" t="s">
        <v>43</v>
      </c>
      <c r="F379" s="3" t="s">
        <v>43</v>
      </c>
      <c r="G379" s="3">
        <v>2025</v>
      </c>
      <c r="H379" s="3" t="str">
        <f>CONCATENATE("54240574480")</f>
        <v>54240574480</v>
      </c>
      <c r="I379" s="3" t="s">
        <v>34</v>
      </c>
      <c r="J379" s="3" t="s">
        <v>35</v>
      </c>
      <c r="K379" s="3"/>
      <c r="L379" s="3" t="s">
        <v>36</v>
      </c>
      <c r="M379" s="3" t="str">
        <f>CONCATENATE("02559730441")</f>
        <v>02559730441</v>
      </c>
      <c r="N379" s="3" t="s">
        <v>491</v>
      </c>
      <c r="O379" s="3" t="s">
        <v>38</v>
      </c>
      <c r="P379" s="3"/>
      <c r="Q379" s="4">
        <v>45968</v>
      </c>
      <c r="R379" s="3" t="s">
        <v>39</v>
      </c>
      <c r="S379" s="3" t="s">
        <v>38</v>
      </c>
      <c r="T379" s="3" t="s">
        <v>40</v>
      </c>
      <c r="U379" s="3"/>
      <c r="V379" s="3" t="s">
        <v>41</v>
      </c>
      <c r="W379" s="5">
        <v>6073.13</v>
      </c>
      <c r="X379" s="5">
        <v>4554.8500000000004</v>
      </c>
      <c r="Y379" s="5">
        <v>1062.8</v>
      </c>
      <c r="Z379" s="3">
        <v>455.48</v>
      </c>
      <c r="AA379" s="3">
        <v>0</v>
      </c>
    </row>
    <row r="380" spans="1:27" ht="60.75" x14ac:dyDescent="0.25">
      <c r="A380" s="3" t="s">
        <v>28</v>
      </c>
      <c r="B380" s="3" t="s">
        <v>29</v>
      </c>
      <c r="C380" s="3" t="s">
        <v>30</v>
      </c>
      <c r="D380" s="3" t="s">
        <v>65</v>
      </c>
      <c r="E380" s="3" t="s">
        <v>51</v>
      </c>
      <c r="F380" s="3" t="s">
        <v>460</v>
      </c>
      <c r="G380" s="3">
        <v>2025</v>
      </c>
      <c r="H380" s="3" t="str">
        <f>CONCATENATE("54240574597")</f>
        <v>54240574597</v>
      </c>
      <c r="I380" s="3" t="s">
        <v>44</v>
      </c>
      <c r="J380" s="3" t="s">
        <v>35</v>
      </c>
      <c r="K380" s="3"/>
      <c r="L380" s="3" t="s">
        <v>36</v>
      </c>
      <c r="M380" s="3" t="str">
        <f>CONCATENATE("SLVDNL64A04L500R")</f>
        <v>SLVDNL64A04L500R</v>
      </c>
      <c r="N380" s="3" t="s">
        <v>492</v>
      </c>
      <c r="O380" s="3" t="s">
        <v>38</v>
      </c>
      <c r="P380" s="3"/>
      <c r="Q380" s="4">
        <v>45968</v>
      </c>
      <c r="R380" s="3" t="s">
        <v>39</v>
      </c>
      <c r="S380" s="3" t="s">
        <v>38</v>
      </c>
      <c r="T380" s="3" t="s">
        <v>40</v>
      </c>
      <c r="U380" s="3"/>
      <c r="V380" s="3" t="s">
        <v>41</v>
      </c>
      <c r="W380" s="5">
        <v>1398.89</v>
      </c>
      <c r="X380" s="5">
        <v>1049.17</v>
      </c>
      <c r="Y380" s="3">
        <v>244.81</v>
      </c>
      <c r="Z380" s="3">
        <v>104.91</v>
      </c>
      <c r="AA380" s="3">
        <v>0</v>
      </c>
    </row>
    <row r="381" spans="1:27" ht="60.75" x14ac:dyDescent="0.25">
      <c r="A381" s="3" t="s">
        <v>28</v>
      </c>
      <c r="B381" s="3" t="s">
        <v>29</v>
      </c>
      <c r="C381" s="3" t="s">
        <v>30</v>
      </c>
      <c r="D381" s="3" t="s">
        <v>42</v>
      </c>
      <c r="E381" s="3" t="s">
        <v>51</v>
      </c>
      <c r="F381" s="3" t="s">
        <v>115</v>
      </c>
      <c r="G381" s="3">
        <v>2025</v>
      </c>
      <c r="H381" s="3" t="str">
        <f>CONCATENATE("54240574654")</f>
        <v>54240574654</v>
      </c>
      <c r="I381" s="3" t="s">
        <v>34</v>
      </c>
      <c r="J381" s="3" t="s">
        <v>35</v>
      </c>
      <c r="K381" s="3"/>
      <c r="L381" s="3" t="s">
        <v>36</v>
      </c>
      <c r="M381" s="3" t="str">
        <f>CONCATENATE("MCZVCN49M26B534F")</f>
        <v>MCZVCN49M26B534F</v>
      </c>
      <c r="N381" s="3" t="s">
        <v>493</v>
      </c>
      <c r="O381" s="3" t="s">
        <v>38</v>
      </c>
      <c r="P381" s="3"/>
      <c r="Q381" s="4">
        <v>45968</v>
      </c>
      <c r="R381" s="3" t="s">
        <v>39</v>
      </c>
      <c r="S381" s="3" t="s">
        <v>38</v>
      </c>
      <c r="T381" s="3" t="s">
        <v>40</v>
      </c>
      <c r="U381" s="3"/>
      <c r="V381" s="3" t="s">
        <v>41</v>
      </c>
      <c r="W381" s="5">
        <v>2555.15</v>
      </c>
      <c r="X381" s="5">
        <v>1916.36</v>
      </c>
      <c r="Y381" s="3">
        <v>447.15</v>
      </c>
      <c r="Z381" s="3">
        <v>191.64</v>
      </c>
      <c r="AA381" s="3">
        <v>0</v>
      </c>
    </row>
    <row r="382" spans="1:27" ht="36.75" x14ac:dyDescent="0.25">
      <c r="A382" s="3" t="s">
        <v>28</v>
      </c>
      <c r="B382" s="3" t="s">
        <v>29</v>
      </c>
      <c r="C382" s="3" t="s">
        <v>30</v>
      </c>
      <c r="D382" s="3" t="s">
        <v>42</v>
      </c>
      <c r="E382" s="3" t="s">
        <v>51</v>
      </c>
      <c r="F382" s="3" t="s">
        <v>115</v>
      </c>
      <c r="G382" s="3">
        <v>2025</v>
      </c>
      <c r="H382" s="3" t="str">
        <f>CONCATENATE("54240574811")</f>
        <v>54240574811</v>
      </c>
      <c r="I382" s="3" t="s">
        <v>44</v>
      </c>
      <c r="J382" s="3" t="s">
        <v>35</v>
      </c>
      <c r="K382" s="3"/>
      <c r="L382" s="3" t="s">
        <v>36</v>
      </c>
      <c r="M382" s="3" t="str">
        <f>CONCATENATE("02260890443")</f>
        <v>02260890443</v>
      </c>
      <c r="N382" s="3" t="s">
        <v>494</v>
      </c>
      <c r="O382" s="3" t="s">
        <v>38</v>
      </c>
      <c r="P382" s="3"/>
      <c r="Q382" s="4">
        <v>45968</v>
      </c>
      <c r="R382" s="3" t="s">
        <v>39</v>
      </c>
      <c r="S382" s="3" t="s">
        <v>38</v>
      </c>
      <c r="T382" s="3" t="s">
        <v>40</v>
      </c>
      <c r="U382" s="3"/>
      <c r="V382" s="3" t="s">
        <v>41</v>
      </c>
      <c r="W382" s="5">
        <v>5933.89</v>
      </c>
      <c r="X382" s="5">
        <v>4450.42</v>
      </c>
      <c r="Y382" s="5">
        <v>1038.43</v>
      </c>
      <c r="Z382" s="3">
        <v>445.04</v>
      </c>
      <c r="AA382" s="3">
        <v>0</v>
      </c>
    </row>
    <row r="383" spans="1:27" ht="36.75" x14ac:dyDescent="0.25">
      <c r="A383" s="3" t="s">
        <v>28</v>
      </c>
      <c r="B383" s="3" t="s">
        <v>29</v>
      </c>
      <c r="C383" s="3" t="s">
        <v>30</v>
      </c>
      <c r="D383" s="3" t="s">
        <v>42</v>
      </c>
      <c r="E383" s="3" t="s">
        <v>51</v>
      </c>
      <c r="F383" s="3" t="s">
        <v>115</v>
      </c>
      <c r="G383" s="3">
        <v>2025</v>
      </c>
      <c r="H383" s="3" t="str">
        <f>CONCATENATE("54240574878")</f>
        <v>54240574878</v>
      </c>
      <c r="I383" s="3" t="s">
        <v>34</v>
      </c>
      <c r="J383" s="3" t="s">
        <v>35</v>
      </c>
      <c r="K383" s="3"/>
      <c r="L383" s="3" t="s">
        <v>36</v>
      </c>
      <c r="M383" s="3" t="str">
        <f>CONCATENATE("02470530441")</f>
        <v>02470530441</v>
      </c>
      <c r="N383" s="3" t="s">
        <v>495</v>
      </c>
      <c r="O383" s="3" t="s">
        <v>38</v>
      </c>
      <c r="P383" s="3"/>
      <c r="Q383" s="4">
        <v>45968</v>
      </c>
      <c r="R383" s="3" t="s">
        <v>39</v>
      </c>
      <c r="S383" s="3" t="s">
        <v>38</v>
      </c>
      <c r="T383" s="3" t="s">
        <v>40</v>
      </c>
      <c r="U383" s="3"/>
      <c r="V383" s="3" t="s">
        <v>41</v>
      </c>
      <c r="W383" s="5">
        <v>1514.46</v>
      </c>
      <c r="X383" s="5">
        <v>1135.8499999999999</v>
      </c>
      <c r="Y383" s="3">
        <v>265.02999999999997</v>
      </c>
      <c r="Z383" s="3">
        <v>113.58</v>
      </c>
      <c r="AA383" s="3">
        <v>0</v>
      </c>
    </row>
    <row r="384" spans="1:27" ht="36.75" x14ac:dyDescent="0.25">
      <c r="A384" s="3" t="s">
        <v>28</v>
      </c>
      <c r="B384" s="3" t="s">
        <v>29</v>
      </c>
      <c r="C384" s="3" t="s">
        <v>30</v>
      </c>
      <c r="D384" s="3" t="s">
        <v>31</v>
      </c>
      <c r="E384" s="3" t="s">
        <v>51</v>
      </c>
      <c r="F384" s="3" t="s">
        <v>74</v>
      </c>
      <c r="G384" s="3">
        <v>2025</v>
      </c>
      <c r="H384" s="3" t="str">
        <f>CONCATENATE("54240600376")</f>
        <v>54240600376</v>
      </c>
      <c r="I384" s="3" t="s">
        <v>34</v>
      </c>
      <c r="J384" s="3" t="s">
        <v>35</v>
      </c>
      <c r="K384" s="3"/>
      <c r="L384" s="3" t="s">
        <v>36</v>
      </c>
      <c r="M384" s="3" t="str">
        <f>CONCATENATE("00758850424")</f>
        <v>00758850424</v>
      </c>
      <c r="N384" s="3" t="s">
        <v>496</v>
      </c>
      <c r="O384" s="3" t="s">
        <v>38</v>
      </c>
      <c r="P384" s="3"/>
      <c r="Q384" s="4">
        <v>45968</v>
      </c>
      <c r="R384" s="3" t="s">
        <v>39</v>
      </c>
      <c r="S384" s="3" t="s">
        <v>38</v>
      </c>
      <c r="T384" s="3" t="s">
        <v>40</v>
      </c>
      <c r="U384" s="3"/>
      <c r="V384" s="3" t="s">
        <v>41</v>
      </c>
      <c r="W384" s="3">
        <v>938.87</v>
      </c>
      <c r="X384" s="3">
        <v>704.15</v>
      </c>
      <c r="Y384" s="3">
        <v>164.3</v>
      </c>
      <c r="Z384" s="3">
        <v>70.42</v>
      </c>
      <c r="AA384" s="3">
        <v>0</v>
      </c>
    </row>
    <row r="385" spans="1:27" ht="36.75" x14ac:dyDescent="0.25">
      <c r="A385" s="3" t="s">
        <v>28</v>
      </c>
      <c r="B385" s="3" t="s">
        <v>29</v>
      </c>
      <c r="C385" s="3" t="s">
        <v>30</v>
      </c>
      <c r="D385" s="3" t="s">
        <v>47</v>
      </c>
      <c r="E385" s="3" t="s">
        <v>48</v>
      </c>
      <c r="F385" s="3" t="s">
        <v>79</v>
      </c>
      <c r="G385" s="3">
        <v>2025</v>
      </c>
      <c r="H385" s="3" t="str">
        <f>CONCATENATE("54240527850")</f>
        <v>54240527850</v>
      </c>
      <c r="I385" s="3" t="s">
        <v>34</v>
      </c>
      <c r="J385" s="3" t="s">
        <v>35</v>
      </c>
      <c r="K385" s="3"/>
      <c r="L385" s="3" t="s">
        <v>36</v>
      </c>
      <c r="M385" s="3" t="str">
        <f>CONCATENATE("02125710430")</f>
        <v>02125710430</v>
      </c>
      <c r="N385" s="3" t="s">
        <v>497</v>
      </c>
      <c r="O385" s="3" t="s">
        <v>38</v>
      </c>
      <c r="P385" s="3"/>
      <c r="Q385" s="4">
        <v>45968</v>
      </c>
      <c r="R385" s="3" t="s">
        <v>39</v>
      </c>
      <c r="S385" s="3" t="s">
        <v>38</v>
      </c>
      <c r="T385" s="3" t="s">
        <v>40</v>
      </c>
      <c r="U385" s="3"/>
      <c r="V385" s="3" t="s">
        <v>41</v>
      </c>
      <c r="W385" s="5">
        <v>11051.6</v>
      </c>
      <c r="X385" s="5">
        <v>8288.7000000000007</v>
      </c>
      <c r="Y385" s="5">
        <v>1934.03</v>
      </c>
      <c r="Z385" s="3">
        <v>828.87</v>
      </c>
      <c r="AA385" s="3">
        <v>0</v>
      </c>
    </row>
    <row r="386" spans="1:27" ht="60.75" x14ac:dyDescent="0.25">
      <c r="A386" s="3" t="s">
        <v>28</v>
      </c>
      <c r="B386" s="3" t="s">
        <v>29</v>
      </c>
      <c r="C386" s="3" t="s">
        <v>30</v>
      </c>
      <c r="D386" s="3" t="s">
        <v>42</v>
      </c>
      <c r="E386" s="3" t="s">
        <v>32</v>
      </c>
      <c r="F386" s="3" t="s">
        <v>110</v>
      </c>
      <c r="G386" s="3">
        <v>2024</v>
      </c>
      <c r="H386" s="3" t="str">
        <f>CONCATENATE("44240098671")</f>
        <v>44240098671</v>
      </c>
      <c r="I386" s="3" t="s">
        <v>44</v>
      </c>
      <c r="J386" s="3" t="s">
        <v>35</v>
      </c>
      <c r="K386" s="3"/>
      <c r="L386" s="3" t="s">
        <v>111</v>
      </c>
      <c r="M386" s="3" t="str">
        <f>CONCATENATE("LRAFBA87T03A462Q")</f>
        <v>LRAFBA87T03A462Q</v>
      </c>
      <c r="N386" s="3" t="s">
        <v>498</v>
      </c>
      <c r="O386" s="3" t="s">
        <v>41</v>
      </c>
      <c r="P386" s="3" t="s">
        <v>289</v>
      </c>
      <c r="Q386" s="4">
        <v>45965</v>
      </c>
      <c r="R386" s="3" t="s">
        <v>39</v>
      </c>
      <c r="S386" s="3" t="s">
        <v>114</v>
      </c>
      <c r="T386" s="3" t="s">
        <v>40</v>
      </c>
      <c r="U386" s="3"/>
      <c r="V386" s="3" t="s">
        <v>41</v>
      </c>
      <c r="W386" s="3">
        <v>174.87</v>
      </c>
      <c r="X386" s="3">
        <v>92.68</v>
      </c>
      <c r="Y386" s="3">
        <v>57.53</v>
      </c>
      <c r="Z386" s="3">
        <v>24.66</v>
      </c>
      <c r="AA386" s="3">
        <v>0</v>
      </c>
    </row>
    <row r="387" spans="1:27" ht="60.75" x14ac:dyDescent="0.25">
      <c r="A387" s="3" t="s">
        <v>28</v>
      </c>
      <c r="B387" s="3" t="s">
        <v>29</v>
      </c>
      <c r="C387" s="3" t="s">
        <v>30</v>
      </c>
      <c r="D387" s="3" t="s">
        <v>47</v>
      </c>
      <c r="E387" s="3" t="s">
        <v>48</v>
      </c>
      <c r="F387" s="3" t="s">
        <v>79</v>
      </c>
      <c r="G387" s="3">
        <v>2025</v>
      </c>
      <c r="H387" s="3" t="str">
        <f>CONCATENATE("54240528106")</f>
        <v>54240528106</v>
      </c>
      <c r="I387" s="3" t="s">
        <v>34</v>
      </c>
      <c r="J387" s="3" t="s">
        <v>35</v>
      </c>
      <c r="K387" s="3"/>
      <c r="L387" s="3" t="s">
        <v>36</v>
      </c>
      <c r="M387" s="3" t="str">
        <f>CONCATENATE("PRSMHL86S54I156V")</f>
        <v>PRSMHL86S54I156V</v>
      </c>
      <c r="N387" s="3" t="s">
        <v>499</v>
      </c>
      <c r="O387" s="3" t="s">
        <v>38</v>
      </c>
      <c r="P387" s="3"/>
      <c r="Q387" s="4">
        <v>45968</v>
      </c>
      <c r="R387" s="3" t="s">
        <v>39</v>
      </c>
      <c r="S387" s="3" t="s">
        <v>38</v>
      </c>
      <c r="T387" s="3" t="s">
        <v>40</v>
      </c>
      <c r="U387" s="3"/>
      <c r="V387" s="3" t="s">
        <v>41</v>
      </c>
      <c r="W387" s="5">
        <v>25608.560000000001</v>
      </c>
      <c r="X387" s="5">
        <v>19206.419999999998</v>
      </c>
      <c r="Y387" s="5">
        <v>4481.5</v>
      </c>
      <c r="Z387" s="5">
        <v>1920.64</v>
      </c>
      <c r="AA387" s="3">
        <v>0</v>
      </c>
    </row>
    <row r="388" spans="1:27" ht="60.75" x14ac:dyDescent="0.25">
      <c r="A388" s="3" t="s">
        <v>28</v>
      </c>
      <c r="B388" s="3" t="s">
        <v>29</v>
      </c>
      <c r="C388" s="3" t="s">
        <v>30</v>
      </c>
      <c r="D388" s="3" t="s">
        <v>42</v>
      </c>
      <c r="E388" s="3" t="s">
        <v>32</v>
      </c>
      <c r="F388" s="3" t="s">
        <v>101</v>
      </c>
      <c r="G388" s="3">
        <v>2025</v>
      </c>
      <c r="H388" s="3" t="str">
        <f>CONCATENATE("54240528205")</f>
        <v>54240528205</v>
      </c>
      <c r="I388" s="3" t="s">
        <v>34</v>
      </c>
      <c r="J388" s="3" t="s">
        <v>35</v>
      </c>
      <c r="K388" s="3"/>
      <c r="L388" s="3" t="s">
        <v>36</v>
      </c>
      <c r="M388" s="3" t="str">
        <f>CONCATENATE("BSSMDE58L27C321E")</f>
        <v>BSSMDE58L27C321E</v>
      </c>
      <c r="N388" s="3" t="s">
        <v>500</v>
      </c>
      <c r="O388" s="3" t="s">
        <v>38</v>
      </c>
      <c r="P388" s="3"/>
      <c r="Q388" s="4">
        <v>45968</v>
      </c>
      <c r="R388" s="3" t="s">
        <v>39</v>
      </c>
      <c r="S388" s="3" t="s">
        <v>38</v>
      </c>
      <c r="T388" s="3" t="s">
        <v>40</v>
      </c>
      <c r="U388" s="3"/>
      <c r="V388" s="3" t="s">
        <v>41</v>
      </c>
      <c r="W388" s="5">
        <v>1334.58</v>
      </c>
      <c r="X388" s="5">
        <v>1000.94</v>
      </c>
      <c r="Y388" s="3">
        <v>233.55</v>
      </c>
      <c r="Z388" s="3">
        <v>100.09</v>
      </c>
      <c r="AA388" s="3">
        <v>0</v>
      </c>
    </row>
    <row r="389" spans="1:27" ht="36.75" x14ac:dyDescent="0.25">
      <c r="A389" s="3" t="s">
        <v>28</v>
      </c>
      <c r="B389" s="3" t="s">
        <v>29</v>
      </c>
      <c r="C389" s="3" t="s">
        <v>30</v>
      </c>
      <c r="D389" s="3" t="s">
        <v>42</v>
      </c>
      <c r="E389" s="3" t="s">
        <v>32</v>
      </c>
      <c r="F389" s="3" t="s">
        <v>110</v>
      </c>
      <c r="G389" s="3">
        <v>2025</v>
      </c>
      <c r="H389" s="3" t="str">
        <f>CONCATENATE("54240528841")</f>
        <v>54240528841</v>
      </c>
      <c r="I389" s="3" t="s">
        <v>34</v>
      </c>
      <c r="J389" s="3" t="s">
        <v>35</v>
      </c>
      <c r="K389" s="3"/>
      <c r="L389" s="3" t="s">
        <v>36</v>
      </c>
      <c r="M389" s="3" t="str">
        <f>CONCATENATE("02451910448")</f>
        <v>02451910448</v>
      </c>
      <c r="N389" s="3" t="s">
        <v>501</v>
      </c>
      <c r="O389" s="3" t="s">
        <v>38</v>
      </c>
      <c r="P389" s="3"/>
      <c r="Q389" s="4">
        <v>45968</v>
      </c>
      <c r="R389" s="3" t="s">
        <v>39</v>
      </c>
      <c r="S389" s="3" t="s">
        <v>38</v>
      </c>
      <c r="T389" s="3" t="s">
        <v>40</v>
      </c>
      <c r="U389" s="3"/>
      <c r="V389" s="3" t="s">
        <v>41</v>
      </c>
      <c r="W389" s="3">
        <v>97.49</v>
      </c>
      <c r="X389" s="3">
        <v>73.12</v>
      </c>
      <c r="Y389" s="3">
        <v>17.059999999999999</v>
      </c>
      <c r="Z389" s="3">
        <v>7.31</v>
      </c>
      <c r="AA389" s="3">
        <v>0</v>
      </c>
    </row>
    <row r="390" spans="1:27" ht="60.75" x14ac:dyDescent="0.25">
      <c r="A390" s="3" t="s">
        <v>28</v>
      </c>
      <c r="B390" s="3" t="s">
        <v>29</v>
      </c>
      <c r="C390" s="3" t="s">
        <v>30</v>
      </c>
      <c r="D390" s="3" t="s">
        <v>42</v>
      </c>
      <c r="E390" s="3" t="s">
        <v>43</v>
      </c>
      <c r="F390" s="3" t="s">
        <v>43</v>
      </c>
      <c r="G390" s="3">
        <v>2025</v>
      </c>
      <c r="H390" s="3" t="str">
        <f>CONCATENATE("54240664471")</f>
        <v>54240664471</v>
      </c>
      <c r="I390" s="3" t="s">
        <v>34</v>
      </c>
      <c r="J390" s="3" t="s">
        <v>35</v>
      </c>
      <c r="K390" s="3"/>
      <c r="L390" s="3" t="s">
        <v>36</v>
      </c>
      <c r="M390" s="3" t="str">
        <f>CONCATENATE("VLLCST78R61D542S")</f>
        <v>VLLCST78R61D542S</v>
      </c>
      <c r="N390" s="3" t="s">
        <v>502</v>
      </c>
      <c r="O390" s="3" t="s">
        <v>38</v>
      </c>
      <c r="P390" s="3"/>
      <c r="Q390" s="4">
        <v>45968</v>
      </c>
      <c r="R390" s="3" t="s">
        <v>39</v>
      </c>
      <c r="S390" s="3" t="s">
        <v>38</v>
      </c>
      <c r="T390" s="3" t="s">
        <v>40</v>
      </c>
      <c r="U390" s="3"/>
      <c r="V390" s="3" t="s">
        <v>41</v>
      </c>
      <c r="W390" s="5">
        <v>1492.09</v>
      </c>
      <c r="X390" s="5">
        <v>1119.07</v>
      </c>
      <c r="Y390" s="3">
        <v>261.12</v>
      </c>
      <c r="Z390" s="3">
        <v>111.9</v>
      </c>
      <c r="AA390" s="3">
        <v>0</v>
      </c>
    </row>
    <row r="391" spans="1:27" ht="72.75" x14ac:dyDescent="0.25">
      <c r="A391" s="3" t="s">
        <v>28</v>
      </c>
      <c r="B391" s="3" t="s">
        <v>29</v>
      </c>
      <c r="C391" s="3" t="s">
        <v>30</v>
      </c>
      <c r="D391" s="3" t="s">
        <v>47</v>
      </c>
      <c r="E391" s="3" t="s">
        <v>60</v>
      </c>
      <c r="F391" s="3" t="s">
        <v>81</v>
      </c>
      <c r="G391" s="3">
        <v>2025</v>
      </c>
      <c r="H391" s="3" t="str">
        <f>CONCATENATE("54240529310")</f>
        <v>54240529310</v>
      </c>
      <c r="I391" s="3" t="s">
        <v>34</v>
      </c>
      <c r="J391" s="3" t="s">
        <v>35</v>
      </c>
      <c r="K391" s="3"/>
      <c r="L391" s="3" t="s">
        <v>36</v>
      </c>
      <c r="M391" s="3" t="str">
        <f>CONCATENATE("MNGSRN67B46D643Z")</f>
        <v>MNGSRN67B46D643Z</v>
      </c>
      <c r="N391" s="3" t="s">
        <v>503</v>
      </c>
      <c r="O391" s="3" t="s">
        <v>38</v>
      </c>
      <c r="P391" s="3"/>
      <c r="Q391" s="4">
        <v>45968</v>
      </c>
      <c r="R391" s="3" t="s">
        <v>39</v>
      </c>
      <c r="S391" s="3" t="s">
        <v>38</v>
      </c>
      <c r="T391" s="3" t="s">
        <v>40</v>
      </c>
      <c r="U391" s="3"/>
      <c r="V391" s="3" t="s">
        <v>41</v>
      </c>
      <c r="W391" s="5">
        <v>1902.17</v>
      </c>
      <c r="X391" s="5">
        <v>1426.63</v>
      </c>
      <c r="Y391" s="3">
        <v>332.88</v>
      </c>
      <c r="Z391" s="3">
        <v>142.66</v>
      </c>
      <c r="AA391" s="3">
        <v>0</v>
      </c>
    </row>
    <row r="392" spans="1:27" ht="36.75" x14ac:dyDescent="0.25">
      <c r="A392" s="3" t="s">
        <v>28</v>
      </c>
      <c r="B392" s="3" t="s">
        <v>29</v>
      </c>
      <c r="C392" s="3" t="s">
        <v>30</v>
      </c>
      <c r="D392" s="3" t="s">
        <v>47</v>
      </c>
      <c r="E392" s="3" t="s">
        <v>48</v>
      </c>
      <c r="F392" s="3" t="s">
        <v>79</v>
      </c>
      <c r="G392" s="3">
        <v>2025</v>
      </c>
      <c r="H392" s="3" t="str">
        <f>CONCATENATE("54240545712")</f>
        <v>54240545712</v>
      </c>
      <c r="I392" s="3" t="s">
        <v>34</v>
      </c>
      <c r="J392" s="3" t="s">
        <v>35</v>
      </c>
      <c r="K392" s="3"/>
      <c r="L392" s="3" t="s">
        <v>36</v>
      </c>
      <c r="M392" s="3" t="str">
        <f>CONCATENATE("01909330431")</f>
        <v>01909330431</v>
      </c>
      <c r="N392" s="3" t="s">
        <v>504</v>
      </c>
      <c r="O392" s="3" t="s">
        <v>38</v>
      </c>
      <c r="P392" s="3"/>
      <c r="Q392" s="4">
        <v>45968</v>
      </c>
      <c r="R392" s="3" t="s">
        <v>39</v>
      </c>
      <c r="S392" s="3" t="s">
        <v>38</v>
      </c>
      <c r="T392" s="3" t="s">
        <v>40</v>
      </c>
      <c r="U392" s="3"/>
      <c r="V392" s="3" t="s">
        <v>41</v>
      </c>
      <c r="W392" s="5">
        <v>2908.52</v>
      </c>
      <c r="X392" s="5">
        <v>2181.39</v>
      </c>
      <c r="Y392" s="3">
        <v>508.99</v>
      </c>
      <c r="Z392" s="3">
        <v>218.14</v>
      </c>
      <c r="AA392" s="3">
        <v>0</v>
      </c>
    </row>
    <row r="393" spans="1:27" ht="72.75" x14ac:dyDescent="0.25">
      <c r="A393" s="3" t="s">
        <v>28</v>
      </c>
      <c r="B393" s="3" t="s">
        <v>29</v>
      </c>
      <c r="C393" s="3" t="s">
        <v>30</v>
      </c>
      <c r="D393" s="3" t="s">
        <v>42</v>
      </c>
      <c r="E393" s="3" t="s">
        <v>43</v>
      </c>
      <c r="F393" s="3" t="s">
        <v>43</v>
      </c>
      <c r="G393" s="3">
        <v>2025</v>
      </c>
      <c r="H393" s="3" t="str">
        <f>CONCATENATE("54240664356")</f>
        <v>54240664356</v>
      </c>
      <c r="I393" s="3" t="s">
        <v>34</v>
      </c>
      <c r="J393" s="3" t="s">
        <v>35</v>
      </c>
      <c r="K393" s="3"/>
      <c r="L393" s="3" t="s">
        <v>36</v>
      </c>
      <c r="M393" s="3" t="str">
        <f>CONCATENATE("MRNBBR84A61H769Y")</f>
        <v>MRNBBR84A61H769Y</v>
      </c>
      <c r="N393" s="3" t="s">
        <v>505</v>
      </c>
      <c r="O393" s="3" t="s">
        <v>38</v>
      </c>
      <c r="P393" s="3"/>
      <c r="Q393" s="4">
        <v>45968</v>
      </c>
      <c r="R393" s="3" t="s">
        <v>39</v>
      </c>
      <c r="S393" s="3" t="s">
        <v>38</v>
      </c>
      <c r="T393" s="3" t="s">
        <v>40</v>
      </c>
      <c r="U393" s="3"/>
      <c r="V393" s="3" t="s">
        <v>41</v>
      </c>
      <c r="W393" s="5">
        <v>3248.25</v>
      </c>
      <c r="X393" s="5">
        <v>2436.19</v>
      </c>
      <c r="Y393" s="3">
        <v>568.44000000000005</v>
      </c>
      <c r="Z393" s="3">
        <v>243.62</v>
      </c>
      <c r="AA393" s="3">
        <v>0</v>
      </c>
    </row>
    <row r="394" spans="1:27" ht="60.75" x14ac:dyDescent="0.25">
      <c r="A394" s="3" t="s">
        <v>28</v>
      </c>
      <c r="B394" s="3" t="s">
        <v>29</v>
      </c>
      <c r="C394" s="3" t="s">
        <v>30</v>
      </c>
      <c r="D394" s="3" t="s">
        <v>31</v>
      </c>
      <c r="E394" s="3" t="s">
        <v>51</v>
      </c>
      <c r="F394" s="3" t="s">
        <v>99</v>
      </c>
      <c r="G394" s="3">
        <v>2025</v>
      </c>
      <c r="H394" s="3" t="str">
        <f>CONCATENATE("54240529906")</f>
        <v>54240529906</v>
      </c>
      <c r="I394" s="3" t="s">
        <v>34</v>
      </c>
      <c r="J394" s="3" t="s">
        <v>35</v>
      </c>
      <c r="K394" s="3"/>
      <c r="L394" s="3" t="s">
        <v>36</v>
      </c>
      <c r="M394" s="3" t="str">
        <f>CONCATENATE("STRRNZ60S18D451J")</f>
        <v>STRRNZ60S18D451J</v>
      </c>
      <c r="N394" s="3" t="s">
        <v>506</v>
      </c>
      <c r="O394" s="3" t="s">
        <v>38</v>
      </c>
      <c r="P394" s="3"/>
      <c r="Q394" s="4">
        <v>45968</v>
      </c>
      <c r="R394" s="3" t="s">
        <v>39</v>
      </c>
      <c r="S394" s="3" t="s">
        <v>38</v>
      </c>
      <c r="T394" s="3" t="s">
        <v>40</v>
      </c>
      <c r="U394" s="3"/>
      <c r="V394" s="3" t="s">
        <v>41</v>
      </c>
      <c r="W394" s="5">
        <v>2906.52</v>
      </c>
      <c r="X394" s="5">
        <v>2179.89</v>
      </c>
      <c r="Y394" s="3">
        <v>508.64</v>
      </c>
      <c r="Z394" s="3">
        <v>217.99</v>
      </c>
      <c r="AA394" s="3">
        <v>0</v>
      </c>
    </row>
    <row r="395" spans="1:27" ht="60.75" x14ac:dyDescent="0.25">
      <c r="A395" s="3" t="s">
        <v>28</v>
      </c>
      <c r="B395" s="3" t="s">
        <v>29</v>
      </c>
      <c r="C395" s="3" t="s">
        <v>30</v>
      </c>
      <c r="D395" s="3" t="s">
        <v>42</v>
      </c>
      <c r="E395" s="3" t="s">
        <v>32</v>
      </c>
      <c r="F395" s="3" t="s">
        <v>110</v>
      </c>
      <c r="G395" s="3">
        <v>2025</v>
      </c>
      <c r="H395" s="3" t="str">
        <f>CONCATENATE("54240529914")</f>
        <v>54240529914</v>
      </c>
      <c r="I395" s="3" t="s">
        <v>34</v>
      </c>
      <c r="J395" s="3" t="s">
        <v>35</v>
      </c>
      <c r="K395" s="3"/>
      <c r="L395" s="3" t="s">
        <v>36</v>
      </c>
      <c r="M395" s="3" t="str">
        <f>CONCATENATE("LVRGPP63C20H769E")</f>
        <v>LVRGPP63C20H769E</v>
      </c>
      <c r="N395" s="3" t="s">
        <v>507</v>
      </c>
      <c r="O395" s="3" t="s">
        <v>38</v>
      </c>
      <c r="P395" s="3"/>
      <c r="Q395" s="4">
        <v>45968</v>
      </c>
      <c r="R395" s="3" t="s">
        <v>39</v>
      </c>
      <c r="S395" s="3" t="s">
        <v>38</v>
      </c>
      <c r="T395" s="3" t="s">
        <v>40</v>
      </c>
      <c r="U395" s="3"/>
      <c r="V395" s="3" t="s">
        <v>41</v>
      </c>
      <c r="W395" s="5">
        <v>1434.28</v>
      </c>
      <c r="X395" s="5">
        <v>1075.71</v>
      </c>
      <c r="Y395" s="3">
        <v>251</v>
      </c>
      <c r="Z395" s="3">
        <v>107.57</v>
      </c>
      <c r="AA395" s="3">
        <v>0</v>
      </c>
    </row>
    <row r="396" spans="1:27" ht="60.75" x14ac:dyDescent="0.25">
      <c r="A396" s="3" t="s">
        <v>28</v>
      </c>
      <c r="B396" s="3" t="s">
        <v>29</v>
      </c>
      <c r="C396" s="3" t="s">
        <v>30</v>
      </c>
      <c r="D396" s="3" t="s">
        <v>42</v>
      </c>
      <c r="E396" s="3" t="s">
        <v>43</v>
      </c>
      <c r="F396" s="3" t="s">
        <v>43</v>
      </c>
      <c r="G396" s="3">
        <v>2025</v>
      </c>
      <c r="H396" s="3" t="str">
        <f>CONCATENATE("54240664430")</f>
        <v>54240664430</v>
      </c>
      <c r="I396" s="3" t="s">
        <v>34</v>
      </c>
      <c r="J396" s="3" t="s">
        <v>35</v>
      </c>
      <c r="K396" s="3"/>
      <c r="L396" s="3" t="s">
        <v>36</v>
      </c>
      <c r="M396" s="3" t="str">
        <f>CONCATENATE("STRGCM77E09D542L")</f>
        <v>STRGCM77E09D542L</v>
      </c>
      <c r="N396" s="3" t="s">
        <v>508</v>
      </c>
      <c r="O396" s="3" t="s">
        <v>38</v>
      </c>
      <c r="P396" s="3"/>
      <c r="Q396" s="4">
        <v>45968</v>
      </c>
      <c r="R396" s="3" t="s">
        <v>39</v>
      </c>
      <c r="S396" s="3" t="s">
        <v>38</v>
      </c>
      <c r="T396" s="3" t="s">
        <v>40</v>
      </c>
      <c r="U396" s="3"/>
      <c r="V396" s="3" t="s">
        <v>41</v>
      </c>
      <c r="W396" s="3">
        <v>776</v>
      </c>
      <c r="X396" s="3">
        <v>582</v>
      </c>
      <c r="Y396" s="3">
        <v>135.80000000000001</v>
      </c>
      <c r="Z396" s="3">
        <v>58.2</v>
      </c>
      <c r="AA396" s="3">
        <v>0</v>
      </c>
    </row>
    <row r="397" spans="1:27" ht="60.75" x14ac:dyDescent="0.25">
      <c r="A397" s="3" t="s">
        <v>28</v>
      </c>
      <c r="B397" s="3" t="s">
        <v>29</v>
      </c>
      <c r="C397" s="3" t="s">
        <v>30</v>
      </c>
      <c r="D397" s="3" t="s">
        <v>65</v>
      </c>
      <c r="E397" s="3" t="s">
        <v>51</v>
      </c>
      <c r="F397" s="3" t="s">
        <v>240</v>
      </c>
      <c r="G397" s="3">
        <v>2025</v>
      </c>
      <c r="H397" s="3" t="str">
        <f>CONCATENATE("54240545852")</f>
        <v>54240545852</v>
      </c>
      <c r="I397" s="3" t="s">
        <v>34</v>
      </c>
      <c r="J397" s="3" t="s">
        <v>35</v>
      </c>
      <c r="K397" s="3"/>
      <c r="L397" s="3" t="s">
        <v>36</v>
      </c>
      <c r="M397" s="3" t="str">
        <f>CONCATENATE("PRNRRT62H20G479I")</f>
        <v>PRNRRT62H20G479I</v>
      </c>
      <c r="N397" s="3" t="s">
        <v>509</v>
      </c>
      <c r="O397" s="3" t="s">
        <v>38</v>
      </c>
      <c r="P397" s="3"/>
      <c r="Q397" s="4">
        <v>45968</v>
      </c>
      <c r="R397" s="3" t="s">
        <v>39</v>
      </c>
      <c r="S397" s="3" t="s">
        <v>38</v>
      </c>
      <c r="T397" s="3" t="s">
        <v>40</v>
      </c>
      <c r="U397" s="3"/>
      <c r="V397" s="3" t="s">
        <v>41</v>
      </c>
      <c r="W397" s="5">
        <v>4701.8900000000003</v>
      </c>
      <c r="X397" s="5">
        <v>3526.42</v>
      </c>
      <c r="Y397" s="3">
        <v>822.83</v>
      </c>
      <c r="Z397" s="3">
        <v>352.64</v>
      </c>
      <c r="AA397" s="3">
        <v>0</v>
      </c>
    </row>
    <row r="398" spans="1:27" ht="60.75" x14ac:dyDescent="0.25">
      <c r="A398" s="3" t="s">
        <v>28</v>
      </c>
      <c r="B398" s="3" t="s">
        <v>29</v>
      </c>
      <c r="C398" s="3" t="s">
        <v>30</v>
      </c>
      <c r="D398" s="3" t="s">
        <v>65</v>
      </c>
      <c r="E398" s="3" t="s">
        <v>32</v>
      </c>
      <c r="F398" s="3" t="s">
        <v>135</v>
      </c>
      <c r="G398" s="3">
        <v>2025</v>
      </c>
      <c r="H398" s="3" t="str">
        <f>CONCATENATE("54240530086")</f>
        <v>54240530086</v>
      </c>
      <c r="I398" s="3" t="s">
        <v>34</v>
      </c>
      <c r="J398" s="3" t="s">
        <v>35</v>
      </c>
      <c r="K398" s="3"/>
      <c r="L398" s="3" t="s">
        <v>36</v>
      </c>
      <c r="M398" s="3" t="str">
        <f>CONCATENATE("SPENCL88C09D749H")</f>
        <v>SPENCL88C09D749H</v>
      </c>
      <c r="N398" s="3" t="s">
        <v>510</v>
      </c>
      <c r="O398" s="3" t="s">
        <v>38</v>
      </c>
      <c r="P398" s="3"/>
      <c r="Q398" s="4">
        <v>45968</v>
      </c>
      <c r="R398" s="3" t="s">
        <v>39</v>
      </c>
      <c r="S398" s="3" t="s">
        <v>38</v>
      </c>
      <c r="T398" s="3" t="s">
        <v>40</v>
      </c>
      <c r="U398" s="3"/>
      <c r="V398" s="3" t="s">
        <v>41</v>
      </c>
      <c r="W398" s="3">
        <v>715.61</v>
      </c>
      <c r="X398" s="3">
        <v>536.71</v>
      </c>
      <c r="Y398" s="3">
        <v>125.23</v>
      </c>
      <c r="Z398" s="3">
        <v>53.67</v>
      </c>
      <c r="AA398" s="3">
        <v>0</v>
      </c>
    </row>
    <row r="399" spans="1:27" ht="60.75" x14ac:dyDescent="0.25">
      <c r="A399" s="3" t="s">
        <v>28</v>
      </c>
      <c r="B399" s="3" t="s">
        <v>29</v>
      </c>
      <c r="C399" s="3" t="s">
        <v>30</v>
      </c>
      <c r="D399" s="3" t="s">
        <v>42</v>
      </c>
      <c r="E399" s="3" t="s">
        <v>32</v>
      </c>
      <c r="F399" s="3" t="s">
        <v>110</v>
      </c>
      <c r="G399" s="3">
        <v>2025</v>
      </c>
      <c r="H399" s="3" t="str">
        <f>CONCATENATE("54240530433")</f>
        <v>54240530433</v>
      </c>
      <c r="I399" s="3" t="s">
        <v>34</v>
      </c>
      <c r="J399" s="3" t="s">
        <v>35</v>
      </c>
      <c r="K399" s="3"/>
      <c r="L399" s="3" t="s">
        <v>36</v>
      </c>
      <c r="M399" s="3" t="str">
        <f>CONCATENATE("PPVNRC58P03F501W")</f>
        <v>PPVNRC58P03F501W</v>
      </c>
      <c r="N399" s="3" t="s">
        <v>511</v>
      </c>
      <c r="O399" s="3" t="s">
        <v>38</v>
      </c>
      <c r="P399" s="3"/>
      <c r="Q399" s="4">
        <v>45968</v>
      </c>
      <c r="R399" s="3" t="s">
        <v>39</v>
      </c>
      <c r="S399" s="3" t="s">
        <v>38</v>
      </c>
      <c r="T399" s="3" t="s">
        <v>40</v>
      </c>
      <c r="U399" s="3"/>
      <c r="V399" s="3" t="s">
        <v>41</v>
      </c>
      <c r="W399" s="5">
        <v>3769.21</v>
      </c>
      <c r="X399" s="5">
        <v>2826.91</v>
      </c>
      <c r="Y399" s="3">
        <v>659.61</v>
      </c>
      <c r="Z399" s="3">
        <v>282.69</v>
      </c>
      <c r="AA399" s="3">
        <v>0</v>
      </c>
    </row>
    <row r="400" spans="1:27" ht="72.75" x14ac:dyDescent="0.25">
      <c r="A400" s="3" t="s">
        <v>28</v>
      </c>
      <c r="B400" s="3" t="s">
        <v>29</v>
      </c>
      <c r="C400" s="3" t="s">
        <v>30</v>
      </c>
      <c r="D400" s="3" t="s">
        <v>65</v>
      </c>
      <c r="E400" s="3" t="s">
        <v>32</v>
      </c>
      <c r="F400" s="3" t="s">
        <v>270</v>
      </c>
      <c r="G400" s="3">
        <v>2025</v>
      </c>
      <c r="H400" s="3" t="str">
        <f>CONCATENATE("54240530607")</f>
        <v>54240530607</v>
      </c>
      <c r="I400" s="3" t="s">
        <v>34</v>
      </c>
      <c r="J400" s="3" t="s">
        <v>35</v>
      </c>
      <c r="K400" s="3"/>
      <c r="L400" s="3" t="s">
        <v>36</v>
      </c>
      <c r="M400" s="3" t="str">
        <f>CONCATENATE("CRNMSM68A10C830Z")</f>
        <v>CRNMSM68A10C830Z</v>
      </c>
      <c r="N400" s="3" t="s">
        <v>512</v>
      </c>
      <c r="O400" s="3" t="s">
        <v>38</v>
      </c>
      <c r="P400" s="3"/>
      <c r="Q400" s="4">
        <v>45968</v>
      </c>
      <c r="R400" s="3" t="s">
        <v>39</v>
      </c>
      <c r="S400" s="3" t="s">
        <v>38</v>
      </c>
      <c r="T400" s="3" t="s">
        <v>40</v>
      </c>
      <c r="U400" s="3"/>
      <c r="V400" s="3" t="s">
        <v>41</v>
      </c>
      <c r="W400" s="5">
        <v>3534.6</v>
      </c>
      <c r="X400" s="5">
        <v>2650.95</v>
      </c>
      <c r="Y400" s="3">
        <v>618.55999999999995</v>
      </c>
      <c r="Z400" s="3">
        <v>265.08999999999997</v>
      </c>
      <c r="AA400" s="3">
        <v>0</v>
      </c>
    </row>
    <row r="401" spans="1:27" ht="60.75" x14ac:dyDescent="0.25">
      <c r="A401" s="3" t="s">
        <v>28</v>
      </c>
      <c r="B401" s="3" t="s">
        <v>29</v>
      </c>
      <c r="C401" s="3" t="s">
        <v>30</v>
      </c>
      <c r="D401" s="3" t="s">
        <v>65</v>
      </c>
      <c r="E401" s="3" t="s">
        <v>32</v>
      </c>
      <c r="F401" s="3" t="s">
        <v>334</v>
      </c>
      <c r="G401" s="3">
        <v>2025</v>
      </c>
      <c r="H401" s="3" t="str">
        <f>CONCATENATE("54240566593")</f>
        <v>54240566593</v>
      </c>
      <c r="I401" s="3" t="s">
        <v>34</v>
      </c>
      <c r="J401" s="3" t="s">
        <v>35</v>
      </c>
      <c r="K401" s="3"/>
      <c r="L401" s="3" t="s">
        <v>36</v>
      </c>
      <c r="M401" s="3" t="str">
        <f>CONCATENATE("MRCMNL77M08F347V")</f>
        <v>MRCMNL77M08F347V</v>
      </c>
      <c r="N401" s="3" t="s">
        <v>513</v>
      </c>
      <c r="O401" s="3" t="s">
        <v>38</v>
      </c>
      <c r="P401" s="3"/>
      <c r="Q401" s="4">
        <v>45968</v>
      </c>
      <c r="R401" s="3" t="s">
        <v>39</v>
      </c>
      <c r="S401" s="3" t="s">
        <v>38</v>
      </c>
      <c r="T401" s="3" t="s">
        <v>40</v>
      </c>
      <c r="U401" s="3"/>
      <c r="V401" s="3" t="s">
        <v>41</v>
      </c>
      <c r="W401" s="5">
        <v>4276.46</v>
      </c>
      <c r="X401" s="5">
        <v>3207.35</v>
      </c>
      <c r="Y401" s="3">
        <v>748.38</v>
      </c>
      <c r="Z401" s="3">
        <v>320.73</v>
      </c>
      <c r="AA401" s="3">
        <v>0</v>
      </c>
    </row>
    <row r="402" spans="1:27" ht="60.75" x14ac:dyDescent="0.25">
      <c r="A402" s="3" t="s">
        <v>28</v>
      </c>
      <c r="B402" s="3" t="s">
        <v>29</v>
      </c>
      <c r="C402" s="3" t="s">
        <v>30</v>
      </c>
      <c r="D402" s="3" t="s">
        <v>31</v>
      </c>
      <c r="E402" s="3" t="s">
        <v>32</v>
      </c>
      <c r="F402" s="3" t="s">
        <v>33</v>
      </c>
      <c r="G402" s="3">
        <v>2025</v>
      </c>
      <c r="H402" s="3" t="str">
        <f>CONCATENATE("54240532389")</f>
        <v>54240532389</v>
      </c>
      <c r="I402" s="3" t="s">
        <v>34</v>
      </c>
      <c r="J402" s="3" t="s">
        <v>35</v>
      </c>
      <c r="K402" s="3"/>
      <c r="L402" s="3" t="s">
        <v>36</v>
      </c>
      <c r="M402" s="3" t="str">
        <f>CONCATENATE("BCCFRC90C51D548O")</f>
        <v>BCCFRC90C51D548O</v>
      </c>
      <c r="N402" s="3" t="s">
        <v>514</v>
      </c>
      <c r="O402" s="3" t="s">
        <v>38</v>
      </c>
      <c r="P402" s="3"/>
      <c r="Q402" s="4">
        <v>45968</v>
      </c>
      <c r="R402" s="3" t="s">
        <v>39</v>
      </c>
      <c r="S402" s="3" t="s">
        <v>38</v>
      </c>
      <c r="T402" s="3" t="s">
        <v>40</v>
      </c>
      <c r="U402" s="3"/>
      <c r="V402" s="3" t="s">
        <v>41</v>
      </c>
      <c r="W402" s="5">
        <v>12297.93</v>
      </c>
      <c r="X402" s="5">
        <v>9223.4500000000007</v>
      </c>
      <c r="Y402" s="5">
        <v>2152.14</v>
      </c>
      <c r="Z402" s="3">
        <v>922.34</v>
      </c>
      <c r="AA402" s="3">
        <v>0</v>
      </c>
    </row>
    <row r="403" spans="1:27" ht="60.75" x14ac:dyDescent="0.25">
      <c r="A403" s="3" t="s">
        <v>28</v>
      </c>
      <c r="B403" s="3" t="s">
        <v>29</v>
      </c>
      <c r="C403" s="3" t="s">
        <v>30</v>
      </c>
      <c r="D403" s="3" t="s">
        <v>65</v>
      </c>
      <c r="E403" s="3" t="s">
        <v>32</v>
      </c>
      <c r="F403" s="3" t="s">
        <v>144</v>
      </c>
      <c r="G403" s="3">
        <v>2025</v>
      </c>
      <c r="H403" s="3" t="str">
        <f>CONCATENATE("54240535028")</f>
        <v>54240535028</v>
      </c>
      <c r="I403" s="3" t="s">
        <v>34</v>
      </c>
      <c r="J403" s="3" t="s">
        <v>35</v>
      </c>
      <c r="K403" s="3"/>
      <c r="L403" s="3" t="s">
        <v>36</v>
      </c>
      <c r="M403" s="3" t="str">
        <f>CONCATENATE("BRBRND54T04F502Q")</f>
        <v>BRBRND54T04F502Q</v>
      </c>
      <c r="N403" s="3" t="s">
        <v>515</v>
      </c>
      <c r="O403" s="3" t="s">
        <v>38</v>
      </c>
      <c r="P403" s="3"/>
      <c r="Q403" s="4">
        <v>45968</v>
      </c>
      <c r="R403" s="3" t="s">
        <v>39</v>
      </c>
      <c r="S403" s="3" t="s">
        <v>38</v>
      </c>
      <c r="T403" s="3" t="s">
        <v>40</v>
      </c>
      <c r="U403" s="3"/>
      <c r="V403" s="3" t="s">
        <v>41</v>
      </c>
      <c r="W403" s="5">
        <v>2723.87</v>
      </c>
      <c r="X403" s="5">
        <v>2042.9</v>
      </c>
      <c r="Y403" s="3">
        <v>476.68</v>
      </c>
      <c r="Z403" s="3">
        <v>204.29</v>
      </c>
      <c r="AA403" s="3">
        <v>0</v>
      </c>
    </row>
    <row r="404" spans="1:27" ht="60.75" x14ac:dyDescent="0.25">
      <c r="A404" s="3" t="s">
        <v>28</v>
      </c>
      <c r="B404" s="3" t="s">
        <v>29</v>
      </c>
      <c r="C404" s="3" t="s">
        <v>30</v>
      </c>
      <c r="D404" s="3" t="s">
        <v>65</v>
      </c>
      <c r="E404" s="3" t="s">
        <v>32</v>
      </c>
      <c r="F404" s="3" t="s">
        <v>144</v>
      </c>
      <c r="G404" s="3">
        <v>2025</v>
      </c>
      <c r="H404" s="3" t="str">
        <f>CONCATENATE("54240565751")</f>
        <v>54240565751</v>
      </c>
      <c r="I404" s="3" t="s">
        <v>44</v>
      </c>
      <c r="J404" s="3" t="s">
        <v>35</v>
      </c>
      <c r="K404" s="3"/>
      <c r="L404" s="3" t="s">
        <v>36</v>
      </c>
      <c r="M404" s="3" t="str">
        <f>CONCATENATE("FDDSML79P08L500N")</f>
        <v>FDDSML79P08L500N</v>
      </c>
      <c r="N404" s="3" t="s">
        <v>516</v>
      </c>
      <c r="O404" s="3" t="s">
        <v>38</v>
      </c>
      <c r="P404" s="3"/>
      <c r="Q404" s="4">
        <v>45968</v>
      </c>
      <c r="R404" s="3" t="s">
        <v>39</v>
      </c>
      <c r="S404" s="3" t="s">
        <v>38</v>
      </c>
      <c r="T404" s="3" t="s">
        <v>40</v>
      </c>
      <c r="U404" s="3"/>
      <c r="V404" s="3" t="s">
        <v>41</v>
      </c>
      <c r="W404" s="5">
        <v>2035.8</v>
      </c>
      <c r="X404" s="5">
        <v>1526.85</v>
      </c>
      <c r="Y404" s="3">
        <v>356.27</v>
      </c>
      <c r="Z404" s="3">
        <v>152.68</v>
      </c>
      <c r="AA404" s="3">
        <v>0</v>
      </c>
    </row>
    <row r="405" spans="1:27" ht="60.75" x14ac:dyDescent="0.25">
      <c r="A405" s="3" t="s">
        <v>28</v>
      </c>
      <c r="B405" s="3" t="s">
        <v>29</v>
      </c>
      <c r="C405" s="3" t="s">
        <v>30</v>
      </c>
      <c r="D405" s="3" t="s">
        <v>42</v>
      </c>
      <c r="E405" s="3" t="s">
        <v>51</v>
      </c>
      <c r="F405" s="3" t="s">
        <v>375</v>
      </c>
      <c r="G405" s="3">
        <v>2025</v>
      </c>
      <c r="H405" s="3" t="str">
        <f>CONCATENATE("54240535770")</f>
        <v>54240535770</v>
      </c>
      <c r="I405" s="3" t="s">
        <v>34</v>
      </c>
      <c r="J405" s="3" t="s">
        <v>35</v>
      </c>
      <c r="K405" s="3"/>
      <c r="L405" s="3" t="s">
        <v>36</v>
      </c>
      <c r="M405" s="3" t="str">
        <f>CONCATENATE("NNISVR57A08C321S")</f>
        <v>NNISVR57A08C321S</v>
      </c>
      <c r="N405" s="3" t="s">
        <v>517</v>
      </c>
      <c r="O405" s="3" t="s">
        <v>38</v>
      </c>
      <c r="P405" s="3"/>
      <c r="Q405" s="4">
        <v>45968</v>
      </c>
      <c r="R405" s="3" t="s">
        <v>39</v>
      </c>
      <c r="S405" s="3" t="s">
        <v>38</v>
      </c>
      <c r="T405" s="3" t="s">
        <v>40</v>
      </c>
      <c r="U405" s="3"/>
      <c r="V405" s="3" t="s">
        <v>41</v>
      </c>
      <c r="W405" s="5">
        <v>3565.18</v>
      </c>
      <c r="X405" s="5">
        <v>2673.89</v>
      </c>
      <c r="Y405" s="3">
        <v>623.91</v>
      </c>
      <c r="Z405" s="3">
        <v>267.38</v>
      </c>
      <c r="AA405" s="3">
        <v>0</v>
      </c>
    </row>
    <row r="406" spans="1:27" ht="60.75" x14ac:dyDescent="0.25">
      <c r="A406" s="3" t="s">
        <v>28</v>
      </c>
      <c r="B406" s="3" t="s">
        <v>29</v>
      </c>
      <c r="C406" s="3" t="s">
        <v>30</v>
      </c>
      <c r="D406" s="3" t="s">
        <v>42</v>
      </c>
      <c r="E406" s="3" t="s">
        <v>51</v>
      </c>
      <c r="F406" s="3" t="s">
        <v>375</v>
      </c>
      <c r="G406" s="3">
        <v>2025</v>
      </c>
      <c r="H406" s="3" t="str">
        <f>CONCATENATE("54240535796")</f>
        <v>54240535796</v>
      </c>
      <c r="I406" s="3" t="s">
        <v>44</v>
      </c>
      <c r="J406" s="3" t="s">
        <v>35</v>
      </c>
      <c r="K406" s="3"/>
      <c r="L406" s="3" t="s">
        <v>36</v>
      </c>
      <c r="M406" s="3" t="str">
        <f>CONCATENATE("PSQGNN78D52G005Y")</f>
        <v>PSQGNN78D52G005Y</v>
      </c>
      <c r="N406" s="3" t="s">
        <v>518</v>
      </c>
      <c r="O406" s="3" t="s">
        <v>38</v>
      </c>
      <c r="P406" s="3"/>
      <c r="Q406" s="4">
        <v>45968</v>
      </c>
      <c r="R406" s="3" t="s">
        <v>39</v>
      </c>
      <c r="S406" s="3" t="s">
        <v>38</v>
      </c>
      <c r="T406" s="3" t="s">
        <v>40</v>
      </c>
      <c r="U406" s="3"/>
      <c r="V406" s="3" t="s">
        <v>41</v>
      </c>
      <c r="W406" s="5">
        <v>2418.4499999999998</v>
      </c>
      <c r="X406" s="5">
        <v>1813.84</v>
      </c>
      <c r="Y406" s="3">
        <v>423.23</v>
      </c>
      <c r="Z406" s="3">
        <v>181.38</v>
      </c>
      <c r="AA406" s="3">
        <v>0</v>
      </c>
    </row>
    <row r="407" spans="1:27" ht="60.75" x14ac:dyDescent="0.25">
      <c r="A407" s="3" t="s">
        <v>28</v>
      </c>
      <c r="B407" s="3" t="s">
        <v>29</v>
      </c>
      <c r="C407" s="3" t="s">
        <v>30</v>
      </c>
      <c r="D407" s="3" t="s">
        <v>65</v>
      </c>
      <c r="E407" s="3" t="s">
        <v>43</v>
      </c>
      <c r="F407" s="3" t="s">
        <v>43</v>
      </c>
      <c r="G407" s="3">
        <v>2025</v>
      </c>
      <c r="H407" s="3" t="str">
        <f>CONCATENATE("54240550092")</f>
        <v>54240550092</v>
      </c>
      <c r="I407" s="3" t="s">
        <v>34</v>
      </c>
      <c r="J407" s="3" t="s">
        <v>35</v>
      </c>
      <c r="K407" s="3"/>
      <c r="L407" s="3" t="s">
        <v>36</v>
      </c>
      <c r="M407" s="3" t="str">
        <f>CONCATENATE("CLNFNC53R07B816K")</f>
        <v>CLNFNC53R07B816K</v>
      </c>
      <c r="N407" s="3" t="s">
        <v>519</v>
      </c>
      <c r="O407" s="3" t="s">
        <v>38</v>
      </c>
      <c r="P407" s="3"/>
      <c r="Q407" s="4">
        <v>45968</v>
      </c>
      <c r="R407" s="3" t="s">
        <v>39</v>
      </c>
      <c r="S407" s="3" t="s">
        <v>38</v>
      </c>
      <c r="T407" s="3" t="s">
        <v>40</v>
      </c>
      <c r="U407" s="3"/>
      <c r="V407" s="3" t="s">
        <v>41</v>
      </c>
      <c r="W407" s="5">
        <v>4398.4399999999996</v>
      </c>
      <c r="X407" s="5">
        <v>3298.83</v>
      </c>
      <c r="Y407" s="3">
        <v>769.73</v>
      </c>
      <c r="Z407" s="3">
        <v>329.88</v>
      </c>
      <c r="AA407" s="3">
        <v>0</v>
      </c>
    </row>
    <row r="408" spans="1:27" ht="36.75" x14ac:dyDescent="0.25">
      <c r="A408" s="3" t="s">
        <v>28</v>
      </c>
      <c r="B408" s="3" t="s">
        <v>29</v>
      </c>
      <c r="C408" s="3" t="s">
        <v>30</v>
      </c>
      <c r="D408" s="3" t="s">
        <v>42</v>
      </c>
      <c r="E408" s="3" t="s">
        <v>51</v>
      </c>
      <c r="F408" s="3" t="s">
        <v>375</v>
      </c>
      <c r="G408" s="3">
        <v>2025</v>
      </c>
      <c r="H408" s="3" t="str">
        <f>CONCATENATE("54240535846")</f>
        <v>54240535846</v>
      </c>
      <c r="I408" s="3" t="s">
        <v>44</v>
      </c>
      <c r="J408" s="3" t="s">
        <v>35</v>
      </c>
      <c r="K408" s="3"/>
      <c r="L408" s="3" t="s">
        <v>36</v>
      </c>
      <c r="M408" s="3" t="str">
        <f>CONCATENATE("02367360449")</f>
        <v>02367360449</v>
      </c>
      <c r="N408" s="3" t="s">
        <v>520</v>
      </c>
      <c r="O408" s="3" t="s">
        <v>38</v>
      </c>
      <c r="P408" s="3"/>
      <c r="Q408" s="4">
        <v>45968</v>
      </c>
      <c r="R408" s="3" t="s">
        <v>39</v>
      </c>
      <c r="S408" s="3" t="s">
        <v>38</v>
      </c>
      <c r="T408" s="3" t="s">
        <v>40</v>
      </c>
      <c r="U408" s="3"/>
      <c r="V408" s="3" t="s">
        <v>41</v>
      </c>
      <c r="W408" s="5">
        <v>9492.27</v>
      </c>
      <c r="X408" s="5">
        <v>7119.2</v>
      </c>
      <c r="Y408" s="5">
        <v>1661.15</v>
      </c>
      <c r="Z408" s="3">
        <v>711.92</v>
      </c>
      <c r="AA408" s="3">
        <v>0</v>
      </c>
    </row>
    <row r="409" spans="1:27" ht="36.75" x14ac:dyDescent="0.25">
      <c r="A409" s="3" t="s">
        <v>28</v>
      </c>
      <c r="B409" s="3" t="s">
        <v>29</v>
      </c>
      <c r="C409" s="3" t="s">
        <v>30</v>
      </c>
      <c r="D409" s="3" t="s">
        <v>65</v>
      </c>
      <c r="E409" s="3" t="s">
        <v>32</v>
      </c>
      <c r="F409" s="3" t="s">
        <v>144</v>
      </c>
      <c r="G409" s="3">
        <v>2025</v>
      </c>
      <c r="H409" s="3" t="str">
        <f>CONCATENATE("54240535382")</f>
        <v>54240535382</v>
      </c>
      <c r="I409" s="3" t="s">
        <v>44</v>
      </c>
      <c r="J409" s="3" t="s">
        <v>35</v>
      </c>
      <c r="K409" s="3"/>
      <c r="L409" s="3" t="s">
        <v>36</v>
      </c>
      <c r="M409" s="3" t="str">
        <f>CONCATENATE("01487790410")</f>
        <v>01487790410</v>
      </c>
      <c r="N409" s="3" t="s">
        <v>521</v>
      </c>
      <c r="O409" s="3" t="s">
        <v>38</v>
      </c>
      <c r="P409" s="3"/>
      <c r="Q409" s="4">
        <v>45968</v>
      </c>
      <c r="R409" s="3" t="s">
        <v>39</v>
      </c>
      <c r="S409" s="3" t="s">
        <v>38</v>
      </c>
      <c r="T409" s="3" t="s">
        <v>40</v>
      </c>
      <c r="U409" s="3"/>
      <c r="V409" s="3" t="s">
        <v>41</v>
      </c>
      <c r="W409" s="5">
        <v>5440.22</v>
      </c>
      <c r="X409" s="5">
        <v>4080.17</v>
      </c>
      <c r="Y409" s="3">
        <v>952.04</v>
      </c>
      <c r="Z409" s="3">
        <v>408.01</v>
      </c>
      <c r="AA409" s="3">
        <v>0</v>
      </c>
    </row>
    <row r="410" spans="1:27" ht="60.75" x14ac:dyDescent="0.25">
      <c r="A410" s="3" t="s">
        <v>28</v>
      </c>
      <c r="B410" s="3" t="s">
        <v>29</v>
      </c>
      <c r="C410" s="3" t="s">
        <v>30</v>
      </c>
      <c r="D410" s="3" t="s">
        <v>65</v>
      </c>
      <c r="E410" s="3" t="s">
        <v>32</v>
      </c>
      <c r="F410" s="3" t="s">
        <v>144</v>
      </c>
      <c r="G410" s="3">
        <v>2025</v>
      </c>
      <c r="H410" s="3" t="str">
        <f>CONCATENATE("54240536265")</f>
        <v>54240536265</v>
      </c>
      <c r="I410" s="3" t="s">
        <v>44</v>
      </c>
      <c r="J410" s="3" t="s">
        <v>35</v>
      </c>
      <c r="K410" s="3"/>
      <c r="L410" s="3" t="s">
        <v>36</v>
      </c>
      <c r="M410" s="3" t="str">
        <f>CONCATENATE("CMLLSN67A71F205G")</f>
        <v>CMLLSN67A71F205G</v>
      </c>
      <c r="N410" s="3" t="s">
        <v>522</v>
      </c>
      <c r="O410" s="3" t="s">
        <v>38</v>
      </c>
      <c r="P410" s="3"/>
      <c r="Q410" s="4">
        <v>45968</v>
      </c>
      <c r="R410" s="3" t="s">
        <v>39</v>
      </c>
      <c r="S410" s="3" t="s">
        <v>38</v>
      </c>
      <c r="T410" s="3" t="s">
        <v>40</v>
      </c>
      <c r="U410" s="3"/>
      <c r="V410" s="3" t="s">
        <v>41</v>
      </c>
      <c r="W410" s="3">
        <v>771.72</v>
      </c>
      <c r="X410" s="3">
        <v>578.79</v>
      </c>
      <c r="Y410" s="3">
        <v>135.05000000000001</v>
      </c>
      <c r="Z410" s="3">
        <v>57.88</v>
      </c>
      <c r="AA410" s="3">
        <v>0</v>
      </c>
    </row>
    <row r="411" spans="1:27" ht="60.75" x14ac:dyDescent="0.25">
      <c r="A411" s="3" t="s">
        <v>28</v>
      </c>
      <c r="B411" s="3" t="s">
        <v>29</v>
      </c>
      <c r="C411" s="3" t="s">
        <v>30</v>
      </c>
      <c r="D411" s="3" t="s">
        <v>65</v>
      </c>
      <c r="E411" s="3" t="s">
        <v>32</v>
      </c>
      <c r="F411" s="3" t="s">
        <v>144</v>
      </c>
      <c r="G411" s="3">
        <v>2025</v>
      </c>
      <c r="H411" s="3" t="str">
        <f>CONCATENATE("54240536398")</f>
        <v>54240536398</v>
      </c>
      <c r="I411" s="3" t="s">
        <v>34</v>
      </c>
      <c r="J411" s="3" t="s">
        <v>35</v>
      </c>
      <c r="K411" s="3"/>
      <c r="L411" s="3" t="s">
        <v>36</v>
      </c>
      <c r="M411" s="3" t="str">
        <f>CONCATENATE("CNTRLL57B65I670E")</f>
        <v>CNTRLL57B65I670E</v>
      </c>
      <c r="N411" s="3" t="s">
        <v>523</v>
      </c>
      <c r="O411" s="3" t="s">
        <v>38</v>
      </c>
      <c r="P411" s="3"/>
      <c r="Q411" s="4">
        <v>45968</v>
      </c>
      <c r="R411" s="3" t="s">
        <v>39</v>
      </c>
      <c r="S411" s="3" t="s">
        <v>38</v>
      </c>
      <c r="T411" s="3" t="s">
        <v>40</v>
      </c>
      <c r="U411" s="3"/>
      <c r="V411" s="3" t="s">
        <v>41</v>
      </c>
      <c r="W411" s="3">
        <v>489.14</v>
      </c>
      <c r="X411" s="3">
        <v>366.86</v>
      </c>
      <c r="Y411" s="3">
        <v>85.6</v>
      </c>
      <c r="Z411" s="3">
        <v>36.68</v>
      </c>
      <c r="AA411" s="3">
        <v>0</v>
      </c>
    </row>
    <row r="412" spans="1:27" ht="36.75" x14ac:dyDescent="0.25">
      <c r="A412" s="3" t="s">
        <v>28</v>
      </c>
      <c r="B412" s="3" t="s">
        <v>29</v>
      </c>
      <c r="C412" s="3" t="s">
        <v>30</v>
      </c>
      <c r="D412" s="3" t="s">
        <v>42</v>
      </c>
      <c r="E412" s="3" t="s">
        <v>51</v>
      </c>
      <c r="F412" s="3" t="s">
        <v>524</v>
      </c>
      <c r="G412" s="3">
        <v>2025</v>
      </c>
      <c r="H412" s="3" t="str">
        <f>CONCATENATE("54240536836")</f>
        <v>54240536836</v>
      </c>
      <c r="I412" s="3" t="s">
        <v>34</v>
      </c>
      <c r="J412" s="3" t="s">
        <v>35</v>
      </c>
      <c r="K412" s="3"/>
      <c r="L412" s="3" t="s">
        <v>36</v>
      </c>
      <c r="M412" s="3" t="str">
        <f>CONCATENATE("00845210442")</f>
        <v>00845210442</v>
      </c>
      <c r="N412" s="3" t="s">
        <v>525</v>
      </c>
      <c r="O412" s="3" t="s">
        <v>38</v>
      </c>
      <c r="P412" s="3"/>
      <c r="Q412" s="4">
        <v>45968</v>
      </c>
      <c r="R412" s="3" t="s">
        <v>39</v>
      </c>
      <c r="S412" s="3" t="s">
        <v>38</v>
      </c>
      <c r="T412" s="3" t="s">
        <v>40</v>
      </c>
      <c r="U412" s="3"/>
      <c r="V412" s="3" t="s">
        <v>41</v>
      </c>
      <c r="W412" s="5">
        <v>4248.34</v>
      </c>
      <c r="X412" s="5">
        <v>3186.26</v>
      </c>
      <c r="Y412" s="3">
        <v>743.46</v>
      </c>
      <c r="Z412" s="3">
        <v>318.62</v>
      </c>
      <c r="AA412" s="3">
        <v>0</v>
      </c>
    </row>
    <row r="413" spans="1:27" ht="36.75" x14ac:dyDescent="0.25">
      <c r="A413" s="3" t="s">
        <v>28</v>
      </c>
      <c r="B413" s="3" t="s">
        <v>29</v>
      </c>
      <c r="C413" s="3" t="s">
        <v>30</v>
      </c>
      <c r="D413" s="3" t="s">
        <v>42</v>
      </c>
      <c r="E413" s="3" t="s">
        <v>43</v>
      </c>
      <c r="F413" s="3" t="s">
        <v>43</v>
      </c>
      <c r="G413" s="3">
        <v>2025</v>
      </c>
      <c r="H413" s="3" t="str">
        <f>CONCATENATE("54240664372")</f>
        <v>54240664372</v>
      </c>
      <c r="I413" s="3" t="s">
        <v>34</v>
      </c>
      <c r="J413" s="3" t="s">
        <v>35</v>
      </c>
      <c r="K413" s="3"/>
      <c r="L413" s="3" t="s">
        <v>36</v>
      </c>
      <c r="M413" s="3" t="str">
        <f>CONCATENATE("02382290449")</f>
        <v>02382290449</v>
      </c>
      <c r="N413" s="3" t="s">
        <v>526</v>
      </c>
      <c r="O413" s="3" t="s">
        <v>38</v>
      </c>
      <c r="P413" s="3"/>
      <c r="Q413" s="4">
        <v>45968</v>
      </c>
      <c r="R413" s="3" t="s">
        <v>39</v>
      </c>
      <c r="S413" s="3" t="s">
        <v>38</v>
      </c>
      <c r="T413" s="3" t="s">
        <v>40</v>
      </c>
      <c r="U413" s="3"/>
      <c r="V413" s="3" t="s">
        <v>41</v>
      </c>
      <c r="W413" s="5">
        <v>7618</v>
      </c>
      <c r="X413" s="5">
        <v>5713.5</v>
      </c>
      <c r="Y413" s="5">
        <v>1333.15</v>
      </c>
      <c r="Z413" s="3">
        <v>571.35</v>
      </c>
      <c r="AA413" s="3">
        <v>0</v>
      </c>
    </row>
    <row r="414" spans="1:27" ht="72.75" x14ac:dyDescent="0.25">
      <c r="A414" s="3" t="s">
        <v>28</v>
      </c>
      <c r="B414" s="3" t="s">
        <v>29</v>
      </c>
      <c r="C414" s="3" t="s">
        <v>30</v>
      </c>
      <c r="D414" s="3" t="s">
        <v>42</v>
      </c>
      <c r="E414" s="3" t="s">
        <v>32</v>
      </c>
      <c r="F414" s="3" t="s">
        <v>110</v>
      </c>
      <c r="G414" s="3">
        <v>2025</v>
      </c>
      <c r="H414" s="3" t="str">
        <f>CONCATENATE("54240538014")</f>
        <v>54240538014</v>
      </c>
      <c r="I414" s="3" t="s">
        <v>34</v>
      </c>
      <c r="J414" s="3" t="s">
        <v>35</v>
      </c>
      <c r="K414" s="3"/>
      <c r="L414" s="3" t="s">
        <v>36</v>
      </c>
      <c r="M414" s="3" t="str">
        <f>CONCATENATE("MRODLU48C61D210H")</f>
        <v>MRODLU48C61D210H</v>
      </c>
      <c r="N414" s="3" t="s">
        <v>527</v>
      </c>
      <c r="O414" s="3" t="s">
        <v>38</v>
      </c>
      <c r="P414" s="3"/>
      <c r="Q414" s="4">
        <v>45968</v>
      </c>
      <c r="R414" s="3" t="s">
        <v>39</v>
      </c>
      <c r="S414" s="3" t="s">
        <v>38</v>
      </c>
      <c r="T414" s="3" t="s">
        <v>40</v>
      </c>
      <c r="U414" s="3"/>
      <c r="V414" s="3" t="s">
        <v>41</v>
      </c>
      <c r="W414" s="5">
        <v>1411.32</v>
      </c>
      <c r="X414" s="5">
        <v>1058.49</v>
      </c>
      <c r="Y414" s="3">
        <v>246.98</v>
      </c>
      <c r="Z414" s="3">
        <v>105.85</v>
      </c>
      <c r="AA414" s="3">
        <v>0</v>
      </c>
    </row>
    <row r="415" spans="1:27" ht="60.75" x14ac:dyDescent="0.25">
      <c r="A415" s="3" t="s">
        <v>28</v>
      </c>
      <c r="B415" s="3" t="s">
        <v>29</v>
      </c>
      <c r="C415" s="3" t="s">
        <v>30</v>
      </c>
      <c r="D415" s="3" t="s">
        <v>42</v>
      </c>
      <c r="E415" s="3" t="s">
        <v>43</v>
      </c>
      <c r="F415" s="3" t="s">
        <v>43</v>
      </c>
      <c r="G415" s="3">
        <v>2025</v>
      </c>
      <c r="H415" s="3" t="str">
        <f>CONCATENATE("54240654886")</f>
        <v>54240654886</v>
      </c>
      <c r="I415" s="3" t="s">
        <v>34</v>
      </c>
      <c r="J415" s="3" t="s">
        <v>35</v>
      </c>
      <c r="K415" s="3"/>
      <c r="L415" s="3" t="s">
        <v>36</v>
      </c>
      <c r="M415" s="3" t="str">
        <f>CONCATENATE("VTIJCP87P22H769I")</f>
        <v>VTIJCP87P22H769I</v>
      </c>
      <c r="N415" s="3" t="s">
        <v>528</v>
      </c>
      <c r="O415" s="3" t="s">
        <v>38</v>
      </c>
      <c r="P415" s="3"/>
      <c r="Q415" s="4">
        <v>45968</v>
      </c>
      <c r="R415" s="3" t="s">
        <v>39</v>
      </c>
      <c r="S415" s="3" t="s">
        <v>38</v>
      </c>
      <c r="T415" s="3" t="s">
        <v>40</v>
      </c>
      <c r="U415" s="3"/>
      <c r="V415" s="3" t="s">
        <v>41</v>
      </c>
      <c r="W415" s="5">
        <v>1365.24</v>
      </c>
      <c r="X415" s="5">
        <v>1023.93</v>
      </c>
      <c r="Y415" s="3">
        <v>238.92</v>
      </c>
      <c r="Z415" s="3">
        <v>102.39</v>
      </c>
      <c r="AA415" s="3">
        <v>0</v>
      </c>
    </row>
    <row r="416" spans="1:27" ht="60.75" x14ac:dyDescent="0.25">
      <c r="A416" s="3" t="s">
        <v>28</v>
      </c>
      <c r="B416" s="3" t="s">
        <v>29</v>
      </c>
      <c r="C416" s="3" t="s">
        <v>30</v>
      </c>
      <c r="D416" s="3" t="s">
        <v>42</v>
      </c>
      <c r="E416" s="3" t="s">
        <v>51</v>
      </c>
      <c r="F416" s="3" t="s">
        <v>52</v>
      </c>
      <c r="G416" s="3">
        <v>2025</v>
      </c>
      <c r="H416" s="3" t="str">
        <f>CONCATENATE("54240563749")</f>
        <v>54240563749</v>
      </c>
      <c r="I416" s="3" t="s">
        <v>34</v>
      </c>
      <c r="J416" s="3" t="s">
        <v>35</v>
      </c>
      <c r="K416" s="3"/>
      <c r="L416" s="3" t="s">
        <v>36</v>
      </c>
      <c r="M416" s="3" t="str">
        <f>CONCATENATE("RCCMNT93E12H501V")</f>
        <v>RCCMNT93E12H501V</v>
      </c>
      <c r="N416" s="3" t="s">
        <v>529</v>
      </c>
      <c r="O416" s="3" t="s">
        <v>38</v>
      </c>
      <c r="P416" s="3"/>
      <c r="Q416" s="4">
        <v>45968</v>
      </c>
      <c r="R416" s="3" t="s">
        <v>39</v>
      </c>
      <c r="S416" s="3" t="s">
        <v>38</v>
      </c>
      <c r="T416" s="3" t="s">
        <v>40</v>
      </c>
      <c r="U416" s="3"/>
      <c r="V416" s="3" t="s">
        <v>41</v>
      </c>
      <c r="W416" s="5">
        <v>4589.01</v>
      </c>
      <c r="X416" s="5">
        <v>3441.76</v>
      </c>
      <c r="Y416" s="3">
        <v>803.08</v>
      </c>
      <c r="Z416" s="3">
        <v>344.17</v>
      </c>
      <c r="AA416" s="3">
        <v>0</v>
      </c>
    </row>
    <row r="417" spans="1:27" ht="60.75" x14ac:dyDescent="0.25">
      <c r="A417" s="3" t="s">
        <v>28</v>
      </c>
      <c r="B417" s="3" t="s">
        <v>29</v>
      </c>
      <c r="C417" s="3" t="s">
        <v>30</v>
      </c>
      <c r="D417" s="3" t="s">
        <v>31</v>
      </c>
      <c r="E417" s="3" t="s">
        <v>32</v>
      </c>
      <c r="F417" s="3" t="s">
        <v>33</v>
      </c>
      <c r="G417" s="3">
        <v>2025</v>
      </c>
      <c r="H417" s="3" t="str">
        <f>CONCATENATE("54240539590")</f>
        <v>54240539590</v>
      </c>
      <c r="I417" s="3" t="s">
        <v>34</v>
      </c>
      <c r="J417" s="3" t="s">
        <v>35</v>
      </c>
      <c r="K417" s="3"/>
      <c r="L417" s="3" t="s">
        <v>36</v>
      </c>
      <c r="M417" s="3" t="str">
        <f>CONCATENATE("SRVCSL71E64L219O")</f>
        <v>SRVCSL71E64L219O</v>
      </c>
      <c r="N417" s="3" t="s">
        <v>530</v>
      </c>
      <c r="O417" s="3" t="s">
        <v>38</v>
      </c>
      <c r="P417" s="3"/>
      <c r="Q417" s="4">
        <v>45968</v>
      </c>
      <c r="R417" s="3" t="s">
        <v>39</v>
      </c>
      <c r="S417" s="3" t="s">
        <v>38</v>
      </c>
      <c r="T417" s="3" t="s">
        <v>40</v>
      </c>
      <c r="U417" s="3"/>
      <c r="V417" s="3" t="s">
        <v>41</v>
      </c>
      <c r="W417" s="5">
        <v>4895.08</v>
      </c>
      <c r="X417" s="5">
        <v>3671.31</v>
      </c>
      <c r="Y417" s="3">
        <v>856.64</v>
      </c>
      <c r="Z417" s="3">
        <v>367.13</v>
      </c>
      <c r="AA417" s="3">
        <v>0</v>
      </c>
    </row>
    <row r="418" spans="1:27" ht="36.75" x14ac:dyDescent="0.25">
      <c r="A418" s="3" t="s">
        <v>28</v>
      </c>
      <c r="B418" s="3" t="s">
        <v>29</v>
      </c>
      <c r="C418" s="3" t="s">
        <v>30</v>
      </c>
      <c r="D418" s="3" t="s">
        <v>47</v>
      </c>
      <c r="E418" s="3" t="s">
        <v>48</v>
      </c>
      <c r="F418" s="3" t="s">
        <v>90</v>
      </c>
      <c r="G418" s="3">
        <v>2025</v>
      </c>
      <c r="H418" s="3" t="str">
        <f>CONCATENATE("54240539855")</f>
        <v>54240539855</v>
      </c>
      <c r="I418" s="3" t="s">
        <v>34</v>
      </c>
      <c r="J418" s="3" t="s">
        <v>35</v>
      </c>
      <c r="K418" s="3"/>
      <c r="L418" s="3" t="s">
        <v>36</v>
      </c>
      <c r="M418" s="3" t="str">
        <f>CONCATENATE("02083030433")</f>
        <v>02083030433</v>
      </c>
      <c r="N418" s="3" t="s">
        <v>531</v>
      </c>
      <c r="O418" s="3" t="s">
        <v>38</v>
      </c>
      <c r="P418" s="3"/>
      <c r="Q418" s="4">
        <v>45968</v>
      </c>
      <c r="R418" s="3" t="s">
        <v>39</v>
      </c>
      <c r="S418" s="3" t="s">
        <v>38</v>
      </c>
      <c r="T418" s="3" t="s">
        <v>40</v>
      </c>
      <c r="U418" s="3"/>
      <c r="V418" s="3" t="s">
        <v>41</v>
      </c>
      <c r="W418" s="3">
        <v>539.21</v>
      </c>
      <c r="X418" s="3">
        <v>404.41</v>
      </c>
      <c r="Y418" s="3">
        <v>94.36</v>
      </c>
      <c r="Z418" s="3">
        <v>40.44</v>
      </c>
      <c r="AA418" s="3">
        <v>0</v>
      </c>
    </row>
    <row r="419" spans="1:27" ht="36.75" x14ac:dyDescent="0.25">
      <c r="A419" s="3" t="s">
        <v>28</v>
      </c>
      <c r="B419" s="3" t="s">
        <v>29</v>
      </c>
      <c r="C419" s="3" t="s">
        <v>30</v>
      </c>
      <c r="D419" s="3" t="s">
        <v>42</v>
      </c>
      <c r="E419" s="3" t="s">
        <v>43</v>
      </c>
      <c r="F419" s="3" t="s">
        <v>43</v>
      </c>
      <c r="G419" s="3">
        <v>2025</v>
      </c>
      <c r="H419" s="3" t="str">
        <f>CONCATENATE("54240664422")</f>
        <v>54240664422</v>
      </c>
      <c r="I419" s="3" t="s">
        <v>34</v>
      </c>
      <c r="J419" s="3" t="s">
        <v>35</v>
      </c>
      <c r="K419" s="3"/>
      <c r="L419" s="3" t="s">
        <v>36</v>
      </c>
      <c r="M419" s="3" t="str">
        <f>CONCATENATE("02364240446")</f>
        <v>02364240446</v>
      </c>
      <c r="N419" s="3" t="s">
        <v>532</v>
      </c>
      <c r="O419" s="3" t="s">
        <v>38</v>
      </c>
      <c r="P419" s="3"/>
      <c r="Q419" s="4">
        <v>45968</v>
      </c>
      <c r="R419" s="3" t="s">
        <v>39</v>
      </c>
      <c r="S419" s="3" t="s">
        <v>38</v>
      </c>
      <c r="T419" s="3" t="s">
        <v>40</v>
      </c>
      <c r="U419" s="3"/>
      <c r="V419" s="3" t="s">
        <v>41</v>
      </c>
      <c r="W419" s="5">
        <v>3072.81</v>
      </c>
      <c r="X419" s="5">
        <v>2304.61</v>
      </c>
      <c r="Y419" s="3">
        <v>537.74</v>
      </c>
      <c r="Z419" s="3">
        <v>230.46</v>
      </c>
      <c r="AA419" s="3">
        <v>0</v>
      </c>
    </row>
    <row r="420" spans="1:27" ht="36.75" x14ac:dyDescent="0.25">
      <c r="A420" s="3" t="s">
        <v>28</v>
      </c>
      <c r="B420" s="3" t="s">
        <v>29</v>
      </c>
      <c r="C420" s="3" t="s">
        <v>30</v>
      </c>
      <c r="D420" s="3" t="s">
        <v>65</v>
      </c>
      <c r="E420" s="3" t="s">
        <v>48</v>
      </c>
      <c r="F420" s="3" t="s">
        <v>76</v>
      </c>
      <c r="G420" s="3">
        <v>2025</v>
      </c>
      <c r="H420" s="3" t="str">
        <f>CONCATENATE("54240540366")</f>
        <v>54240540366</v>
      </c>
      <c r="I420" s="3" t="s">
        <v>34</v>
      </c>
      <c r="J420" s="3" t="s">
        <v>35</v>
      </c>
      <c r="K420" s="3"/>
      <c r="L420" s="3" t="s">
        <v>36</v>
      </c>
      <c r="M420" s="3" t="str">
        <f>CONCATENATE("02600130419")</f>
        <v>02600130419</v>
      </c>
      <c r="N420" s="3" t="s">
        <v>533</v>
      </c>
      <c r="O420" s="3" t="s">
        <v>38</v>
      </c>
      <c r="P420" s="3"/>
      <c r="Q420" s="4">
        <v>45968</v>
      </c>
      <c r="R420" s="3" t="s">
        <v>39</v>
      </c>
      <c r="S420" s="3" t="s">
        <v>38</v>
      </c>
      <c r="T420" s="3" t="s">
        <v>40</v>
      </c>
      <c r="U420" s="3"/>
      <c r="V420" s="3" t="s">
        <v>41</v>
      </c>
      <c r="W420" s="5">
        <v>4876.53</v>
      </c>
      <c r="X420" s="5">
        <v>3657.4</v>
      </c>
      <c r="Y420" s="3">
        <v>853.39</v>
      </c>
      <c r="Z420" s="3">
        <v>365.74</v>
      </c>
      <c r="AA420" s="3">
        <v>0</v>
      </c>
    </row>
    <row r="421" spans="1:27" ht="36.75" x14ac:dyDescent="0.25">
      <c r="A421" s="3" t="s">
        <v>28</v>
      </c>
      <c r="B421" s="3" t="s">
        <v>29</v>
      </c>
      <c r="C421" s="3" t="s">
        <v>30</v>
      </c>
      <c r="D421" s="3" t="s">
        <v>65</v>
      </c>
      <c r="E421" s="3" t="s">
        <v>51</v>
      </c>
      <c r="F421" s="3" t="s">
        <v>534</v>
      </c>
      <c r="G421" s="3">
        <v>2025</v>
      </c>
      <c r="H421" s="3" t="str">
        <f>CONCATENATE("54240563442")</f>
        <v>54240563442</v>
      </c>
      <c r="I421" s="3" t="s">
        <v>34</v>
      </c>
      <c r="J421" s="3" t="s">
        <v>35</v>
      </c>
      <c r="K421" s="3"/>
      <c r="L421" s="3" t="s">
        <v>36</v>
      </c>
      <c r="M421" s="3" t="str">
        <f>CONCATENATE("01180010413")</f>
        <v>01180010413</v>
      </c>
      <c r="N421" s="3" t="s">
        <v>535</v>
      </c>
      <c r="O421" s="3" t="s">
        <v>38</v>
      </c>
      <c r="P421" s="3"/>
      <c r="Q421" s="4">
        <v>45968</v>
      </c>
      <c r="R421" s="3" t="s">
        <v>39</v>
      </c>
      <c r="S421" s="3" t="s">
        <v>38</v>
      </c>
      <c r="T421" s="3" t="s">
        <v>40</v>
      </c>
      <c r="U421" s="3"/>
      <c r="V421" s="3" t="s">
        <v>41</v>
      </c>
      <c r="W421" s="5">
        <v>4280.3500000000004</v>
      </c>
      <c r="X421" s="5">
        <v>3210.26</v>
      </c>
      <c r="Y421" s="3">
        <v>749.06</v>
      </c>
      <c r="Z421" s="3">
        <v>321.02999999999997</v>
      </c>
      <c r="AA421" s="3">
        <v>0</v>
      </c>
    </row>
    <row r="422" spans="1:27" ht="36.75" x14ac:dyDescent="0.25">
      <c r="A422" s="3" t="s">
        <v>28</v>
      </c>
      <c r="B422" s="3" t="s">
        <v>29</v>
      </c>
      <c r="C422" s="3" t="s">
        <v>30</v>
      </c>
      <c r="D422" s="3" t="s">
        <v>65</v>
      </c>
      <c r="E422" s="3" t="s">
        <v>51</v>
      </c>
      <c r="F422" s="3" t="s">
        <v>534</v>
      </c>
      <c r="G422" s="3">
        <v>2025</v>
      </c>
      <c r="H422" s="3" t="str">
        <f>CONCATENATE("54240542040")</f>
        <v>54240542040</v>
      </c>
      <c r="I422" s="3" t="s">
        <v>34</v>
      </c>
      <c r="J422" s="3" t="s">
        <v>35</v>
      </c>
      <c r="K422" s="3"/>
      <c r="L422" s="3" t="s">
        <v>36</v>
      </c>
      <c r="M422" s="3" t="str">
        <f>CONCATENATE("02604670410")</f>
        <v>02604670410</v>
      </c>
      <c r="N422" s="3" t="s">
        <v>536</v>
      </c>
      <c r="O422" s="3" t="s">
        <v>38</v>
      </c>
      <c r="P422" s="3"/>
      <c r="Q422" s="4">
        <v>45968</v>
      </c>
      <c r="R422" s="3" t="s">
        <v>39</v>
      </c>
      <c r="S422" s="3" t="s">
        <v>38</v>
      </c>
      <c r="T422" s="3" t="s">
        <v>40</v>
      </c>
      <c r="U422" s="3"/>
      <c r="V422" s="3" t="s">
        <v>41</v>
      </c>
      <c r="W422" s="5">
        <v>20754.04</v>
      </c>
      <c r="X422" s="5">
        <v>15565.53</v>
      </c>
      <c r="Y422" s="5">
        <v>3631.96</v>
      </c>
      <c r="Z422" s="5">
        <v>1556.55</v>
      </c>
      <c r="AA422" s="3">
        <v>0</v>
      </c>
    </row>
    <row r="423" spans="1:27" ht="36.75" x14ac:dyDescent="0.25">
      <c r="A423" s="3" t="s">
        <v>28</v>
      </c>
      <c r="B423" s="3" t="s">
        <v>29</v>
      </c>
      <c r="C423" s="3" t="s">
        <v>30</v>
      </c>
      <c r="D423" s="3" t="s">
        <v>47</v>
      </c>
      <c r="E423" s="3" t="s">
        <v>48</v>
      </c>
      <c r="F423" s="3" t="s">
        <v>49</v>
      </c>
      <c r="G423" s="3">
        <v>2025</v>
      </c>
      <c r="H423" s="3" t="str">
        <f>CONCATENATE("54240543659")</f>
        <v>54240543659</v>
      </c>
      <c r="I423" s="3" t="s">
        <v>34</v>
      </c>
      <c r="J423" s="3" t="s">
        <v>35</v>
      </c>
      <c r="K423" s="3"/>
      <c r="L423" s="3" t="s">
        <v>36</v>
      </c>
      <c r="M423" s="3" t="str">
        <f>CONCATENATE("01915020430")</f>
        <v>01915020430</v>
      </c>
      <c r="N423" s="3" t="s">
        <v>537</v>
      </c>
      <c r="O423" s="3" t="s">
        <v>38</v>
      </c>
      <c r="P423" s="3"/>
      <c r="Q423" s="4">
        <v>45968</v>
      </c>
      <c r="R423" s="3" t="s">
        <v>39</v>
      </c>
      <c r="S423" s="3" t="s">
        <v>38</v>
      </c>
      <c r="T423" s="3" t="s">
        <v>40</v>
      </c>
      <c r="U423" s="3"/>
      <c r="V423" s="3" t="s">
        <v>41</v>
      </c>
      <c r="W423" s="5">
        <v>47554.14</v>
      </c>
      <c r="X423" s="5">
        <v>35665.61</v>
      </c>
      <c r="Y423" s="5">
        <v>8321.9699999999993</v>
      </c>
      <c r="Z423" s="5">
        <v>3566.56</v>
      </c>
      <c r="AA423" s="3">
        <v>0</v>
      </c>
    </row>
    <row r="424" spans="1:27" ht="60.75" x14ac:dyDescent="0.25">
      <c r="A424" s="3" t="s">
        <v>28</v>
      </c>
      <c r="B424" s="3" t="s">
        <v>29</v>
      </c>
      <c r="C424" s="3" t="s">
        <v>30</v>
      </c>
      <c r="D424" s="3" t="s">
        <v>65</v>
      </c>
      <c r="E424" s="3" t="s">
        <v>51</v>
      </c>
      <c r="F424" s="3" t="s">
        <v>105</v>
      </c>
      <c r="G424" s="3">
        <v>2025</v>
      </c>
      <c r="H424" s="3" t="str">
        <f>CONCATENATE("54240543535")</f>
        <v>54240543535</v>
      </c>
      <c r="I424" s="3" t="s">
        <v>34</v>
      </c>
      <c r="J424" s="3" t="s">
        <v>35</v>
      </c>
      <c r="K424" s="3"/>
      <c r="L424" s="3" t="s">
        <v>36</v>
      </c>
      <c r="M424" s="3" t="str">
        <f>CONCATENATE("FTTPFR61P28G479S")</f>
        <v>FTTPFR61P28G479S</v>
      </c>
      <c r="N424" s="3" t="s">
        <v>538</v>
      </c>
      <c r="O424" s="3" t="s">
        <v>38</v>
      </c>
      <c r="P424" s="3"/>
      <c r="Q424" s="4">
        <v>45968</v>
      </c>
      <c r="R424" s="3" t="s">
        <v>39</v>
      </c>
      <c r="S424" s="3" t="s">
        <v>38</v>
      </c>
      <c r="T424" s="3" t="s">
        <v>40</v>
      </c>
      <c r="U424" s="3"/>
      <c r="V424" s="3" t="s">
        <v>41</v>
      </c>
      <c r="W424" s="5">
        <v>1911.31</v>
      </c>
      <c r="X424" s="5">
        <v>1433.48</v>
      </c>
      <c r="Y424" s="3">
        <v>334.48</v>
      </c>
      <c r="Z424" s="3">
        <v>143.35</v>
      </c>
      <c r="AA424" s="3">
        <v>0</v>
      </c>
    </row>
    <row r="425" spans="1:27" ht="60.75" x14ac:dyDescent="0.25">
      <c r="A425" s="3" t="s">
        <v>28</v>
      </c>
      <c r="B425" s="3" t="s">
        <v>29</v>
      </c>
      <c r="C425" s="3" t="s">
        <v>30</v>
      </c>
      <c r="D425" s="3" t="s">
        <v>42</v>
      </c>
      <c r="E425" s="3" t="s">
        <v>154</v>
      </c>
      <c r="F425" s="3" t="s">
        <v>155</v>
      </c>
      <c r="G425" s="3">
        <v>2025</v>
      </c>
      <c r="H425" s="3" t="str">
        <f>CONCATENATE("54240646395")</f>
        <v>54240646395</v>
      </c>
      <c r="I425" s="3" t="s">
        <v>44</v>
      </c>
      <c r="J425" s="3" t="s">
        <v>35</v>
      </c>
      <c r="K425" s="3"/>
      <c r="L425" s="3" t="s">
        <v>36</v>
      </c>
      <c r="M425" s="3" t="str">
        <f>CONCATENATE("CCCNLN64S12G005V")</f>
        <v>CCCNLN64S12G005V</v>
      </c>
      <c r="N425" s="3" t="s">
        <v>539</v>
      </c>
      <c r="O425" s="3" t="s">
        <v>38</v>
      </c>
      <c r="P425" s="3"/>
      <c r="Q425" s="4">
        <v>45968</v>
      </c>
      <c r="R425" s="3" t="s">
        <v>39</v>
      </c>
      <c r="S425" s="3" t="s">
        <v>38</v>
      </c>
      <c r="T425" s="3" t="s">
        <v>40</v>
      </c>
      <c r="U425" s="3"/>
      <c r="V425" s="3" t="s">
        <v>41</v>
      </c>
      <c r="W425" s="3">
        <v>300.81</v>
      </c>
      <c r="X425" s="3">
        <v>225.61</v>
      </c>
      <c r="Y425" s="3">
        <v>52.64</v>
      </c>
      <c r="Z425" s="3">
        <v>22.56</v>
      </c>
      <c r="AA425" s="3">
        <v>0</v>
      </c>
    </row>
    <row r="426" spans="1:27" ht="36.75" x14ac:dyDescent="0.25">
      <c r="A426" s="3" t="s">
        <v>28</v>
      </c>
      <c r="B426" s="3" t="s">
        <v>29</v>
      </c>
      <c r="C426" s="3" t="s">
        <v>30</v>
      </c>
      <c r="D426" s="3" t="s">
        <v>31</v>
      </c>
      <c r="E426" s="3" t="s">
        <v>51</v>
      </c>
      <c r="F426" s="3" t="s">
        <v>69</v>
      </c>
      <c r="G426" s="3">
        <v>2025</v>
      </c>
      <c r="H426" s="3" t="str">
        <f>CONCATENATE("54240544558")</f>
        <v>54240544558</v>
      </c>
      <c r="I426" s="3" t="s">
        <v>34</v>
      </c>
      <c r="J426" s="3" t="s">
        <v>35</v>
      </c>
      <c r="K426" s="3"/>
      <c r="L426" s="3" t="s">
        <v>36</v>
      </c>
      <c r="M426" s="3" t="str">
        <f>CONCATENATE("02764580425")</f>
        <v>02764580425</v>
      </c>
      <c r="N426" s="3" t="s">
        <v>540</v>
      </c>
      <c r="O426" s="3" t="s">
        <v>38</v>
      </c>
      <c r="P426" s="3"/>
      <c r="Q426" s="4">
        <v>45968</v>
      </c>
      <c r="R426" s="3" t="s">
        <v>39</v>
      </c>
      <c r="S426" s="3" t="s">
        <v>38</v>
      </c>
      <c r="T426" s="3" t="s">
        <v>40</v>
      </c>
      <c r="U426" s="3"/>
      <c r="V426" s="3" t="s">
        <v>41</v>
      </c>
      <c r="W426" s="5">
        <v>3536.41</v>
      </c>
      <c r="X426" s="5">
        <v>2652.31</v>
      </c>
      <c r="Y426" s="3">
        <v>618.87</v>
      </c>
      <c r="Z426" s="3">
        <v>265.23</v>
      </c>
      <c r="AA426" s="3">
        <v>0</v>
      </c>
    </row>
    <row r="427" spans="1:27" ht="60.75" x14ac:dyDescent="0.25">
      <c r="A427" s="3" t="s">
        <v>28</v>
      </c>
      <c r="B427" s="3" t="s">
        <v>29</v>
      </c>
      <c r="C427" s="3" t="s">
        <v>30</v>
      </c>
      <c r="D427" s="3" t="s">
        <v>65</v>
      </c>
      <c r="E427" s="3" t="s">
        <v>48</v>
      </c>
      <c r="F427" s="3" t="s">
        <v>76</v>
      </c>
      <c r="G427" s="3">
        <v>2025</v>
      </c>
      <c r="H427" s="3" t="str">
        <f>CONCATENATE("54240559374")</f>
        <v>54240559374</v>
      </c>
      <c r="I427" s="3" t="s">
        <v>44</v>
      </c>
      <c r="J427" s="3" t="s">
        <v>35</v>
      </c>
      <c r="K427" s="3"/>
      <c r="L427" s="3" t="s">
        <v>36</v>
      </c>
      <c r="M427" s="3" t="str">
        <f>CONCATENATE("RCLLNZ74L07L500H")</f>
        <v>RCLLNZ74L07L500H</v>
      </c>
      <c r="N427" s="3" t="s">
        <v>541</v>
      </c>
      <c r="O427" s="3" t="s">
        <v>38</v>
      </c>
      <c r="P427" s="3"/>
      <c r="Q427" s="4">
        <v>45968</v>
      </c>
      <c r="R427" s="3" t="s">
        <v>39</v>
      </c>
      <c r="S427" s="3" t="s">
        <v>38</v>
      </c>
      <c r="T427" s="3" t="s">
        <v>40</v>
      </c>
      <c r="U427" s="3"/>
      <c r="V427" s="3" t="s">
        <v>41</v>
      </c>
      <c r="W427" s="5">
        <v>6285.61</v>
      </c>
      <c r="X427" s="5">
        <v>4714.21</v>
      </c>
      <c r="Y427" s="5">
        <v>1099.98</v>
      </c>
      <c r="Z427" s="3">
        <v>471.42</v>
      </c>
      <c r="AA427" s="3">
        <v>0</v>
      </c>
    </row>
    <row r="428" spans="1:27" ht="36.75" x14ac:dyDescent="0.25">
      <c r="A428" s="3" t="s">
        <v>28</v>
      </c>
      <c r="B428" s="3" t="s">
        <v>29</v>
      </c>
      <c r="C428" s="3" t="s">
        <v>30</v>
      </c>
      <c r="D428" s="3" t="s">
        <v>47</v>
      </c>
      <c r="E428" s="3" t="s">
        <v>51</v>
      </c>
      <c r="F428" s="3" t="s">
        <v>282</v>
      </c>
      <c r="G428" s="3">
        <v>2025</v>
      </c>
      <c r="H428" s="3" t="str">
        <f>CONCATENATE("54240545860")</f>
        <v>54240545860</v>
      </c>
      <c r="I428" s="3" t="s">
        <v>34</v>
      </c>
      <c r="J428" s="3" t="s">
        <v>35</v>
      </c>
      <c r="K428" s="3"/>
      <c r="L428" s="3" t="s">
        <v>36</v>
      </c>
      <c r="M428" s="3" t="str">
        <f>CONCATENATE("01833260431")</f>
        <v>01833260431</v>
      </c>
      <c r="N428" s="3" t="s">
        <v>542</v>
      </c>
      <c r="O428" s="3" t="s">
        <v>38</v>
      </c>
      <c r="P428" s="3"/>
      <c r="Q428" s="4">
        <v>45968</v>
      </c>
      <c r="R428" s="3" t="s">
        <v>39</v>
      </c>
      <c r="S428" s="3" t="s">
        <v>38</v>
      </c>
      <c r="T428" s="3" t="s">
        <v>40</v>
      </c>
      <c r="U428" s="3"/>
      <c r="V428" s="3" t="s">
        <v>41</v>
      </c>
      <c r="W428" s="5">
        <v>1098.1600000000001</v>
      </c>
      <c r="X428" s="3">
        <v>823.62</v>
      </c>
      <c r="Y428" s="3">
        <v>192.18</v>
      </c>
      <c r="Z428" s="3">
        <v>82.36</v>
      </c>
      <c r="AA428" s="3">
        <v>0</v>
      </c>
    </row>
    <row r="429" spans="1:27" ht="36.75" x14ac:dyDescent="0.25">
      <c r="A429" s="3" t="s">
        <v>28</v>
      </c>
      <c r="B429" s="3" t="s">
        <v>29</v>
      </c>
      <c r="C429" s="3" t="s">
        <v>30</v>
      </c>
      <c r="D429" s="3" t="s">
        <v>42</v>
      </c>
      <c r="E429" s="3" t="s">
        <v>51</v>
      </c>
      <c r="F429" s="3" t="s">
        <v>115</v>
      </c>
      <c r="G429" s="3">
        <v>2025</v>
      </c>
      <c r="H429" s="3" t="str">
        <f>CONCATENATE("54240569357")</f>
        <v>54240569357</v>
      </c>
      <c r="I429" s="3" t="s">
        <v>34</v>
      </c>
      <c r="J429" s="3" t="s">
        <v>35</v>
      </c>
      <c r="K429" s="3"/>
      <c r="L429" s="3" t="s">
        <v>36</v>
      </c>
      <c r="M429" s="3" t="str">
        <f>CONCATENATE("01979770441")</f>
        <v>01979770441</v>
      </c>
      <c r="N429" s="3" t="s">
        <v>543</v>
      </c>
      <c r="O429" s="3" t="s">
        <v>38</v>
      </c>
      <c r="P429" s="3"/>
      <c r="Q429" s="4">
        <v>45968</v>
      </c>
      <c r="R429" s="3" t="s">
        <v>39</v>
      </c>
      <c r="S429" s="3" t="s">
        <v>38</v>
      </c>
      <c r="T429" s="3" t="s">
        <v>40</v>
      </c>
      <c r="U429" s="3"/>
      <c r="V429" s="3" t="s">
        <v>41</v>
      </c>
      <c r="W429" s="5">
        <v>12318.73</v>
      </c>
      <c r="X429" s="5">
        <v>9239.0499999999993</v>
      </c>
      <c r="Y429" s="5">
        <v>2155.7800000000002</v>
      </c>
      <c r="Z429" s="3">
        <v>923.9</v>
      </c>
      <c r="AA429" s="3">
        <v>0</v>
      </c>
    </row>
    <row r="430" spans="1:27" ht="72.75" x14ac:dyDescent="0.25">
      <c r="A430" s="3" t="s">
        <v>28</v>
      </c>
      <c r="B430" s="3" t="s">
        <v>29</v>
      </c>
      <c r="C430" s="3" t="s">
        <v>30</v>
      </c>
      <c r="D430" s="3" t="s">
        <v>42</v>
      </c>
      <c r="E430" s="3" t="s">
        <v>51</v>
      </c>
      <c r="F430" s="3" t="s">
        <v>52</v>
      </c>
      <c r="G430" s="3">
        <v>2025</v>
      </c>
      <c r="H430" s="3" t="str">
        <f>CONCATENATE("54240546587")</f>
        <v>54240546587</v>
      </c>
      <c r="I430" s="3" t="s">
        <v>34</v>
      </c>
      <c r="J430" s="3" t="s">
        <v>35</v>
      </c>
      <c r="K430" s="3"/>
      <c r="L430" s="3" t="s">
        <v>36</v>
      </c>
      <c r="M430" s="3" t="str">
        <f>CONCATENATE("GMNMRN73E12H769K")</f>
        <v>GMNMRN73E12H769K</v>
      </c>
      <c r="N430" s="3" t="s">
        <v>544</v>
      </c>
      <c r="O430" s="3" t="s">
        <v>38</v>
      </c>
      <c r="P430" s="3"/>
      <c r="Q430" s="4">
        <v>45968</v>
      </c>
      <c r="R430" s="3" t="s">
        <v>39</v>
      </c>
      <c r="S430" s="3" t="s">
        <v>38</v>
      </c>
      <c r="T430" s="3" t="s">
        <v>40</v>
      </c>
      <c r="U430" s="3"/>
      <c r="V430" s="3" t="s">
        <v>41</v>
      </c>
      <c r="W430" s="5">
        <v>7043.12</v>
      </c>
      <c r="X430" s="5">
        <v>5282.34</v>
      </c>
      <c r="Y430" s="5">
        <v>1232.55</v>
      </c>
      <c r="Z430" s="3">
        <v>528.23</v>
      </c>
      <c r="AA430" s="3">
        <v>0</v>
      </c>
    </row>
    <row r="431" spans="1:27" ht="60.75" x14ac:dyDescent="0.25">
      <c r="A431" s="3" t="s">
        <v>28</v>
      </c>
      <c r="B431" s="3" t="s">
        <v>29</v>
      </c>
      <c r="C431" s="3" t="s">
        <v>30</v>
      </c>
      <c r="D431" s="3" t="s">
        <v>47</v>
      </c>
      <c r="E431" s="3" t="s">
        <v>32</v>
      </c>
      <c r="F431" s="3" t="s">
        <v>545</v>
      </c>
      <c r="G431" s="3">
        <v>2025</v>
      </c>
      <c r="H431" s="3" t="str">
        <f>CONCATENATE("54240546967")</f>
        <v>54240546967</v>
      </c>
      <c r="I431" s="3" t="s">
        <v>34</v>
      </c>
      <c r="J431" s="3" t="s">
        <v>35</v>
      </c>
      <c r="K431" s="3"/>
      <c r="L431" s="3" t="s">
        <v>36</v>
      </c>
      <c r="M431" s="3" t="str">
        <f>CONCATENATE("SGRCLD62R14F482T")</f>
        <v>SGRCLD62R14F482T</v>
      </c>
      <c r="N431" s="3" t="s">
        <v>546</v>
      </c>
      <c r="O431" s="3" t="s">
        <v>38</v>
      </c>
      <c r="P431" s="3"/>
      <c r="Q431" s="4">
        <v>45968</v>
      </c>
      <c r="R431" s="3" t="s">
        <v>39</v>
      </c>
      <c r="S431" s="3" t="s">
        <v>38</v>
      </c>
      <c r="T431" s="3" t="s">
        <v>40</v>
      </c>
      <c r="U431" s="3"/>
      <c r="V431" s="3" t="s">
        <v>41</v>
      </c>
      <c r="W431" s="5">
        <v>3256.07</v>
      </c>
      <c r="X431" s="5">
        <v>2442.0500000000002</v>
      </c>
      <c r="Y431" s="3">
        <v>569.80999999999995</v>
      </c>
      <c r="Z431" s="3">
        <v>244.21</v>
      </c>
      <c r="AA431" s="3">
        <v>0</v>
      </c>
    </row>
    <row r="432" spans="1:27" ht="36.75" x14ac:dyDescent="0.25">
      <c r="A432" s="3" t="s">
        <v>28</v>
      </c>
      <c r="B432" s="3" t="s">
        <v>29</v>
      </c>
      <c r="C432" s="3" t="s">
        <v>30</v>
      </c>
      <c r="D432" s="3" t="s">
        <v>31</v>
      </c>
      <c r="E432" s="3" t="s">
        <v>132</v>
      </c>
      <c r="F432" s="3" t="s">
        <v>547</v>
      </c>
      <c r="G432" s="3">
        <v>2025</v>
      </c>
      <c r="H432" s="3" t="str">
        <f>CONCATENATE("54240547486")</f>
        <v>54240547486</v>
      </c>
      <c r="I432" s="3" t="s">
        <v>34</v>
      </c>
      <c r="J432" s="3" t="s">
        <v>35</v>
      </c>
      <c r="K432" s="3"/>
      <c r="L432" s="3" t="s">
        <v>36</v>
      </c>
      <c r="M432" s="3" t="str">
        <f>CONCATENATE("02970100422")</f>
        <v>02970100422</v>
      </c>
      <c r="N432" s="3" t="s">
        <v>548</v>
      </c>
      <c r="O432" s="3" t="s">
        <v>38</v>
      </c>
      <c r="P432" s="3"/>
      <c r="Q432" s="4">
        <v>45968</v>
      </c>
      <c r="R432" s="3" t="s">
        <v>39</v>
      </c>
      <c r="S432" s="3" t="s">
        <v>38</v>
      </c>
      <c r="T432" s="3" t="s">
        <v>40</v>
      </c>
      <c r="U432" s="3"/>
      <c r="V432" s="3" t="s">
        <v>41</v>
      </c>
      <c r="W432" s="5">
        <v>1725.15</v>
      </c>
      <c r="X432" s="5">
        <v>1293.8599999999999</v>
      </c>
      <c r="Y432" s="3">
        <v>301.89999999999998</v>
      </c>
      <c r="Z432" s="3">
        <v>129.38999999999999</v>
      </c>
      <c r="AA432" s="3">
        <v>0</v>
      </c>
    </row>
    <row r="433" spans="1:27" ht="60.75" x14ac:dyDescent="0.25">
      <c r="A433" s="3" t="s">
        <v>28</v>
      </c>
      <c r="B433" s="3" t="s">
        <v>29</v>
      </c>
      <c r="C433" s="3" t="s">
        <v>30</v>
      </c>
      <c r="D433" s="3" t="s">
        <v>42</v>
      </c>
      <c r="E433" s="3" t="s">
        <v>43</v>
      </c>
      <c r="F433" s="3" t="s">
        <v>43</v>
      </c>
      <c r="G433" s="3">
        <v>2025</v>
      </c>
      <c r="H433" s="3" t="str">
        <f>CONCATENATE("54240664380")</f>
        <v>54240664380</v>
      </c>
      <c r="I433" s="3" t="s">
        <v>34</v>
      </c>
      <c r="J433" s="3" t="s">
        <v>35</v>
      </c>
      <c r="K433" s="3"/>
      <c r="L433" s="3" t="s">
        <v>36</v>
      </c>
      <c r="M433" s="3" t="str">
        <f>CONCATENATE("MRGNNL65B61A334J")</f>
        <v>MRGNNL65B61A334J</v>
      </c>
      <c r="N433" s="3" t="s">
        <v>549</v>
      </c>
      <c r="O433" s="3" t="s">
        <v>38</v>
      </c>
      <c r="P433" s="3"/>
      <c r="Q433" s="4">
        <v>45968</v>
      </c>
      <c r="R433" s="3" t="s">
        <v>39</v>
      </c>
      <c r="S433" s="3" t="s">
        <v>38</v>
      </c>
      <c r="T433" s="3" t="s">
        <v>40</v>
      </c>
      <c r="U433" s="3"/>
      <c r="V433" s="3" t="s">
        <v>41</v>
      </c>
      <c r="W433" s="5">
        <v>2453.6999999999998</v>
      </c>
      <c r="X433" s="5">
        <v>1840.28</v>
      </c>
      <c r="Y433" s="3">
        <v>429.4</v>
      </c>
      <c r="Z433" s="3">
        <v>184.02</v>
      </c>
      <c r="AA433" s="3">
        <v>0</v>
      </c>
    </row>
    <row r="434" spans="1:27" ht="60.75" x14ac:dyDescent="0.25">
      <c r="A434" s="3" t="s">
        <v>28</v>
      </c>
      <c r="B434" s="3" t="s">
        <v>29</v>
      </c>
      <c r="C434" s="3" t="s">
        <v>30</v>
      </c>
      <c r="D434" s="3" t="s">
        <v>47</v>
      </c>
      <c r="E434" s="3" t="s">
        <v>60</v>
      </c>
      <c r="F434" s="3" t="s">
        <v>81</v>
      </c>
      <c r="G434" s="3">
        <v>2025</v>
      </c>
      <c r="H434" s="3" t="str">
        <f>CONCATENATE("54240549342")</f>
        <v>54240549342</v>
      </c>
      <c r="I434" s="3" t="s">
        <v>34</v>
      </c>
      <c r="J434" s="3" t="s">
        <v>35</v>
      </c>
      <c r="K434" s="3"/>
      <c r="L434" s="3" t="s">
        <v>36</v>
      </c>
      <c r="M434" s="3" t="str">
        <f>CONCATENATE("BCCMRC72D13L407W")</f>
        <v>BCCMRC72D13L407W</v>
      </c>
      <c r="N434" s="3" t="s">
        <v>550</v>
      </c>
      <c r="O434" s="3" t="s">
        <v>38</v>
      </c>
      <c r="P434" s="3"/>
      <c r="Q434" s="4">
        <v>45968</v>
      </c>
      <c r="R434" s="3" t="s">
        <v>39</v>
      </c>
      <c r="S434" s="3" t="s">
        <v>38</v>
      </c>
      <c r="T434" s="3" t="s">
        <v>40</v>
      </c>
      <c r="U434" s="3"/>
      <c r="V434" s="3" t="s">
        <v>41</v>
      </c>
      <c r="W434" s="5">
        <v>4053.99</v>
      </c>
      <c r="X434" s="5">
        <v>3040.49</v>
      </c>
      <c r="Y434" s="3">
        <v>709.45</v>
      </c>
      <c r="Z434" s="3">
        <v>304.05</v>
      </c>
      <c r="AA434" s="3">
        <v>0</v>
      </c>
    </row>
    <row r="435" spans="1:27" ht="36.75" x14ac:dyDescent="0.25">
      <c r="A435" s="3" t="s">
        <v>28</v>
      </c>
      <c r="B435" s="3" t="s">
        <v>29</v>
      </c>
      <c r="C435" s="3" t="s">
        <v>30</v>
      </c>
      <c r="D435" s="3" t="s">
        <v>31</v>
      </c>
      <c r="E435" s="3" t="s">
        <v>43</v>
      </c>
      <c r="F435" s="3" t="s">
        <v>43</v>
      </c>
      <c r="G435" s="3">
        <v>2025</v>
      </c>
      <c r="H435" s="3" t="str">
        <f>CONCATENATE("54240551710")</f>
        <v>54240551710</v>
      </c>
      <c r="I435" s="3" t="s">
        <v>34</v>
      </c>
      <c r="J435" s="3" t="s">
        <v>35</v>
      </c>
      <c r="K435" s="3"/>
      <c r="L435" s="3" t="s">
        <v>36</v>
      </c>
      <c r="M435" s="3" t="str">
        <f>CONCATENATE("01419970429")</f>
        <v>01419970429</v>
      </c>
      <c r="N435" s="3" t="s">
        <v>551</v>
      </c>
      <c r="O435" s="3" t="s">
        <v>38</v>
      </c>
      <c r="P435" s="3"/>
      <c r="Q435" s="4">
        <v>45968</v>
      </c>
      <c r="R435" s="3" t="s">
        <v>39</v>
      </c>
      <c r="S435" s="3" t="s">
        <v>38</v>
      </c>
      <c r="T435" s="3" t="s">
        <v>40</v>
      </c>
      <c r="U435" s="3"/>
      <c r="V435" s="3" t="s">
        <v>41</v>
      </c>
      <c r="W435" s="5">
        <v>42113.73</v>
      </c>
      <c r="X435" s="5">
        <v>31585.3</v>
      </c>
      <c r="Y435" s="5">
        <v>7369.9</v>
      </c>
      <c r="Z435" s="5">
        <v>3158.53</v>
      </c>
      <c r="AA435" s="3">
        <v>0</v>
      </c>
    </row>
    <row r="436" spans="1:27" ht="60.75" x14ac:dyDescent="0.25">
      <c r="A436" s="3" t="s">
        <v>28</v>
      </c>
      <c r="B436" s="3" t="s">
        <v>29</v>
      </c>
      <c r="C436" s="3" t="s">
        <v>30</v>
      </c>
      <c r="D436" s="3" t="s">
        <v>65</v>
      </c>
      <c r="E436" s="3" t="s">
        <v>32</v>
      </c>
      <c r="F436" s="3" t="s">
        <v>276</v>
      </c>
      <c r="G436" s="3">
        <v>2025</v>
      </c>
      <c r="H436" s="3" t="str">
        <f>CONCATENATE("54240550068")</f>
        <v>54240550068</v>
      </c>
      <c r="I436" s="3" t="s">
        <v>34</v>
      </c>
      <c r="J436" s="3" t="s">
        <v>35</v>
      </c>
      <c r="K436" s="3"/>
      <c r="L436" s="3" t="s">
        <v>36</v>
      </c>
      <c r="M436" s="3" t="str">
        <f>CONCATENATE("PZZNCL98E07L500E")</f>
        <v>PZZNCL98E07L500E</v>
      </c>
      <c r="N436" s="3" t="s">
        <v>552</v>
      </c>
      <c r="O436" s="3" t="s">
        <v>38</v>
      </c>
      <c r="P436" s="3"/>
      <c r="Q436" s="4">
        <v>45968</v>
      </c>
      <c r="R436" s="3" t="s">
        <v>39</v>
      </c>
      <c r="S436" s="3" t="s">
        <v>38</v>
      </c>
      <c r="T436" s="3" t="s">
        <v>40</v>
      </c>
      <c r="U436" s="3"/>
      <c r="V436" s="3" t="s">
        <v>41</v>
      </c>
      <c r="W436" s="5">
        <v>4693.04</v>
      </c>
      <c r="X436" s="5">
        <v>3519.78</v>
      </c>
      <c r="Y436" s="3">
        <v>821.28</v>
      </c>
      <c r="Z436" s="3">
        <v>351.98</v>
      </c>
      <c r="AA436" s="3">
        <v>0</v>
      </c>
    </row>
    <row r="437" spans="1:27" ht="60.75" x14ac:dyDescent="0.25">
      <c r="A437" s="3" t="s">
        <v>28</v>
      </c>
      <c r="B437" s="3" t="s">
        <v>29</v>
      </c>
      <c r="C437" s="3" t="s">
        <v>30</v>
      </c>
      <c r="D437" s="3" t="s">
        <v>31</v>
      </c>
      <c r="E437" s="3" t="s">
        <v>32</v>
      </c>
      <c r="F437" s="3" t="s">
        <v>33</v>
      </c>
      <c r="G437" s="3">
        <v>2025</v>
      </c>
      <c r="H437" s="3" t="str">
        <f>CONCATENATE("54240550308")</f>
        <v>54240550308</v>
      </c>
      <c r="I437" s="3" t="s">
        <v>34</v>
      </c>
      <c r="J437" s="3" t="s">
        <v>35</v>
      </c>
      <c r="K437" s="3"/>
      <c r="L437" s="3" t="s">
        <v>36</v>
      </c>
      <c r="M437" s="3" t="str">
        <f>CONCATENATE("BNTBRN64L28I461M")</f>
        <v>BNTBRN64L28I461M</v>
      </c>
      <c r="N437" s="3" t="s">
        <v>553</v>
      </c>
      <c r="O437" s="3" t="s">
        <v>38</v>
      </c>
      <c r="P437" s="3"/>
      <c r="Q437" s="4">
        <v>45968</v>
      </c>
      <c r="R437" s="3" t="s">
        <v>39</v>
      </c>
      <c r="S437" s="3" t="s">
        <v>38</v>
      </c>
      <c r="T437" s="3" t="s">
        <v>40</v>
      </c>
      <c r="U437" s="3"/>
      <c r="V437" s="3" t="s">
        <v>41</v>
      </c>
      <c r="W437" s="5">
        <v>1199.17</v>
      </c>
      <c r="X437" s="3">
        <v>899.38</v>
      </c>
      <c r="Y437" s="3">
        <v>209.85</v>
      </c>
      <c r="Z437" s="3">
        <v>89.94</v>
      </c>
      <c r="AA437" s="3">
        <v>0</v>
      </c>
    </row>
    <row r="438" spans="1:27" ht="60.75" x14ac:dyDescent="0.25">
      <c r="A438" s="3" t="s">
        <v>28</v>
      </c>
      <c r="B438" s="3" t="s">
        <v>29</v>
      </c>
      <c r="C438" s="3" t="s">
        <v>30</v>
      </c>
      <c r="D438" s="3" t="s">
        <v>31</v>
      </c>
      <c r="E438" s="3" t="s">
        <v>32</v>
      </c>
      <c r="F438" s="3" t="s">
        <v>33</v>
      </c>
      <c r="G438" s="3">
        <v>2025</v>
      </c>
      <c r="H438" s="3" t="str">
        <f>CONCATENATE("54240550076")</f>
        <v>54240550076</v>
      </c>
      <c r="I438" s="3" t="s">
        <v>34</v>
      </c>
      <c r="J438" s="3" t="s">
        <v>35</v>
      </c>
      <c r="K438" s="3"/>
      <c r="L438" s="3" t="s">
        <v>36</v>
      </c>
      <c r="M438" s="3" t="str">
        <f>CONCATENATE("BLDDTL62P56A366K")</f>
        <v>BLDDTL62P56A366K</v>
      </c>
      <c r="N438" s="3" t="s">
        <v>554</v>
      </c>
      <c r="O438" s="3" t="s">
        <v>38</v>
      </c>
      <c r="P438" s="3"/>
      <c r="Q438" s="4">
        <v>45968</v>
      </c>
      <c r="R438" s="3" t="s">
        <v>39</v>
      </c>
      <c r="S438" s="3" t="s">
        <v>38</v>
      </c>
      <c r="T438" s="3" t="s">
        <v>40</v>
      </c>
      <c r="U438" s="3"/>
      <c r="V438" s="3" t="s">
        <v>41</v>
      </c>
      <c r="W438" s="3">
        <v>565.92999999999995</v>
      </c>
      <c r="X438" s="3">
        <v>424.45</v>
      </c>
      <c r="Y438" s="3">
        <v>99.04</v>
      </c>
      <c r="Z438" s="3">
        <v>42.44</v>
      </c>
      <c r="AA438" s="3">
        <v>0</v>
      </c>
    </row>
    <row r="439" spans="1:27" ht="36.75" x14ac:dyDescent="0.25">
      <c r="A439" s="3" t="s">
        <v>28</v>
      </c>
      <c r="B439" s="3" t="s">
        <v>29</v>
      </c>
      <c r="C439" s="3" t="s">
        <v>30</v>
      </c>
      <c r="D439" s="3" t="s">
        <v>42</v>
      </c>
      <c r="E439" s="3" t="s">
        <v>48</v>
      </c>
      <c r="F439" s="3" t="s">
        <v>249</v>
      </c>
      <c r="G439" s="3">
        <v>2025</v>
      </c>
      <c r="H439" s="3" t="str">
        <f>CONCATENATE("54240551736")</f>
        <v>54240551736</v>
      </c>
      <c r="I439" s="3" t="s">
        <v>34</v>
      </c>
      <c r="J439" s="3" t="s">
        <v>35</v>
      </c>
      <c r="K439" s="3"/>
      <c r="L439" s="3" t="s">
        <v>36</v>
      </c>
      <c r="M439" s="3" t="str">
        <f>CONCATENATE("02417930449")</f>
        <v>02417930449</v>
      </c>
      <c r="N439" s="3" t="s">
        <v>555</v>
      </c>
      <c r="O439" s="3" t="s">
        <v>38</v>
      </c>
      <c r="P439" s="3"/>
      <c r="Q439" s="4">
        <v>45968</v>
      </c>
      <c r="R439" s="3" t="s">
        <v>39</v>
      </c>
      <c r="S439" s="3" t="s">
        <v>38</v>
      </c>
      <c r="T439" s="3" t="s">
        <v>40</v>
      </c>
      <c r="U439" s="3"/>
      <c r="V439" s="3" t="s">
        <v>41</v>
      </c>
      <c r="W439" s="5">
        <v>64229.32</v>
      </c>
      <c r="X439" s="5">
        <v>48171.99</v>
      </c>
      <c r="Y439" s="5">
        <v>11240.13</v>
      </c>
      <c r="Z439" s="5">
        <v>4817.2</v>
      </c>
      <c r="AA439" s="3">
        <v>0</v>
      </c>
    </row>
    <row r="440" spans="1:27" ht="36.75" x14ac:dyDescent="0.25">
      <c r="A440" s="3" t="s">
        <v>28</v>
      </c>
      <c r="B440" s="3" t="s">
        <v>29</v>
      </c>
      <c r="C440" s="3" t="s">
        <v>30</v>
      </c>
      <c r="D440" s="3" t="s">
        <v>47</v>
      </c>
      <c r="E440" s="3" t="s">
        <v>48</v>
      </c>
      <c r="F440" s="3" t="s">
        <v>90</v>
      </c>
      <c r="G440" s="3">
        <v>2025</v>
      </c>
      <c r="H440" s="3" t="str">
        <f>CONCATENATE("54240551769")</f>
        <v>54240551769</v>
      </c>
      <c r="I440" s="3" t="s">
        <v>34</v>
      </c>
      <c r="J440" s="3" t="s">
        <v>35</v>
      </c>
      <c r="K440" s="3"/>
      <c r="L440" s="3" t="s">
        <v>36</v>
      </c>
      <c r="M440" s="3" t="str">
        <f>CONCATENATE("01474580436")</f>
        <v>01474580436</v>
      </c>
      <c r="N440" s="3" t="s">
        <v>556</v>
      </c>
      <c r="O440" s="3" t="s">
        <v>38</v>
      </c>
      <c r="P440" s="3"/>
      <c r="Q440" s="4">
        <v>45968</v>
      </c>
      <c r="R440" s="3" t="s">
        <v>39</v>
      </c>
      <c r="S440" s="3" t="s">
        <v>38</v>
      </c>
      <c r="T440" s="3" t="s">
        <v>40</v>
      </c>
      <c r="U440" s="3"/>
      <c r="V440" s="3" t="s">
        <v>41</v>
      </c>
      <c r="W440" s="5">
        <v>6270.53</v>
      </c>
      <c r="X440" s="5">
        <v>4702.8999999999996</v>
      </c>
      <c r="Y440" s="5">
        <v>1097.3399999999999</v>
      </c>
      <c r="Z440" s="3">
        <v>470.29</v>
      </c>
      <c r="AA440" s="3">
        <v>0</v>
      </c>
    </row>
    <row r="441" spans="1:27" ht="60.75" x14ac:dyDescent="0.25">
      <c r="A441" s="3" t="s">
        <v>28</v>
      </c>
      <c r="B441" s="3" t="s">
        <v>29</v>
      </c>
      <c r="C441" s="3" t="s">
        <v>30</v>
      </c>
      <c r="D441" s="3" t="s">
        <v>42</v>
      </c>
      <c r="E441" s="3" t="s">
        <v>32</v>
      </c>
      <c r="F441" s="3" t="s">
        <v>110</v>
      </c>
      <c r="G441" s="3">
        <v>2025</v>
      </c>
      <c r="H441" s="3" t="str">
        <f>CONCATENATE("54240555828")</f>
        <v>54240555828</v>
      </c>
      <c r="I441" s="3" t="s">
        <v>34</v>
      </c>
      <c r="J441" s="3" t="s">
        <v>35</v>
      </c>
      <c r="K441" s="3"/>
      <c r="L441" s="3" t="s">
        <v>36</v>
      </c>
      <c r="M441" s="3" t="str">
        <f>CONCATENATE("SSSMRC61M23A462X")</f>
        <v>SSSMRC61M23A462X</v>
      </c>
      <c r="N441" s="3" t="s">
        <v>557</v>
      </c>
      <c r="O441" s="3" t="s">
        <v>38</v>
      </c>
      <c r="P441" s="3"/>
      <c r="Q441" s="4">
        <v>45968</v>
      </c>
      <c r="R441" s="3" t="s">
        <v>39</v>
      </c>
      <c r="S441" s="3" t="s">
        <v>38</v>
      </c>
      <c r="T441" s="3" t="s">
        <v>40</v>
      </c>
      <c r="U441" s="3"/>
      <c r="V441" s="3" t="s">
        <v>41</v>
      </c>
      <c r="W441" s="3">
        <v>406.74</v>
      </c>
      <c r="X441" s="3">
        <v>305.06</v>
      </c>
      <c r="Y441" s="3">
        <v>71.180000000000007</v>
      </c>
      <c r="Z441" s="3">
        <v>30.5</v>
      </c>
      <c r="AA441" s="3">
        <v>0</v>
      </c>
    </row>
    <row r="442" spans="1:27" ht="60.75" x14ac:dyDescent="0.25">
      <c r="A442" s="3" t="s">
        <v>28</v>
      </c>
      <c r="B442" s="3" t="s">
        <v>29</v>
      </c>
      <c r="C442" s="3" t="s">
        <v>30</v>
      </c>
      <c r="D442" s="3" t="s">
        <v>31</v>
      </c>
      <c r="E442" s="3" t="s">
        <v>51</v>
      </c>
      <c r="F442" s="3" t="s">
        <v>99</v>
      </c>
      <c r="G442" s="3">
        <v>2025</v>
      </c>
      <c r="H442" s="3" t="str">
        <f>CONCATENATE("54240556446")</f>
        <v>54240556446</v>
      </c>
      <c r="I442" s="3" t="s">
        <v>34</v>
      </c>
      <c r="J442" s="3" t="s">
        <v>35</v>
      </c>
      <c r="K442" s="3"/>
      <c r="L442" s="3" t="s">
        <v>36</v>
      </c>
      <c r="M442" s="3" t="str">
        <f>CONCATENATE("PGNMRC98C09A271O")</f>
        <v>PGNMRC98C09A271O</v>
      </c>
      <c r="N442" s="3" t="s">
        <v>558</v>
      </c>
      <c r="O442" s="3" t="s">
        <v>38</v>
      </c>
      <c r="P442" s="3"/>
      <c r="Q442" s="4">
        <v>45968</v>
      </c>
      <c r="R442" s="3" t="s">
        <v>39</v>
      </c>
      <c r="S442" s="3" t="s">
        <v>38</v>
      </c>
      <c r="T442" s="3" t="s">
        <v>40</v>
      </c>
      <c r="U442" s="3"/>
      <c r="V442" s="3" t="s">
        <v>41</v>
      </c>
      <c r="W442" s="5">
        <v>2297.35</v>
      </c>
      <c r="X442" s="5">
        <v>1723.01</v>
      </c>
      <c r="Y442" s="3">
        <v>402.04</v>
      </c>
      <c r="Z442" s="3">
        <v>172.3</v>
      </c>
      <c r="AA442" s="3">
        <v>0</v>
      </c>
    </row>
    <row r="443" spans="1:27" ht="60.75" x14ac:dyDescent="0.25">
      <c r="A443" s="3" t="s">
        <v>28</v>
      </c>
      <c r="B443" s="3" t="s">
        <v>29</v>
      </c>
      <c r="C443" s="3" t="s">
        <v>30</v>
      </c>
      <c r="D443" s="3" t="s">
        <v>42</v>
      </c>
      <c r="E443" s="3" t="s">
        <v>132</v>
      </c>
      <c r="F443" s="3" t="s">
        <v>263</v>
      </c>
      <c r="G443" s="3">
        <v>2025</v>
      </c>
      <c r="H443" s="3" t="str">
        <f>CONCATENATE("54240559259")</f>
        <v>54240559259</v>
      </c>
      <c r="I443" s="3" t="s">
        <v>34</v>
      </c>
      <c r="J443" s="3" t="s">
        <v>35</v>
      </c>
      <c r="K443" s="3"/>
      <c r="L443" s="3" t="s">
        <v>36</v>
      </c>
      <c r="M443" s="3" t="str">
        <f>CONCATENATE("CTRGCH73H06D542X")</f>
        <v>CTRGCH73H06D542X</v>
      </c>
      <c r="N443" s="3" t="s">
        <v>559</v>
      </c>
      <c r="O443" s="3" t="s">
        <v>38</v>
      </c>
      <c r="P443" s="3"/>
      <c r="Q443" s="4">
        <v>45968</v>
      </c>
      <c r="R443" s="3" t="s">
        <v>39</v>
      </c>
      <c r="S443" s="3" t="s">
        <v>38</v>
      </c>
      <c r="T443" s="3" t="s">
        <v>40</v>
      </c>
      <c r="U443" s="3"/>
      <c r="V443" s="3" t="s">
        <v>41</v>
      </c>
      <c r="W443" s="5">
        <v>1333.13</v>
      </c>
      <c r="X443" s="3">
        <v>999.85</v>
      </c>
      <c r="Y443" s="3">
        <v>233.3</v>
      </c>
      <c r="Z443" s="3">
        <v>99.98</v>
      </c>
      <c r="AA443" s="3">
        <v>0</v>
      </c>
    </row>
    <row r="444" spans="1:27" ht="60.75" x14ac:dyDescent="0.25">
      <c r="A444" s="3" t="s">
        <v>28</v>
      </c>
      <c r="B444" s="3" t="s">
        <v>29</v>
      </c>
      <c r="C444" s="3" t="s">
        <v>30</v>
      </c>
      <c r="D444" s="3" t="s">
        <v>31</v>
      </c>
      <c r="E444" s="3" t="s">
        <v>32</v>
      </c>
      <c r="F444" s="3" t="s">
        <v>33</v>
      </c>
      <c r="G444" s="3">
        <v>2025</v>
      </c>
      <c r="H444" s="3" t="str">
        <f>CONCATENATE("54240559523")</f>
        <v>54240559523</v>
      </c>
      <c r="I444" s="3" t="s">
        <v>34</v>
      </c>
      <c r="J444" s="3" t="s">
        <v>35</v>
      </c>
      <c r="K444" s="3"/>
      <c r="L444" s="3" t="s">
        <v>36</v>
      </c>
      <c r="M444" s="3" t="str">
        <f>CONCATENATE("CNTCLD44E18H501Z")</f>
        <v>CNTCLD44E18H501Z</v>
      </c>
      <c r="N444" s="3" t="s">
        <v>560</v>
      </c>
      <c r="O444" s="3" t="s">
        <v>38</v>
      </c>
      <c r="P444" s="3"/>
      <c r="Q444" s="4">
        <v>45968</v>
      </c>
      <c r="R444" s="3" t="s">
        <v>39</v>
      </c>
      <c r="S444" s="3" t="s">
        <v>38</v>
      </c>
      <c r="T444" s="3" t="s">
        <v>40</v>
      </c>
      <c r="U444" s="3"/>
      <c r="V444" s="3" t="s">
        <v>41</v>
      </c>
      <c r="W444" s="5">
        <v>2754.09</v>
      </c>
      <c r="X444" s="5">
        <v>2065.5700000000002</v>
      </c>
      <c r="Y444" s="3">
        <v>481.97</v>
      </c>
      <c r="Z444" s="3">
        <v>206.55</v>
      </c>
      <c r="AA444" s="3">
        <v>0</v>
      </c>
    </row>
    <row r="445" spans="1:27" ht="60.75" x14ac:dyDescent="0.25">
      <c r="A445" s="3" t="s">
        <v>28</v>
      </c>
      <c r="B445" s="3" t="s">
        <v>29</v>
      </c>
      <c r="C445" s="3" t="s">
        <v>30</v>
      </c>
      <c r="D445" s="3" t="s">
        <v>47</v>
      </c>
      <c r="E445" s="3" t="s">
        <v>60</v>
      </c>
      <c r="F445" s="3" t="s">
        <v>81</v>
      </c>
      <c r="G445" s="3">
        <v>2025</v>
      </c>
      <c r="H445" s="3" t="str">
        <f>CONCATENATE("54240562360")</f>
        <v>54240562360</v>
      </c>
      <c r="I445" s="3" t="s">
        <v>34</v>
      </c>
      <c r="J445" s="3" t="s">
        <v>35</v>
      </c>
      <c r="K445" s="3"/>
      <c r="L445" s="3" t="s">
        <v>36</v>
      </c>
      <c r="M445" s="3" t="str">
        <f>CONCATENATE("FLSGRL87T22D451V")</f>
        <v>FLSGRL87T22D451V</v>
      </c>
      <c r="N445" s="3" t="s">
        <v>561</v>
      </c>
      <c r="O445" s="3" t="s">
        <v>38</v>
      </c>
      <c r="P445" s="3"/>
      <c r="Q445" s="4">
        <v>45968</v>
      </c>
      <c r="R445" s="3" t="s">
        <v>39</v>
      </c>
      <c r="S445" s="3" t="s">
        <v>38</v>
      </c>
      <c r="T445" s="3" t="s">
        <v>40</v>
      </c>
      <c r="U445" s="3"/>
      <c r="V445" s="3" t="s">
        <v>41</v>
      </c>
      <c r="W445" s="5">
        <v>9111.19</v>
      </c>
      <c r="X445" s="5">
        <v>6833.39</v>
      </c>
      <c r="Y445" s="5">
        <v>1594.46</v>
      </c>
      <c r="Z445" s="3">
        <v>683.34</v>
      </c>
      <c r="AA445" s="3">
        <v>0</v>
      </c>
    </row>
    <row r="446" spans="1:27" ht="72.75" x14ac:dyDescent="0.25">
      <c r="A446" s="3" t="s">
        <v>28</v>
      </c>
      <c r="B446" s="3" t="s">
        <v>29</v>
      </c>
      <c r="C446" s="3" t="s">
        <v>30</v>
      </c>
      <c r="D446" s="3" t="s">
        <v>42</v>
      </c>
      <c r="E446" s="3" t="s">
        <v>51</v>
      </c>
      <c r="F446" s="3" t="s">
        <v>375</v>
      </c>
      <c r="G446" s="3">
        <v>2025</v>
      </c>
      <c r="H446" s="3" t="str">
        <f>CONCATENATE("54240562543")</f>
        <v>54240562543</v>
      </c>
      <c r="I446" s="3" t="s">
        <v>34</v>
      </c>
      <c r="J446" s="3" t="s">
        <v>35</v>
      </c>
      <c r="K446" s="3"/>
      <c r="L446" s="3" t="s">
        <v>36</v>
      </c>
      <c r="M446" s="3" t="str">
        <f>CONCATENATE("MRLVCN70B02A462Q")</f>
        <v>MRLVCN70B02A462Q</v>
      </c>
      <c r="N446" s="3" t="s">
        <v>562</v>
      </c>
      <c r="O446" s="3" t="s">
        <v>38</v>
      </c>
      <c r="P446" s="3"/>
      <c r="Q446" s="4">
        <v>45968</v>
      </c>
      <c r="R446" s="3" t="s">
        <v>39</v>
      </c>
      <c r="S446" s="3" t="s">
        <v>38</v>
      </c>
      <c r="T446" s="3" t="s">
        <v>40</v>
      </c>
      <c r="U446" s="3"/>
      <c r="V446" s="3" t="s">
        <v>41</v>
      </c>
      <c r="W446" s="5">
        <v>1997.4</v>
      </c>
      <c r="X446" s="5">
        <v>1498.05</v>
      </c>
      <c r="Y446" s="3">
        <v>349.55</v>
      </c>
      <c r="Z446" s="3">
        <v>149.80000000000001</v>
      </c>
      <c r="AA446" s="3">
        <v>0</v>
      </c>
    </row>
    <row r="447" spans="1:27" ht="60.75" x14ac:dyDescent="0.25">
      <c r="A447" s="3" t="s">
        <v>28</v>
      </c>
      <c r="B447" s="3" t="s">
        <v>29</v>
      </c>
      <c r="C447" s="3" t="s">
        <v>30</v>
      </c>
      <c r="D447" s="3" t="s">
        <v>31</v>
      </c>
      <c r="E447" s="3" t="s">
        <v>51</v>
      </c>
      <c r="F447" s="3" t="s">
        <v>120</v>
      </c>
      <c r="G447" s="3">
        <v>2025</v>
      </c>
      <c r="H447" s="3" t="str">
        <f>CONCATENATE("54240563780")</f>
        <v>54240563780</v>
      </c>
      <c r="I447" s="3" t="s">
        <v>34</v>
      </c>
      <c r="J447" s="3" t="s">
        <v>35</v>
      </c>
      <c r="K447" s="3"/>
      <c r="L447" s="3" t="s">
        <v>36</v>
      </c>
      <c r="M447" s="3" t="str">
        <f>CONCATENATE("MNCNDR74A17I608Z")</f>
        <v>MNCNDR74A17I608Z</v>
      </c>
      <c r="N447" s="3" t="s">
        <v>563</v>
      </c>
      <c r="O447" s="3" t="s">
        <v>38</v>
      </c>
      <c r="P447" s="3"/>
      <c r="Q447" s="4">
        <v>45968</v>
      </c>
      <c r="R447" s="3" t="s">
        <v>39</v>
      </c>
      <c r="S447" s="3" t="s">
        <v>38</v>
      </c>
      <c r="T447" s="3" t="s">
        <v>40</v>
      </c>
      <c r="U447" s="3"/>
      <c r="V447" s="3" t="s">
        <v>41</v>
      </c>
      <c r="W447" s="5">
        <v>7551.03</v>
      </c>
      <c r="X447" s="5">
        <v>5663.27</v>
      </c>
      <c r="Y447" s="5">
        <v>1321.43</v>
      </c>
      <c r="Z447" s="3">
        <v>566.33000000000004</v>
      </c>
      <c r="AA447" s="3">
        <v>0</v>
      </c>
    </row>
    <row r="448" spans="1:27" ht="60.75" x14ac:dyDescent="0.25">
      <c r="A448" s="3" t="s">
        <v>28</v>
      </c>
      <c r="B448" s="3" t="s">
        <v>29</v>
      </c>
      <c r="C448" s="3" t="s">
        <v>30</v>
      </c>
      <c r="D448" s="3" t="s">
        <v>42</v>
      </c>
      <c r="E448" s="3" t="s">
        <v>32</v>
      </c>
      <c r="F448" s="3" t="s">
        <v>101</v>
      </c>
      <c r="G448" s="3">
        <v>2025</v>
      </c>
      <c r="H448" s="3" t="str">
        <f>CONCATENATE("54240565207")</f>
        <v>54240565207</v>
      </c>
      <c r="I448" s="3" t="s">
        <v>34</v>
      </c>
      <c r="J448" s="3" t="s">
        <v>35</v>
      </c>
      <c r="K448" s="3"/>
      <c r="L448" s="3" t="s">
        <v>36</v>
      </c>
      <c r="M448" s="3" t="str">
        <f>CONCATENATE("SRGMRA48S44C321N")</f>
        <v>SRGMRA48S44C321N</v>
      </c>
      <c r="N448" s="3" t="s">
        <v>564</v>
      </c>
      <c r="O448" s="3" t="s">
        <v>38</v>
      </c>
      <c r="P448" s="3"/>
      <c r="Q448" s="4">
        <v>45968</v>
      </c>
      <c r="R448" s="3" t="s">
        <v>39</v>
      </c>
      <c r="S448" s="3" t="s">
        <v>38</v>
      </c>
      <c r="T448" s="3" t="s">
        <v>40</v>
      </c>
      <c r="U448" s="3"/>
      <c r="V448" s="3" t="s">
        <v>41</v>
      </c>
      <c r="W448" s="5">
        <v>3270.67</v>
      </c>
      <c r="X448" s="5">
        <v>2453</v>
      </c>
      <c r="Y448" s="3">
        <v>572.37</v>
      </c>
      <c r="Z448" s="3">
        <v>245.3</v>
      </c>
      <c r="AA448" s="3">
        <v>0</v>
      </c>
    </row>
    <row r="449" spans="1:27" ht="72.75" x14ac:dyDescent="0.25">
      <c r="A449" s="3" t="s">
        <v>28</v>
      </c>
      <c r="B449" s="3" t="s">
        <v>29</v>
      </c>
      <c r="C449" s="3" t="s">
        <v>30</v>
      </c>
      <c r="D449" s="3" t="s">
        <v>47</v>
      </c>
      <c r="E449" s="3" t="s">
        <v>48</v>
      </c>
      <c r="F449" s="3" t="s">
        <v>249</v>
      </c>
      <c r="G449" s="3">
        <v>2025</v>
      </c>
      <c r="H449" s="3" t="str">
        <f>CONCATENATE("54240553633")</f>
        <v>54240553633</v>
      </c>
      <c r="I449" s="3" t="s">
        <v>34</v>
      </c>
      <c r="J449" s="3" t="s">
        <v>35</v>
      </c>
      <c r="K449" s="3"/>
      <c r="L449" s="3" t="s">
        <v>36</v>
      </c>
      <c r="M449" s="3" t="str">
        <f>CONCATENATE("LLRDNL78D15B157W")</f>
        <v>LLRDNL78D15B157W</v>
      </c>
      <c r="N449" s="3" t="s">
        <v>565</v>
      </c>
      <c r="O449" s="3" t="s">
        <v>38</v>
      </c>
      <c r="P449" s="3"/>
      <c r="Q449" s="4">
        <v>45968</v>
      </c>
      <c r="R449" s="3" t="s">
        <v>39</v>
      </c>
      <c r="S449" s="3" t="s">
        <v>38</v>
      </c>
      <c r="T449" s="3" t="s">
        <v>40</v>
      </c>
      <c r="U449" s="3"/>
      <c r="V449" s="3" t="s">
        <v>41</v>
      </c>
      <c r="W449" s="5">
        <v>3027.63</v>
      </c>
      <c r="X449" s="5">
        <v>2270.7199999999998</v>
      </c>
      <c r="Y449" s="3">
        <v>529.84</v>
      </c>
      <c r="Z449" s="3">
        <v>227.07</v>
      </c>
      <c r="AA449" s="3">
        <v>0</v>
      </c>
    </row>
    <row r="450" spans="1:27" ht="36.75" x14ac:dyDescent="0.25">
      <c r="A450" s="3" t="s">
        <v>28</v>
      </c>
      <c r="B450" s="3" t="s">
        <v>29</v>
      </c>
      <c r="C450" s="3" t="s">
        <v>30</v>
      </c>
      <c r="D450" s="3" t="s">
        <v>42</v>
      </c>
      <c r="E450" s="3" t="s">
        <v>43</v>
      </c>
      <c r="F450" s="3" t="s">
        <v>43</v>
      </c>
      <c r="G450" s="3">
        <v>2025</v>
      </c>
      <c r="H450" s="3" t="str">
        <f>CONCATENATE("54240664323")</f>
        <v>54240664323</v>
      </c>
      <c r="I450" s="3" t="s">
        <v>34</v>
      </c>
      <c r="J450" s="3" t="s">
        <v>35</v>
      </c>
      <c r="K450" s="3"/>
      <c r="L450" s="3" t="s">
        <v>36</v>
      </c>
      <c r="M450" s="3" t="str">
        <f>CONCATENATE("01582430441")</f>
        <v>01582430441</v>
      </c>
      <c r="N450" s="3" t="s">
        <v>566</v>
      </c>
      <c r="O450" s="3" t="s">
        <v>38</v>
      </c>
      <c r="P450" s="3"/>
      <c r="Q450" s="4">
        <v>45968</v>
      </c>
      <c r="R450" s="3" t="s">
        <v>39</v>
      </c>
      <c r="S450" s="3" t="s">
        <v>38</v>
      </c>
      <c r="T450" s="3" t="s">
        <v>40</v>
      </c>
      <c r="U450" s="3"/>
      <c r="V450" s="3" t="s">
        <v>41</v>
      </c>
      <c r="W450" s="5">
        <v>11552.56</v>
      </c>
      <c r="X450" s="5">
        <v>8664.42</v>
      </c>
      <c r="Y450" s="5">
        <v>2021.7</v>
      </c>
      <c r="Z450" s="3">
        <v>866.44</v>
      </c>
      <c r="AA450" s="3">
        <v>0</v>
      </c>
    </row>
    <row r="451" spans="1:27" ht="36.75" x14ac:dyDescent="0.25">
      <c r="A451" s="3" t="s">
        <v>28</v>
      </c>
      <c r="B451" s="3" t="s">
        <v>29</v>
      </c>
      <c r="C451" s="3" t="s">
        <v>30</v>
      </c>
      <c r="D451" s="3" t="s">
        <v>42</v>
      </c>
      <c r="E451" s="3" t="s">
        <v>43</v>
      </c>
      <c r="F451" s="3" t="s">
        <v>43</v>
      </c>
      <c r="G451" s="3">
        <v>2025</v>
      </c>
      <c r="H451" s="3" t="str">
        <f>CONCATENATE("54240664588")</f>
        <v>54240664588</v>
      </c>
      <c r="I451" s="3" t="s">
        <v>34</v>
      </c>
      <c r="J451" s="3" t="s">
        <v>35</v>
      </c>
      <c r="K451" s="3"/>
      <c r="L451" s="3" t="s">
        <v>36</v>
      </c>
      <c r="M451" s="3" t="str">
        <f>CONCATENATE("02081140440")</f>
        <v>02081140440</v>
      </c>
      <c r="N451" s="3" t="s">
        <v>567</v>
      </c>
      <c r="O451" s="3" t="s">
        <v>38</v>
      </c>
      <c r="P451" s="3"/>
      <c r="Q451" s="4">
        <v>45968</v>
      </c>
      <c r="R451" s="3" t="s">
        <v>39</v>
      </c>
      <c r="S451" s="3" t="s">
        <v>38</v>
      </c>
      <c r="T451" s="3" t="s">
        <v>40</v>
      </c>
      <c r="U451" s="3"/>
      <c r="V451" s="3" t="s">
        <v>41</v>
      </c>
      <c r="W451" s="5">
        <v>3227.78</v>
      </c>
      <c r="X451" s="5">
        <v>2420.84</v>
      </c>
      <c r="Y451" s="3">
        <v>564.86</v>
      </c>
      <c r="Z451" s="3">
        <v>242.08</v>
      </c>
      <c r="AA451" s="3">
        <v>0</v>
      </c>
    </row>
    <row r="452" spans="1:27" ht="60.75" x14ac:dyDescent="0.25">
      <c r="A452" s="3" t="s">
        <v>28</v>
      </c>
      <c r="B452" s="3" t="s">
        <v>29</v>
      </c>
      <c r="C452" s="3" t="s">
        <v>30</v>
      </c>
      <c r="D452" s="3" t="s">
        <v>65</v>
      </c>
      <c r="E452" s="3" t="s">
        <v>60</v>
      </c>
      <c r="F452" s="3" t="s">
        <v>85</v>
      </c>
      <c r="G452" s="3">
        <v>2025</v>
      </c>
      <c r="H452" s="3" t="str">
        <f>CONCATENATE("54240557576")</f>
        <v>54240557576</v>
      </c>
      <c r="I452" s="3" t="s">
        <v>34</v>
      </c>
      <c r="J452" s="3" t="s">
        <v>35</v>
      </c>
      <c r="K452" s="3"/>
      <c r="L452" s="3" t="s">
        <v>36</v>
      </c>
      <c r="M452" s="3" t="str">
        <f>CONCATENATE("CLDCRS75H21G479F")</f>
        <v>CLDCRS75H21G479F</v>
      </c>
      <c r="N452" s="3" t="s">
        <v>568</v>
      </c>
      <c r="O452" s="3" t="s">
        <v>38</v>
      </c>
      <c r="P452" s="3"/>
      <c r="Q452" s="4">
        <v>45968</v>
      </c>
      <c r="R452" s="3" t="s">
        <v>39</v>
      </c>
      <c r="S452" s="3" t="s">
        <v>38</v>
      </c>
      <c r="T452" s="3" t="s">
        <v>40</v>
      </c>
      <c r="U452" s="3"/>
      <c r="V452" s="3" t="s">
        <v>41</v>
      </c>
      <c r="W452" s="3">
        <v>511.46</v>
      </c>
      <c r="X452" s="3">
        <v>383.6</v>
      </c>
      <c r="Y452" s="3">
        <v>89.51</v>
      </c>
      <c r="Z452" s="3">
        <v>38.35</v>
      </c>
      <c r="AA452" s="3">
        <v>0</v>
      </c>
    </row>
    <row r="453" spans="1:27" ht="60.75" x14ac:dyDescent="0.25">
      <c r="A453" s="3" t="s">
        <v>28</v>
      </c>
      <c r="B453" s="3" t="s">
        <v>29</v>
      </c>
      <c r="C453" s="3" t="s">
        <v>30</v>
      </c>
      <c r="D453" s="3" t="s">
        <v>42</v>
      </c>
      <c r="E453" s="3" t="s">
        <v>51</v>
      </c>
      <c r="F453" s="3" t="s">
        <v>115</v>
      </c>
      <c r="G453" s="3">
        <v>2025</v>
      </c>
      <c r="H453" s="3" t="str">
        <f>CONCATENATE("54240554540")</f>
        <v>54240554540</v>
      </c>
      <c r="I453" s="3" t="s">
        <v>34</v>
      </c>
      <c r="J453" s="3" t="s">
        <v>35</v>
      </c>
      <c r="K453" s="3"/>
      <c r="L453" s="3" t="s">
        <v>36</v>
      </c>
      <c r="M453" s="3" t="str">
        <f>CONCATENATE("CLNLVO37M48F380R")</f>
        <v>CLNLVO37M48F380R</v>
      </c>
      <c r="N453" s="3" t="s">
        <v>569</v>
      </c>
      <c r="O453" s="3" t="s">
        <v>38</v>
      </c>
      <c r="P453" s="3"/>
      <c r="Q453" s="4">
        <v>45968</v>
      </c>
      <c r="R453" s="3" t="s">
        <v>39</v>
      </c>
      <c r="S453" s="3" t="s">
        <v>38</v>
      </c>
      <c r="T453" s="3" t="s">
        <v>40</v>
      </c>
      <c r="U453" s="3"/>
      <c r="V453" s="3" t="s">
        <v>41</v>
      </c>
      <c r="W453" s="5">
        <v>2339.88</v>
      </c>
      <c r="X453" s="5">
        <v>1754.91</v>
      </c>
      <c r="Y453" s="3">
        <v>409.48</v>
      </c>
      <c r="Z453" s="3">
        <v>175.49</v>
      </c>
      <c r="AA453" s="3">
        <v>0</v>
      </c>
    </row>
    <row r="454" spans="1:27" ht="60.75" x14ac:dyDescent="0.25">
      <c r="A454" s="3" t="s">
        <v>28</v>
      </c>
      <c r="B454" s="3" t="s">
        <v>29</v>
      </c>
      <c r="C454" s="3" t="s">
        <v>30</v>
      </c>
      <c r="D454" s="3" t="s">
        <v>42</v>
      </c>
      <c r="E454" s="3" t="s">
        <v>32</v>
      </c>
      <c r="F454" s="3" t="s">
        <v>101</v>
      </c>
      <c r="G454" s="3">
        <v>2025</v>
      </c>
      <c r="H454" s="3" t="str">
        <f>CONCATENATE("54240555331")</f>
        <v>54240555331</v>
      </c>
      <c r="I454" s="3" t="s">
        <v>34</v>
      </c>
      <c r="J454" s="3" t="s">
        <v>35</v>
      </c>
      <c r="K454" s="3"/>
      <c r="L454" s="3" t="s">
        <v>36</v>
      </c>
      <c r="M454" s="3" t="str">
        <f>CONCATENATE("VTLLLL63S42F697O")</f>
        <v>VTLLLL63S42F697O</v>
      </c>
      <c r="N454" s="3" t="s">
        <v>570</v>
      </c>
      <c r="O454" s="3" t="s">
        <v>38</v>
      </c>
      <c r="P454" s="3"/>
      <c r="Q454" s="4">
        <v>45968</v>
      </c>
      <c r="R454" s="3" t="s">
        <v>39</v>
      </c>
      <c r="S454" s="3" t="s">
        <v>38</v>
      </c>
      <c r="T454" s="3" t="s">
        <v>40</v>
      </c>
      <c r="U454" s="3"/>
      <c r="V454" s="3" t="s">
        <v>41</v>
      </c>
      <c r="W454" s="5">
        <v>2699.96</v>
      </c>
      <c r="X454" s="5">
        <v>2024.97</v>
      </c>
      <c r="Y454" s="3">
        <v>472.49</v>
      </c>
      <c r="Z454" s="3">
        <v>202.5</v>
      </c>
      <c r="AA454" s="3">
        <v>0</v>
      </c>
    </row>
    <row r="455" spans="1:27" ht="36.75" x14ac:dyDescent="0.25">
      <c r="A455" s="3" t="s">
        <v>28</v>
      </c>
      <c r="B455" s="3" t="s">
        <v>29</v>
      </c>
      <c r="C455" s="3" t="s">
        <v>30</v>
      </c>
      <c r="D455" s="3" t="s">
        <v>42</v>
      </c>
      <c r="E455" s="3" t="s">
        <v>43</v>
      </c>
      <c r="F455" s="3" t="s">
        <v>43</v>
      </c>
      <c r="G455" s="3">
        <v>2025</v>
      </c>
      <c r="H455" s="3" t="str">
        <f>CONCATENATE("54240664497")</f>
        <v>54240664497</v>
      </c>
      <c r="I455" s="3" t="s">
        <v>34</v>
      </c>
      <c r="J455" s="3" t="s">
        <v>35</v>
      </c>
      <c r="K455" s="3"/>
      <c r="L455" s="3" t="s">
        <v>36</v>
      </c>
      <c r="M455" s="3" t="str">
        <f>CONCATENATE("02495570448")</f>
        <v>02495570448</v>
      </c>
      <c r="N455" s="3" t="s">
        <v>571</v>
      </c>
      <c r="O455" s="3" t="s">
        <v>38</v>
      </c>
      <c r="P455" s="3"/>
      <c r="Q455" s="4">
        <v>45968</v>
      </c>
      <c r="R455" s="3" t="s">
        <v>39</v>
      </c>
      <c r="S455" s="3" t="s">
        <v>38</v>
      </c>
      <c r="T455" s="3" t="s">
        <v>40</v>
      </c>
      <c r="U455" s="3"/>
      <c r="V455" s="3" t="s">
        <v>41</v>
      </c>
      <c r="W455" s="3">
        <v>570.5</v>
      </c>
      <c r="X455" s="3">
        <v>427.88</v>
      </c>
      <c r="Y455" s="3">
        <v>99.84</v>
      </c>
      <c r="Z455" s="3">
        <v>42.78</v>
      </c>
      <c r="AA455" s="3">
        <v>0</v>
      </c>
    </row>
    <row r="456" spans="1:27" ht="72.75" x14ac:dyDescent="0.25">
      <c r="A456" s="3" t="s">
        <v>28</v>
      </c>
      <c r="B456" s="3" t="s">
        <v>29</v>
      </c>
      <c r="C456" s="3" t="s">
        <v>30</v>
      </c>
      <c r="D456" s="3" t="s">
        <v>65</v>
      </c>
      <c r="E456" s="3" t="s">
        <v>48</v>
      </c>
      <c r="F456" s="3" t="s">
        <v>76</v>
      </c>
      <c r="G456" s="3">
        <v>2025</v>
      </c>
      <c r="H456" s="3" t="str">
        <f>CONCATENATE("54240555901")</f>
        <v>54240555901</v>
      </c>
      <c r="I456" s="3" t="s">
        <v>34</v>
      </c>
      <c r="J456" s="3" t="s">
        <v>35</v>
      </c>
      <c r="K456" s="3"/>
      <c r="L456" s="3" t="s">
        <v>36</v>
      </c>
      <c r="M456" s="3" t="str">
        <f>CONCATENATE("GLANMR58B68Z134C")</f>
        <v>GLANMR58B68Z134C</v>
      </c>
      <c r="N456" s="3" t="s">
        <v>572</v>
      </c>
      <c r="O456" s="3" t="s">
        <v>38</v>
      </c>
      <c r="P456" s="3"/>
      <c r="Q456" s="4">
        <v>45968</v>
      </c>
      <c r="R456" s="3" t="s">
        <v>39</v>
      </c>
      <c r="S456" s="3" t="s">
        <v>38</v>
      </c>
      <c r="T456" s="3" t="s">
        <v>40</v>
      </c>
      <c r="U456" s="3"/>
      <c r="V456" s="3" t="s">
        <v>41</v>
      </c>
      <c r="W456" s="5">
        <v>1628.07</v>
      </c>
      <c r="X456" s="5">
        <v>1221.05</v>
      </c>
      <c r="Y456" s="3">
        <v>284.91000000000003</v>
      </c>
      <c r="Z456" s="3">
        <v>122.11</v>
      </c>
      <c r="AA456" s="3">
        <v>0</v>
      </c>
    </row>
    <row r="457" spans="1:27" ht="72.75" x14ac:dyDescent="0.25">
      <c r="A457" s="3" t="s">
        <v>28</v>
      </c>
      <c r="B457" s="3" t="s">
        <v>29</v>
      </c>
      <c r="C457" s="3" t="s">
        <v>30</v>
      </c>
      <c r="D457" s="3" t="s">
        <v>65</v>
      </c>
      <c r="E457" s="3" t="s">
        <v>32</v>
      </c>
      <c r="F457" s="3" t="s">
        <v>135</v>
      </c>
      <c r="G457" s="3">
        <v>2025</v>
      </c>
      <c r="H457" s="3" t="str">
        <f>CONCATENATE("54240556602")</f>
        <v>54240556602</v>
      </c>
      <c r="I457" s="3" t="s">
        <v>34</v>
      </c>
      <c r="J457" s="3" t="s">
        <v>35</v>
      </c>
      <c r="K457" s="3"/>
      <c r="L457" s="3" t="s">
        <v>36</v>
      </c>
      <c r="M457" s="3" t="str">
        <f>CONCATENATE("SCRSNL54M57D749R")</f>
        <v>SCRSNL54M57D749R</v>
      </c>
      <c r="N457" s="3" t="s">
        <v>573</v>
      </c>
      <c r="O457" s="3" t="s">
        <v>38</v>
      </c>
      <c r="P457" s="3"/>
      <c r="Q457" s="4">
        <v>45968</v>
      </c>
      <c r="R457" s="3" t="s">
        <v>39</v>
      </c>
      <c r="S457" s="3" t="s">
        <v>38</v>
      </c>
      <c r="T457" s="3" t="s">
        <v>40</v>
      </c>
      <c r="U457" s="3"/>
      <c r="V457" s="3" t="s">
        <v>41</v>
      </c>
      <c r="W457" s="5">
        <v>1209.01</v>
      </c>
      <c r="X457" s="3">
        <v>906.76</v>
      </c>
      <c r="Y457" s="3">
        <v>211.58</v>
      </c>
      <c r="Z457" s="3">
        <v>90.67</v>
      </c>
      <c r="AA457" s="3">
        <v>0</v>
      </c>
    </row>
    <row r="458" spans="1:27" ht="60.75" x14ac:dyDescent="0.25">
      <c r="A458" s="3" t="s">
        <v>28</v>
      </c>
      <c r="B458" s="3" t="s">
        <v>29</v>
      </c>
      <c r="C458" s="3" t="s">
        <v>30</v>
      </c>
      <c r="D458" s="3" t="s">
        <v>65</v>
      </c>
      <c r="E458" s="3" t="s">
        <v>51</v>
      </c>
      <c r="F458" s="3" t="s">
        <v>126</v>
      </c>
      <c r="G458" s="3">
        <v>2025</v>
      </c>
      <c r="H458" s="3" t="str">
        <f>CONCATENATE("54240634730")</f>
        <v>54240634730</v>
      </c>
      <c r="I458" s="3" t="s">
        <v>34</v>
      </c>
      <c r="J458" s="3" t="s">
        <v>35</v>
      </c>
      <c r="K458" s="3"/>
      <c r="L458" s="3" t="s">
        <v>36</v>
      </c>
      <c r="M458" s="3" t="str">
        <f>CONCATENATE("BRRLLN54P59C152H")</f>
        <v>BRRLLN54P59C152H</v>
      </c>
      <c r="N458" s="3" t="s">
        <v>574</v>
      </c>
      <c r="O458" s="3" t="s">
        <v>38</v>
      </c>
      <c r="P458" s="3"/>
      <c r="Q458" s="4">
        <v>45968</v>
      </c>
      <c r="R458" s="3" t="s">
        <v>39</v>
      </c>
      <c r="S458" s="3" t="s">
        <v>38</v>
      </c>
      <c r="T458" s="3" t="s">
        <v>40</v>
      </c>
      <c r="U458" s="3"/>
      <c r="V458" s="3" t="s">
        <v>41</v>
      </c>
      <c r="W458" s="5">
        <v>2193.2800000000002</v>
      </c>
      <c r="X458" s="5">
        <v>1644.96</v>
      </c>
      <c r="Y458" s="3">
        <v>383.82</v>
      </c>
      <c r="Z458" s="3">
        <v>164.5</v>
      </c>
      <c r="AA458" s="3">
        <v>0</v>
      </c>
    </row>
    <row r="459" spans="1:27" ht="72.75" x14ac:dyDescent="0.25">
      <c r="A459" s="3" t="s">
        <v>28</v>
      </c>
      <c r="B459" s="3" t="s">
        <v>29</v>
      </c>
      <c r="C459" s="3" t="s">
        <v>30</v>
      </c>
      <c r="D459" s="3" t="s">
        <v>42</v>
      </c>
      <c r="E459" s="3" t="s">
        <v>43</v>
      </c>
      <c r="F459" s="3" t="s">
        <v>43</v>
      </c>
      <c r="G459" s="3">
        <v>2025</v>
      </c>
      <c r="H459" s="3" t="str">
        <f>CONCATENATE("54240557279")</f>
        <v>54240557279</v>
      </c>
      <c r="I459" s="3" t="s">
        <v>34</v>
      </c>
      <c r="J459" s="3" t="s">
        <v>35</v>
      </c>
      <c r="K459" s="3"/>
      <c r="L459" s="3" t="s">
        <v>36</v>
      </c>
      <c r="M459" s="3" t="str">
        <f>CONCATENATE("MRNLCU57S64H321Y")</f>
        <v>MRNLCU57S64H321Y</v>
      </c>
      <c r="N459" s="3" t="s">
        <v>575</v>
      </c>
      <c r="O459" s="3" t="s">
        <v>38</v>
      </c>
      <c r="P459" s="3"/>
      <c r="Q459" s="4">
        <v>45968</v>
      </c>
      <c r="R459" s="3" t="s">
        <v>39</v>
      </c>
      <c r="S459" s="3" t="s">
        <v>38</v>
      </c>
      <c r="T459" s="3" t="s">
        <v>40</v>
      </c>
      <c r="U459" s="3"/>
      <c r="V459" s="3" t="s">
        <v>41</v>
      </c>
      <c r="W459" s="5">
        <v>3979.65</v>
      </c>
      <c r="X459" s="5">
        <v>2984.74</v>
      </c>
      <c r="Y459" s="3">
        <v>696.44</v>
      </c>
      <c r="Z459" s="3">
        <v>298.47000000000003</v>
      </c>
      <c r="AA459" s="3">
        <v>0</v>
      </c>
    </row>
    <row r="460" spans="1:27" ht="60.75" x14ac:dyDescent="0.25">
      <c r="A460" s="3" t="s">
        <v>28</v>
      </c>
      <c r="B460" s="3" t="s">
        <v>29</v>
      </c>
      <c r="C460" s="3" t="s">
        <v>30</v>
      </c>
      <c r="D460" s="3" t="s">
        <v>47</v>
      </c>
      <c r="E460" s="3" t="s">
        <v>48</v>
      </c>
      <c r="F460" s="3" t="s">
        <v>79</v>
      </c>
      <c r="G460" s="3">
        <v>2025</v>
      </c>
      <c r="H460" s="3" t="str">
        <f>CONCATENATE("54240557121")</f>
        <v>54240557121</v>
      </c>
      <c r="I460" s="3" t="s">
        <v>34</v>
      </c>
      <c r="J460" s="3" t="s">
        <v>35</v>
      </c>
      <c r="K460" s="3"/>
      <c r="L460" s="3" t="s">
        <v>36</v>
      </c>
      <c r="M460" s="3" t="str">
        <f>CONCATENATE("CVLNDR80H16D042C")</f>
        <v>CVLNDR80H16D042C</v>
      </c>
      <c r="N460" s="3" t="s">
        <v>576</v>
      </c>
      <c r="O460" s="3" t="s">
        <v>38</v>
      </c>
      <c r="P460" s="3"/>
      <c r="Q460" s="4">
        <v>45968</v>
      </c>
      <c r="R460" s="3" t="s">
        <v>39</v>
      </c>
      <c r="S460" s="3" t="s">
        <v>38</v>
      </c>
      <c r="T460" s="3" t="s">
        <v>40</v>
      </c>
      <c r="U460" s="3"/>
      <c r="V460" s="3" t="s">
        <v>41</v>
      </c>
      <c r="W460" s="5">
        <v>9264.09</v>
      </c>
      <c r="X460" s="5">
        <v>6948.07</v>
      </c>
      <c r="Y460" s="5">
        <v>1621.22</v>
      </c>
      <c r="Z460" s="3">
        <v>694.8</v>
      </c>
      <c r="AA460" s="3">
        <v>0</v>
      </c>
    </row>
    <row r="461" spans="1:27" ht="60.75" x14ac:dyDescent="0.25">
      <c r="A461" s="3" t="s">
        <v>28</v>
      </c>
      <c r="B461" s="3" t="s">
        <v>29</v>
      </c>
      <c r="C461" s="3" t="s">
        <v>30</v>
      </c>
      <c r="D461" s="3" t="s">
        <v>47</v>
      </c>
      <c r="E461" s="3" t="s">
        <v>48</v>
      </c>
      <c r="F461" s="3" t="s">
        <v>79</v>
      </c>
      <c r="G461" s="3">
        <v>2025</v>
      </c>
      <c r="H461" s="3" t="str">
        <f>CONCATENATE("54240558053")</f>
        <v>54240558053</v>
      </c>
      <c r="I461" s="3" t="s">
        <v>34</v>
      </c>
      <c r="J461" s="3" t="s">
        <v>35</v>
      </c>
      <c r="K461" s="3"/>
      <c r="L461" s="3" t="s">
        <v>36</v>
      </c>
      <c r="M461" s="3" t="str">
        <f>CONCATENATE("PSCCRL59S10B474F")</f>
        <v>PSCCRL59S10B474F</v>
      </c>
      <c r="N461" s="3" t="s">
        <v>577</v>
      </c>
      <c r="O461" s="3" t="s">
        <v>38</v>
      </c>
      <c r="P461" s="3"/>
      <c r="Q461" s="4">
        <v>45968</v>
      </c>
      <c r="R461" s="3" t="s">
        <v>39</v>
      </c>
      <c r="S461" s="3" t="s">
        <v>38</v>
      </c>
      <c r="T461" s="3" t="s">
        <v>40</v>
      </c>
      <c r="U461" s="3"/>
      <c r="V461" s="3" t="s">
        <v>41</v>
      </c>
      <c r="W461" s="3">
        <v>467.03</v>
      </c>
      <c r="X461" s="3">
        <v>350.27</v>
      </c>
      <c r="Y461" s="3">
        <v>81.73</v>
      </c>
      <c r="Z461" s="3">
        <v>35.03</v>
      </c>
      <c r="AA461" s="3">
        <v>0</v>
      </c>
    </row>
    <row r="462" spans="1:27" ht="60.75" x14ac:dyDescent="0.25">
      <c r="A462" s="3" t="s">
        <v>28</v>
      </c>
      <c r="B462" s="3" t="s">
        <v>29</v>
      </c>
      <c r="C462" s="3" t="s">
        <v>30</v>
      </c>
      <c r="D462" s="3" t="s">
        <v>31</v>
      </c>
      <c r="E462" s="3" t="s">
        <v>32</v>
      </c>
      <c r="F462" s="3" t="s">
        <v>33</v>
      </c>
      <c r="G462" s="3">
        <v>2025</v>
      </c>
      <c r="H462" s="3" t="str">
        <f>CONCATENATE("54240560570")</f>
        <v>54240560570</v>
      </c>
      <c r="I462" s="3" t="s">
        <v>34</v>
      </c>
      <c r="J462" s="3" t="s">
        <v>35</v>
      </c>
      <c r="K462" s="3"/>
      <c r="L462" s="3" t="s">
        <v>36</v>
      </c>
      <c r="M462" s="3" t="str">
        <f>CONCATENATE("CSRJRU83A01E388Z")</f>
        <v>CSRJRU83A01E388Z</v>
      </c>
      <c r="N462" s="3" t="s">
        <v>578</v>
      </c>
      <c r="O462" s="3" t="s">
        <v>38</v>
      </c>
      <c r="P462" s="3"/>
      <c r="Q462" s="4">
        <v>45968</v>
      </c>
      <c r="R462" s="3" t="s">
        <v>39</v>
      </c>
      <c r="S462" s="3" t="s">
        <v>38</v>
      </c>
      <c r="T462" s="3" t="s">
        <v>40</v>
      </c>
      <c r="U462" s="3"/>
      <c r="V462" s="3" t="s">
        <v>41</v>
      </c>
      <c r="W462" s="5">
        <v>1769.24</v>
      </c>
      <c r="X462" s="5">
        <v>1326.93</v>
      </c>
      <c r="Y462" s="3">
        <v>309.62</v>
      </c>
      <c r="Z462" s="3">
        <v>132.69</v>
      </c>
      <c r="AA462" s="3">
        <v>0</v>
      </c>
    </row>
    <row r="463" spans="1:27" ht="60.75" x14ac:dyDescent="0.25">
      <c r="A463" s="3" t="s">
        <v>28</v>
      </c>
      <c r="B463" s="3" t="s">
        <v>29</v>
      </c>
      <c r="C463" s="3" t="s">
        <v>30</v>
      </c>
      <c r="D463" s="3" t="s">
        <v>47</v>
      </c>
      <c r="E463" s="3" t="s">
        <v>48</v>
      </c>
      <c r="F463" s="3" t="s">
        <v>251</v>
      </c>
      <c r="G463" s="3">
        <v>2025</v>
      </c>
      <c r="H463" s="3" t="str">
        <f>CONCATENATE("54240561008")</f>
        <v>54240561008</v>
      </c>
      <c r="I463" s="3" t="s">
        <v>34</v>
      </c>
      <c r="J463" s="3" t="s">
        <v>35</v>
      </c>
      <c r="K463" s="3"/>
      <c r="L463" s="3" t="s">
        <v>36</v>
      </c>
      <c r="M463" s="3" t="str">
        <f>CONCATENATE("VRDSMN84T04L366M")</f>
        <v>VRDSMN84T04L366M</v>
      </c>
      <c r="N463" s="3" t="s">
        <v>579</v>
      </c>
      <c r="O463" s="3" t="s">
        <v>38</v>
      </c>
      <c r="P463" s="3"/>
      <c r="Q463" s="4">
        <v>45968</v>
      </c>
      <c r="R463" s="3" t="s">
        <v>39</v>
      </c>
      <c r="S463" s="3" t="s">
        <v>38</v>
      </c>
      <c r="T463" s="3" t="s">
        <v>40</v>
      </c>
      <c r="U463" s="3"/>
      <c r="V463" s="3" t="s">
        <v>41</v>
      </c>
      <c r="W463" s="3">
        <v>134.61000000000001</v>
      </c>
      <c r="X463" s="3">
        <v>100.96</v>
      </c>
      <c r="Y463" s="3">
        <v>23.56</v>
      </c>
      <c r="Z463" s="3">
        <v>10.09</v>
      </c>
      <c r="AA463" s="3">
        <v>0</v>
      </c>
    </row>
    <row r="464" spans="1:27" ht="72.75" x14ac:dyDescent="0.25">
      <c r="A464" s="3" t="s">
        <v>28</v>
      </c>
      <c r="B464" s="3" t="s">
        <v>29</v>
      </c>
      <c r="C464" s="3" t="s">
        <v>30</v>
      </c>
      <c r="D464" s="3" t="s">
        <v>65</v>
      </c>
      <c r="E464" s="3" t="s">
        <v>48</v>
      </c>
      <c r="F464" s="3" t="s">
        <v>66</v>
      </c>
      <c r="G464" s="3">
        <v>2025</v>
      </c>
      <c r="H464" s="3" t="str">
        <f>CONCATENATE("54240561461")</f>
        <v>54240561461</v>
      </c>
      <c r="I464" s="3" t="s">
        <v>34</v>
      </c>
      <c r="J464" s="3" t="s">
        <v>35</v>
      </c>
      <c r="K464" s="3"/>
      <c r="L464" s="3" t="s">
        <v>36</v>
      </c>
      <c r="M464" s="3" t="str">
        <f>CONCATENATE("SVNGMR73A65F205B")</f>
        <v>SVNGMR73A65F205B</v>
      </c>
      <c r="N464" s="3" t="s">
        <v>580</v>
      </c>
      <c r="O464" s="3" t="s">
        <v>38</v>
      </c>
      <c r="P464" s="3"/>
      <c r="Q464" s="4">
        <v>45968</v>
      </c>
      <c r="R464" s="3" t="s">
        <v>39</v>
      </c>
      <c r="S464" s="3" t="s">
        <v>38</v>
      </c>
      <c r="T464" s="3" t="s">
        <v>40</v>
      </c>
      <c r="U464" s="3"/>
      <c r="V464" s="3" t="s">
        <v>41</v>
      </c>
      <c r="W464" s="5">
        <v>13080.45</v>
      </c>
      <c r="X464" s="5">
        <v>9810.34</v>
      </c>
      <c r="Y464" s="5">
        <v>2289.08</v>
      </c>
      <c r="Z464" s="3">
        <v>981.03</v>
      </c>
      <c r="AA464" s="3">
        <v>0</v>
      </c>
    </row>
    <row r="465" spans="1:27" ht="60.75" x14ac:dyDescent="0.25">
      <c r="A465" s="3" t="s">
        <v>28</v>
      </c>
      <c r="B465" s="3" t="s">
        <v>29</v>
      </c>
      <c r="C465" s="3" t="s">
        <v>30</v>
      </c>
      <c r="D465" s="3" t="s">
        <v>31</v>
      </c>
      <c r="E465" s="3" t="s">
        <v>51</v>
      </c>
      <c r="F465" s="3" t="s">
        <v>300</v>
      </c>
      <c r="G465" s="3">
        <v>2025</v>
      </c>
      <c r="H465" s="3" t="str">
        <f>CONCATENATE("54240561701")</f>
        <v>54240561701</v>
      </c>
      <c r="I465" s="3" t="s">
        <v>34</v>
      </c>
      <c r="J465" s="3" t="s">
        <v>35</v>
      </c>
      <c r="K465" s="3"/>
      <c r="L465" s="3" t="s">
        <v>36</v>
      </c>
      <c r="M465" s="3" t="str">
        <f>CONCATENATE("PRNLBT67T64G157T")</f>
        <v>PRNLBT67T64G157T</v>
      </c>
      <c r="N465" s="3" t="s">
        <v>581</v>
      </c>
      <c r="O465" s="3" t="s">
        <v>38</v>
      </c>
      <c r="P465" s="3"/>
      <c r="Q465" s="4">
        <v>45968</v>
      </c>
      <c r="R465" s="3" t="s">
        <v>39</v>
      </c>
      <c r="S465" s="3" t="s">
        <v>38</v>
      </c>
      <c r="T465" s="3" t="s">
        <v>40</v>
      </c>
      <c r="U465" s="3"/>
      <c r="V465" s="3" t="s">
        <v>41</v>
      </c>
      <c r="W465" s="5">
        <v>12053.63</v>
      </c>
      <c r="X465" s="5">
        <v>9040.2199999999993</v>
      </c>
      <c r="Y465" s="5">
        <v>2109.39</v>
      </c>
      <c r="Z465" s="3">
        <v>904.02</v>
      </c>
      <c r="AA465" s="3">
        <v>0</v>
      </c>
    </row>
    <row r="466" spans="1:27" ht="36.75" x14ac:dyDescent="0.25">
      <c r="A466" s="3" t="s">
        <v>28</v>
      </c>
      <c r="B466" s="3" t="s">
        <v>29</v>
      </c>
      <c r="C466" s="3" t="s">
        <v>30</v>
      </c>
      <c r="D466" s="3" t="s">
        <v>42</v>
      </c>
      <c r="E466" s="3" t="s">
        <v>51</v>
      </c>
      <c r="F466" s="3" t="s">
        <v>115</v>
      </c>
      <c r="G466" s="3">
        <v>2025</v>
      </c>
      <c r="H466" s="3" t="str">
        <f>CONCATENATE("54240562436")</f>
        <v>54240562436</v>
      </c>
      <c r="I466" s="3" t="s">
        <v>34</v>
      </c>
      <c r="J466" s="3" t="s">
        <v>35</v>
      </c>
      <c r="K466" s="3"/>
      <c r="L466" s="3" t="s">
        <v>36</v>
      </c>
      <c r="M466" s="3" t="str">
        <f>CONCATENATE("02220270447")</f>
        <v>02220270447</v>
      </c>
      <c r="N466" s="3" t="s">
        <v>582</v>
      </c>
      <c r="O466" s="3" t="s">
        <v>38</v>
      </c>
      <c r="P466" s="3"/>
      <c r="Q466" s="4">
        <v>45968</v>
      </c>
      <c r="R466" s="3" t="s">
        <v>39</v>
      </c>
      <c r="S466" s="3" t="s">
        <v>38</v>
      </c>
      <c r="T466" s="3" t="s">
        <v>40</v>
      </c>
      <c r="U466" s="3"/>
      <c r="V466" s="3" t="s">
        <v>41</v>
      </c>
      <c r="W466" s="3">
        <v>295.23</v>
      </c>
      <c r="X466" s="3">
        <v>221.42</v>
      </c>
      <c r="Y466" s="3">
        <v>51.67</v>
      </c>
      <c r="Z466" s="3">
        <v>22.14</v>
      </c>
      <c r="AA466" s="3">
        <v>0</v>
      </c>
    </row>
    <row r="467" spans="1:27" ht="60.75" x14ac:dyDescent="0.25">
      <c r="A467" s="3" t="s">
        <v>28</v>
      </c>
      <c r="B467" s="3" t="s">
        <v>29</v>
      </c>
      <c r="C467" s="3" t="s">
        <v>30</v>
      </c>
      <c r="D467" s="3" t="s">
        <v>31</v>
      </c>
      <c r="E467" s="3" t="s">
        <v>51</v>
      </c>
      <c r="F467" s="3" t="s">
        <v>99</v>
      </c>
      <c r="G467" s="3">
        <v>2025</v>
      </c>
      <c r="H467" s="3" t="str">
        <f>CONCATENATE("54240563673")</f>
        <v>54240563673</v>
      </c>
      <c r="I467" s="3" t="s">
        <v>34</v>
      </c>
      <c r="J467" s="3" t="s">
        <v>35</v>
      </c>
      <c r="K467" s="3"/>
      <c r="L467" s="3" t="s">
        <v>36</v>
      </c>
      <c r="M467" s="3" t="str">
        <f>CONCATENATE("MRCNLS61L66F839I")</f>
        <v>MRCNLS61L66F839I</v>
      </c>
      <c r="N467" s="3" t="s">
        <v>583</v>
      </c>
      <c r="O467" s="3" t="s">
        <v>38</v>
      </c>
      <c r="P467" s="3"/>
      <c r="Q467" s="4">
        <v>45968</v>
      </c>
      <c r="R467" s="3" t="s">
        <v>39</v>
      </c>
      <c r="S467" s="3" t="s">
        <v>38</v>
      </c>
      <c r="T467" s="3" t="s">
        <v>40</v>
      </c>
      <c r="U467" s="3"/>
      <c r="V467" s="3" t="s">
        <v>41</v>
      </c>
      <c r="W467" s="3">
        <v>904.63</v>
      </c>
      <c r="X467" s="3">
        <v>678.47</v>
      </c>
      <c r="Y467" s="3">
        <v>158.31</v>
      </c>
      <c r="Z467" s="3">
        <v>67.849999999999994</v>
      </c>
      <c r="AA467" s="3">
        <v>0</v>
      </c>
    </row>
    <row r="468" spans="1:27" ht="60.75" x14ac:dyDescent="0.25">
      <c r="A468" s="3" t="s">
        <v>28</v>
      </c>
      <c r="B468" s="3" t="s">
        <v>29</v>
      </c>
      <c r="C468" s="3" t="s">
        <v>30</v>
      </c>
      <c r="D468" s="3" t="s">
        <v>42</v>
      </c>
      <c r="E468" s="3" t="s">
        <v>32</v>
      </c>
      <c r="F468" s="3" t="s">
        <v>110</v>
      </c>
      <c r="G468" s="3">
        <v>2025</v>
      </c>
      <c r="H468" s="3" t="str">
        <f>CONCATENATE("54240563996")</f>
        <v>54240563996</v>
      </c>
      <c r="I468" s="3" t="s">
        <v>34</v>
      </c>
      <c r="J468" s="3" t="s">
        <v>35</v>
      </c>
      <c r="K468" s="3"/>
      <c r="L468" s="3" t="s">
        <v>36</v>
      </c>
      <c r="M468" s="3" t="str">
        <f>CONCATENATE("MRNNRT46S02F501P")</f>
        <v>MRNNRT46S02F501P</v>
      </c>
      <c r="N468" s="3" t="s">
        <v>584</v>
      </c>
      <c r="O468" s="3" t="s">
        <v>38</v>
      </c>
      <c r="P468" s="3"/>
      <c r="Q468" s="4">
        <v>45968</v>
      </c>
      <c r="R468" s="3" t="s">
        <v>39</v>
      </c>
      <c r="S468" s="3" t="s">
        <v>38</v>
      </c>
      <c r="T468" s="3" t="s">
        <v>40</v>
      </c>
      <c r="U468" s="3"/>
      <c r="V468" s="3" t="s">
        <v>41</v>
      </c>
      <c r="W468" s="5">
        <v>2347.2399999999998</v>
      </c>
      <c r="X468" s="5">
        <v>1760.43</v>
      </c>
      <c r="Y468" s="3">
        <v>410.77</v>
      </c>
      <c r="Z468" s="3">
        <v>176.04</v>
      </c>
      <c r="AA468" s="3">
        <v>0</v>
      </c>
    </row>
    <row r="469" spans="1:27" ht="60.75" x14ac:dyDescent="0.25">
      <c r="A469" s="3" t="s">
        <v>28</v>
      </c>
      <c r="B469" s="3" t="s">
        <v>29</v>
      </c>
      <c r="C469" s="3" t="s">
        <v>30</v>
      </c>
      <c r="D469" s="3" t="s">
        <v>65</v>
      </c>
      <c r="E469" s="3" t="s">
        <v>32</v>
      </c>
      <c r="F469" s="3" t="s">
        <v>270</v>
      </c>
      <c r="G469" s="3">
        <v>2025</v>
      </c>
      <c r="H469" s="3" t="str">
        <f>CONCATENATE("54240565223")</f>
        <v>54240565223</v>
      </c>
      <c r="I469" s="3" t="s">
        <v>34</v>
      </c>
      <c r="J469" s="3" t="s">
        <v>35</v>
      </c>
      <c r="K469" s="3"/>
      <c r="L469" s="3" t="s">
        <v>36</v>
      </c>
      <c r="M469" s="3" t="str">
        <f>CONCATENATE("BLLFNC43C31A475N")</f>
        <v>BLLFNC43C31A475N</v>
      </c>
      <c r="N469" s="3" t="s">
        <v>585</v>
      </c>
      <c r="O469" s="3" t="s">
        <v>38</v>
      </c>
      <c r="P469" s="3"/>
      <c r="Q469" s="4">
        <v>45968</v>
      </c>
      <c r="R469" s="3" t="s">
        <v>39</v>
      </c>
      <c r="S469" s="3" t="s">
        <v>38</v>
      </c>
      <c r="T469" s="3" t="s">
        <v>40</v>
      </c>
      <c r="U469" s="3"/>
      <c r="V469" s="3" t="s">
        <v>41</v>
      </c>
      <c r="W469" s="3">
        <v>778.18</v>
      </c>
      <c r="X469" s="3">
        <v>583.64</v>
      </c>
      <c r="Y469" s="3">
        <v>136.18</v>
      </c>
      <c r="Z469" s="3">
        <v>58.36</v>
      </c>
      <c r="AA469" s="3">
        <v>0</v>
      </c>
    </row>
    <row r="470" spans="1:27" ht="60.75" x14ac:dyDescent="0.25">
      <c r="A470" s="3" t="s">
        <v>28</v>
      </c>
      <c r="B470" s="3" t="s">
        <v>29</v>
      </c>
      <c r="C470" s="3" t="s">
        <v>30</v>
      </c>
      <c r="D470" s="3" t="s">
        <v>65</v>
      </c>
      <c r="E470" s="3" t="s">
        <v>32</v>
      </c>
      <c r="F470" s="3" t="s">
        <v>334</v>
      </c>
      <c r="G470" s="3">
        <v>2025</v>
      </c>
      <c r="H470" s="3" t="str">
        <f>CONCATENATE("54240565843")</f>
        <v>54240565843</v>
      </c>
      <c r="I470" s="3" t="s">
        <v>34</v>
      </c>
      <c r="J470" s="3" t="s">
        <v>35</v>
      </c>
      <c r="K470" s="3"/>
      <c r="L470" s="3" t="s">
        <v>36</v>
      </c>
      <c r="M470" s="3" t="str">
        <f>CONCATENATE("CRMPLA51B26D488Z")</f>
        <v>CRMPLA51B26D488Z</v>
      </c>
      <c r="N470" s="3" t="s">
        <v>586</v>
      </c>
      <c r="O470" s="3" t="s">
        <v>38</v>
      </c>
      <c r="P470" s="3"/>
      <c r="Q470" s="4">
        <v>45968</v>
      </c>
      <c r="R470" s="3" t="s">
        <v>39</v>
      </c>
      <c r="S470" s="3" t="s">
        <v>38</v>
      </c>
      <c r="T470" s="3" t="s">
        <v>40</v>
      </c>
      <c r="U470" s="3"/>
      <c r="V470" s="3" t="s">
        <v>41</v>
      </c>
      <c r="W470" s="3">
        <v>783.48</v>
      </c>
      <c r="X470" s="3">
        <v>587.61</v>
      </c>
      <c r="Y470" s="3">
        <v>137.11000000000001</v>
      </c>
      <c r="Z470" s="3">
        <v>58.76</v>
      </c>
      <c r="AA470" s="3">
        <v>0</v>
      </c>
    </row>
    <row r="471" spans="1:27" ht="60.75" x14ac:dyDescent="0.25">
      <c r="A471" s="3" t="s">
        <v>28</v>
      </c>
      <c r="B471" s="3" t="s">
        <v>29</v>
      </c>
      <c r="C471" s="3" t="s">
        <v>30</v>
      </c>
      <c r="D471" s="3" t="s">
        <v>42</v>
      </c>
      <c r="E471" s="3" t="s">
        <v>32</v>
      </c>
      <c r="F471" s="3" t="s">
        <v>110</v>
      </c>
      <c r="G471" s="3">
        <v>2025</v>
      </c>
      <c r="H471" s="3" t="str">
        <f>CONCATENATE("54240567450")</f>
        <v>54240567450</v>
      </c>
      <c r="I471" s="3" t="s">
        <v>34</v>
      </c>
      <c r="J471" s="3" t="s">
        <v>35</v>
      </c>
      <c r="K471" s="3"/>
      <c r="L471" s="3" t="s">
        <v>36</v>
      </c>
      <c r="M471" s="3" t="str">
        <f>CONCATENATE("MSCFRC48L62A462E")</f>
        <v>MSCFRC48L62A462E</v>
      </c>
      <c r="N471" s="3" t="s">
        <v>587</v>
      </c>
      <c r="O471" s="3" t="s">
        <v>38</v>
      </c>
      <c r="P471" s="3"/>
      <c r="Q471" s="4">
        <v>45968</v>
      </c>
      <c r="R471" s="3" t="s">
        <v>39</v>
      </c>
      <c r="S471" s="3" t="s">
        <v>38</v>
      </c>
      <c r="T471" s="3" t="s">
        <v>40</v>
      </c>
      <c r="U471" s="3"/>
      <c r="V471" s="3" t="s">
        <v>41</v>
      </c>
      <c r="W471" s="3">
        <v>471.84</v>
      </c>
      <c r="X471" s="3">
        <v>353.88</v>
      </c>
      <c r="Y471" s="3">
        <v>82.57</v>
      </c>
      <c r="Z471" s="3">
        <v>35.39</v>
      </c>
      <c r="AA471" s="3">
        <v>0</v>
      </c>
    </row>
    <row r="472" spans="1:27" ht="60.75" x14ac:dyDescent="0.25">
      <c r="A472" s="3" t="s">
        <v>28</v>
      </c>
      <c r="B472" s="3" t="s">
        <v>29</v>
      </c>
      <c r="C472" s="3" t="s">
        <v>30</v>
      </c>
      <c r="D472" s="3" t="s">
        <v>47</v>
      </c>
      <c r="E472" s="3" t="s">
        <v>51</v>
      </c>
      <c r="F472" s="3" t="s">
        <v>103</v>
      </c>
      <c r="G472" s="3">
        <v>2025</v>
      </c>
      <c r="H472" s="3" t="str">
        <f>CONCATENATE("54240566379")</f>
        <v>54240566379</v>
      </c>
      <c r="I472" s="3" t="s">
        <v>34</v>
      </c>
      <c r="J472" s="3" t="s">
        <v>35</v>
      </c>
      <c r="K472" s="3"/>
      <c r="L472" s="3" t="s">
        <v>36</v>
      </c>
      <c r="M472" s="3" t="str">
        <f>CONCATENATE("GRDPRM44C16G436L")</f>
        <v>GRDPRM44C16G436L</v>
      </c>
      <c r="N472" s="3" t="s">
        <v>588</v>
      </c>
      <c r="O472" s="3" t="s">
        <v>38</v>
      </c>
      <c r="P472" s="3"/>
      <c r="Q472" s="4">
        <v>45968</v>
      </c>
      <c r="R472" s="3" t="s">
        <v>39</v>
      </c>
      <c r="S472" s="3" t="s">
        <v>38</v>
      </c>
      <c r="T472" s="3" t="s">
        <v>40</v>
      </c>
      <c r="U472" s="3"/>
      <c r="V472" s="3" t="s">
        <v>41</v>
      </c>
      <c r="W472" s="5">
        <v>1930.18</v>
      </c>
      <c r="X472" s="5">
        <v>1447.64</v>
      </c>
      <c r="Y472" s="3">
        <v>337.78</v>
      </c>
      <c r="Z472" s="3">
        <v>144.76</v>
      </c>
      <c r="AA472" s="3">
        <v>0</v>
      </c>
    </row>
    <row r="473" spans="1:27" ht="60.75" x14ac:dyDescent="0.25">
      <c r="A473" s="3" t="s">
        <v>28</v>
      </c>
      <c r="B473" s="3" t="s">
        <v>29</v>
      </c>
      <c r="C473" s="3" t="s">
        <v>30</v>
      </c>
      <c r="D473" s="3" t="s">
        <v>31</v>
      </c>
      <c r="E473" s="3" t="s">
        <v>51</v>
      </c>
      <c r="F473" s="3" t="s">
        <v>120</v>
      </c>
      <c r="G473" s="3">
        <v>2025</v>
      </c>
      <c r="H473" s="3" t="str">
        <f>CONCATENATE("54240579620")</f>
        <v>54240579620</v>
      </c>
      <c r="I473" s="3" t="s">
        <v>34</v>
      </c>
      <c r="J473" s="3" t="s">
        <v>35</v>
      </c>
      <c r="K473" s="3"/>
      <c r="L473" s="3" t="s">
        <v>36</v>
      </c>
      <c r="M473" s="3" t="str">
        <f>CONCATENATE("SCHMBL38L47C060A")</f>
        <v>SCHMBL38L47C060A</v>
      </c>
      <c r="N473" s="3" t="s">
        <v>589</v>
      </c>
      <c r="O473" s="3" t="s">
        <v>38</v>
      </c>
      <c r="P473" s="3"/>
      <c r="Q473" s="4">
        <v>45968</v>
      </c>
      <c r="R473" s="3" t="s">
        <v>39</v>
      </c>
      <c r="S473" s="3" t="s">
        <v>38</v>
      </c>
      <c r="T473" s="3" t="s">
        <v>40</v>
      </c>
      <c r="U473" s="3"/>
      <c r="V473" s="3" t="s">
        <v>41</v>
      </c>
      <c r="W473" s="5">
        <v>4069.95</v>
      </c>
      <c r="X473" s="5">
        <v>3052.46</v>
      </c>
      <c r="Y473" s="3">
        <v>712.24</v>
      </c>
      <c r="Z473" s="3">
        <v>305.25</v>
      </c>
      <c r="AA473" s="3">
        <v>0</v>
      </c>
    </row>
    <row r="474" spans="1:27" ht="60.75" x14ac:dyDescent="0.25">
      <c r="A474" s="3" t="s">
        <v>28</v>
      </c>
      <c r="B474" s="3" t="s">
        <v>29</v>
      </c>
      <c r="C474" s="3" t="s">
        <v>30</v>
      </c>
      <c r="D474" s="3" t="s">
        <v>31</v>
      </c>
      <c r="E474" s="3" t="s">
        <v>60</v>
      </c>
      <c r="F474" s="3" t="s">
        <v>61</v>
      </c>
      <c r="G474" s="3">
        <v>2025</v>
      </c>
      <c r="H474" s="3" t="str">
        <f>CONCATENATE("54240566338")</f>
        <v>54240566338</v>
      </c>
      <c r="I474" s="3" t="s">
        <v>34</v>
      </c>
      <c r="J474" s="3" t="s">
        <v>35</v>
      </c>
      <c r="K474" s="3"/>
      <c r="L474" s="3" t="s">
        <v>36</v>
      </c>
      <c r="M474" s="3" t="str">
        <f>CONCATENATE("RSNFPP85D27F964E")</f>
        <v>RSNFPP85D27F964E</v>
      </c>
      <c r="N474" s="3" t="s">
        <v>590</v>
      </c>
      <c r="O474" s="3" t="s">
        <v>38</v>
      </c>
      <c r="P474" s="3"/>
      <c r="Q474" s="4">
        <v>45968</v>
      </c>
      <c r="R474" s="3" t="s">
        <v>39</v>
      </c>
      <c r="S474" s="3" t="s">
        <v>38</v>
      </c>
      <c r="T474" s="3" t="s">
        <v>40</v>
      </c>
      <c r="U474" s="3"/>
      <c r="V474" s="3" t="s">
        <v>41</v>
      </c>
      <c r="W474" s="3">
        <v>633.01</v>
      </c>
      <c r="X474" s="3">
        <v>474.76</v>
      </c>
      <c r="Y474" s="3">
        <v>110.78</v>
      </c>
      <c r="Z474" s="3">
        <v>47.47</v>
      </c>
      <c r="AA474" s="3">
        <v>0</v>
      </c>
    </row>
    <row r="475" spans="1:27" ht="72.75" x14ac:dyDescent="0.25">
      <c r="A475" s="3" t="s">
        <v>28</v>
      </c>
      <c r="B475" s="3" t="s">
        <v>29</v>
      </c>
      <c r="C475" s="3" t="s">
        <v>30</v>
      </c>
      <c r="D475" s="3" t="s">
        <v>47</v>
      </c>
      <c r="E475" s="3" t="s">
        <v>60</v>
      </c>
      <c r="F475" s="3" t="s">
        <v>81</v>
      </c>
      <c r="G475" s="3">
        <v>2025</v>
      </c>
      <c r="H475" s="3" t="str">
        <f>CONCATENATE("54240566700")</f>
        <v>54240566700</v>
      </c>
      <c r="I475" s="3" t="s">
        <v>34</v>
      </c>
      <c r="J475" s="3" t="s">
        <v>35</v>
      </c>
      <c r="K475" s="3"/>
      <c r="L475" s="3" t="s">
        <v>36</v>
      </c>
      <c r="M475" s="3" t="str">
        <f>CONCATENATE("FRSNMR45P53B157M")</f>
        <v>FRSNMR45P53B157M</v>
      </c>
      <c r="N475" s="3" t="s">
        <v>591</v>
      </c>
      <c r="O475" s="3" t="s">
        <v>38</v>
      </c>
      <c r="P475" s="3"/>
      <c r="Q475" s="4">
        <v>45968</v>
      </c>
      <c r="R475" s="3" t="s">
        <v>39</v>
      </c>
      <c r="S475" s="3" t="s">
        <v>38</v>
      </c>
      <c r="T475" s="3" t="s">
        <v>40</v>
      </c>
      <c r="U475" s="3"/>
      <c r="V475" s="3" t="s">
        <v>41</v>
      </c>
      <c r="W475" s="3">
        <v>290.5</v>
      </c>
      <c r="X475" s="3">
        <v>217.88</v>
      </c>
      <c r="Y475" s="3">
        <v>50.84</v>
      </c>
      <c r="Z475" s="3">
        <v>21.78</v>
      </c>
      <c r="AA475" s="3">
        <v>0</v>
      </c>
    </row>
    <row r="476" spans="1:27" ht="60.75" x14ac:dyDescent="0.25">
      <c r="A476" s="3" t="s">
        <v>28</v>
      </c>
      <c r="B476" s="3" t="s">
        <v>29</v>
      </c>
      <c r="C476" s="3" t="s">
        <v>30</v>
      </c>
      <c r="D476" s="3" t="s">
        <v>65</v>
      </c>
      <c r="E476" s="3" t="s">
        <v>51</v>
      </c>
      <c r="F476" s="3" t="s">
        <v>460</v>
      </c>
      <c r="G476" s="3">
        <v>2025</v>
      </c>
      <c r="H476" s="3" t="str">
        <f>CONCATENATE("54240567906")</f>
        <v>54240567906</v>
      </c>
      <c r="I476" s="3" t="s">
        <v>34</v>
      </c>
      <c r="J476" s="3" t="s">
        <v>35</v>
      </c>
      <c r="K476" s="3"/>
      <c r="L476" s="3" t="s">
        <v>36</v>
      </c>
      <c r="M476" s="3" t="str">
        <f>CONCATENATE("PTTBTN66D25F979F")</f>
        <v>PTTBTN66D25F979F</v>
      </c>
      <c r="N476" s="3" t="s">
        <v>592</v>
      </c>
      <c r="O476" s="3" t="s">
        <v>38</v>
      </c>
      <c r="P476" s="3"/>
      <c r="Q476" s="4">
        <v>45968</v>
      </c>
      <c r="R476" s="3" t="s">
        <v>39</v>
      </c>
      <c r="S476" s="3" t="s">
        <v>38</v>
      </c>
      <c r="T476" s="3" t="s">
        <v>40</v>
      </c>
      <c r="U476" s="3"/>
      <c r="V476" s="3" t="s">
        <v>41</v>
      </c>
      <c r="W476" s="5">
        <v>12763.41</v>
      </c>
      <c r="X476" s="5">
        <v>9572.56</v>
      </c>
      <c r="Y476" s="5">
        <v>2233.6</v>
      </c>
      <c r="Z476" s="3">
        <v>957.25</v>
      </c>
      <c r="AA476" s="3">
        <v>0</v>
      </c>
    </row>
    <row r="477" spans="1:27" ht="60.75" x14ac:dyDescent="0.25">
      <c r="A477" s="3" t="s">
        <v>28</v>
      </c>
      <c r="B477" s="3" t="s">
        <v>29</v>
      </c>
      <c r="C477" s="3" t="s">
        <v>30</v>
      </c>
      <c r="D477" s="3" t="s">
        <v>65</v>
      </c>
      <c r="E477" s="3" t="s">
        <v>51</v>
      </c>
      <c r="F477" s="3" t="s">
        <v>460</v>
      </c>
      <c r="G477" s="3">
        <v>2025</v>
      </c>
      <c r="H477" s="3" t="str">
        <f>CONCATENATE("54240567468")</f>
        <v>54240567468</v>
      </c>
      <c r="I477" s="3" t="s">
        <v>44</v>
      </c>
      <c r="J477" s="3" t="s">
        <v>35</v>
      </c>
      <c r="K477" s="3"/>
      <c r="L477" s="3" t="s">
        <v>36</v>
      </c>
      <c r="M477" s="3" t="str">
        <f>CONCATENATE("RSLMGB40B67L500L")</f>
        <v>RSLMGB40B67L500L</v>
      </c>
      <c r="N477" s="3" t="s">
        <v>593</v>
      </c>
      <c r="O477" s="3" t="s">
        <v>38</v>
      </c>
      <c r="P477" s="3"/>
      <c r="Q477" s="4">
        <v>45968</v>
      </c>
      <c r="R477" s="3" t="s">
        <v>39</v>
      </c>
      <c r="S477" s="3" t="s">
        <v>38</v>
      </c>
      <c r="T477" s="3" t="s">
        <v>40</v>
      </c>
      <c r="U477" s="3"/>
      <c r="V477" s="3" t="s">
        <v>41</v>
      </c>
      <c r="W477" s="5">
        <v>2101.91</v>
      </c>
      <c r="X477" s="5">
        <v>1576.43</v>
      </c>
      <c r="Y477" s="3">
        <v>367.83</v>
      </c>
      <c r="Z477" s="3">
        <v>157.65</v>
      </c>
      <c r="AA477" s="3">
        <v>0</v>
      </c>
    </row>
    <row r="478" spans="1:27" ht="60.75" x14ac:dyDescent="0.25">
      <c r="A478" s="3" t="s">
        <v>28</v>
      </c>
      <c r="B478" s="3" t="s">
        <v>29</v>
      </c>
      <c r="C478" s="3" t="s">
        <v>30</v>
      </c>
      <c r="D478" s="3" t="s">
        <v>42</v>
      </c>
      <c r="E478" s="3" t="s">
        <v>51</v>
      </c>
      <c r="F478" s="3" t="s">
        <v>115</v>
      </c>
      <c r="G478" s="3">
        <v>2025</v>
      </c>
      <c r="H478" s="3" t="str">
        <f>CONCATENATE("54240569753")</f>
        <v>54240569753</v>
      </c>
      <c r="I478" s="3" t="s">
        <v>34</v>
      </c>
      <c r="J478" s="3" t="s">
        <v>35</v>
      </c>
      <c r="K478" s="3"/>
      <c r="L478" s="3" t="s">
        <v>36</v>
      </c>
      <c r="M478" s="3" t="str">
        <f>CONCATENATE("SGRDVD82E27H769M")</f>
        <v>SGRDVD82E27H769M</v>
      </c>
      <c r="N478" s="3" t="s">
        <v>594</v>
      </c>
      <c r="O478" s="3" t="s">
        <v>38</v>
      </c>
      <c r="P478" s="3"/>
      <c r="Q478" s="4">
        <v>45968</v>
      </c>
      <c r="R478" s="3" t="s">
        <v>39</v>
      </c>
      <c r="S478" s="3" t="s">
        <v>38</v>
      </c>
      <c r="T478" s="3" t="s">
        <v>40</v>
      </c>
      <c r="U478" s="3"/>
      <c r="V478" s="3" t="s">
        <v>41</v>
      </c>
      <c r="W478" s="5">
        <v>27577.91</v>
      </c>
      <c r="X478" s="5">
        <v>20683.43</v>
      </c>
      <c r="Y478" s="5">
        <v>4826.13</v>
      </c>
      <c r="Z478" s="5">
        <v>2068.35</v>
      </c>
      <c r="AA478" s="3">
        <v>0</v>
      </c>
    </row>
    <row r="479" spans="1:27" ht="36.75" x14ac:dyDescent="0.25">
      <c r="A479" s="3" t="s">
        <v>28</v>
      </c>
      <c r="B479" s="3" t="s">
        <v>29</v>
      </c>
      <c r="C479" s="3" t="s">
        <v>30</v>
      </c>
      <c r="D479" s="3" t="s">
        <v>65</v>
      </c>
      <c r="E479" s="3" t="s">
        <v>51</v>
      </c>
      <c r="F479" s="3" t="s">
        <v>105</v>
      </c>
      <c r="G479" s="3">
        <v>2025</v>
      </c>
      <c r="H479" s="3" t="str">
        <f>CONCATENATE("54240568581")</f>
        <v>54240568581</v>
      </c>
      <c r="I479" s="3" t="s">
        <v>34</v>
      </c>
      <c r="J479" s="3" t="s">
        <v>35</v>
      </c>
      <c r="K479" s="3"/>
      <c r="L479" s="3" t="s">
        <v>36</v>
      </c>
      <c r="M479" s="3" t="str">
        <f>CONCATENATE("02461200418")</f>
        <v>02461200418</v>
      </c>
      <c r="N479" s="3" t="s">
        <v>595</v>
      </c>
      <c r="O479" s="3" t="s">
        <v>38</v>
      </c>
      <c r="P479" s="3"/>
      <c r="Q479" s="4">
        <v>45968</v>
      </c>
      <c r="R479" s="3" t="s">
        <v>39</v>
      </c>
      <c r="S479" s="3" t="s">
        <v>38</v>
      </c>
      <c r="T479" s="3" t="s">
        <v>40</v>
      </c>
      <c r="U479" s="3"/>
      <c r="V479" s="3" t="s">
        <v>41</v>
      </c>
      <c r="W479" s="5">
        <v>2250.15</v>
      </c>
      <c r="X479" s="5">
        <v>1687.61</v>
      </c>
      <c r="Y479" s="3">
        <v>393.78</v>
      </c>
      <c r="Z479" s="3">
        <v>168.76</v>
      </c>
      <c r="AA479" s="3">
        <v>0</v>
      </c>
    </row>
    <row r="480" spans="1:27" ht="72.75" x14ac:dyDescent="0.25">
      <c r="A480" s="3" t="s">
        <v>28</v>
      </c>
      <c r="B480" s="3" t="s">
        <v>29</v>
      </c>
      <c r="C480" s="3" t="s">
        <v>30</v>
      </c>
      <c r="D480" s="3" t="s">
        <v>42</v>
      </c>
      <c r="E480" s="3" t="s">
        <v>43</v>
      </c>
      <c r="F480" s="3" t="s">
        <v>43</v>
      </c>
      <c r="G480" s="3">
        <v>2025</v>
      </c>
      <c r="H480" s="3" t="str">
        <f>CONCATENATE("54240568656")</f>
        <v>54240568656</v>
      </c>
      <c r="I480" s="3" t="s">
        <v>34</v>
      </c>
      <c r="J480" s="3" t="s">
        <v>35</v>
      </c>
      <c r="K480" s="3"/>
      <c r="L480" s="3" t="s">
        <v>36</v>
      </c>
      <c r="M480" s="3" t="str">
        <f>CONCATENATE("VGNTNN49A18H321N")</f>
        <v>VGNTNN49A18H321N</v>
      </c>
      <c r="N480" s="3" t="s">
        <v>596</v>
      </c>
      <c r="O480" s="3" t="s">
        <v>38</v>
      </c>
      <c r="P480" s="3"/>
      <c r="Q480" s="4">
        <v>45968</v>
      </c>
      <c r="R480" s="3" t="s">
        <v>39</v>
      </c>
      <c r="S480" s="3" t="s">
        <v>38</v>
      </c>
      <c r="T480" s="3" t="s">
        <v>40</v>
      </c>
      <c r="U480" s="3"/>
      <c r="V480" s="3" t="s">
        <v>41</v>
      </c>
      <c r="W480" s="5">
        <v>6031.63</v>
      </c>
      <c r="X480" s="5">
        <v>4523.72</v>
      </c>
      <c r="Y480" s="5">
        <v>1055.54</v>
      </c>
      <c r="Z480" s="3">
        <v>452.37</v>
      </c>
      <c r="AA480" s="3">
        <v>0</v>
      </c>
    </row>
    <row r="481" spans="1:27" ht="60.75" x14ac:dyDescent="0.25">
      <c r="A481" s="3" t="s">
        <v>28</v>
      </c>
      <c r="B481" s="3" t="s">
        <v>29</v>
      </c>
      <c r="C481" s="3" t="s">
        <v>30</v>
      </c>
      <c r="D481" s="3" t="s">
        <v>47</v>
      </c>
      <c r="E481" s="3" t="s">
        <v>48</v>
      </c>
      <c r="F481" s="3" t="s">
        <v>90</v>
      </c>
      <c r="G481" s="3">
        <v>2025</v>
      </c>
      <c r="H481" s="3" t="str">
        <f>CONCATENATE("54240568946")</f>
        <v>54240568946</v>
      </c>
      <c r="I481" s="3" t="s">
        <v>34</v>
      </c>
      <c r="J481" s="3" t="s">
        <v>35</v>
      </c>
      <c r="K481" s="3"/>
      <c r="L481" s="3" t="s">
        <v>36</v>
      </c>
      <c r="M481" s="3" t="str">
        <f>CONCATENATE("VSSMRK77B15L191Y")</f>
        <v>VSSMRK77B15L191Y</v>
      </c>
      <c r="N481" s="3" t="s">
        <v>597</v>
      </c>
      <c r="O481" s="3" t="s">
        <v>38</v>
      </c>
      <c r="P481" s="3"/>
      <c r="Q481" s="4">
        <v>45968</v>
      </c>
      <c r="R481" s="3" t="s">
        <v>39</v>
      </c>
      <c r="S481" s="3" t="s">
        <v>38</v>
      </c>
      <c r="T481" s="3" t="s">
        <v>40</v>
      </c>
      <c r="U481" s="3"/>
      <c r="V481" s="3" t="s">
        <v>41</v>
      </c>
      <c r="W481" s="3">
        <v>453.45</v>
      </c>
      <c r="X481" s="3">
        <v>340.09</v>
      </c>
      <c r="Y481" s="3">
        <v>79.349999999999994</v>
      </c>
      <c r="Z481" s="3">
        <v>34.01</v>
      </c>
      <c r="AA481" s="3">
        <v>0</v>
      </c>
    </row>
    <row r="482" spans="1:27" ht="72.75" x14ac:dyDescent="0.25">
      <c r="A482" s="3" t="s">
        <v>28</v>
      </c>
      <c r="B482" s="3" t="s">
        <v>29</v>
      </c>
      <c r="C482" s="3" t="s">
        <v>30</v>
      </c>
      <c r="D482" s="3" t="s">
        <v>47</v>
      </c>
      <c r="E482" s="3" t="s">
        <v>132</v>
      </c>
      <c r="F482" s="3" t="s">
        <v>133</v>
      </c>
      <c r="G482" s="3">
        <v>2025</v>
      </c>
      <c r="H482" s="3" t="str">
        <f>CONCATENATE("54240568995")</f>
        <v>54240568995</v>
      </c>
      <c r="I482" s="3" t="s">
        <v>34</v>
      </c>
      <c r="J482" s="3" t="s">
        <v>35</v>
      </c>
      <c r="K482" s="3"/>
      <c r="L482" s="3" t="s">
        <v>36</v>
      </c>
      <c r="M482" s="3" t="str">
        <f>CONCATENATE("FSSNMR64A52A329V")</f>
        <v>FSSNMR64A52A329V</v>
      </c>
      <c r="N482" s="3" t="s">
        <v>598</v>
      </c>
      <c r="O482" s="3" t="s">
        <v>38</v>
      </c>
      <c r="P482" s="3"/>
      <c r="Q482" s="4">
        <v>45968</v>
      </c>
      <c r="R482" s="3" t="s">
        <v>39</v>
      </c>
      <c r="S482" s="3" t="s">
        <v>38</v>
      </c>
      <c r="T482" s="3" t="s">
        <v>40</v>
      </c>
      <c r="U482" s="3"/>
      <c r="V482" s="3" t="s">
        <v>41</v>
      </c>
      <c r="W482" s="5">
        <v>1564.5</v>
      </c>
      <c r="X482" s="5">
        <v>1173.3800000000001</v>
      </c>
      <c r="Y482" s="3">
        <v>273.79000000000002</v>
      </c>
      <c r="Z482" s="3">
        <v>117.33</v>
      </c>
      <c r="AA482" s="3">
        <v>0</v>
      </c>
    </row>
    <row r="483" spans="1:27" ht="60.75" x14ac:dyDescent="0.25">
      <c r="A483" s="3" t="s">
        <v>28</v>
      </c>
      <c r="B483" s="3" t="s">
        <v>29</v>
      </c>
      <c r="C483" s="3" t="s">
        <v>30</v>
      </c>
      <c r="D483" s="3" t="s">
        <v>65</v>
      </c>
      <c r="E483" s="3" t="s">
        <v>51</v>
      </c>
      <c r="F483" s="3" t="s">
        <v>105</v>
      </c>
      <c r="G483" s="3">
        <v>2025</v>
      </c>
      <c r="H483" s="3" t="str">
        <f>CONCATENATE("54240568722")</f>
        <v>54240568722</v>
      </c>
      <c r="I483" s="3" t="s">
        <v>34</v>
      </c>
      <c r="J483" s="3" t="s">
        <v>35</v>
      </c>
      <c r="K483" s="3"/>
      <c r="L483" s="3" t="s">
        <v>36</v>
      </c>
      <c r="M483" s="3" t="str">
        <f>CONCATENATE("SRCVNT91E65A089S")</f>
        <v>SRCVNT91E65A089S</v>
      </c>
      <c r="N483" s="3" t="s">
        <v>599</v>
      </c>
      <c r="O483" s="3" t="s">
        <v>38</v>
      </c>
      <c r="P483" s="3"/>
      <c r="Q483" s="4">
        <v>45968</v>
      </c>
      <c r="R483" s="3" t="s">
        <v>39</v>
      </c>
      <c r="S483" s="3" t="s">
        <v>38</v>
      </c>
      <c r="T483" s="3" t="s">
        <v>40</v>
      </c>
      <c r="U483" s="3"/>
      <c r="V483" s="3" t="s">
        <v>41</v>
      </c>
      <c r="W483" s="5">
        <v>2780.71</v>
      </c>
      <c r="X483" s="5">
        <v>2085.5300000000002</v>
      </c>
      <c r="Y483" s="3">
        <v>486.62</v>
      </c>
      <c r="Z483" s="3">
        <v>208.56</v>
      </c>
      <c r="AA483" s="3">
        <v>0</v>
      </c>
    </row>
    <row r="484" spans="1:27" ht="60.75" x14ac:dyDescent="0.25">
      <c r="A484" s="3" t="s">
        <v>28</v>
      </c>
      <c r="B484" s="3" t="s">
        <v>29</v>
      </c>
      <c r="C484" s="3" t="s">
        <v>30</v>
      </c>
      <c r="D484" s="3" t="s">
        <v>42</v>
      </c>
      <c r="E484" s="3" t="s">
        <v>51</v>
      </c>
      <c r="F484" s="3" t="s">
        <v>157</v>
      </c>
      <c r="G484" s="3">
        <v>2025</v>
      </c>
      <c r="H484" s="3" t="str">
        <f>CONCATENATE("54240569746")</f>
        <v>54240569746</v>
      </c>
      <c r="I484" s="3" t="s">
        <v>34</v>
      </c>
      <c r="J484" s="3" t="s">
        <v>35</v>
      </c>
      <c r="K484" s="3"/>
      <c r="L484" s="3" t="s">
        <v>36</v>
      </c>
      <c r="M484" s="3" t="str">
        <f>CONCATENATE("BRDVNT87C56C770G")</f>
        <v>BRDVNT87C56C770G</v>
      </c>
      <c r="N484" s="3" t="s">
        <v>600</v>
      </c>
      <c r="O484" s="3" t="s">
        <v>38</v>
      </c>
      <c r="P484" s="3"/>
      <c r="Q484" s="4">
        <v>45968</v>
      </c>
      <c r="R484" s="3" t="s">
        <v>39</v>
      </c>
      <c r="S484" s="3" t="s">
        <v>38</v>
      </c>
      <c r="T484" s="3" t="s">
        <v>40</v>
      </c>
      <c r="U484" s="3"/>
      <c r="V484" s="3" t="s">
        <v>41</v>
      </c>
      <c r="W484" s="5">
        <v>9191.89</v>
      </c>
      <c r="X484" s="5">
        <v>6893.92</v>
      </c>
      <c r="Y484" s="5">
        <v>1608.58</v>
      </c>
      <c r="Z484" s="3">
        <v>689.39</v>
      </c>
      <c r="AA484" s="3">
        <v>0</v>
      </c>
    </row>
    <row r="485" spans="1:27" ht="36.75" x14ac:dyDescent="0.25">
      <c r="A485" s="3" t="s">
        <v>28</v>
      </c>
      <c r="B485" s="3" t="s">
        <v>29</v>
      </c>
      <c r="C485" s="3" t="s">
        <v>30</v>
      </c>
      <c r="D485" s="3" t="s">
        <v>42</v>
      </c>
      <c r="E485" s="3" t="s">
        <v>51</v>
      </c>
      <c r="F485" s="3" t="s">
        <v>157</v>
      </c>
      <c r="G485" s="3">
        <v>2025</v>
      </c>
      <c r="H485" s="3" t="str">
        <f>CONCATENATE("54240569563")</f>
        <v>54240569563</v>
      </c>
      <c r="I485" s="3" t="s">
        <v>34</v>
      </c>
      <c r="J485" s="3" t="s">
        <v>35</v>
      </c>
      <c r="K485" s="3"/>
      <c r="L485" s="3" t="s">
        <v>36</v>
      </c>
      <c r="M485" s="3" t="str">
        <f>CONCATENATE("02469110445")</f>
        <v>02469110445</v>
      </c>
      <c r="N485" s="3" t="s">
        <v>601</v>
      </c>
      <c r="O485" s="3" t="s">
        <v>38</v>
      </c>
      <c r="P485" s="3"/>
      <c r="Q485" s="4">
        <v>45968</v>
      </c>
      <c r="R485" s="3" t="s">
        <v>39</v>
      </c>
      <c r="S485" s="3" t="s">
        <v>38</v>
      </c>
      <c r="T485" s="3" t="s">
        <v>40</v>
      </c>
      <c r="U485" s="3"/>
      <c r="V485" s="3" t="s">
        <v>41</v>
      </c>
      <c r="W485" s="5">
        <v>2073.86</v>
      </c>
      <c r="X485" s="5">
        <v>1555.4</v>
      </c>
      <c r="Y485" s="3">
        <v>362.93</v>
      </c>
      <c r="Z485" s="3">
        <v>155.53</v>
      </c>
      <c r="AA485" s="3">
        <v>0</v>
      </c>
    </row>
    <row r="486" spans="1:27" ht="72.75" x14ac:dyDescent="0.25">
      <c r="A486" s="3" t="s">
        <v>28</v>
      </c>
      <c r="B486" s="3" t="s">
        <v>29</v>
      </c>
      <c r="C486" s="3" t="s">
        <v>30</v>
      </c>
      <c r="D486" s="3" t="s">
        <v>65</v>
      </c>
      <c r="E486" s="3" t="s">
        <v>32</v>
      </c>
      <c r="F486" s="3" t="s">
        <v>144</v>
      </c>
      <c r="G486" s="3">
        <v>2025</v>
      </c>
      <c r="H486" s="3" t="str">
        <f>CONCATENATE("54240569944")</f>
        <v>54240569944</v>
      </c>
      <c r="I486" s="3" t="s">
        <v>34</v>
      </c>
      <c r="J486" s="3" t="s">
        <v>35</v>
      </c>
      <c r="K486" s="3"/>
      <c r="L486" s="3" t="s">
        <v>36</v>
      </c>
      <c r="M486" s="3" t="str">
        <f>CONCATENATE("MRNMSM76T22I287R")</f>
        <v>MRNMSM76T22I287R</v>
      </c>
      <c r="N486" s="3" t="s">
        <v>602</v>
      </c>
      <c r="O486" s="3" t="s">
        <v>38</v>
      </c>
      <c r="P486" s="3"/>
      <c r="Q486" s="4">
        <v>45968</v>
      </c>
      <c r="R486" s="3" t="s">
        <v>39</v>
      </c>
      <c r="S486" s="3" t="s">
        <v>38</v>
      </c>
      <c r="T486" s="3" t="s">
        <v>40</v>
      </c>
      <c r="U486" s="3"/>
      <c r="V486" s="3" t="s">
        <v>41</v>
      </c>
      <c r="W486" s="5">
        <v>6094.97</v>
      </c>
      <c r="X486" s="5">
        <v>4571.2299999999996</v>
      </c>
      <c r="Y486" s="5">
        <v>1066.6199999999999</v>
      </c>
      <c r="Z486" s="3">
        <v>457.12</v>
      </c>
      <c r="AA486" s="3">
        <v>0</v>
      </c>
    </row>
    <row r="487" spans="1:27" ht="60.75" x14ac:dyDescent="0.25">
      <c r="A487" s="3" t="s">
        <v>28</v>
      </c>
      <c r="B487" s="3" t="s">
        <v>29</v>
      </c>
      <c r="C487" s="3" t="s">
        <v>30</v>
      </c>
      <c r="D487" s="3" t="s">
        <v>65</v>
      </c>
      <c r="E487" s="3" t="s">
        <v>32</v>
      </c>
      <c r="F487" s="3" t="s">
        <v>334</v>
      </c>
      <c r="G487" s="3">
        <v>2025</v>
      </c>
      <c r="H487" s="3" t="str">
        <f>CONCATENATE("54240569878")</f>
        <v>54240569878</v>
      </c>
      <c r="I487" s="3" t="s">
        <v>34</v>
      </c>
      <c r="J487" s="3" t="s">
        <v>35</v>
      </c>
      <c r="K487" s="3"/>
      <c r="L487" s="3" t="s">
        <v>36</v>
      </c>
      <c r="M487" s="3" t="str">
        <f>CONCATENATE("ZLTRSL57M62D157G")</f>
        <v>ZLTRSL57M62D157G</v>
      </c>
      <c r="N487" s="3" t="s">
        <v>603</v>
      </c>
      <c r="O487" s="3" t="s">
        <v>38</v>
      </c>
      <c r="P487" s="3"/>
      <c r="Q487" s="4">
        <v>45968</v>
      </c>
      <c r="R487" s="3" t="s">
        <v>39</v>
      </c>
      <c r="S487" s="3" t="s">
        <v>38</v>
      </c>
      <c r="T487" s="3" t="s">
        <v>40</v>
      </c>
      <c r="U487" s="3"/>
      <c r="V487" s="3" t="s">
        <v>41</v>
      </c>
      <c r="W487" s="3">
        <v>681.73</v>
      </c>
      <c r="X487" s="3">
        <v>511.3</v>
      </c>
      <c r="Y487" s="3">
        <v>119.3</v>
      </c>
      <c r="Z487" s="3">
        <v>51.13</v>
      </c>
      <c r="AA487" s="3">
        <v>0</v>
      </c>
    </row>
    <row r="488" spans="1:27" ht="60.75" x14ac:dyDescent="0.25">
      <c r="A488" s="3" t="s">
        <v>28</v>
      </c>
      <c r="B488" s="3" t="s">
        <v>29</v>
      </c>
      <c r="C488" s="3" t="s">
        <v>30</v>
      </c>
      <c r="D488" s="3" t="s">
        <v>65</v>
      </c>
      <c r="E488" s="3" t="s">
        <v>51</v>
      </c>
      <c r="F488" s="3" t="s">
        <v>460</v>
      </c>
      <c r="G488" s="3">
        <v>2025</v>
      </c>
      <c r="H488" s="3" t="str">
        <f>CONCATENATE("54240570025")</f>
        <v>54240570025</v>
      </c>
      <c r="I488" s="3" t="s">
        <v>44</v>
      </c>
      <c r="J488" s="3" t="s">
        <v>35</v>
      </c>
      <c r="K488" s="3"/>
      <c r="L488" s="3" t="s">
        <v>36</v>
      </c>
      <c r="M488" s="3" t="str">
        <f>CONCATENATE("PRLMRC88R13L500K")</f>
        <v>PRLMRC88R13L500K</v>
      </c>
      <c r="N488" s="3" t="s">
        <v>604</v>
      </c>
      <c r="O488" s="3" t="s">
        <v>38</v>
      </c>
      <c r="P488" s="3"/>
      <c r="Q488" s="4">
        <v>45968</v>
      </c>
      <c r="R488" s="3" t="s">
        <v>39</v>
      </c>
      <c r="S488" s="3" t="s">
        <v>38</v>
      </c>
      <c r="T488" s="3" t="s">
        <v>40</v>
      </c>
      <c r="U488" s="3"/>
      <c r="V488" s="3" t="s">
        <v>41</v>
      </c>
      <c r="W488" s="5">
        <v>2629.97</v>
      </c>
      <c r="X488" s="5">
        <v>1972.48</v>
      </c>
      <c r="Y488" s="3">
        <v>460.24</v>
      </c>
      <c r="Z488" s="3">
        <v>197.25</v>
      </c>
      <c r="AA488" s="3">
        <v>0</v>
      </c>
    </row>
    <row r="489" spans="1:27" ht="72.75" x14ac:dyDescent="0.25">
      <c r="A489" s="3" t="s">
        <v>28</v>
      </c>
      <c r="B489" s="3" t="s">
        <v>29</v>
      </c>
      <c r="C489" s="3" t="s">
        <v>30</v>
      </c>
      <c r="D489" s="3" t="s">
        <v>42</v>
      </c>
      <c r="E489" s="3" t="s">
        <v>32</v>
      </c>
      <c r="F489" s="3" t="s">
        <v>110</v>
      </c>
      <c r="G489" s="3">
        <v>2025</v>
      </c>
      <c r="H489" s="3" t="str">
        <f>CONCATENATE("54240570512")</f>
        <v>54240570512</v>
      </c>
      <c r="I489" s="3" t="s">
        <v>34</v>
      </c>
      <c r="J489" s="3" t="s">
        <v>35</v>
      </c>
      <c r="K489" s="3"/>
      <c r="L489" s="3" t="s">
        <v>36</v>
      </c>
      <c r="M489" s="3" t="str">
        <f>CONCATENATE("CRRMNL60B55D210M")</f>
        <v>CRRMNL60B55D210M</v>
      </c>
      <c r="N489" s="3" t="s">
        <v>605</v>
      </c>
      <c r="O489" s="3" t="s">
        <v>38</v>
      </c>
      <c r="P489" s="3"/>
      <c r="Q489" s="4">
        <v>45968</v>
      </c>
      <c r="R489" s="3" t="s">
        <v>39</v>
      </c>
      <c r="S489" s="3" t="s">
        <v>38</v>
      </c>
      <c r="T489" s="3" t="s">
        <v>40</v>
      </c>
      <c r="U489" s="3"/>
      <c r="V489" s="3" t="s">
        <v>41</v>
      </c>
      <c r="W489" s="5">
        <v>5295.99</v>
      </c>
      <c r="X489" s="5">
        <v>3971.99</v>
      </c>
      <c r="Y489" s="3">
        <v>926.8</v>
      </c>
      <c r="Z489" s="3">
        <v>397.2</v>
      </c>
      <c r="AA489" s="3">
        <v>0</v>
      </c>
    </row>
    <row r="490" spans="1:27" ht="36.75" x14ac:dyDescent="0.25">
      <c r="A490" s="3" t="s">
        <v>28</v>
      </c>
      <c r="B490" s="3" t="s">
        <v>29</v>
      </c>
      <c r="C490" s="3" t="s">
        <v>30</v>
      </c>
      <c r="D490" s="3" t="s">
        <v>47</v>
      </c>
      <c r="E490" s="3" t="s">
        <v>32</v>
      </c>
      <c r="F490" s="3" t="s">
        <v>33</v>
      </c>
      <c r="G490" s="3">
        <v>2025</v>
      </c>
      <c r="H490" s="3" t="str">
        <f>CONCATENATE("54240570256")</f>
        <v>54240570256</v>
      </c>
      <c r="I490" s="3" t="s">
        <v>34</v>
      </c>
      <c r="J490" s="3" t="s">
        <v>35</v>
      </c>
      <c r="K490" s="3"/>
      <c r="L490" s="3" t="s">
        <v>36</v>
      </c>
      <c r="M490" s="3" t="str">
        <f>CONCATENATE("02182330429")</f>
        <v>02182330429</v>
      </c>
      <c r="N490" s="3" t="s">
        <v>606</v>
      </c>
      <c r="O490" s="3" t="s">
        <v>38</v>
      </c>
      <c r="P490" s="3"/>
      <c r="Q490" s="4">
        <v>45968</v>
      </c>
      <c r="R490" s="3" t="s">
        <v>39</v>
      </c>
      <c r="S490" s="3" t="s">
        <v>38</v>
      </c>
      <c r="T490" s="3" t="s">
        <v>40</v>
      </c>
      <c r="U490" s="3"/>
      <c r="V490" s="3" t="s">
        <v>41</v>
      </c>
      <c r="W490" s="5">
        <v>5750.56</v>
      </c>
      <c r="X490" s="5">
        <v>4312.92</v>
      </c>
      <c r="Y490" s="5">
        <v>1006.35</v>
      </c>
      <c r="Z490" s="3">
        <v>431.29</v>
      </c>
      <c r="AA490" s="3">
        <v>0</v>
      </c>
    </row>
    <row r="491" spans="1:27" ht="60.75" x14ac:dyDescent="0.25">
      <c r="A491" s="3" t="s">
        <v>28</v>
      </c>
      <c r="B491" s="3" t="s">
        <v>29</v>
      </c>
      <c r="C491" s="3" t="s">
        <v>30</v>
      </c>
      <c r="D491" s="3" t="s">
        <v>65</v>
      </c>
      <c r="E491" s="3" t="s">
        <v>32</v>
      </c>
      <c r="F491" s="3" t="s">
        <v>334</v>
      </c>
      <c r="G491" s="3">
        <v>2025</v>
      </c>
      <c r="H491" s="3" t="str">
        <f>CONCATENATE("54240586815")</f>
        <v>54240586815</v>
      </c>
      <c r="I491" s="3" t="s">
        <v>34</v>
      </c>
      <c r="J491" s="3" t="s">
        <v>35</v>
      </c>
      <c r="K491" s="3"/>
      <c r="L491" s="3" t="s">
        <v>36</v>
      </c>
      <c r="M491" s="3" t="str">
        <f>CONCATENATE("TLAGNN46B03F347Q")</f>
        <v>TLAGNN46B03F347Q</v>
      </c>
      <c r="N491" s="3" t="s">
        <v>607</v>
      </c>
      <c r="O491" s="3" t="s">
        <v>38</v>
      </c>
      <c r="P491" s="3"/>
      <c r="Q491" s="4">
        <v>45968</v>
      </c>
      <c r="R491" s="3" t="s">
        <v>39</v>
      </c>
      <c r="S491" s="3" t="s">
        <v>38</v>
      </c>
      <c r="T491" s="3" t="s">
        <v>40</v>
      </c>
      <c r="U491" s="3"/>
      <c r="V491" s="3" t="s">
        <v>41</v>
      </c>
      <c r="W491" s="3">
        <v>890.11</v>
      </c>
      <c r="X491" s="3">
        <v>667.58</v>
      </c>
      <c r="Y491" s="3">
        <v>155.77000000000001</v>
      </c>
      <c r="Z491" s="3">
        <v>66.760000000000005</v>
      </c>
      <c r="AA491" s="3">
        <v>0</v>
      </c>
    </row>
    <row r="492" spans="1:27" ht="36.75" x14ac:dyDescent="0.25">
      <c r="A492" s="3" t="s">
        <v>28</v>
      </c>
      <c r="B492" s="3" t="s">
        <v>29</v>
      </c>
      <c r="C492" s="3" t="s">
        <v>30</v>
      </c>
      <c r="D492" s="3" t="s">
        <v>47</v>
      </c>
      <c r="E492" s="3" t="s">
        <v>32</v>
      </c>
      <c r="F492" s="3" t="s">
        <v>33</v>
      </c>
      <c r="G492" s="3">
        <v>2025</v>
      </c>
      <c r="H492" s="3" t="str">
        <f>CONCATENATE("54240570603")</f>
        <v>54240570603</v>
      </c>
      <c r="I492" s="3" t="s">
        <v>34</v>
      </c>
      <c r="J492" s="3" t="s">
        <v>35</v>
      </c>
      <c r="K492" s="3"/>
      <c r="L492" s="3" t="s">
        <v>36</v>
      </c>
      <c r="M492" s="3" t="str">
        <f>CONCATENATE("02108620416")</f>
        <v>02108620416</v>
      </c>
      <c r="N492" s="3" t="s">
        <v>608</v>
      </c>
      <c r="O492" s="3" t="s">
        <v>38</v>
      </c>
      <c r="P492" s="3"/>
      <c r="Q492" s="4">
        <v>45968</v>
      </c>
      <c r="R492" s="3" t="s">
        <v>39</v>
      </c>
      <c r="S492" s="3" t="s">
        <v>38</v>
      </c>
      <c r="T492" s="3" t="s">
        <v>40</v>
      </c>
      <c r="U492" s="3"/>
      <c r="V492" s="3" t="s">
        <v>41</v>
      </c>
      <c r="W492" s="5">
        <v>1212.3399999999999</v>
      </c>
      <c r="X492" s="3">
        <v>909.26</v>
      </c>
      <c r="Y492" s="3">
        <v>212.16</v>
      </c>
      <c r="Z492" s="3">
        <v>90.92</v>
      </c>
      <c r="AA492" s="3">
        <v>0</v>
      </c>
    </row>
    <row r="493" spans="1:27" ht="60.75" x14ac:dyDescent="0.25">
      <c r="A493" s="3" t="s">
        <v>28</v>
      </c>
      <c r="B493" s="3" t="s">
        <v>29</v>
      </c>
      <c r="C493" s="3" t="s">
        <v>30</v>
      </c>
      <c r="D493" s="3" t="s">
        <v>65</v>
      </c>
      <c r="E493" s="3" t="s">
        <v>32</v>
      </c>
      <c r="F493" s="3" t="s">
        <v>144</v>
      </c>
      <c r="G493" s="3">
        <v>2025</v>
      </c>
      <c r="H493" s="3" t="str">
        <f>CONCATENATE("54240573342")</f>
        <v>54240573342</v>
      </c>
      <c r="I493" s="3" t="s">
        <v>34</v>
      </c>
      <c r="J493" s="3" t="s">
        <v>35</v>
      </c>
      <c r="K493" s="3"/>
      <c r="L493" s="3" t="s">
        <v>36</v>
      </c>
      <c r="M493" s="3" t="str">
        <f>CONCATENATE("MNTLYI95P16Z154Q")</f>
        <v>MNTLYI95P16Z154Q</v>
      </c>
      <c r="N493" s="3" t="s">
        <v>609</v>
      </c>
      <c r="O493" s="3" t="s">
        <v>38</v>
      </c>
      <c r="P493" s="3"/>
      <c r="Q493" s="4">
        <v>45968</v>
      </c>
      <c r="R493" s="3" t="s">
        <v>39</v>
      </c>
      <c r="S493" s="3" t="s">
        <v>38</v>
      </c>
      <c r="T493" s="3" t="s">
        <v>40</v>
      </c>
      <c r="U493" s="3"/>
      <c r="V493" s="3" t="s">
        <v>41</v>
      </c>
      <c r="W493" s="5">
        <v>12177.46</v>
      </c>
      <c r="X493" s="5">
        <v>9133.1</v>
      </c>
      <c r="Y493" s="5">
        <v>2131.06</v>
      </c>
      <c r="Z493" s="3">
        <v>913.3</v>
      </c>
      <c r="AA493" s="3">
        <v>0</v>
      </c>
    </row>
    <row r="494" spans="1:27" ht="36.75" x14ac:dyDescent="0.25">
      <c r="A494" s="3" t="s">
        <v>28</v>
      </c>
      <c r="B494" s="3" t="s">
        <v>29</v>
      </c>
      <c r="C494" s="3" t="s">
        <v>30</v>
      </c>
      <c r="D494" s="3" t="s">
        <v>42</v>
      </c>
      <c r="E494" s="3" t="s">
        <v>43</v>
      </c>
      <c r="F494" s="3" t="s">
        <v>43</v>
      </c>
      <c r="G494" s="3">
        <v>2025</v>
      </c>
      <c r="H494" s="3" t="str">
        <f>CONCATENATE("54240656782")</f>
        <v>54240656782</v>
      </c>
      <c r="I494" s="3" t="s">
        <v>34</v>
      </c>
      <c r="J494" s="3" t="s">
        <v>35</v>
      </c>
      <c r="K494" s="3"/>
      <c r="L494" s="3" t="s">
        <v>36</v>
      </c>
      <c r="M494" s="3" t="str">
        <f>CONCATENATE("02326090442")</f>
        <v>02326090442</v>
      </c>
      <c r="N494" s="3" t="s">
        <v>610</v>
      </c>
      <c r="O494" s="3" t="s">
        <v>38</v>
      </c>
      <c r="P494" s="3"/>
      <c r="Q494" s="4">
        <v>45968</v>
      </c>
      <c r="R494" s="3" t="s">
        <v>39</v>
      </c>
      <c r="S494" s="3" t="s">
        <v>38</v>
      </c>
      <c r="T494" s="3" t="s">
        <v>40</v>
      </c>
      <c r="U494" s="3"/>
      <c r="V494" s="3" t="s">
        <v>41</v>
      </c>
      <c r="W494" s="5">
        <v>9288.51</v>
      </c>
      <c r="X494" s="5">
        <v>6966.38</v>
      </c>
      <c r="Y494" s="5">
        <v>1625.49</v>
      </c>
      <c r="Z494" s="3">
        <v>696.64</v>
      </c>
      <c r="AA494" s="3">
        <v>0</v>
      </c>
    </row>
    <row r="495" spans="1:27" ht="60.75" x14ac:dyDescent="0.25">
      <c r="A495" s="3" t="s">
        <v>28</v>
      </c>
      <c r="B495" s="3" t="s">
        <v>29</v>
      </c>
      <c r="C495" s="3" t="s">
        <v>30</v>
      </c>
      <c r="D495" s="3" t="s">
        <v>65</v>
      </c>
      <c r="E495" s="3" t="s">
        <v>60</v>
      </c>
      <c r="F495" s="3" t="s">
        <v>85</v>
      </c>
      <c r="G495" s="3">
        <v>2025</v>
      </c>
      <c r="H495" s="3" t="str">
        <f>CONCATENATE("54240659349")</f>
        <v>54240659349</v>
      </c>
      <c r="I495" s="3" t="s">
        <v>34</v>
      </c>
      <c r="J495" s="3" t="s">
        <v>35</v>
      </c>
      <c r="K495" s="3"/>
      <c r="L495" s="3" t="s">
        <v>36</v>
      </c>
      <c r="M495" s="3" t="str">
        <f>CONCATENATE("RRSMRA54M13E441N")</f>
        <v>RRSMRA54M13E441N</v>
      </c>
      <c r="N495" s="3" t="s">
        <v>611</v>
      </c>
      <c r="O495" s="3" t="s">
        <v>38</v>
      </c>
      <c r="P495" s="3"/>
      <c r="Q495" s="4">
        <v>45968</v>
      </c>
      <c r="R495" s="3" t="s">
        <v>39</v>
      </c>
      <c r="S495" s="3" t="s">
        <v>38</v>
      </c>
      <c r="T495" s="3" t="s">
        <v>40</v>
      </c>
      <c r="U495" s="3"/>
      <c r="V495" s="3" t="s">
        <v>41</v>
      </c>
      <c r="W495" s="5">
        <v>1571.34</v>
      </c>
      <c r="X495" s="5">
        <v>1178.51</v>
      </c>
      <c r="Y495" s="3">
        <v>274.98</v>
      </c>
      <c r="Z495" s="3">
        <v>117.85</v>
      </c>
      <c r="AA495" s="3">
        <v>0</v>
      </c>
    </row>
    <row r="496" spans="1:27" ht="60.75" x14ac:dyDescent="0.25">
      <c r="A496" s="3" t="s">
        <v>28</v>
      </c>
      <c r="B496" s="3" t="s">
        <v>29</v>
      </c>
      <c r="C496" s="3" t="s">
        <v>30</v>
      </c>
      <c r="D496" s="3" t="s">
        <v>47</v>
      </c>
      <c r="E496" s="3" t="s">
        <v>51</v>
      </c>
      <c r="F496" s="3" t="s">
        <v>147</v>
      </c>
      <c r="G496" s="3">
        <v>2025</v>
      </c>
      <c r="H496" s="3" t="str">
        <f>CONCATENATE("54240664109")</f>
        <v>54240664109</v>
      </c>
      <c r="I496" s="3" t="s">
        <v>34</v>
      </c>
      <c r="J496" s="3" t="s">
        <v>35</v>
      </c>
      <c r="K496" s="3"/>
      <c r="L496" s="3" t="s">
        <v>36</v>
      </c>
      <c r="M496" s="3" t="str">
        <f>CONCATENATE("GRGMRT54P24L191H")</f>
        <v>GRGMRT54P24L191H</v>
      </c>
      <c r="N496" s="3" t="s">
        <v>612</v>
      </c>
      <c r="O496" s="3" t="s">
        <v>38</v>
      </c>
      <c r="P496" s="3"/>
      <c r="Q496" s="4">
        <v>45968</v>
      </c>
      <c r="R496" s="3" t="s">
        <v>39</v>
      </c>
      <c r="S496" s="3" t="s">
        <v>38</v>
      </c>
      <c r="T496" s="3" t="s">
        <v>40</v>
      </c>
      <c r="U496" s="3"/>
      <c r="V496" s="3" t="s">
        <v>41</v>
      </c>
      <c r="W496" s="5">
        <v>1265.0999999999999</v>
      </c>
      <c r="X496" s="3">
        <v>948.83</v>
      </c>
      <c r="Y496" s="3">
        <v>221.39</v>
      </c>
      <c r="Z496" s="3">
        <v>94.88</v>
      </c>
      <c r="AA496" s="3">
        <v>0</v>
      </c>
    </row>
    <row r="497" spans="1:27" ht="60.75" x14ac:dyDescent="0.25">
      <c r="A497" s="3" t="s">
        <v>28</v>
      </c>
      <c r="B497" s="3" t="s">
        <v>29</v>
      </c>
      <c r="C497" s="3" t="s">
        <v>30</v>
      </c>
      <c r="D497" s="3" t="s">
        <v>42</v>
      </c>
      <c r="E497" s="3" t="s">
        <v>43</v>
      </c>
      <c r="F497" s="3" t="s">
        <v>43</v>
      </c>
      <c r="G497" s="3">
        <v>2025</v>
      </c>
      <c r="H497" s="3" t="str">
        <f>CONCATENATE("54240520996")</f>
        <v>54240520996</v>
      </c>
      <c r="I497" s="3" t="s">
        <v>44</v>
      </c>
      <c r="J497" s="3" t="s">
        <v>35</v>
      </c>
      <c r="K497" s="3"/>
      <c r="L497" s="3" t="s">
        <v>36</v>
      </c>
      <c r="M497" s="3" t="str">
        <f>CONCATENATE("SRGMRA63B01G005Y")</f>
        <v>SRGMRA63B01G005Y</v>
      </c>
      <c r="N497" s="3" t="s">
        <v>613</v>
      </c>
      <c r="O497" s="3" t="s">
        <v>38</v>
      </c>
      <c r="P497" s="3"/>
      <c r="Q497" s="4">
        <v>45968</v>
      </c>
      <c r="R497" s="3" t="s">
        <v>39</v>
      </c>
      <c r="S497" s="3" t="s">
        <v>38</v>
      </c>
      <c r="T497" s="3" t="s">
        <v>40</v>
      </c>
      <c r="U497" s="3"/>
      <c r="V497" s="3" t="s">
        <v>41</v>
      </c>
      <c r="W497" s="3">
        <v>839.13</v>
      </c>
      <c r="X497" s="3">
        <v>629.35</v>
      </c>
      <c r="Y497" s="3">
        <v>146.85</v>
      </c>
      <c r="Z497" s="3">
        <v>62.93</v>
      </c>
      <c r="AA497" s="3">
        <v>0</v>
      </c>
    </row>
    <row r="498" spans="1:27" ht="72.75" x14ac:dyDescent="0.25">
      <c r="A498" s="3" t="s">
        <v>28</v>
      </c>
      <c r="B498" s="3" t="s">
        <v>29</v>
      </c>
      <c r="C498" s="3" t="s">
        <v>30</v>
      </c>
      <c r="D498" s="3" t="s">
        <v>42</v>
      </c>
      <c r="E498" s="3" t="s">
        <v>51</v>
      </c>
      <c r="F498" s="3" t="s">
        <v>52</v>
      </c>
      <c r="G498" s="3">
        <v>2025</v>
      </c>
      <c r="H498" s="3" t="str">
        <f>CONCATENATE("54240521481")</f>
        <v>54240521481</v>
      </c>
      <c r="I498" s="3" t="s">
        <v>34</v>
      </c>
      <c r="J498" s="3" t="s">
        <v>35</v>
      </c>
      <c r="K498" s="3"/>
      <c r="L498" s="3" t="s">
        <v>36</v>
      </c>
      <c r="M498" s="3" t="str">
        <f>CONCATENATE("GMNGSI76M51H769O")</f>
        <v>GMNGSI76M51H769O</v>
      </c>
      <c r="N498" s="3" t="s">
        <v>614</v>
      </c>
      <c r="O498" s="3" t="s">
        <v>38</v>
      </c>
      <c r="P498" s="3"/>
      <c r="Q498" s="4">
        <v>45968</v>
      </c>
      <c r="R498" s="3" t="s">
        <v>39</v>
      </c>
      <c r="S498" s="3" t="s">
        <v>38</v>
      </c>
      <c r="T498" s="3" t="s">
        <v>40</v>
      </c>
      <c r="U498" s="3"/>
      <c r="V498" s="3" t="s">
        <v>41</v>
      </c>
      <c r="W498" s="5">
        <v>2863.49</v>
      </c>
      <c r="X498" s="5">
        <v>2147.62</v>
      </c>
      <c r="Y498" s="3">
        <v>501.11</v>
      </c>
      <c r="Z498" s="3">
        <v>214.76</v>
      </c>
      <c r="AA498" s="3">
        <v>0</v>
      </c>
    </row>
    <row r="499" spans="1:27" ht="36.75" x14ac:dyDescent="0.25">
      <c r="A499" s="3" t="s">
        <v>28</v>
      </c>
      <c r="B499" s="3" t="s">
        <v>29</v>
      </c>
      <c r="C499" s="3" t="s">
        <v>30</v>
      </c>
      <c r="D499" s="3" t="s">
        <v>42</v>
      </c>
      <c r="E499" s="3" t="s">
        <v>43</v>
      </c>
      <c r="F499" s="3" t="s">
        <v>43</v>
      </c>
      <c r="G499" s="3">
        <v>2025</v>
      </c>
      <c r="H499" s="3" t="str">
        <f>CONCATENATE("54240523578")</f>
        <v>54240523578</v>
      </c>
      <c r="I499" s="3" t="s">
        <v>44</v>
      </c>
      <c r="J499" s="3" t="s">
        <v>35</v>
      </c>
      <c r="K499" s="3"/>
      <c r="L499" s="3" t="s">
        <v>36</v>
      </c>
      <c r="M499" s="3" t="str">
        <f>CONCATENATE("01507720447")</f>
        <v>01507720447</v>
      </c>
      <c r="N499" s="3" t="s">
        <v>615</v>
      </c>
      <c r="O499" s="3" t="s">
        <v>38</v>
      </c>
      <c r="P499" s="3"/>
      <c r="Q499" s="4">
        <v>45968</v>
      </c>
      <c r="R499" s="3" t="s">
        <v>39</v>
      </c>
      <c r="S499" s="3" t="s">
        <v>38</v>
      </c>
      <c r="T499" s="3" t="s">
        <v>40</v>
      </c>
      <c r="U499" s="3"/>
      <c r="V499" s="3" t="s">
        <v>41</v>
      </c>
      <c r="W499" s="5">
        <v>13698.74</v>
      </c>
      <c r="X499" s="5">
        <v>10274.06</v>
      </c>
      <c r="Y499" s="5">
        <v>2397.2800000000002</v>
      </c>
      <c r="Z499" s="5">
        <v>1027.4000000000001</v>
      </c>
      <c r="AA499" s="3">
        <v>0</v>
      </c>
    </row>
    <row r="500" spans="1:27" ht="60.75" x14ac:dyDescent="0.25">
      <c r="A500" s="3" t="s">
        <v>28</v>
      </c>
      <c r="B500" s="3" t="s">
        <v>29</v>
      </c>
      <c r="C500" s="3" t="s">
        <v>30</v>
      </c>
      <c r="D500" s="3" t="s">
        <v>47</v>
      </c>
      <c r="E500" s="3" t="s">
        <v>48</v>
      </c>
      <c r="F500" s="3" t="s">
        <v>249</v>
      </c>
      <c r="G500" s="3">
        <v>2025</v>
      </c>
      <c r="H500" s="3" t="str">
        <f>CONCATENATE("54240675147")</f>
        <v>54240675147</v>
      </c>
      <c r="I500" s="3" t="s">
        <v>34</v>
      </c>
      <c r="J500" s="3" t="s">
        <v>35</v>
      </c>
      <c r="K500" s="3"/>
      <c r="L500" s="3" t="s">
        <v>36</v>
      </c>
      <c r="M500" s="3" t="str">
        <f>CONCATENATE("GSINDR65H16H876I")</f>
        <v>GSINDR65H16H876I</v>
      </c>
      <c r="N500" s="3" t="s">
        <v>616</v>
      </c>
      <c r="O500" s="3" t="s">
        <v>38</v>
      </c>
      <c r="P500" s="3"/>
      <c r="Q500" s="4">
        <v>45968</v>
      </c>
      <c r="R500" s="3" t="s">
        <v>39</v>
      </c>
      <c r="S500" s="3" t="s">
        <v>38</v>
      </c>
      <c r="T500" s="3" t="s">
        <v>40</v>
      </c>
      <c r="U500" s="3"/>
      <c r="V500" s="3" t="s">
        <v>41</v>
      </c>
      <c r="W500" s="5">
        <v>14039.33</v>
      </c>
      <c r="X500" s="5">
        <v>10529.5</v>
      </c>
      <c r="Y500" s="5">
        <v>2456.88</v>
      </c>
      <c r="Z500" s="5">
        <v>1052.95</v>
      </c>
      <c r="AA500" s="3">
        <v>0</v>
      </c>
    </row>
    <row r="501" spans="1:27" ht="36.75" x14ac:dyDescent="0.25">
      <c r="A501" s="3" t="s">
        <v>28</v>
      </c>
      <c r="B501" s="3" t="s">
        <v>29</v>
      </c>
      <c r="C501" s="3" t="s">
        <v>30</v>
      </c>
      <c r="D501" s="3" t="s">
        <v>31</v>
      </c>
      <c r="E501" s="3" t="s">
        <v>132</v>
      </c>
      <c r="F501" s="3" t="s">
        <v>547</v>
      </c>
      <c r="G501" s="3">
        <v>2025</v>
      </c>
      <c r="H501" s="3" t="str">
        <f>CONCATENATE("54240531134")</f>
        <v>54240531134</v>
      </c>
      <c r="I501" s="3" t="s">
        <v>34</v>
      </c>
      <c r="J501" s="3" t="s">
        <v>35</v>
      </c>
      <c r="K501" s="3"/>
      <c r="L501" s="3" t="s">
        <v>36</v>
      </c>
      <c r="M501" s="3" t="str">
        <f>CONCATENATE("02148850429")</f>
        <v>02148850429</v>
      </c>
      <c r="N501" s="3" t="s">
        <v>617</v>
      </c>
      <c r="O501" s="3" t="s">
        <v>38</v>
      </c>
      <c r="P501" s="3"/>
      <c r="Q501" s="4">
        <v>45968</v>
      </c>
      <c r="R501" s="3" t="s">
        <v>39</v>
      </c>
      <c r="S501" s="3" t="s">
        <v>38</v>
      </c>
      <c r="T501" s="3" t="s">
        <v>40</v>
      </c>
      <c r="U501" s="3"/>
      <c r="V501" s="3" t="s">
        <v>41</v>
      </c>
      <c r="W501" s="5">
        <v>5619.24</v>
      </c>
      <c r="X501" s="5">
        <v>4214.43</v>
      </c>
      <c r="Y501" s="3">
        <v>983.37</v>
      </c>
      <c r="Z501" s="3">
        <v>421.44</v>
      </c>
      <c r="AA501" s="3">
        <v>0</v>
      </c>
    </row>
    <row r="502" spans="1:27" ht="36.75" x14ac:dyDescent="0.25">
      <c r="A502" s="3" t="s">
        <v>28</v>
      </c>
      <c r="B502" s="3" t="s">
        <v>29</v>
      </c>
      <c r="C502" s="3" t="s">
        <v>30</v>
      </c>
      <c r="D502" s="3" t="s">
        <v>42</v>
      </c>
      <c r="E502" s="3" t="s">
        <v>43</v>
      </c>
      <c r="F502" s="3" t="s">
        <v>43</v>
      </c>
      <c r="G502" s="3">
        <v>2025</v>
      </c>
      <c r="H502" s="3" t="str">
        <f>CONCATENATE("54240665684")</f>
        <v>54240665684</v>
      </c>
      <c r="I502" s="3" t="s">
        <v>34</v>
      </c>
      <c r="J502" s="3" t="s">
        <v>35</v>
      </c>
      <c r="K502" s="3"/>
      <c r="L502" s="3" t="s">
        <v>36</v>
      </c>
      <c r="M502" s="3" t="str">
        <f>CONCATENATE("02374310445")</f>
        <v>02374310445</v>
      </c>
      <c r="N502" s="3" t="s">
        <v>618</v>
      </c>
      <c r="O502" s="3" t="s">
        <v>38</v>
      </c>
      <c r="P502" s="3"/>
      <c r="Q502" s="4">
        <v>45968</v>
      </c>
      <c r="R502" s="3" t="s">
        <v>39</v>
      </c>
      <c r="S502" s="3" t="s">
        <v>38</v>
      </c>
      <c r="T502" s="3" t="s">
        <v>40</v>
      </c>
      <c r="U502" s="3"/>
      <c r="V502" s="3" t="s">
        <v>41</v>
      </c>
      <c r="W502" s="5">
        <v>11040.66</v>
      </c>
      <c r="X502" s="5">
        <v>8280.5</v>
      </c>
      <c r="Y502" s="5">
        <v>1932.12</v>
      </c>
      <c r="Z502" s="3">
        <v>828.04</v>
      </c>
      <c r="AA502" s="3">
        <v>0</v>
      </c>
    </row>
    <row r="503" spans="1:27" ht="60.75" x14ac:dyDescent="0.25">
      <c r="A503" s="3" t="s">
        <v>28</v>
      </c>
      <c r="B503" s="3" t="s">
        <v>29</v>
      </c>
      <c r="C503" s="3" t="s">
        <v>30</v>
      </c>
      <c r="D503" s="3" t="s">
        <v>47</v>
      </c>
      <c r="E503" s="3" t="s">
        <v>48</v>
      </c>
      <c r="F503" s="3" t="s">
        <v>90</v>
      </c>
      <c r="G503" s="3">
        <v>2025</v>
      </c>
      <c r="H503" s="3" t="str">
        <f>CONCATENATE("54240538881")</f>
        <v>54240538881</v>
      </c>
      <c r="I503" s="3" t="s">
        <v>34</v>
      </c>
      <c r="J503" s="3" t="s">
        <v>35</v>
      </c>
      <c r="K503" s="3"/>
      <c r="L503" s="3" t="s">
        <v>36</v>
      </c>
      <c r="M503" s="3" t="str">
        <f>CONCATENATE("SCMFRC95P17I156S")</f>
        <v>SCMFRC95P17I156S</v>
      </c>
      <c r="N503" s="3" t="s">
        <v>619</v>
      </c>
      <c r="O503" s="3" t="s">
        <v>38</v>
      </c>
      <c r="P503" s="3"/>
      <c r="Q503" s="4">
        <v>45968</v>
      </c>
      <c r="R503" s="3" t="s">
        <v>39</v>
      </c>
      <c r="S503" s="3" t="s">
        <v>38</v>
      </c>
      <c r="T503" s="3" t="s">
        <v>40</v>
      </c>
      <c r="U503" s="3"/>
      <c r="V503" s="3" t="s">
        <v>41</v>
      </c>
      <c r="W503" s="5">
        <v>8824.84</v>
      </c>
      <c r="X503" s="5">
        <v>6618.63</v>
      </c>
      <c r="Y503" s="5">
        <v>1544.35</v>
      </c>
      <c r="Z503" s="3">
        <v>661.86</v>
      </c>
      <c r="AA503" s="3">
        <v>0</v>
      </c>
    </row>
    <row r="504" spans="1:27" ht="72.75" x14ac:dyDescent="0.25">
      <c r="A504" s="3" t="s">
        <v>28</v>
      </c>
      <c r="B504" s="3" t="s">
        <v>29</v>
      </c>
      <c r="C504" s="3" t="s">
        <v>30</v>
      </c>
      <c r="D504" s="3" t="s">
        <v>42</v>
      </c>
      <c r="E504" s="3" t="s">
        <v>51</v>
      </c>
      <c r="F504" s="3" t="s">
        <v>52</v>
      </c>
      <c r="G504" s="3">
        <v>2025</v>
      </c>
      <c r="H504" s="3" t="str">
        <f>CONCATENATE("54240526910")</f>
        <v>54240526910</v>
      </c>
      <c r="I504" s="3" t="s">
        <v>34</v>
      </c>
      <c r="J504" s="3" t="s">
        <v>35</v>
      </c>
      <c r="K504" s="3"/>
      <c r="L504" s="3" t="s">
        <v>36</v>
      </c>
      <c r="M504" s="3" t="str">
        <f>CONCATENATE("GBBTZN77M53H769U")</f>
        <v>GBBTZN77M53H769U</v>
      </c>
      <c r="N504" s="3" t="s">
        <v>620</v>
      </c>
      <c r="O504" s="3" t="s">
        <v>38</v>
      </c>
      <c r="P504" s="3"/>
      <c r="Q504" s="4">
        <v>45968</v>
      </c>
      <c r="R504" s="3" t="s">
        <v>39</v>
      </c>
      <c r="S504" s="3" t="s">
        <v>38</v>
      </c>
      <c r="T504" s="3" t="s">
        <v>40</v>
      </c>
      <c r="U504" s="3"/>
      <c r="V504" s="3" t="s">
        <v>41</v>
      </c>
      <c r="W504" s="5">
        <v>14695.84</v>
      </c>
      <c r="X504" s="5">
        <v>11021.88</v>
      </c>
      <c r="Y504" s="5">
        <v>2571.77</v>
      </c>
      <c r="Z504" s="5">
        <v>1102.19</v>
      </c>
      <c r="AA504" s="3">
        <v>0</v>
      </c>
    </row>
    <row r="505" spans="1:27" ht="60.75" x14ac:dyDescent="0.25">
      <c r="A505" s="3" t="s">
        <v>28</v>
      </c>
      <c r="B505" s="3" t="s">
        <v>29</v>
      </c>
      <c r="C505" s="3" t="s">
        <v>30</v>
      </c>
      <c r="D505" s="3" t="s">
        <v>31</v>
      </c>
      <c r="E505" s="3" t="s">
        <v>32</v>
      </c>
      <c r="F505" s="3" t="s">
        <v>621</v>
      </c>
      <c r="G505" s="3">
        <v>2025</v>
      </c>
      <c r="H505" s="3" t="str">
        <f>CONCATENATE("54240526779")</f>
        <v>54240526779</v>
      </c>
      <c r="I505" s="3" t="s">
        <v>34</v>
      </c>
      <c r="J505" s="3" t="s">
        <v>35</v>
      </c>
      <c r="K505" s="3"/>
      <c r="L505" s="3" t="s">
        <v>36</v>
      </c>
      <c r="M505" s="3" t="str">
        <f>CONCATENATE("GLTSCR49P27I608G")</f>
        <v>GLTSCR49P27I608G</v>
      </c>
      <c r="N505" s="3" t="s">
        <v>622</v>
      </c>
      <c r="O505" s="3" t="s">
        <v>38</v>
      </c>
      <c r="P505" s="3"/>
      <c r="Q505" s="4">
        <v>45968</v>
      </c>
      <c r="R505" s="3" t="s">
        <v>39</v>
      </c>
      <c r="S505" s="3" t="s">
        <v>38</v>
      </c>
      <c r="T505" s="3" t="s">
        <v>40</v>
      </c>
      <c r="U505" s="3"/>
      <c r="V505" s="3" t="s">
        <v>41</v>
      </c>
      <c r="W505" s="3">
        <v>840.2</v>
      </c>
      <c r="X505" s="3">
        <v>630.15</v>
      </c>
      <c r="Y505" s="3">
        <v>147.04</v>
      </c>
      <c r="Z505" s="3">
        <v>63.01</v>
      </c>
      <c r="AA505" s="3">
        <v>0</v>
      </c>
    </row>
    <row r="506" spans="1:27" ht="60.75" x14ac:dyDescent="0.25">
      <c r="A506" s="3" t="s">
        <v>28</v>
      </c>
      <c r="B506" s="3" t="s">
        <v>29</v>
      </c>
      <c r="C506" s="3" t="s">
        <v>30</v>
      </c>
      <c r="D506" s="3" t="s">
        <v>31</v>
      </c>
      <c r="E506" s="3" t="s">
        <v>32</v>
      </c>
      <c r="F506" s="3" t="s">
        <v>621</v>
      </c>
      <c r="G506" s="3">
        <v>2025</v>
      </c>
      <c r="H506" s="3" t="str">
        <f>CONCATENATE("54240526688")</f>
        <v>54240526688</v>
      </c>
      <c r="I506" s="3" t="s">
        <v>34</v>
      </c>
      <c r="J506" s="3" t="s">
        <v>35</v>
      </c>
      <c r="K506" s="3"/>
      <c r="L506" s="3" t="s">
        <v>36</v>
      </c>
      <c r="M506" s="3" t="str">
        <f>CONCATENATE("GGGMLE89B03I608D")</f>
        <v>GGGMLE89B03I608D</v>
      </c>
      <c r="N506" s="3" t="s">
        <v>623</v>
      </c>
      <c r="O506" s="3" t="s">
        <v>38</v>
      </c>
      <c r="P506" s="3"/>
      <c r="Q506" s="4">
        <v>45968</v>
      </c>
      <c r="R506" s="3" t="s">
        <v>39</v>
      </c>
      <c r="S506" s="3" t="s">
        <v>38</v>
      </c>
      <c r="T506" s="3" t="s">
        <v>40</v>
      </c>
      <c r="U506" s="3"/>
      <c r="V506" s="3" t="s">
        <v>41</v>
      </c>
      <c r="W506" s="3">
        <v>287.08</v>
      </c>
      <c r="X506" s="3">
        <v>215.31</v>
      </c>
      <c r="Y506" s="3">
        <v>50.24</v>
      </c>
      <c r="Z506" s="3">
        <v>21.53</v>
      </c>
      <c r="AA506" s="3">
        <v>0</v>
      </c>
    </row>
    <row r="507" spans="1:27" ht="60.75" x14ac:dyDescent="0.25">
      <c r="A507" s="3" t="s">
        <v>28</v>
      </c>
      <c r="B507" s="3" t="s">
        <v>29</v>
      </c>
      <c r="C507" s="3" t="s">
        <v>30</v>
      </c>
      <c r="D507" s="3" t="s">
        <v>65</v>
      </c>
      <c r="E507" s="3" t="s">
        <v>51</v>
      </c>
      <c r="F507" s="3" t="s">
        <v>126</v>
      </c>
      <c r="G507" s="3">
        <v>2025</v>
      </c>
      <c r="H507" s="3" t="str">
        <f>CONCATENATE("54240526878")</f>
        <v>54240526878</v>
      </c>
      <c r="I507" s="3" t="s">
        <v>34</v>
      </c>
      <c r="J507" s="3" t="s">
        <v>35</v>
      </c>
      <c r="K507" s="3"/>
      <c r="L507" s="3" t="s">
        <v>36</v>
      </c>
      <c r="M507" s="3" t="str">
        <f>CONCATENATE("SCCMTR96L43L500Z")</f>
        <v>SCCMTR96L43L500Z</v>
      </c>
      <c r="N507" s="3" t="s">
        <v>624</v>
      </c>
      <c r="O507" s="3" t="s">
        <v>38</v>
      </c>
      <c r="P507" s="3"/>
      <c r="Q507" s="4">
        <v>45968</v>
      </c>
      <c r="R507" s="3" t="s">
        <v>39</v>
      </c>
      <c r="S507" s="3" t="s">
        <v>38</v>
      </c>
      <c r="T507" s="3" t="s">
        <v>40</v>
      </c>
      <c r="U507" s="3"/>
      <c r="V507" s="3" t="s">
        <v>41</v>
      </c>
      <c r="W507" s="5">
        <v>1072.1600000000001</v>
      </c>
      <c r="X507" s="3">
        <v>804.12</v>
      </c>
      <c r="Y507" s="3">
        <v>187.63</v>
      </c>
      <c r="Z507" s="3">
        <v>80.41</v>
      </c>
      <c r="AA507" s="3">
        <v>0</v>
      </c>
    </row>
    <row r="508" spans="1:27" ht="60.75" x14ac:dyDescent="0.25">
      <c r="A508" s="3" t="s">
        <v>28</v>
      </c>
      <c r="B508" s="3" t="s">
        <v>29</v>
      </c>
      <c r="C508" s="3" t="s">
        <v>30</v>
      </c>
      <c r="D508" s="3" t="s">
        <v>65</v>
      </c>
      <c r="E508" s="3" t="s">
        <v>32</v>
      </c>
      <c r="F508" s="3" t="s">
        <v>625</v>
      </c>
      <c r="G508" s="3">
        <v>2025</v>
      </c>
      <c r="H508" s="3" t="str">
        <f>CONCATENATE("54240527256")</f>
        <v>54240527256</v>
      </c>
      <c r="I508" s="3" t="s">
        <v>34</v>
      </c>
      <c r="J508" s="3" t="s">
        <v>35</v>
      </c>
      <c r="K508" s="3"/>
      <c r="L508" s="3" t="s">
        <v>36</v>
      </c>
      <c r="M508" s="3" t="str">
        <f>CONCATENATE("PTRVNI83T15G479Q")</f>
        <v>PTRVNI83T15G479Q</v>
      </c>
      <c r="N508" s="3" t="s">
        <v>626</v>
      </c>
      <c r="O508" s="3" t="s">
        <v>38</v>
      </c>
      <c r="P508" s="3"/>
      <c r="Q508" s="4">
        <v>45968</v>
      </c>
      <c r="R508" s="3" t="s">
        <v>39</v>
      </c>
      <c r="S508" s="3" t="s">
        <v>38</v>
      </c>
      <c r="T508" s="3" t="s">
        <v>40</v>
      </c>
      <c r="U508" s="3"/>
      <c r="V508" s="3" t="s">
        <v>41</v>
      </c>
      <c r="W508" s="5">
        <v>3183.22</v>
      </c>
      <c r="X508" s="5">
        <v>2387.42</v>
      </c>
      <c r="Y508" s="3">
        <v>557.05999999999995</v>
      </c>
      <c r="Z508" s="3">
        <v>238.74</v>
      </c>
      <c r="AA508" s="3">
        <v>0</v>
      </c>
    </row>
    <row r="509" spans="1:27" ht="60.75" x14ac:dyDescent="0.25">
      <c r="A509" s="3" t="s">
        <v>28</v>
      </c>
      <c r="B509" s="3" t="s">
        <v>29</v>
      </c>
      <c r="C509" s="3" t="s">
        <v>30</v>
      </c>
      <c r="D509" s="3" t="s">
        <v>31</v>
      </c>
      <c r="E509" s="3" t="s">
        <v>132</v>
      </c>
      <c r="F509" s="3" t="s">
        <v>133</v>
      </c>
      <c r="G509" s="3">
        <v>2025</v>
      </c>
      <c r="H509" s="3" t="str">
        <f>CONCATENATE("54240537321")</f>
        <v>54240537321</v>
      </c>
      <c r="I509" s="3" t="s">
        <v>34</v>
      </c>
      <c r="J509" s="3" t="s">
        <v>35</v>
      </c>
      <c r="K509" s="3"/>
      <c r="L509" s="3" t="s">
        <v>36</v>
      </c>
      <c r="M509" s="3" t="str">
        <f>CONCATENATE("MRCLRC52P04E388W")</f>
        <v>MRCLRC52P04E388W</v>
      </c>
      <c r="N509" s="3" t="s">
        <v>627</v>
      </c>
      <c r="O509" s="3" t="s">
        <v>38</v>
      </c>
      <c r="P509" s="3"/>
      <c r="Q509" s="4">
        <v>45968</v>
      </c>
      <c r="R509" s="3" t="s">
        <v>39</v>
      </c>
      <c r="S509" s="3" t="s">
        <v>38</v>
      </c>
      <c r="T509" s="3" t="s">
        <v>40</v>
      </c>
      <c r="U509" s="3"/>
      <c r="V509" s="3" t="s">
        <v>41</v>
      </c>
      <c r="W509" s="5">
        <v>1557.65</v>
      </c>
      <c r="X509" s="5">
        <v>1168.24</v>
      </c>
      <c r="Y509" s="3">
        <v>272.58999999999997</v>
      </c>
      <c r="Z509" s="3">
        <v>116.82</v>
      </c>
      <c r="AA509" s="3">
        <v>0</v>
      </c>
    </row>
    <row r="510" spans="1:27" ht="60.75" x14ac:dyDescent="0.25">
      <c r="A510" s="3" t="s">
        <v>28</v>
      </c>
      <c r="B510" s="3" t="s">
        <v>29</v>
      </c>
      <c r="C510" s="3" t="s">
        <v>30</v>
      </c>
      <c r="D510" s="3" t="s">
        <v>47</v>
      </c>
      <c r="E510" s="3" t="s">
        <v>51</v>
      </c>
      <c r="F510" s="3" t="s">
        <v>107</v>
      </c>
      <c r="G510" s="3">
        <v>2025</v>
      </c>
      <c r="H510" s="3" t="str">
        <f>CONCATENATE("54240546637")</f>
        <v>54240546637</v>
      </c>
      <c r="I510" s="3" t="s">
        <v>34</v>
      </c>
      <c r="J510" s="3" t="s">
        <v>35</v>
      </c>
      <c r="K510" s="3"/>
      <c r="L510" s="3" t="s">
        <v>36</v>
      </c>
      <c r="M510" s="3" t="str">
        <f>CONCATENATE("PCCMTT00P29E783O")</f>
        <v>PCCMTT00P29E783O</v>
      </c>
      <c r="N510" s="3" t="s">
        <v>628</v>
      </c>
      <c r="O510" s="3" t="s">
        <v>38</v>
      </c>
      <c r="P510" s="3"/>
      <c r="Q510" s="4">
        <v>45968</v>
      </c>
      <c r="R510" s="3" t="s">
        <v>39</v>
      </c>
      <c r="S510" s="3" t="s">
        <v>38</v>
      </c>
      <c r="T510" s="3" t="s">
        <v>40</v>
      </c>
      <c r="U510" s="3"/>
      <c r="V510" s="3" t="s">
        <v>41</v>
      </c>
      <c r="W510" s="5">
        <v>1107.82</v>
      </c>
      <c r="X510" s="3">
        <v>830.87</v>
      </c>
      <c r="Y510" s="3">
        <v>193.87</v>
      </c>
      <c r="Z510" s="3">
        <v>83.08</v>
      </c>
      <c r="AA510" s="3">
        <v>0</v>
      </c>
    </row>
    <row r="511" spans="1:27" ht="60.75" x14ac:dyDescent="0.25">
      <c r="A511" s="3" t="s">
        <v>28</v>
      </c>
      <c r="B511" s="3" t="s">
        <v>29</v>
      </c>
      <c r="C511" s="3" t="s">
        <v>30</v>
      </c>
      <c r="D511" s="3" t="s">
        <v>31</v>
      </c>
      <c r="E511" s="3" t="s">
        <v>32</v>
      </c>
      <c r="F511" s="3" t="s">
        <v>621</v>
      </c>
      <c r="G511" s="3">
        <v>2025</v>
      </c>
      <c r="H511" s="3" t="str">
        <f>CONCATENATE("54240527504")</f>
        <v>54240527504</v>
      </c>
      <c r="I511" s="3" t="s">
        <v>34</v>
      </c>
      <c r="J511" s="3" t="s">
        <v>35</v>
      </c>
      <c r="K511" s="3"/>
      <c r="L511" s="3" t="s">
        <v>36</v>
      </c>
      <c r="M511" s="3" t="str">
        <f>CONCATENATE("MSSPLA64L22D007O")</f>
        <v>MSSPLA64L22D007O</v>
      </c>
      <c r="N511" s="3" t="s">
        <v>629</v>
      </c>
      <c r="O511" s="3" t="s">
        <v>38</v>
      </c>
      <c r="P511" s="3"/>
      <c r="Q511" s="4">
        <v>45968</v>
      </c>
      <c r="R511" s="3" t="s">
        <v>39</v>
      </c>
      <c r="S511" s="3" t="s">
        <v>38</v>
      </c>
      <c r="T511" s="3" t="s">
        <v>40</v>
      </c>
      <c r="U511" s="3"/>
      <c r="V511" s="3" t="s">
        <v>41</v>
      </c>
      <c r="W511" s="3">
        <v>170.03</v>
      </c>
      <c r="X511" s="3">
        <v>127.52</v>
      </c>
      <c r="Y511" s="3">
        <v>29.76</v>
      </c>
      <c r="Z511" s="3">
        <v>12.75</v>
      </c>
      <c r="AA511" s="3">
        <v>0</v>
      </c>
    </row>
    <row r="512" spans="1:27" ht="36.75" x14ac:dyDescent="0.25">
      <c r="A512" s="3" t="s">
        <v>28</v>
      </c>
      <c r="B512" s="3" t="s">
        <v>29</v>
      </c>
      <c r="C512" s="3" t="s">
        <v>30</v>
      </c>
      <c r="D512" s="3" t="s">
        <v>31</v>
      </c>
      <c r="E512" s="3" t="s">
        <v>32</v>
      </c>
      <c r="F512" s="3" t="s">
        <v>621</v>
      </c>
      <c r="G512" s="3">
        <v>2025</v>
      </c>
      <c r="H512" s="3" t="str">
        <f>CONCATENATE("54240528171")</f>
        <v>54240528171</v>
      </c>
      <c r="I512" s="3" t="s">
        <v>34</v>
      </c>
      <c r="J512" s="3" t="s">
        <v>35</v>
      </c>
      <c r="K512" s="3"/>
      <c r="L512" s="3" t="s">
        <v>36</v>
      </c>
      <c r="M512" s="3" t="str">
        <f>CONCATENATE("01546100429")</f>
        <v>01546100429</v>
      </c>
      <c r="N512" s="3" t="s">
        <v>630</v>
      </c>
      <c r="O512" s="3" t="s">
        <v>38</v>
      </c>
      <c r="P512" s="3"/>
      <c r="Q512" s="4">
        <v>45968</v>
      </c>
      <c r="R512" s="3" t="s">
        <v>39</v>
      </c>
      <c r="S512" s="3" t="s">
        <v>38</v>
      </c>
      <c r="T512" s="3" t="s">
        <v>40</v>
      </c>
      <c r="U512" s="3"/>
      <c r="V512" s="3" t="s">
        <v>41</v>
      </c>
      <c r="W512" s="5">
        <v>4184.7299999999996</v>
      </c>
      <c r="X512" s="5">
        <v>3138.55</v>
      </c>
      <c r="Y512" s="3">
        <v>732.33</v>
      </c>
      <c r="Z512" s="3">
        <v>313.85000000000002</v>
      </c>
      <c r="AA512" s="3">
        <v>0</v>
      </c>
    </row>
    <row r="513" spans="1:27" ht="72.75" x14ac:dyDescent="0.25">
      <c r="A513" s="3" t="s">
        <v>28</v>
      </c>
      <c r="B513" s="3" t="s">
        <v>29</v>
      </c>
      <c r="C513" s="3" t="s">
        <v>30</v>
      </c>
      <c r="D513" s="3" t="s">
        <v>42</v>
      </c>
      <c r="E513" s="3" t="s">
        <v>154</v>
      </c>
      <c r="F513" s="3" t="s">
        <v>155</v>
      </c>
      <c r="G513" s="3">
        <v>2025</v>
      </c>
      <c r="H513" s="3" t="str">
        <f>CONCATENATE("54240646338")</f>
        <v>54240646338</v>
      </c>
      <c r="I513" s="3" t="s">
        <v>34</v>
      </c>
      <c r="J513" s="3" t="s">
        <v>35</v>
      </c>
      <c r="K513" s="3"/>
      <c r="L513" s="3" t="s">
        <v>36</v>
      </c>
      <c r="M513" s="3" t="str">
        <f>CONCATENATE("MDARSO40S65G005V")</f>
        <v>MDARSO40S65G005V</v>
      </c>
      <c r="N513" s="3" t="s">
        <v>631</v>
      </c>
      <c r="O513" s="3" t="s">
        <v>38</v>
      </c>
      <c r="P513" s="3"/>
      <c r="Q513" s="4">
        <v>45968</v>
      </c>
      <c r="R513" s="3" t="s">
        <v>39</v>
      </c>
      <c r="S513" s="3" t="s">
        <v>38</v>
      </c>
      <c r="T513" s="3" t="s">
        <v>40</v>
      </c>
      <c r="U513" s="3"/>
      <c r="V513" s="3" t="s">
        <v>41</v>
      </c>
      <c r="W513" s="5">
        <v>16632.810000000001</v>
      </c>
      <c r="X513" s="5">
        <v>12474.61</v>
      </c>
      <c r="Y513" s="5">
        <v>2910.74</v>
      </c>
      <c r="Z513" s="5">
        <v>1247.46</v>
      </c>
      <c r="AA513" s="3">
        <v>0</v>
      </c>
    </row>
    <row r="514" spans="1:27" ht="60.75" x14ac:dyDescent="0.25">
      <c r="A514" s="3" t="s">
        <v>28</v>
      </c>
      <c r="B514" s="3" t="s">
        <v>29</v>
      </c>
      <c r="C514" s="3" t="s">
        <v>30</v>
      </c>
      <c r="D514" s="3" t="s">
        <v>65</v>
      </c>
      <c r="E514" s="3" t="s">
        <v>51</v>
      </c>
      <c r="F514" s="3" t="s">
        <v>126</v>
      </c>
      <c r="G514" s="3">
        <v>2025</v>
      </c>
      <c r="H514" s="3" t="str">
        <f>CONCATENATE("54240539251")</f>
        <v>54240539251</v>
      </c>
      <c r="I514" s="3" t="s">
        <v>34</v>
      </c>
      <c r="J514" s="3" t="s">
        <v>35</v>
      </c>
      <c r="K514" s="3"/>
      <c r="L514" s="3" t="s">
        <v>36</v>
      </c>
      <c r="M514" s="3" t="str">
        <f>CONCATENATE("RSTNCL86R13D488T")</f>
        <v>RSTNCL86R13D488T</v>
      </c>
      <c r="N514" s="3" t="s">
        <v>632</v>
      </c>
      <c r="O514" s="3" t="s">
        <v>38</v>
      </c>
      <c r="P514" s="3"/>
      <c r="Q514" s="4">
        <v>45968</v>
      </c>
      <c r="R514" s="3" t="s">
        <v>39</v>
      </c>
      <c r="S514" s="3" t="s">
        <v>38</v>
      </c>
      <c r="T514" s="3" t="s">
        <v>40</v>
      </c>
      <c r="U514" s="3"/>
      <c r="V514" s="3" t="s">
        <v>41</v>
      </c>
      <c r="W514" s="5">
        <v>3524.03</v>
      </c>
      <c r="X514" s="5">
        <v>2643.02</v>
      </c>
      <c r="Y514" s="3">
        <v>616.71</v>
      </c>
      <c r="Z514" s="3">
        <v>264.3</v>
      </c>
      <c r="AA514" s="3">
        <v>0</v>
      </c>
    </row>
    <row r="515" spans="1:27" ht="60.75" x14ac:dyDescent="0.25">
      <c r="A515" s="3" t="s">
        <v>28</v>
      </c>
      <c r="B515" s="3" t="s">
        <v>29</v>
      </c>
      <c r="C515" s="3" t="s">
        <v>30</v>
      </c>
      <c r="D515" s="3" t="s">
        <v>42</v>
      </c>
      <c r="E515" s="3" t="s">
        <v>60</v>
      </c>
      <c r="F515" s="3" t="s">
        <v>245</v>
      </c>
      <c r="G515" s="3">
        <v>2025</v>
      </c>
      <c r="H515" s="3" t="str">
        <f>CONCATENATE("54240588050")</f>
        <v>54240588050</v>
      </c>
      <c r="I515" s="3" t="s">
        <v>34</v>
      </c>
      <c r="J515" s="3" t="s">
        <v>35</v>
      </c>
      <c r="K515" s="3"/>
      <c r="L515" s="3" t="s">
        <v>36</v>
      </c>
      <c r="M515" s="3" t="str">
        <f>CONCATENATE("SPSNDR85S11H769I")</f>
        <v>SPSNDR85S11H769I</v>
      </c>
      <c r="N515" s="3" t="s">
        <v>633</v>
      </c>
      <c r="O515" s="3" t="s">
        <v>38</v>
      </c>
      <c r="P515" s="3"/>
      <c r="Q515" s="4">
        <v>45968</v>
      </c>
      <c r="R515" s="3" t="s">
        <v>39</v>
      </c>
      <c r="S515" s="3" t="s">
        <v>38</v>
      </c>
      <c r="T515" s="3" t="s">
        <v>40</v>
      </c>
      <c r="U515" s="3"/>
      <c r="V515" s="3" t="s">
        <v>41</v>
      </c>
      <c r="W515" s="5">
        <v>5282.45</v>
      </c>
      <c r="X515" s="5">
        <v>3961.84</v>
      </c>
      <c r="Y515" s="3">
        <v>924.43</v>
      </c>
      <c r="Z515" s="3">
        <v>396.18</v>
      </c>
      <c r="AA515" s="3">
        <v>0</v>
      </c>
    </row>
    <row r="516" spans="1:27" ht="60.75" x14ac:dyDescent="0.25">
      <c r="A516" s="3" t="s">
        <v>28</v>
      </c>
      <c r="B516" s="3" t="s">
        <v>29</v>
      </c>
      <c r="C516" s="3" t="s">
        <v>30</v>
      </c>
      <c r="D516" s="3" t="s">
        <v>47</v>
      </c>
      <c r="E516" s="3" t="s">
        <v>48</v>
      </c>
      <c r="F516" s="3" t="s">
        <v>79</v>
      </c>
      <c r="G516" s="3">
        <v>2025</v>
      </c>
      <c r="H516" s="3" t="str">
        <f>CONCATENATE("54240565066")</f>
        <v>54240565066</v>
      </c>
      <c r="I516" s="3" t="s">
        <v>34</v>
      </c>
      <c r="J516" s="3" t="s">
        <v>35</v>
      </c>
      <c r="K516" s="3"/>
      <c r="L516" s="3" t="s">
        <v>36</v>
      </c>
      <c r="M516" s="3" t="str">
        <f>CONCATENATE("PCCLSN38D54L719C")</f>
        <v>PCCLSN38D54L719C</v>
      </c>
      <c r="N516" s="3" t="s">
        <v>634</v>
      </c>
      <c r="O516" s="3" t="s">
        <v>38</v>
      </c>
      <c r="P516" s="3"/>
      <c r="Q516" s="4">
        <v>45968</v>
      </c>
      <c r="R516" s="3" t="s">
        <v>39</v>
      </c>
      <c r="S516" s="3" t="s">
        <v>38</v>
      </c>
      <c r="T516" s="3" t="s">
        <v>40</v>
      </c>
      <c r="U516" s="3"/>
      <c r="V516" s="3" t="s">
        <v>41</v>
      </c>
      <c r="W516" s="5">
        <v>1217.57</v>
      </c>
      <c r="X516" s="3">
        <v>913.18</v>
      </c>
      <c r="Y516" s="3">
        <v>213.07</v>
      </c>
      <c r="Z516" s="3">
        <v>91.32</v>
      </c>
      <c r="AA516" s="3">
        <v>0</v>
      </c>
    </row>
    <row r="517" spans="1:27" ht="60.75" x14ac:dyDescent="0.25">
      <c r="A517" s="3" t="s">
        <v>28</v>
      </c>
      <c r="B517" s="3" t="s">
        <v>29</v>
      </c>
      <c r="C517" s="3" t="s">
        <v>30</v>
      </c>
      <c r="D517" s="3" t="s">
        <v>42</v>
      </c>
      <c r="E517" s="3" t="s">
        <v>32</v>
      </c>
      <c r="F517" s="3" t="s">
        <v>101</v>
      </c>
      <c r="G517" s="3">
        <v>2025</v>
      </c>
      <c r="H517" s="3" t="str">
        <f>CONCATENATE("54240539731")</f>
        <v>54240539731</v>
      </c>
      <c r="I517" s="3" t="s">
        <v>34</v>
      </c>
      <c r="J517" s="3" t="s">
        <v>35</v>
      </c>
      <c r="K517" s="3"/>
      <c r="L517" s="3" t="s">
        <v>36</v>
      </c>
      <c r="M517" s="3" t="str">
        <f>CONCATENATE("CCCPRZ62L12G005D")</f>
        <v>CCCPRZ62L12G005D</v>
      </c>
      <c r="N517" s="3" t="s">
        <v>635</v>
      </c>
      <c r="O517" s="3" t="s">
        <v>38</v>
      </c>
      <c r="P517" s="3"/>
      <c r="Q517" s="4">
        <v>45968</v>
      </c>
      <c r="R517" s="3" t="s">
        <v>39</v>
      </c>
      <c r="S517" s="3" t="s">
        <v>38</v>
      </c>
      <c r="T517" s="3" t="s">
        <v>40</v>
      </c>
      <c r="U517" s="3"/>
      <c r="V517" s="3" t="s">
        <v>41</v>
      </c>
      <c r="W517" s="5">
        <v>2527.6799999999998</v>
      </c>
      <c r="X517" s="5">
        <v>1895.76</v>
      </c>
      <c r="Y517" s="3">
        <v>442.34</v>
      </c>
      <c r="Z517" s="3">
        <v>189.58</v>
      </c>
      <c r="AA517" s="3">
        <v>0</v>
      </c>
    </row>
    <row r="518" spans="1:27" ht="60.75" x14ac:dyDescent="0.25">
      <c r="A518" s="3" t="s">
        <v>28</v>
      </c>
      <c r="B518" s="3" t="s">
        <v>29</v>
      </c>
      <c r="C518" s="3" t="s">
        <v>30</v>
      </c>
      <c r="D518" s="3" t="s">
        <v>47</v>
      </c>
      <c r="E518" s="3" t="s">
        <v>48</v>
      </c>
      <c r="F518" s="3" t="s">
        <v>79</v>
      </c>
      <c r="G518" s="3">
        <v>2025</v>
      </c>
      <c r="H518" s="3" t="str">
        <f>CONCATENATE("54240565074")</f>
        <v>54240565074</v>
      </c>
      <c r="I518" s="3" t="s">
        <v>34</v>
      </c>
      <c r="J518" s="3" t="s">
        <v>35</v>
      </c>
      <c r="K518" s="3"/>
      <c r="L518" s="3" t="s">
        <v>36</v>
      </c>
      <c r="M518" s="3" t="str">
        <f>CONCATENATE("RMTSMN92C15E783F")</f>
        <v>RMTSMN92C15E783F</v>
      </c>
      <c r="N518" s="3" t="s">
        <v>636</v>
      </c>
      <c r="O518" s="3" t="s">
        <v>38</v>
      </c>
      <c r="P518" s="3"/>
      <c r="Q518" s="4">
        <v>45968</v>
      </c>
      <c r="R518" s="3" t="s">
        <v>39</v>
      </c>
      <c r="S518" s="3" t="s">
        <v>38</v>
      </c>
      <c r="T518" s="3" t="s">
        <v>40</v>
      </c>
      <c r="U518" s="3"/>
      <c r="V518" s="3" t="s">
        <v>41</v>
      </c>
      <c r="W518" s="5">
        <v>1130.6400000000001</v>
      </c>
      <c r="X518" s="3">
        <v>847.98</v>
      </c>
      <c r="Y518" s="3">
        <v>197.86</v>
      </c>
      <c r="Z518" s="3">
        <v>84.8</v>
      </c>
      <c r="AA518" s="3">
        <v>0</v>
      </c>
    </row>
    <row r="519" spans="1:27" ht="60.75" x14ac:dyDescent="0.25">
      <c r="A519" s="3" t="s">
        <v>28</v>
      </c>
      <c r="B519" s="3" t="s">
        <v>29</v>
      </c>
      <c r="C519" s="3" t="s">
        <v>30</v>
      </c>
      <c r="D519" s="3" t="s">
        <v>42</v>
      </c>
      <c r="E519" s="3" t="s">
        <v>32</v>
      </c>
      <c r="F519" s="3" t="s">
        <v>101</v>
      </c>
      <c r="G519" s="3">
        <v>2025</v>
      </c>
      <c r="H519" s="3" t="str">
        <f>CONCATENATE("54240540242")</f>
        <v>54240540242</v>
      </c>
      <c r="I519" s="3" t="s">
        <v>34</v>
      </c>
      <c r="J519" s="3" t="s">
        <v>35</v>
      </c>
      <c r="K519" s="3"/>
      <c r="L519" s="3" t="s">
        <v>36</v>
      </c>
      <c r="M519" s="3" t="str">
        <f>CONCATENATE("VSPSMN90R25H769T")</f>
        <v>VSPSMN90R25H769T</v>
      </c>
      <c r="N519" s="3" t="s">
        <v>637</v>
      </c>
      <c r="O519" s="3" t="s">
        <v>38</v>
      </c>
      <c r="P519" s="3"/>
      <c r="Q519" s="4">
        <v>45968</v>
      </c>
      <c r="R519" s="3" t="s">
        <v>39</v>
      </c>
      <c r="S519" s="3" t="s">
        <v>38</v>
      </c>
      <c r="T519" s="3" t="s">
        <v>40</v>
      </c>
      <c r="U519" s="3"/>
      <c r="V519" s="3" t="s">
        <v>41</v>
      </c>
      <c r="W519" s="5">
        <v>1655.89</v>
      </c>
      <c r="X519" s="5">
        <v>1241.92</v>
      </c>
      <c r="Y519" s="3">
        <v>289.77999999999997</v>
      </c>
      <c r="Z519" s="3">
        <v>124.19</v>
      </c>
      <c r="AA519" s="3">
        <v>0</v>
      </c>
    </row>
    <row r="520" spans="1:27" ht="36.75" x14ac:dyDescent="0.25">
      <c r="A520" s="3" t="s">
        <v>28</v>
      </c>
      <c r="B520" s="3" t="s">
        <v>29</v>
      </c>
      <c r="C520" s="3" t="s">
        <v>30</v>
      </c>
      <c r="D520" s="3" t="s">
        <v>47</v>
      </c>
      <c r="E520" s="3" t="s">
        <v>32</v>
      </c>
      <c r="F520" s="3" t="s">
        <v>638</v>
      </c>
      <c r="G520" s="3">
        <v>2025</v>
      </c>
      <c r="H520" s="3" t="str">
        <f>CONCATENATE("54240540887")</f>
        <v>54240540887</v>
      </c>
      <c r="I520" s="3" t="s">
        <v>34</v>
      </c>
      <c r="J520" s="3" t="s">
        <v>35</v>
      </c>
      <c r="K520" s="3"/>
      <c r="L520" s="3" t="s">
        <v>36</v>
      </c>
      <c r="M520" s="3" t="str">
        <f>CONCATENATE("00874420581")</f>
        <v>00874420581</v>
      </c>
      <c r="N520" s="3" t="s">
        <v>639</v>
      </c>
      <c r="O520" s="3" t="s">
        <v>38</v>
      </c>
      <c r="P520" s="3"/>
      <c r="Q520" s="4">
        <v>45968</v>
      </c>
      <c r="R520" s="3" t="s">
        <v>39</v>
      </c>
      <c r="S520" s="3" t="s">
        <v>38</v>
      </c>
      <c r="T520" s="3" t="s">
        <v>40</v>
      </c>
      <c r="U520" s="3"/>
      <c r="V520" s="3" t="s">
        <v>41</v>
      </c>
      <c r="W520" s="5">
        <v>16323.74</v>
      </c>
      <c r="X520" s="5">
        <v>12242.81</v>
      </c>
      <c r="Y520" s="5">
        <v>2856.65</v>
      </c>
      <c r="Z520" s="5">
        <v>1224.28</v>
      </c>
      <c r="AA520" s="3">
        <v>0</v>
      </c>
    </row>
    <row r="521" spans="1:27" ht="72.75" x14ac:dyDescent="0.25">
      <c r="A521" s="3" t="s">
        <v>28</v>
      </c>
      <c r="B521" s="3" t="s">
        <v>29</v>
      </c>
      <c r="C521" s="3" t="s">
        <v>30</v>
      </c>
      <c r="D521" s="3" t="s">
        <v>42</v>
      </c>
      <c r="E521" s="3" t="s">
        <v>32</v>
      </c>
      <c r="F521" s="3" t="s">
        <v>101</v>
      </c>
      <c r="G521" s="3">
        <v>2025</v>
      </c>
      <c r="H521" s="3" t="str">
        <f>CONCATENATE("54240540754")</f>
        <v>54240540754</v>
      </c>
      <c r="I521" s="3" t="s">
        <v>34</v>
      </c>
      <c r="J521" s="3" t="s">
        <v>35</v>
      </c>
      <c r="K521" s="3"/>
      <c r="L521" s="3" t="s">
        <v>36</v>
      </c>
      <c r="M521" s="3" t="str">
        <f>CONCATENATE("PRRBNL63R57H769D")</f>
        <v>PRRBNL63R57H769D</v>
      </c>
      <c r="N521" s="3" t="s">
        <v>640</v>
      </c>
      <c r="O521" s="3" t="s">
        <v>38</v>
      </c>
      <c r="P521" s="3"/>
      <c r="Q521" s="4">
        <v>45968</v>
      </c>
      <c r="R521" s="3" t="s">
        <v>39</v>
      </c>
      <c r="S521" s="3" t="s">
        <v>38</v>
      </c>
      <c r="T521" s="3" t="s">
        <v>40</v>
      </c>
      <c r="U521" s="3"/>
      <c r="V521" s="3" t="s">
        <v>41</v>
      </c>
      <c r="W521" s="5">
        <v>3226.63</v>
      </c>
      <c r="X521" s="5">
        <v>2419.9699999999998</v>
      </c>
      <c r="Y521" s="3">
        <v>564.66</v>
      </c>
      <c r="Z521" s="3">
        <v>242</v>
      </c>
      <c r="AA521" s="3">
        <v>0</v>
      </c>
    </row>
    <row r="522" spans="1:27" ht="60.75" x14ac:dyDescent="0.25">
      <c r="A522" s="3" t="s">
        <v>28</v>
      </c>
      <c r="B522" s="3" t="s">
        <v>29</v>
      </c>
      <c r="C522" s="3" t="s">
        <v>30</v>
      </c>
      <c r="D522" s="3" t="s">
        <v>31</v>
      </c>
      <c r="E522" s="3" t="s">
        <v>51</v>
      </c>
      <c r="F522" s="3" t="s">
        <v>300</v>
      </c>
      <c r="G522" s="3">
        <v>2025</v>
      </c>
      <c r="H522" s="3" t="str">
        <f>CONCATENATE("54240541638")</f>
        <v>54240541638</v>
      </c>
      <c r="I522" s="3" t="s">
        <v>34</v>
      </c>
      <c r="J522" s="3" t="s">
        <v>35</v>
      </c>
      <c r="K522" s="3"/>
      <c r="L522" s="3" t="s">
        <v>36</v>
      </c>
      <c r="M522" s="3" t="str">
        <f>CONCATENATE("GRDMLT88S50A271B")</f>
        <v>GRDMLT88S50A271B</v>
      </c>
      <c r="N522" s="3" t="s">
        <v>641</v>
      </c>
      <c r="O522" s="3" t="s">
        <v>38</v>
      </c>
      <c r="P522" s="3"/>
      <c r="Q522" s="4">
        <v>45968</v>
      </c>
      <c r="R522" s="3" t="s">
        <v>39</v>
      </c>
      <c r="S522" s="3" t="s">
        <v>38</v>
      </c>
      <c r="T522" s="3" t="s">
        <v>40</v>
      </c>
      <c r="U522" s="3"/>
      <c r="V522" s="3" t="s">
        <v>41</v>
      </c>
      <c r="W522" s="5">
        <v>3240.47</v>
      </c>
      <c r="X522" s="5">
        <v>2430.35</v>
      </c>
      <c r="Y522" s="3">
        <v>567.08000000000004</v>
      </c>
      <c r="Z522" s="3">
        <v>243.04</v>
      </c>
      <c r="AA522" s="3">
        <v>0</v>
      </c>
    </row>
    <row r="523" spans="1:27" ht="60.75" x14ac:dyDescent="0.25">
      <c r="A523" s="3" t="s">
        <v>28</v>
      </c>
      <c r="B523" s="3" t="s">
        <v>29</v>
      </c>
      <c r="C523" s="3" t="s">
        <v>30</v>
      </c>
      <c r="D523" s="3" t="s">
        <v>65</v>
      </c>
      <c r="E523" s="3" t="s">
        <v>51</v>
      </c>
      <c r="F523" s="3" t="s">
        <v>105</v>
      </c>
      <c r="G523" s="3">
        <v>2025</v>
      </c>
      <c r="H523" s="3" t="str">
        <f>CONCATENATE("54240541133")</f>
        <v>54240541133</v>
      </c>
      <c r="I523" s="3" t="s">
        <v>34</v>
      </c>
      <c r="J523" s="3" t="s">
        <v>35</v>
      </c>
      <c r="K523" s="3"/>
      <c r="L523" s="3" t="s">
        <v>36</v>
      </c>
      <c r="M523" s="3" t="str">
        <f>CONCATENATE("BRLGLN45M05I670Q")</f>
        <v>BRLGLN45M05I670Q</v>
      </c>
      <c r="N523" s="3" t="s">
        <v>642</v>
      </c>
      <c r="O523" s="3" t="s">
        <v>38</v>
      </c>
      <c r="P523" s="3"/>
      <c r="Q523" s="4">
        <v>45968</v>
      </c>
      <c r="R523" s="3" t="s">
        <v>39</v>
      </c>
      <c r="S523" s="3" t="s">
        <v>38</v>
      </c>
      <c r="T523" s="3" t="s">
        <v>40</v>
      </c>
      <c r="U523" s="3"/>
      <c r="V523" s="3" t="s">
        <v>41</v>
      </c>
      <c r="W523" s="5">
        <v>4442.32</v>
      </c>
      <c r="X523" s="5">
        <v>3331.74</v>
      </c>
      <c r="Y523" s="3">
        <v>777.41</v>
      </c>
      <c r="Z523" s="3">
        <v>333.17</v>
      </c>
      <c r="AA523" s="3">
        <v>0</v>
      </c>
    </row>
    <row r="524" spans="1:27" ht="60.75" x14ac:dyDescent="0.25">
      <c r="A524" s="3" t="s">
        <v>28</v>
      </c>
      <c r="B524" s="3" t="s">
        <v>29</v>
      </c>
      <c r="C524" s="3" t="s">
        <v>30</v>
      </c>
      <c r="D524" s="3" t="s">
        <v>47</v>
      </c>
      <c r="E524" s="3" t="s">
        <v>48</v>
      </c>
      <c r="F524" s="3" t="s">
        <v>251</v>
      </c>
      <c r="G524" s="3">
        <v>2025</v>
      </c>
      <c r="H524" s="3" t="str">
        <f>CONCATENATE("54240645108")</f>
        <v>54240645108</v>
      </c>
      <c r="I524" s="3" t="s">
        <v>34</v>
      </c>
      <c r="J524" s="3" t="s">
        <v>35</v>
      </c>
      <c r="K524" s="3"/>
      <c r="L524" s="3" t="s">
        <v>36</v>
      </c>
      <c r="M524" s="3" t="str">
        <f>CONCATENATE("FLCSMN79T21I156S")</f>
        <v>FLCSMN79T21I156S</v>
      </c>
      <c r="N524" s="3" t="s">
        <v>643</v>
      </c>
      <c r="O524" s="3" t="s">
        <v>38</v>
      </c>
      <c r="P524" s="3"/>
      <c r="Q524" s="4">
        <v>45968</v>
      </c>
      <c r="R524" s="3" t="s">
        <v>39</v>
      </c>
      <c r="S524" s="3" t="s">
        <v>38</v>
      </c>
      <c r="T524" s="3" t="s">
        <v>40</v>
      </c>
      <c r="U524" s="3"/>
      <c r="V524" s="3" t="s">
        <v>41</v>
      </c>
      <c r="W524" s="5">
        <v>2046.89</v>
      </c>
      <c r="X524" s="5">
        <v>1535.17</v>
      </c>
      <c r="Y524" s="3">
        <v>358.21</v>
      </c>
      <c r="Z524" s="3">
        <v>153.51</v>
      </c>
      <c r="AA524" s="3">
        <v>0</v>
      </c>
    </row>
    <row r="525" spans="1:27" ht="36.75" x14ac:dyDescent="0.25">
      <c r="A525" s="3" t="s">
        <v>28</v>
      </c>
      <c r="B525" s="3" t="s">
        <v>29</v>
      </c>
      <c r="C525" s="3" t="s">
        <v>30</v>
      </c>
      <c r="D525" s="3" t="s">
        <v>42</v>
      </c>
      <c r="E525" s="3" t="s">
        <v>32</v>
      </c>
      <c r="F525" s="3" t="s">
        <v>101</v>
      </c>
      <c r="G525" s="3">
        <v>2025</v>
      </c>
      <c r="H525" s="3" t="str">
        <f>CONCATENATE("54240541646")</f>
        <v>54240541646</v>
      </c>
      <c r="I525" s="3" t="s">
        <v>34</v>
      </c>
      <c r="J525" s="3" t="s">
        <v>35</v>
      </c>
      <c r="K525" s="3"/>
      <c r="L525" s="3" t="s">
        <v>36</v>
      </c>
      <c r="M525" s="3" t="str">
        <f>CONCATENATE("02132960440")</f>
        <v>02132960440</v>
      </c>
      <c r="N525" s="3" t="s">
        <v>644</v>
      </c>
      <c r="O525" s="3" t="s">
        <v>38</v>
      </c>
      <c r="P525" s="3"/>
      <c r="Q525" s="4">
        <v>45968</v>
      </c>
      <c r="R525" s="3" t="s">
        <v>39</v>
      </c>
      <c r="S525" s="3" t="s">
        <v>38</v>
      </c>
      <c r="T525" s="3" t="s">
        <v>40</v>
      </c>
      <c r="U525" s="3"/>
      <c r="V525" s="3" t="s">
        <v>41</v>
      </c>
      <c r="W525" s="5">
        <v>8927.18</v>
      </c>
      <c r="X525" s="5">
        <v>6695.39</v>
      </c>
      <c r="Y525" s="5">
        <v>1562.26</v>
      </c>
      <c r="Z525" s="3">
        <v>669.53</v>
      </c>
      <c r="AA525" s="3">
        <v>0</v>
      </c>
    </row>
    <row r="526" spans="1:27" ht="60.75" x14ac:dyDescent="0.25">
      <c r="A526" s="3" t="s">
        <v>28</v>
      </c>
      <c r="B526" s="3" t="s">
        <v>29</v>
      </c>
      <c r="C526" s="3" t="s">
        <v>30</v>
      </c>
      <c r="D526" s="3" t="s">
        <v>47</v>
      </c>
      <c r="E526" s="3" t="s">
        <v>51</v>
      </c>
      <c r="F526" s="3" t="s">
        <v>107</v>
      </c>
      <c r="G526" s="3">
        <v>2025</v>
      </c>
      <c r="H526" s="3" t="str">
        <f>CONCATENATE("54240541653")</f>
        <v>54240541653</v>
      </c>
      <c r="I526" s="3" t="s">
        <v>34</v>
      </c>
      <c r="J526" s="3" t="s">
        <v>35</v>
      </c>
      <c r="K526" s="3"/>
      <c r="L526" s="3" t="s">
        <v>36</v>
      </c>
      <c r="M526" s="3" t="str">
        <f>CONCATENATE("SCCMRS67P60F632N")</f>
        <v>SCCMRS67P60F632N</v>
      </c>
      <c r="N526" s="3" t="s">
        <v>645</v>
      </c>
      <c r="O526" s="3" t="s">
        <v>38</v>
      </c>
      <c r="P526" s="3"/>
      <c r="Q526" s="4">
        <v>45968</v>
      </c>
      <c r="R526" s="3" t="s">
        <v>39</v>
      </c>
      <c r="S526" s="3" t="s">
        <v>38</v>
      </c>
      <c r="T526" s="3" t="s">
        <v>40</v>
      </c>
      <c r="U526" s="3"/>
      <c r="V526" s="3" t="s">
        <v>41</v>
      </c>
      <c r="W526" s="5">
        <v>2288.52</v>
      </c>
      <c r="X526" s="5">
        <v>1716.39</v>
      </c>
      <c r="Y526" s="3">
        <v>400.49</v>
      </c>
      <c r="Z526" s="3">
        <v>171.64</v>
      </c>
      <c r="AA526" s="3">
        <v>0</v>
      </c>
    </row>
    <row r="527" spans="1:27" ht="72.75" x14ac:dyDescent="0.25">
      <c r="A527" s="3" t="s">
        <v>28</v>
      </c>
      <c r="B527" s="3" t="s">
        <v>29</v>
      </c>
      <c r="C527" s="3" t="s">
        <v>30</v>
      </c>
      <c r="D527" s="3" t="s">
        <v>65</v>
      </c>
      <c r="E527" s="3" t="s">
        <v>51</v>
      </c>
      <c r="F527" s="3" t="s">
        <v>105</v>
      </c>
      <c r="G527" s="3">
        <v>2025</v>
      </c>
      <c r="H527" s="3" t="str">
        <f>CONCATENATE("54240542149")</f>
        <v>54240542149</v>
      </c>
      <c r="I527" s="3" t="s">
        <v>34</v>
      </c>
      <c r="J527" s="3" t="s">
        <v>35</v>
      </c>
      <c r="K527" s="3"/>
      <c r="L527" s="3" t="s">
        <v>36</v>
      </c>
      <c r="M527" s="3" t="str">
        <f>CONCATENATE("MRNGNN89H02L500N")</f>
        <v>MRNGNN89H02L500N</v>
      </c>
      <c r="N527" s="3" t="s">
        <v>646</v>
      </c>
      <c r="O527" s="3" t="s">
        <v>38</v>
      </c>
      <c r="P527" s="3"/>
      <c r="Q527" s="4">
        <v>45968</v>
      </c>
      <c r="R527" s="3" t="s">
        <v>39</v>
      </c>
      <c r="S527" s="3" t="s">
        <v>38</v>
      </c>
      <c r="T527" s="3" t="s">
        <v>40</v>
      </c>
      <c r="U527" s="3"/>
      <c r="V527" s="3" t="s">
        <v>41</v>
      </c>
      <c r="W527" s="5">
        <v>1244.03</v>
      </c>
      <c r="X527" s="3">
        <v>933.02</v>
      </c>
      <c r="Y527" s="3">
        <v>217.71</v>
      </c>
      <c r="Z527" s="3">
        <v>93.3</v>
      </c>
      <c r="AA527" s="3">
        <v>0</v>
      </c>
    </row>
    <row r="528" spans="1:27" ht="60.75" x14ac:dyDescent="0.25">
      <c r="A528" s="3" t="s">
        <v>28</v>
      </c>
      <c r="B528" s="3" t="s">
        <v>29</v>
      </c>
      <c r="C528" s="3" t="s">
        <v>30</v>
      </c>
      <c r="D528" s="3" t="s">
        <v>65</v>
      </c>
      <c r="E528" s="3" t="s">
        <v>32</v>
      </c>
      <c r="F528" s="3" t="s">
        <v>135</v>
      </c>
      <c r="G528" s="3">
        <v>2025</v>
      </c>
      <c r="H528" s="3" t="str">
        <f>CONCATENATE("54240542362")</f>
        <v>54240542362</v>
      </c>
      <c r="I528" s="3" t="s">
        <v>34</v>
      </c>
      <c r="J528" s="3" t="s">
        <v>35</v>
      </c>
      <c r="K528" s="3"/>
      <c r="L528" s="3" t="s">
        <v>36</v>
      </c>
      <c r="M528" s="3" t="str">
        <f>CONCATENATE("TNCNTN49R28H721P")</f>
        <v>TNCNTN49R28H721P</v>
      </c>
      <c r="N528" s="3" t="s">
        <v>647</v>
      </c>
      <c r="O528" s="3" t="s">
        <v>38</v>
      </c>
      <c r="P528" s="3"/>
      <c r="Q528" s="4">
        <v>45968</v>
      </c>
      <c r="R528" s="3" t="s">
        <v>39</v>
      </c>
      <c r="S528" s="3" t="s">
        <v>38</v>
      </c>
      <c r="T528" s="3" t="s">
        <v>40</v>
      </c>
      <c r="U528" s="3"/>
      <c r="V528" s="3" t="s">
        <v>41</v>
      </c>
      <c r="W528" s="5">
        <v>1368</v>
      </c>
      <c r="X528" s="5">
        <v>1026</v>
      </c>
      <c r="Y528" s="3">
        <v>239.4</v>
      </c>
      <c r="Z528" s="3">
        <v>102.6</v>
      </c>
      <c r="AA528" s="3">
        <v>0</v>
      </c>
    </row>
    <row r="529" spans="1:27" ht="36.75" x14ac:dyDescent="0.25">
      <c r="A529" s="3" t="s">
        <v>28</v>
      </c>
      <c r="B529" s="3" t="s">
        <v>29</v>
      </c>
      <c r="C529" s="3" t="s">
        <v>30</v>
      </c>
      <c r="D529" s="3" t="s">
        <v>47</v>
      </c>
      <c r="E529" s="3" t="s">
        <v>60</v>
      </c>
      <c r="F529" s="3" t="s">
        <v>81</v>
      </c>
      <c r="G529" s="3">
        <v>2025</v>
      </c>
      <c r="H529" s="3" t="str">
        <f>CONCATENATE("54240542552")</f>
        <v>54240542552</v>
      </c>
      <c r="I529" s="3" t="s">
        <v>34</v>
      </c>
      <c r="J529" s="3" t="s">
        <v>35</v>
      </c>
      <c r="K529" s="3"/>
      <c r="L529" s="3" t="s">
        <v>36</v>
      </c>
      <c r="M529" s="3" t="str">
        <f>CONCATENATE("02573780034")</f>
        <v>02573780034</v>
      </c>
      <c r="N529" s="3" t="s">
        <v>648</v>
      </c>
      <c r="O529" s="3" t="s">
        <v>38</v>
      </c>
      <c r="P529" s="3"/>
      <c r="Q529" s="4">
        <v>45968</v>
      </c>
      <c r="R529" s="3" t="s">
        <v>39</v>
      </c>
      <c r="S529" s="3" t="s">
        <v>38</v>
      </c>
      <c r="T529" s="3" t="s">
        <v>40</v>
      </c>
      <c r="U529" s="3"/>
      <c r="V529" s="3" t="s">
        <v>41</v>
      </c>
      <c r="W529" s="5">
        <v>39039.18</v>
      </c>
      <c r="X529" s="5">
        <v>29279.39</v>
      </c>
      <c r="Y529" s="5">
        <v>6831.86</v>
      </c>
      <c r="Z529" s="5">
        <v>2927.93</v>
      </c>
      <c r="AA529" s="3">
        <v>0</v>
      </c>
    </row>
    <row r="530" spans="1:27" ht="60.75" x14ac:dyDescent="0.25">
      <c r="A530" s="3" t="s">
        <v>28</v>
      </c>
      <c r="B530" s="3" t="s">
        <v>29</v>
      </c>
      <c r="C530" s="3" t="s">
        <v>30</v>
      </c>
      <c r="D530" s="3" t="s">
        <v>31</v>
      </c>
      <c r="E530" s="3" t="s">
        <v>51</v>
      </c>
      <c r="F530" s="3" t="s">
        <v>69</v>
      </c>
      <c r="G530" s="3">
        <v>2025</v>
      </c>
      <c r="H530" s="3" t="str">
        <f>CONCATENATE("54240542701")</f>
        <v>54240542701</v>
      </c>
      <c r="I530" s="3" t="s">
        <v>34</v>
      </c>
      <c r="J530" s="3" t="s">
        <v>35</v>
      </c>
      <c r="K530" s="3"/>
      <c r="L530" s="3" t="s">
        <v>36</v>
      </c>
      <c r="M530" s="3" t="str">
        <f>CONCATENATE("RCRSMN93P13I608O")</f>
        <v>RCRSMN93P13I608O</v>
      </c>
      <c r="N530" s="3" t="s">
        <v>649</v>
      </c>
      <c r="O530" s="3" t="s">
        <v>38</v>
      </c>
      <c r="P530" s="3"/>
      <c r="Q530" s="4">
        <v>45968</v>
      </c>
      <c r="R530" s="3" t="s">
        <v>39</v>
      </c>
      <c r="S530" s="3" t="s">
        <v>38</v>
      </c>
      <c r="T530" s="3" t="s">
        <v>40</v>
      </c>
      <c r="U530" s="3"/>
      <c r="V530" s="3" t="s">
        <v>41</v>
      </c>
      <c r="W530" s="5">
        <v>13100.83</v>
      </c>
      <c r="X530" s="5">
        <v>9825.6200000000008</v>
      </c>
      <c r="Y530" s="5">
        <v>2292.65</v>
      </c>
      <c r="Z530" s="3">
        <v>982.56</v>
      </c>
      <c r="AA530" s="3">
        <v>0</v>
      </c>
    </row>
    <row r="531" spans="1:27" ht="60.75" x14ac:dyDescent="0.25">
      <c r="A531" s="3" t="s">
        <v>28</v>
      </c>
      <c r="B531" s="3" t="s">
        <v>29</v>
      </c>
      <c r="C531" s="3" t="s">
        <v>30</v>
      </c>
      <c r="D531" s="3" t="s">
        <v>65</v>
      </c>
      <c r="E531" s="3" t="s">
        <v>32</v>
      </c>
      <c r="F531" s="3" t="s">
        <v>334</v>
      </c>
      <c r="G531" s="3">
        <v>2025</v>
      </c>
      <c r="H531" s="3" t="str">
        <f>CONCATENATE("54240542974")</f>
        <v>54240542974</v>
      </c>
      <c r="I531" s="3" t="s">
        <v>34</v>
      </c>
      <c r="J531" s="3" t="s">
        <v>35</v>
      </c>
      <c r="K531" s="3"/>
      <c r="L531" s="3" t="s">
        <v>36</v>
      </c>
      <c r="M531" s="3" t="str">
        <f>CONCATENATE("BRTMPS70E59D749F")</f>
        <v>BRTMPS70E59D749F</v>
      </c>
      <c r="N531" s="3" t="s">
        <v>650</v>
      </c>
      <c r="O531" s="3" t="s">
        <v>38</v>
      </c>
      <c r="P531" s="3"/>
      <c r="Q531" s="4">
        <v>45968</v>
      </c>
      <c r="R531" s="3" t="s">
        <v>39</v>
      </c>
      <c r="S531" s="3" t="s">
        <v>38</v>
      </c>
      <c r="T531" s="3" t="s">
        <v>40</v>
      </c>
      <c r="U531" s="3"/>
      <c r="V531" s="3" t="s">
        <v>41</v>
      </c>
      <c r="W531" s="5">
        <v>1636.79</v>
      </c>
      <c r="X531" s="5">
        <v>1227.5899999999999</v>
      </c>
      <c r="Y531" s="3">
        <v>286.44</v>
      </c>
      <c r="Z531" s="3">
        <v>122.76</v>
      </c>
      <c r="AA531" s="3">
        <v>0</v>
      </c>
    </row>
    <row r="532" spans="1:27" ht="36.75" x14ac:dyDescent="0.25">
      <c r="A532" s="3" t="s">
        <v>28</v>
      </c>
      <c r="B532" s="3" t="s">
        <v>29</v>
      </c>
      <c r="C532" s="3" t="s">
        <v>30</v>
      </c>
      <c r="D532" s="3" t="s">
        <v>65</v>
      </c>
      <c r="E532" s="3" t="s">
        <v>48</v>
      </c>
      <c r="F532" s="3" t="s">
        <v>76</v>
      </c>
      <c r="G532" s="3">
        <v>2025</v>
      </c>
      <c r="H532" s="3" t="str">
        <f>CONCATENATE("54240543154")</f>
        <v>54240543154</v>
      </c>
      <c r="I532" s="3" t="s">
        <v>34</v>
      </c>
      <c r="J532" s="3" t="s">
        <v>35</v>
      </c>
      <c r="K532" s="3"/>
      <c r="L532" s="3" t="s">
        <v>36</v>
      </c>
      <c r="M532" s="3" t="str">
        <f>CONCATENATE("02461270411")</f>
        <v>02461270411</v>
      </c>
      <c r="N532" s="3" t="s">
        <v>651</v>
      </c>
      <c r="O532" s="3" t="s">
        <v>38</v>
      </c>
      <c r="P532" s="3"/>
      <c r="Q532" s="4">
        <v>45968</v>
      </c>
      <c r="R532" s="3" t="s">
        <v>39</v>
      </c>
      <c r="S532" s="3" t="s">
        <v>38</v>
      </c>
      <c r="T532" s="3" t="s">
        <v>40</v>
      </c>
      <c r="U532" s="3"/>
      <c r="V532" s="3" t="s">
        <v>41</v>
      </c>
      <c r="W532" s="5">
        <v>52483.81</v>
      </c>
      <c r="X532" s="5">
        <v>39362.86</v>
      </c>
      <c r="Y532" s="5">
        <v>9184.67</v>
      </c>
      <c r="Z532" s="5">
        <v>3936.28</v>
      </c>
      <c r="AA532" s="3">
        <v>0</v>
      </c>
    </row>
    <row r="533" spans="1:27" ht="60.75" x14ac:dyDescent="0.25">
      <c r="A533" s="3" t="s">
        <v>28</v>
      </c>
      <c r="B533" s="3" t="s">
        <v>29</v>
      </c>
      <c r="C533" s="3" t="s">
        <v>30</v>
      </c>
      <c r="D533" s="3" t="s">
        <v>42</v>
      </c>
      <c r="E533" s="3" t="s">
        <v>32</v>
      </c>
      <c r="F533" s="3" t="s">
        <v>101</v>
      </c>
      <c r="G533" s="3">
        <v>2025</v>
      </c>
      <c r="H533" s="3" t="str">
        <f>CONCATENATE("54240543105")</f>
        <v>54240543105</v>
      </c>
      <c r="I533" s="3" t="s">
        <v>44</v>
      </c>
      <c r="J533" s="3" t="s">
        <v>35</v>
      </c>
      <c r="K533" s="3"/>
      <c r="L533" s="3" t="s">
        <v>36</v>
      </c>
      <c r="M533" s="3" t="str">
        <f>CONCATENATE("LCNSVN60H70G005X")</f>
        <v>LCNSVN60H70G005X</v>
      </c>
      <c r="N533" s="3" t="s">
        <v>652</v>
      </c>
      <c r="O533" s="3" t="s">
        <v>38</v>
      </c>
      <c r="P533" s="3"/>
      <c r="Q533" s="4">
        <v>45968</v>
      </c>
      <c r="R533" s="3" t="s">
        <v>39</v>
      </c>
      <c r="S533" s="3" t="s">
        <v>38</v>
      </c>
      <c r="T533" s="3" t="s">
        <v>40</v>
      </c>
      <c r="U533" s="3"/>
      <c r="V533" s="3" t="s">
        <v>41</v>
      </c>
      <c r="W533" s="5">
        <v>4151.47</v>
      </c>
      <c r="X533" s="5">
        <v>3113.6</v>
      </c>
      <c r="Y533" s="3">
        <v>726.51</v>
      </c>
      <c r="Z533" s="3">
        <v>311.36</v>
      </c>
      <c r="AA533" s="3">
        <v>0</v>
      </c>
    </row>
    <row r="534" spans="1:27" ht="60.75" x14ac:dyDescent="0.25">
      <c r="A534" s="3" t="s">
        <v>28</v>
      </c>
      <c r="B534" s="3" t="s">
        <v>29</v>
      </c>
      <c r="C534" s="3" t="s">
        <v>30</v>
      </c>
      <c r="D534" s="3" t="s">
        <v>42</v>
      </c>
      <c r="E534" s="3" t="s">
        <v>48</v>
      </c>
      <c r="F534" s="3" t="s">
        <v>79</v>
      </c>
      <c r="G534" s="3">
        <v>2025</v>
      </c>
      <c r="H534" s="3" t="str">
        <f>CONCATENATE("54240557238")</f>
        <v>54240557238</v>
      </c>
      <c r="I534" s="3" t="s">
        <v>34</v>
      </c>
      <c r="J534" s="3" t="s">
        <v>35</v>
      </c>
      <c r="K534" s="3"/>
      <c r="L534" s="3" t="s">
        <v>36</v>
      </c>
      <c r="M534" s="3" t="str">
        <f>CONCATENATE("LMBDNL76T30H501H")</f>
        <v>LMBDNL76T30H501H</v>
      </c>
      <c r="N534" s="3" t="s">
        <v>653</v>
      </c>
      <c r="O534" s="3" t="s">
        <v>38</v>
      </c>
      <c r="P534" s="3"/>
      <c r="Q534" s="4">
        <v>45968</v>
      </c>
      <c r="R534" s="3" t="s">
        <v>39</v>
      </c>
      <c r="S534" s="3" t="s">
        <v>38</v>
      </c>
      <c r="T534" s="3" t="s">
        <v>40</v>
      </c>
      <c r="U534" s="3"/>
      <c r="V534" s="3" t="s">
        <v>41</v>
      </c>
      <c r="W534" s="5">
        <v>1930.94</v>
      </c>
      <c r="X534" s="5">
        <v>1448.21</v>
      </c>
      <c r="Y534" s="3">
        <v>337.91</v>
      </c>
      <c r="Z534" s="3">
        <v>144.82</v>
      </c>
      <c r="AA534" s="3">
        <v>0</v>
      </c>
    </row>
    <row r="535" spans="1:27" ht="72.75" x14ac:dyDescent="0.25">
      <c r="A535" s="3" t="s">
        <v>28</v>
      </c>
      <c r="B535" s="3" t="s">
        <v>29</v>
      </c>
      <c r="C535" s="3" t="s">
        <v>30</v>
      </c>
      <c r="D535" s="3" t="s">
        <v>65</v>
      </c>
      <c r="E535" s="3" t="s">
        <v>51</v>
      </c>
      <c r="F535" s="3" t="s">
        <v>240</v>
      </c>
      <c r="G535" s="3">
        <v>2025</v>
      </c>
      <c r="H535" s="3" t="str">
        <f>CONCATENATE("54240544095")</f>
        <v>54240544095</v>
      </c>
      <c r="I535" s="3" t="s">
        <v>34</v>
      </c>
      <c r="J535" s="3" t="s">
        <v>35</v>
      </c>
      <c r="K535" s="3"/>
      <c r="L535" s="3" t="s">
        <v>36</v>
      </c>
      <c r="M535" s="3" t="str">
        <f>CONCATENATE("MRNPLA80S21G479U")</f>
        <v>MRNPLA80S21G479U</v>
      </c>
      <c r="N535" s="3" t="s">
        <v>654</v>
      </c>
      <c r="O535" s="3" t="s">
        <v>38</v>
      </c>
      <c r="P535" s="3"/>
      <c r="Q535" s="4">
        <v>45968</v>
      </c>
      <c r="R535" s="3" t="s">
        <v>39</v>
      </c>
      <c r="S535" s="3" t="s">
        <v>38</v>
      </c>
      <c r="T535" s="3" t="s">
        <v>40</v>
      </c>
      <c r="U535" s="3"/>
      <c r="V535" s="3" t="s">
        <v>41</v>
      </c>
      <c r="W535" s="5">
        <v>2284.04</v>
      </c>
      <c r="X535" s="5">
        <v>1713.03</v>
      </c>
      <c r="Y535" s="3">
        <v>399.71</v>
      </c>
      <c r="Z535" s="3">
        <v>171.3</v>
      </c>
      <c r="AA535" s="3">
        <v>0</v>
      </c>
    </row>
    <row r="536" spans="1:27" ht="60.75" x14ac:dyDescent="0.25">
      <c r="A536" s="3" t="s">
        <v>28</v>
      </c>
      <c r="B536" s="3" t="s">
        <v>29</v>
      </c>
      <c r="C536" s="3" t="s">
        <v>30</v>
      </c>
      <c r="D536" s="3" t="s">
        <v>42</v>
      </c>
      <c r="E536" s="3" t="s">
        <v>43</v>
      </c>
      <c r="F536" s="3" t="s">
        <v>43</v>
      </c>
      <c r="G536" s="3">
        <v>2025</v>
      </c>
      <c r="H536" s="3" t="str">
        <f>CONCATENATE("54240544442")</f>
        <v>54240544442</v>
      </c>
      <c r="I536" s="3" t="s">
        <v>34</v>
      </c>
      <c r="J536" s="3" t="s">
        <v>35</v>
      </c>
      <c r="K536" s="3"/>
      <c r="L536" s="3" t="s">
        <v>36</v>
      </c>
      <c r="M536" s="3" t="str">
        <f>CONCATENATE("CRSRFL63L31H321M")</f>
        <v>CRSRFL63L31H321M</v>
      </c>
      <c r="N536" s="3" t="s">
        <v>655</v>
      </c>
      <c r="O536" s="3" t="s">
        <v>38</v>
      </c>
      <c r="P536" s="3"/>
      <c r="Q536" s="4">
        <v>45968</v>
      </c>
      <c r="R536" s="3" t="s">
        <v>39</v>
      </c>
      <c r="S536" s="3" t="s">
        <v>38</v>
      </c>
      <c r="T536" s="3" t="s">
        <v>40</v>
      </c>
      <c r="U536" s="3"/>
      <c r="V536" s="3" t="s">
        <v>41</v>
      </c>
      <c r="W536" s="5">
        <v>5388.69</v>
      </c>
      <c r="X536" s="5">
        <v>4041.52</v>
      </c>
      <c r="Y536" s="3">
        <v>943.02</v>
      </c>
      <c r="Z536" s="3">
        <v>404.15</v>
      </c>
      <c r="AA536" s="3">
        <v>0</v>
      </c>
    </row>
    <row r="537" spans="1:27" ht="60.75" x14ac:dyDescent="0.25">
      <c r="A537" s="3" t="s">
        <v>28</v>
      </c>
      <c r="B537" s="3" t="s">
        <v>29</v>
      </c>
      <c r="C537" s="3" t="s">
        <v>30</v>
      </c>
      <c r="D537" s="3" t="s">
        <v>47</v>
      </c>
      <c r="E537" s="3" t="s">
        <v>51</v>
      </c>
      <c r="F537" s="3" t="s">
        <v>151</v>
      </c>
      <c r="G537" s="3">
        <v>2025</v>
      </c>
      <c r="H537" s="3" t="str">
        <f>CONCATENATE("54240640604")</f>
        <v>54240640604</v>
      </c>
      <c r="I537" s="3" t="s">
        <v>34</v>
      </c>
      <c r="J537" s="3" t="s">
        <v>35</v>
      </c>
      <c r="K537" s="3"/>
      <c r="L537" s="3" t="s">
        <v>36</v>
      </c>
      <c r="M537" s="3" t="str">
        <f>CONCATENATE("FLRFNC72P14F979P")</f>
        <v>FLRFNC72P14F979P</v>
      </c>
      <c r="N537" s="3" t="s">
        <v>656</v>
      </c>
      <c r="O537" s="3" t="s">
        <v>38</v>
      </c>
      <c r="P537" s="3"/>
      <c r="Q537" s="4">
        <v>45968</v>
      </c>
      <c r="R537" s="3" t="s">
        <v>39</v>
      </c>
      <c r="S537" s="3" t="s">
        <v>38</v>
      </c>
      <c r="T537" s="3" t="s">
        <v>40</v>
      </c>
      <c r="U537" s="3"/>
      <c r="V537" s="3" t="s">
        <v>41</v>
      </c>
      <c r="W537" s="5">
        <v>1201.73</v>
      </c>
      <c r="X537" s="3">
        <v>901.3</v>
      </c>
      <c r="Y537" s="3">
        <v>210.3</v>
      </c>
      <c r="Z537" s="3">
        <v>90.13</v>
      </c>
      <c r="AA537" s="3">
        <v>0</v>
      </c>
    </row>
    <row r="538" spans="1:27" ht="36.75" x14ac:dyDescent="0.25">
      <c r="A538" s="3" t="s">
        <v>28</v>
      </c>
      <c r="B538" s="3" t="s">
        <v>29</v>
      </c>
      <c r="C538" s="3" t="s">
        <v>30</v>
      </c>
      <c r="D538" s="3" t="s">
        <v>65</v>
      </c>
      <c r="E538" s="3" t="s">
        <v>48</v>
      </c>
      <c r="F538" s="3" t="s">
        <v>66</v>
      </c>
      <c r="G538" s="3">
        <v>2025</v>
      </c>
      <c r="H538" s="3" t="str">
        <f>CONCATENATE("54240544830")</f>
        <v>54240544830</v>
      </c>
      <c r="I538" s="3" t="s">
        <v>34</v>
      </c>
      <c r="J538" s="3" t="s">
        <v>35</v>
      </c>
      <c r="K538" s="3"/>
      <c r="L538" s="3" t="s">
        <v>36</v>
      </c>
      <c r="M538" s="3" t="str">
        <f>CONCATENATE("02208380416")</f>
        <v>02208380416</v>
      </c>
      <c r="N538" s="3" t="s">
        <v>657</v>
      </c>
      <c r="O538" s="3" t="s">
        <v>38</v>
      </c>
      <c r="P538" s="3"/>
      <c r="Q538" s="4">
        <v>45968</v>
      </c>
      <c r="R538" s="3" t="s">
        <v>39</v>
      </c>
      <c r="S538" s="3" t="s">
        <v>38</v>
      </c>
      <c r="T538" s="3" t="s">
        <v>40</v>
      </c>
      <c r="U538" s="3"/>
      <c r="V538" s="3" t="s">
        <v>41</v>
      </c>
      <c r="W538" s="5">
        <v>2263.0500000000002</v>
      </c>
      <c r="X538" s="5">
        <v>1697.29</v>
      </c>
      <c r="Y538" s="3">
        <v>396.03</v>
      </c>
      <c r="Z538" s="3">
        <v>169.73</v>
      </c>
      <c r="AA538" s="3">
        <v>0</v>
      </c>
    </row>
    <row r="539" spans="1:27" ht="60.75" x14ac:dyDescent="0.25">
      <c r="A539" s="3" t="s">
        <v>28</v>
      </c>
      <c r="B539" s="3" t="s">
        <v>29</v>
      </c>
      <c r="C539" s="3" t="s">
        <v>30</v>
      </c>
      <c r="D539" s="3" t="s">
        <v>65</v>
      </c>
      <c r="E539" s="3" t="s">
        <v>51</v>
      </c>
      <c r="F539" s="3" t="s">
        <v>105</v>
      </c>
      <c r="G539" s="3">
        <v>2025</v>
      </c>
      <c r="H539" s="3" t="str">
        <f>CONCATENATE("54240544848")</f>
        <v>54240544848</v>
      </c>
      <c r="I539" s="3" t="s">
        <v>34</v>
      </c>
      <c r="J539" s="3" t="s">
        <v>35</v>
      </c>
      <c r="K539" s="3"/>
      <c r="L539" s="3" t="s">
        <v>36</v>
      </c>
      <c r="M539" s="3" t="str">
        <f>CONCATENATE("VTLLNZ99P20D488I")</f>
        <v>VTLLNZ99P20D488I</v>
      </c>
      <c r="N539" s="3" t="s">
        <v>658</v>
      </c>
      <c r="O539" s="3" t="s">
        <v>38</v>
      </c>
      <c r="P539" s="3"/>
      <c r="Q539" s="4">
        <v>45968</v>
      </c>
      <c r="R539" s="3" t="s">
        <v>39</v>
      </c>
      <c r="S539" s="3" t="s">
        <v>38</v>
      </c>
      <c r="T539" s="3" t="s">
        <v>40</v>
      </c>
      <c r="U539" s="3"/>
      <c r="V539" s="3" t="s">
        <v>41</v>
      </c>
      <c r="W539" s="5">
        <v>1015.33</v>
      </c>
      <c r="X539" s="3">
        <v>761.5</v>
      </c>
      <c r="Y539" s="3">
        <v>177.68</v>
      </c>
      <c r="Z539" s="3">
        <v>76.150000000000006</v>
      </c>
      <c r="AA539" s="3">
        <v>0</v>
      </c>
    </row>
    <row r="540" spans="1:27" ht="36.75" x14ac:dyDescent="0.25">
      <c r="A540" s="3" t="s">
        <v>28</v>
      </c>
      <c r="B540" s="3" t="s">
        <v>29</v>
      </c>
      <c r="C540" s="3" t="s">
        <v>30</v>
      </c>
      <c r="D540" s="3" t="s">
        <v>42</v>
      </c>
      <c r="E540" s="3" t="s">
        <v>51</v>
      </c>
      <c r="F540" s="3" t="s">
        <v>52</v>
      </c>
      <c r="G540" s="3">
        <v>2025</v>
      </c>
      <c r="H540" s="3" t="str">
        <f>CONCATENATE("54240544996")</f>
        <v>54240544996</v>
      </c>
      <c r="I540" s="3" t="s">
        <v>34</v>
      </c>
      <c r="J540" s="3" t="s">
        <v>35</v>
      </c>
      <c r="K540" s="3"/>
      <c r="L540" s="3" t="s">
        <v>36</v>
      </c>
      <c r="M540" s="3" t="str">
        <f>CONCATENATE("02573830441")</f>
        <v>02573830441</v>
      </c>
      <c r="N540" s="3" t="s">
        <v>659</v>
      </c>
      <c r="O540" s="3" t="s">
        <v>38</v>
      </c>
      <c r="P540" s="3"/>
      <c r="Q540" s="4">
        <v>45968</v>
      </c>
      <c r="R540" s="3" t="s">
        <v>39</v>
      </c>
      <c r="S540" s="3" t="s">
        <v>38</v>
      </c>
      <c r="T540" s="3" t="s">
        <v>40</v>
      </c>
      <c r="U540" s="3"/>
      <c r="V540" s="3" t="s">
        <v>41</v>
      </c>
      <c r="W540" s="5">
        <v>1820.13</v>
      </c>
      <c r="X540" s="5">
        <v>1365.1</v>
      </c>
      <c r="Y540" s="3">
        <v>318.52</v>
      </c>
      <c r="Z540" s="3">
        <v>136.51</v>
      </c>
      <c r="AA540" s="3">
        <v>0</v>
      </c>
    </row>
    <row r="541" spans="1:27" ht="60.75" x14ac:dyDescent="0.25">
      <c r="A541" s="3" t="s">
        <v>28</v>
      </c>
      <c r="B541" s="3" t="s">
        <v>29</v>
      </c>
      <c r="C541" s="3" t="s">
        <v>30</v>
      </c>
      <c r="D541" s="3" t="s">
        <v>42</v>
      </c>
      <c r="E541" s="3" t="s">
        <v>51</v>
      </c>
      <c r="F541" s="3" t="s">
        <v>52</v>
      </c>
      <c r="G541" s="3">
        <v>2025</v>
      </c>
      <c r="H541" s="3" t="str">
        <f>CONCATENATE("54240545431")</f>
        <v>54240545431</v>
      </c>
      <c r="I541" s="3" t="s">
        <v>34</v>
      </c>
      <c r="J541" s="3" t="s">
        <v>35</v>
      </c>
      <c r="K541" s="3"/>
      <c r="L541" s="3" t="s">
        <v>36</v>
      </c>
      <c r="M541" s="3" t="str">
        <f>CONCATENATE("MSSRRT83P24H769X")</f>
        <v>MSSRRT83P24H769X</v>
      </c>
      <c r="N541" s="3" t="s">
        <v>660</v>
      </c>
      <c r="O541" s="3" t="s">
        <v>38</v>
      </c>
      <c r="P541" s="3"/>
      <c r="Q541" s="4">
        <v>45968</v>
      </c>
      <c r="R541" s="3" t="s">
        <v>39</v>
      </c>
      <c r="S541" s="3" t="s">
        <v>38</v>
      </c>
      <c r="T541" s="3" t="s">
        <v>40</v>
      </c>
      <c r="U541" s="3"/>
      <c r="V541" s="3" t="s">
        <v>41</v>
      </c>
      <c r="W541" s="5">
        <v>6272.01</v>
      </c>
      <c r="X541" s="5">
        <v>4704.01</v>
      </c>
      <c r="Y541" s="5">
        <v>1097.5999999999999</v>
      </c>
      <c r="Z541" s="3">
        <v>470.4</v>
      </c>
      <c r="AA541" s="3">
        <v>0</v>
      </c>
    </row>
    <row r="542" spans="1:27" ht="36.75" x14ac:dyDescent="0.25">
      <c r="A542" s="3" t="s">
        <v>28</v>
      </c>
      <c r="B542" s="3" t="s">
        <v>29</v>
      </c>
      <c r="C542" s="3" t="s">
        <v>30</v>
      </c>
      <c r="D542" s="3" t="s">
        <v>42</v>
      </c>
      <c r="E542" s="3" t="s">
        <v>51</v>
      </c>
      <c r="F542" s="3" t="s">
        <v>661</v>
      </c>
      <c r="G542" s="3">
        <v>2024</v>
      </c>
      <c r="H542" s="3" t="str">
        <f>CONCATENATE("44240099745")</f>
        <v>44240099745</v>
      </c>
      <c r="I542" s="3" t="s">
        <v>44</v>
      </c>
      <c r="J542" s="3" t="s">
        <v>35</v>
      </c>
      <c r="K542" s="3"/>
      <c r="L542" s="3" t="s">
        <v>111</v>
      </c>
      <c r="M542" s="3" t="str">
        <f>CONCATENATE("02341960447")</f>
        <v>02341960447</v>
      </c>
      <c r="N542" s="3" t="s">
        <v>662</v>
      </c>
      <c r="O542" s="3" t="s">
        <v>41</v>
      </c>
      <c r="P542" s="3" t="s">
        <v>289</v>
      </c>
      <c r="Q542" s="4">
        <v>45965</v>
      </c>
      <c r="R542" s="3" t="s">
        <v>39</v>
      </c>
      <c r="S542" s="3" t="s">
        <v>114</v>
      </c>
      <c r="T542" s="3" t="s">
        <v>40</v>
      </c>
      <c r="U542" s="3"/>
      <c r="V542" s="3" t="s">
        <v>41</v>
      </c>
      <c r="W542" s="3">
        <v>323.31</v>
      </c>
      <c r="X542" s="3">
        <v>171.35</v>
      </c>
      <c r="Y542" s="3">
        <v>106.37</v>
      </c>
      <c r="Z542" s="3">
        <v>45.59</v>
      </c>
      <c r="AA542" s="3">
        <v>0</v>
      </c>
    </row>
    <row r="543" spans="1:27" ht="72.75" x14ac:dyDescent="0.25">
      <c r="A543" s="3" t="s">
        <v>28</v>
      </c>
      <c r="B543" s="3" t="s">
        <v>29</v>
      </c>
      <c r="C543" s="3" t="s">
        <v>30</v>
      </c>
      <c r="D543" s="3" t="s">
        <v>31</v>
      </c>
      <c r="E543" s="3" t="s">
        <v>32</v>
      </c>
      <c r="F543" s="3" t="s">
        <v>33</v>
      </c>
      <c r="G543" s="3">
        <v>2025</v>
      </c>
      <c r="H543" s="3" t="str">
        <f>CONCATENATE("54240546025")</f>
        <v>54240546025</v>
      </c>
      <c r="I543" s="3" t="s">
        <v>34</v>
      </c>
      <c r="J543" s="3" t="s">
        <v>35</v>
      </c>
      <c r="K543" s="3"/>
      <c r="L543" s="3" t="s">
        <v>36</v>
      </c>
      <c r="M543" s="3" t="str">
        <f>CONCATENATE("MRNSDR74P29D451F")</f>
        <v>MRNSDR74P29D451F</v>
      </c>
      <c r="N543" s="3" t="s">
        <v>663</v>
      </c>
      <c r="O543" s="3" t="s">
        <v>38</v>
      </c>
      <c r="P543" s="3"/>
      <c r="Q543" s="4">
        <v>45968</v>
      </c>
      <c r="R543" s="3" t="s">
        <v>39</v>
      </c>
      <c r="S543" s="3" t="s">
        <v>38</v>
      </c>
      <c r="T543" s="3" t="s">
        <v>40</v>
      </c>
      <c r="U543" s="3"/>
      <c r="V543" s="3" t="s">
        <v>41</v>
      </c>
      <c r="W543" s="3">
        <v>945.24</v>
      </c>
      <c r="X543" s="3">
        <v>708.93</v>
      </c>
      <c r="Y543" s="3">
        <v>165.42</v>
      </c>
      <c r="Z543" s="3">
        <v>70.89</v>
      </c>
      <c r="AA543" s="3">
        <v>0</v>
      </c>
    </row>
    <row r="544" spans="1:27" ht="60.75" x14ac:dyDescent="0.25">
      <c r="A544" s="3" t="s">
        <v>28</v>
      </c>
      <c r="B544" s="3" t="s">
        <v>29</v>
      </c>
      <c r="C544" s="3" t="s">
        <v>30</v>
      </c>
      <c r="D544" s="3" t="s">
        <v>31</v>
      </c>
      <c r="E544" s="3" t="s">
        <v>51</v>
      </c>
      <c r="F544" s="3" t="s">
        <v>69</v>
      </c>
      <c r="G544" s="3">
        <v>2025</v>
      </c>
      <c r="H544" s="3" t="str">
        <f>CONCATENATE("54240546314")</f>
        <v>54240546314</v>
      </c>
      <c r="I544" s="3" t="s">
        <v>34</v>
      </c>
      <c r="J544" s="3" t="s">
        <v>35</v>
      </c>
      <c r="K544" s="3"/>
      <c r="L544" s="3" t="s">
        <v>36</v>
      </c>
      <c r="M544" s="3" t="str">
        <f>CONCATENATE("GRGLCU71E08F581Z")</f>
        <v>GRGLCU71E08F581Z</v>
      </c>
      <c r="N544" s="3" t="s">
        <v>664</v>
      </c>
      <c r="O544" s="3" t="s">
        <v>38</v>
      </c>
      <c r="P544" s="3"/>
      <c r="Q544" s="4">
        <v>45968</v>
      </c>
      <c r="R544" s="3" t="s">
        <v>39</v>
      </c>
      <c r="S544" s="3" t="s">
        <v>38</v>
      </c>
      <c r="T544" s="3" t="s">
        <v>40</v>
      </c>
      <c r="U544" s="3"/>
      <c r="V544" s="3" t="s">
        <v>41</v>
      </c>
      <c r="W544" s="5">
        <v>17356.150000000001</v>
      </c>
      <c r="X544" s="5">
        <v>13017.11</v>
      </c>
      <c r="Y544" s="5">
        <v>3037.33</v>
      </c>
      <c r="Z544" s="5">
        <v>1301.71</v>
      </c>
      <c r="AA544" s="3">
        <v>0</v>
      </c>
    </row>
    <row r="545" spans="1:27" ht="36.75" x14ac:dyDescent="0.25">
      <c r="A545" s="3" t="s">
        <v>28</v>
      </c>
      <c r="B545" s="3" t="s">
        <v>29</v>
      </c>
      <c r="C545" s="3" t="s">
        <v>30</v>
      </c>
      <c r="D545" s="3" t="s">
        <v>65</v>
      </c>
      <c r="E545" s="3" t="s">
        <v>60</v>
      </c>
      <c r="F545" s="3" t="s">
        <v>85</v>
      </c>
      <c r="G545" s="3">
        <v>2025</v>
      </c>
      <c r="H545" s="3" t="str">
        <f>CONCATENATE("54240547031")</f>
        <v>54240547031</v>
      </c>
      <c r="I545" s="3" t="s">
        <v>34</v>
      </c>
      <c r="J545" s="3" t="s">
        <v>35</v>
      </c>
      <c r="K545" s="3"/>
      <c r="L545" s="3" t="s">
        <v>36</v>
      </c>
      <c r="M545" s="3" t="str">
        <f>CONCATENATE("02605180419")</f>
        <v>02605180419</v>
      </c>
      <c r="N545" s="3" t="s">
        <v>665</v>
      </c>
      <c r="O545" s="3" t="s">
        <v>38</v>
      </c>
      <c r="P545" s="3"/>
      <c r="Q545" s="4">
        <v>45968</v>
      </c>
      <c r="R545" s="3" t="s">
        <v>39</v>
      </c>
      <c r="S545" s="3" t="s">
        <v>38</v>
      </c>
      <c r="T545" s="3" t="s">
        <v>40</v>
      </c>
      <c r="U545" s="3"/>
      <c r="V545" s="3" t="s">
        <v>41</v>
      </c>
      <c r="W545" s="5">
        <v>4749.16</v>
      </c>
      <c r="X545" s="5">
        <v>3561.87</v>
      </c>
      <c r="Y545" s="3">
        <v>831.1</v>
      </c>
      <c r="Z545" s="3">
        <v>356.19</v>
      </c>
      <c r="AA545" s="3">
        <v>0</v>
      </c>
    </row>
    <row r="546" spans="1:27" ht="60.75" x14ac:dyDescent="0.25">
      <c r="A546" s="3" t="s">
        <v>28</v>
      </c>
      <c r="B546" s="3" t="s">
        <v>29</v>
      </c>
      <c r="C546" s="3" t="s">
        <v>30</v>
      </c>
      <c r="D546" s="3" t="s">
        <v>31</v>
      </c>
      <c r="E546" s="3" t="s">
        <v>132</v>
      </c>
      <c r="F546" s="3" t="s">
        <v>133</v>
      </c>
      <c r="G546" s="3">
        <v>2025</v>
      </c>
      <c r="H546" s="3" t="str">
        <f>CONCATENATE("54240546710")</f>
        <v>54240546710</v>
      </c>
      <c r="I546" s="3" t="s">
        <v>34</v>
      </c>
      <c r="J546" s="3" t="s">
        <v>35</v>
      </c>
      <c r="K546" s="3"/>
      <c r="L546" s="3" t="s">
        <v>36</v>
      </c>
      <c r="M546" s="3" t="str">
        <f>CONCATENATE("CSRGNN62P16Z103I")</f>
        <v>CSRGNN62P16Z103I</v>
      </c>
      <c r="N546" s="3" t="s">
        <v>666</v>
      </c>
      <c r="O546" s="3" t="s">
        <v>38</v>
      </c>
      <c r="P546" s="3"/>
      <c r="Q546" s="4">
        <v>45968</v>
      </c>
      <c r="R546" s="3" t="s">
        <v>39</v>
      </c>
      <c r="S546" s="3" t="s">
        <v>38</v>
      </c>
      <c r="T546" s="3" t="s">
        <v>40</v>
      </c>
      <c r="U546" s="3"/>
      <c r="V546" s="3" t="s">
        <v>41</v>
      </c>
      <c r="W546" s="5">
        <v>7291.92</v>
      </c>
      <c r="X546" s="5">
        <v>5468.94</v>
      </c>
      <c r="Y546" s="5">
        <v>1276.0899999999999</v>
      </c>
      <c r="Z546" s="3">
        <v>546.89</v>
      </c>
      <c r="AA546" s="3">
        <v>0</v>
      </c>
    </row>
    <row r="547" spans="1:27" ht="60.75" x14ac:dyDescent="0.25">
      <c r="A547" s="3" t="s">
        <v>28</v>
      </c>
      <c r="B547" s="3" t="s">
        <v>29</v>
      </c>
      <c r="C547" s="3" t="s">
        <v>30</v>
      </c>
      <c r="D547" s="3" t="s">
        <v>47</v>
      </c>
      <c r="E547" s="3" t="s">
        <v>32</v>
      </c>
      <c r="F547" s="3" t="s">
        <v>545</v>
      </c>
      <c r="G547" s="3">
        <v>2025</v>
      </c>
      <c r="H547" s="3" t="str">
        <f>CONCATENATE("54240547064")</f>
        <v>54240547064</v>
      </c>
      <c r="I547" s="3" t="s">
        <v>34</v>
      </c>
      <c r="J547" s="3" t="s">
        <v>35</v>
      </c>
      <c r="K547" s="3"/>
      <c r="L547" s="3" t="s">
        <v>36</v>
      </c>
      <c r="M547" s="3" t="str">
        <f>CONCATENATE("SCGLLI57L57F493Y")</f>
        <v>SCGLLI57L57F493Y</v>
      </c>
      <c r="N547" s="3" t="s">
        <v>667</v>
      </c>
      <c r="O547" s="3" t="s">
        <v>38</v>
      </c>
      <c r="P547" s="3"/>
      <c r="Q547" s="4">
        <v>45968</v>
      </c>
      <c r="R547" s="3" t="s">
        <v>39</v>
      </c>
      <c r="S547" s="3" t="s">
        <v>38</v>
      </c>
      <c r="T547" s="3" t="s">
        <v>40</v>
      </c>
      <c r="U547" s="3"/>
      <c r="V547" s="3" t="s">
        <v>41</v>
      </c>
      <c r="W547" s="5">
        <v>1024.8499999999999</v>
      </c>
      <c r="X547" s="3">
        <v>768.64</v>
      </c>
      <c r="Y547" s="3">
        <v>179.35</v>
      </c>
      <c r="Z547" s="3">
        <v>76.86</v>
      </c>
      <c r="AA547" s="3">
        <v>0</v>
      </c>
    </row>
    <row r="548" spans="1:27" ht="36.75" x14ac:dyDescent="0.25">
      <c r="A548" s="3" t="s">
        <v>28</v>
      </c>
      <c r="B548" s="3" t="s">
        <v>29</v>
      </c>
      <c r="C548" s="3" t="s">
        <v>30</v>
      </c>
      <c r="D548" s="3" t="s">
        <v>31</v>
      </c>
      <c r="E548" s="3" t="s">
        <v>51</v>
      </c>
      <c r="F548" s="3" t="s">
        <v>93</v>
      </c>
      <c r="G548" s="3">
        <v>2025</v>
      </c>
      <c r="H548" s="3" t="str">
        <f>CONCATENATE("54240546876")</f>
        <v>54240546876</v>
      </c>
      <c r="I548" s="3" t="s">
        <v>44</v>
      </c>
      <c r="J548" s="3" t="s">
        <v>35</v>
      </c>
      <c r="K548" s="3"/>
      <c r="L548" s="3" t="s">
        <v>36</v>
      </c>
      <c r="M548" s="3" t="str">
        <f>CONCATENATE("02635860428")</f>
        <v>02635860428</v>
      </c>
      <c r="N548" s="3" t="s">
        <v>668</v>
      </c>
      <c r="O548" s="3" t="s">
        <v>38</v>
      </c>
      <c r="P548" s="3"/>
      <c r="Q548" s="4">
        <v>45968</v>
      </c>
      <c r="R548" s="3" t="s">
        <v>39</v>
      </c>
      <c r="S548" s="3" t="s">
        <v>38</v>
      </c>
      <c r="T548" s="3" t="s">
        <v>40</v>
      </c>
      <c r="U548" s="3"/>
      <c r="V548" s="3" t="s">
        <v>41</v>
      </c>
      <c r="W548" s="5">
        <v>4050.85</v>
      </c>
      <c r="X548" s="5">
        <v>3038.14</v>
      </c>
      <c r="Y548" s="3">
        <v>708.9</v>
      </c>
      <c r="Z548" s="3">
        <v>303.81</v>
      </c>
      <c r="AA548" s="3">
        <v>0</v>
      </c>
    </row>
    <row r="549" spans="1:27" ht="60.75" x14ac:dyDescent="0.25">
      <c r="A549" s="3" t="s">
        <v>28</v>
      </c>
      <c r="B549" s="3" t="s">
        <v>29</v>
      </c>
      <c r="C549" s="3" t="s">
        <v>30</v>
      </c>
      <c r="D549" s="3" t="s">
        <v>47</v>
      </c>
      <c r="E549" s="3" t="s">
        <v>51</v>
      </c>
      <c r="F549" s="3" t="s">
        <v>103</v>
      </c>
      <c r="G549" s="3">
        <v>2025</v>
      </c>
      <c r="H549" s="3" t="str">
        <f>CONCATENATE("54240561891")</f>
        <v>54240561891</v>
      </c>
      <c r="I549" s="3" t="s">
        <v>34</v>
      </c>
      <c r="J549" s="3" t="s">
        <v>35</v>
      </c>
      <c r="K549" s="3"/>
      <c r="L549" s="3" t="s">
        <v>36</v>
      </c>
      <c r="M549" s="3" t="str">
        <f>CONCATENATE("RSLDNL94T30A252S")</f>
        <v>RSLDNL94T30A252S</v>
      </c>
      <c r="N549" s="3" t="s">
        <v>669</v>
      </c>
      <c r="O549" s="3" t="s">
        <v>38</v>
      </c>
      <c r="P549" s="3"/>
      <c r="Q549" s="4">
        <v>45968</v>
      </c>
      <c r="R549" s="3" t="s">
        <v>39</v>
      </c>
      <c r="S549" s="3" t="s">
        <v>38</v>
      </c>
      <c r="T549" s="3" t="s">
        <v>40</v>
      </c>
      <c r="U549" s="3"/>
      <c r="V549" s="3" t="s">
        <v>41</v>
      </c>
      <c r="W549" s="5">
        <v>3250.12</v>
      </c>
      <c r="X549" s="5">
        <v>2437.59</v>
      </c>
      <c r="Y549" s="3">
        <v>568.77</v>
      </c>
      <c r="Z549" s="3">
        <v>243.76</v>
      </c>
      <c r="AA549" s="3">
        <v>0</v>
      </c>
    </row>
    <row r="550" spans="1:27" ht="60.75" x14ac:dyDescent="0.25">
      <c r="A550" s="3" t="s">
        <v>28</v>
      </c>
      <c r="B550" s="3" t="s">
        <v>29</v>
      </c>
      <c r="C550" s="3" t="s">
        <v>30</v>
      </c>
      <c r="D550" s="3" t="s">
        <v>65</v>
      </c>
      <c r="E550" s="3" t="s">
        <v>43</v>
      </c>
      <c r="F550" s="3" t="s">
        <v>43</v>
      </c>
      <c r="G550" s="3">
        <v>2025</v>
      </c>
      <c r="H550" s="3" t="str">
        <f>CONCATENATE("54240548484")</f>
        <v>54240548484</v>
      </c>
      <c r="I550" s="3" t="s">
        <v>34</v>
      </c>
      <c r="J550" s="3" t="s">
        <v>35</v>
      </c>
      <c r="K550" s="3"/>
      <c r="L550" s="3" t="s">
        <v>36</v>
      </c>
      <c r="M550" s="3" t="str">
        <f>CONCATENATE("MRCSMN71P15G479L")</f>
        <v>MRCSMN71P15G479L</v>
      </c>
      <c r="N550" s="3" t="s">
        <v>670</v>
      </c>
      <c r="O550" s="3" t="s">
        <v>38</v>
      </c>
      <c r="P550" s="3"/>
      <c r="Q550" s="4">
        <v>45968</v>
      </c>
      <c r="R550" s="3" t="s">
        <v>39</v>
      </c>
      <c r="S550" s="3" t="s">
        <v>38</v>
      </c>
      <c r="T550" s="3" t="s">
        <v>40</v>
      </c>
      <c r="U550" s="3"/>
      <c r="V550" s="3" t="s">
        <v>41</v>
      </c>
      <c r="W550" s="5">
        <v>10498.55</v>
      </c>
      <c r="X550" s="5">
        <v>7873.91</v>
      </c>
      <c r="Y550" s="5">
        <v>1837.25</v>
      </c>
      <c r="Z550" s="3">
        <v>787.39</v>
      </c>
      <c r="AA550" s="3">
        <v>0</v>
      </c>
    </row>
    <row r="551" spans="1:27" ht="60.75" x14ac:dyDescent="0.25">
      <c r="A551" s="3" t="s">
        <v>28</v>
      </c>
      <c r="B551" s="3" t="s">
        <v>29</v>
      </c>
      <c r="C551" s="3" t="s">
        <v>30</v>
      </c>
      <c r="D551" s="3" t="s">
        <v>31</v>
      </c>
      <c r="E551" s="3" t="s">
        <v>60</v>
      </c>
      <c r="F551" s="3" t="s">
        <v>61</v>
      </c>
      <c r="G551" s="3">
        <v>2025</v>
      </c>
      <c r="H551" s="3" t="str">
        <f>CONCATENATE("54240548716")</f>
        <v>54240548716</v>
      </c>
      <c r="I551" s="3" t="s">
        <v>34</v>
      </c>
      <c r="J551" s="3" t="s">
        <v>35</v>
      </c>
      <c r="K551" s="3"/>
      <c r="L551" s="3" t="s">
        <v>36</v>
      </c>
      <c r="M551" s="3" t="str">
        <f>CONCATENATE("GBRLNZ93C07D451N")</f>
        <v>GBRLNZ93C07D451N</v>
      </c>
      <c r="N551" s="3" t="s">
        <v>671</v>
      </c>
      <c r="O551" s="3" t="s">
        <v>38</v>
      </c>
      <c r="P551" s="3"/>
      <c r="Q551" s="4">
        <v>45968</v>
      </c>
      <c r="R551" s="3" t="s">
        <v>39</v>
      </c>
      <c r="S551" s="3" t="s">
        <v>38</v>
      </c>
      <c r="T551" s="3" t="s">
        <v>40</v>
      </c>
      <c r="U551" s="3"/>
      <c r="V551" s="3" t="s">
        <v>41</v>
      </c>
      <c r="W551" s="5">
        <v>24975.31</v>
      </c>
      <c r="X551" s="5">
        <v>18731.48</v>
      </c>
      <c r="Y551" s="5">
        <v>4370.68</v>
      </c>
      <c r="Z551" s="5">
        <v>1873.15</v>
      </c>
      <c r="AA551" s="3">
        <v>0</v>
      </c>
    </row>
    <row r="552" spans="1:27" ht="60.75" x14ac:dyDescent="0.25">
      <c r="A552" s="3" t="s">
        <v>28</v>
      </c>
      <c r="B552" s="3" t="s">
        <v>29</v>
      </c>
      <c r="C552" s="3" t="s">
        <v>30</v>
      </c>
      <c r="D552" s="3" t="s">
        <v>47</v>
      </c>
      <c r="E552" s="3" t="s">
        <v>60</v>
      </c>
      <c r="F552" s="3" t="s">
        <v>81</v>
      </c>
      <c r="G552" s="3">
        <v>2025</v>
      </c>
      <c r="H552" s="3" t="str">
        <f>CONCATENATE("54240548617")</f>
        <v>54240548617</v>
      </c>
      <c r="I552" s="3" t="s">
        <v>34</v>
      </c>
      <c r="J552" s="3" t="s">
        <v>35</v>
      </c>
      <c r="K552" s="3"/>
      <c r="L552" s="3" t="s">
        <v>36</v>
      </c>
      <c r="M552" s="3" t="str">
        <f>CONCATENATE("FBRRMS44A01E256O")</f>
        <v>FBRRMS44A01E256O</v>
      </c>
      <c r="N552" s="3" t="s">
        <v>672</v>
      </c>
      <c r="O552" s="3" t="s">
        <v>38</v>
      </c>
      <c r="P552" s="3"/>
      <c r="Q552" s="4">
        <v>45968</v>
      </c>
      <c r="R552" s="3" t="s">
        <v>39</v>
      </c>
      <c r="S552" s="3" t="s">
        <v>38</v>
      </c>
      <c r="T552" s="3" t="s">
        <v>40</v>
      </c>
      <c r="U552" s="3"/>
      <c r="V552" s="3" t="s">
        <v>41</v>
      </c>
      <c r="W552" s="5">
        <v>3417.06</v>
      </c>
      <c r="X552" s="5">
        <v>2562.8000000000002</v>
      </c>
      <c r="Y552" s="3">
        <v>597.99</v>
      </c>
      <c r="Z552" s="3">
        <v>256.27</v>
      </c>
      <c r="AA552" s="3">
        <v>0</v>
      </c>
    </row>
    <row r="553" spans="1:27" ht="36.75" x14ac:dyDescent="0.25">
      <c r="A553" s="3" t="s">
        <v>28</v>
      </c>
      <c r="B553" s="3" t="s">
        <v>29</v>
      </c>
      <c r="C553" s="3" t="s">
        <v>30</v>
      </c>
      <c r="D553" s="3" t="s">
        <v>65</v>
      </c>
      <c r="E553" s="3" t="s">
        <v>43</v>
      </c>
      <c r="F553" s="3" t="s">
        <v>43</v>
      </c>
      <c r="G553" s="3">
        <v>2025</v>
      </c>
      <c r="H553" s="3" t="str">
        <f>CONCATENATE("54240548708")</f>
        <v>54240548708</v>
      </c>
      <c r="I553" s="3" t="s">
        <v>34</v>
      </c>
      <c r="J553" s="3" t="s">
        <v>35</v>
      </c>
      <c r="K553" s="3"/>
      <c r="L553" s="3" t="s">
        <v>36</v>
      </c>
      <c r="M553" s="3" t="str">
        <f>CONCATENATE("01408070413")</f>
        <v>01408070413</v>
      </c>
      <c r="N553" s="3" t="s">
        <v>673</v>
      </c>
      <c r="O553" s="3" t="s">
        <v>38</v>
      </c>
      <c r="P553" s="3"/>
      <c r="Q553" s="4">
        <v>45968</v>
      </c>
      <c r="R553" s="3" t="s">
        <v>39</v>
      </c>
      <c r="S553" s="3" t="s">
        <v>38</v>
      </c>
      <c r="T553" s="3" t="s">
        <v>40</v>
      </c>
      <c r="U553" s="3"/>
      <c r="V553" s="3" t="s">
        <v>41</v>
      </c>
      <c r="W553" s="5">
        <v>9802.5300000000007</v>
      </c>
      <c r="X553" s="5">
        <v>7351.9</v>
      </c>
      <c r="Y553" s="5">
        <v>1715.44</v>
      </c>
      <c r="Z553" s="3">
        <v>735.19</v>
      </c>
      <c r="AA553" s="3">
        <v>0</v>
      </c>
    </row>
    <row r="554" spans="1:27" ht="36.75" x14ac:dyDescent="0.25">
      <c r="A554" s="3" t="s">
        <v>28</v>
      </c>
      <c r="B554" s="3" t="s">
        <v>29</v>
      </c>
      <c r="C554" s="3" t="s">
        <v>30</v>
      </c>
      <c r="D554" s="3" t="s">
        <v>31</v>
      </c>
      <c r="E554" s="3" t="s">
        <v>51</v>
      </c>
      <c r="F554" s="3" t="s">
        <v>300</v>
      </c>
      <c r="G554" s="3">
        <v>2025</v>
      </c>
      <c r="H554" s="3" t="str">
        <f>CONCATENATE("54240548872")</f>
        <v>54240548872</v>
      </c>
      <c r="I554" s="3" t="s">
        <v>34</v>
      </c>
      <c r="J554" s="3" t="s">
        <v>35</v>
      </c>
      <c r="K554" s="3"/>
      <c r="L554" s="3" t="s">
        <v>36</v>
      </c>
      <c r="M554" s="3" t="str">
        <f>CONCATENATE("02451980425")</f>
        <v>02451980425</v>
      </c>
      <c r="N554" s="3" t="s">
        <v>674</v>
      </c>
      <c r="O554" s="3" t="s">
        <v>38</v>
      </c>
      <c r="P554" s="3"/>
      <c r="Q554" s="4">
        <v>45968</v>
      </c>
      <c r="R554" s="3" t="s">
        <v>39</v>
      </c>
      <c r="S554" s="3" t="s">
        <v>38</v>
      </c>
      <c r="T554" s="3" t="s">
        <v>40</v>
      </c>
      <c r="U554" s="3"/>
      <c r="V554" s="3" t="s">
        <v>41</v>
      </c>
      <c r="W554" s="5">
        <v>1683.94</v>
      </c>
      <c r="X554" s="5">
        <v>1262.96</v>
      </c>
      <c r="Y554" s="3">
        <v>294.69</v>
      </c>
      <c r="Z554" s="3">
        <v>126.29</v>
      </c>
      <c r="AA554" s="3">
        <v>0</v>
      </c>
    </row>
    <row r="555" spans="1:27" ht="60.75" x14ac:dyDescent="0.25">
      <c r="A555" s="3" t="s">
        <v>28</v>
      </c>
      <c r="B555" s="3" t="s">
        <v>29</v>
      </c>
      <c r="C555" s="3" t="s">
        <v>30</v>
      </c>
      <c r="D555" s="3" t="s">
        <v>65</v>
      </c>
      <c r="E555" s="3" t="s">
        <v>43</v>
      </c>
      <c r="F555" s="3" t="s">
        <v>43</v>
      </c>
      <c r="G555" s="3">
        <v>2025</v>
      </c>
      <c r="H555" s="3" t="str">
        <f>CONCATENATE("54240549953")</f>
        <v>54240549953</v>
      </c>
      <c r="I555" s="3" t="s">
        <v>34</v>
      </c>
      <c r="J555" s="3" t="s">
        <v>35</v>
      </c>
      <c r="K555" s="3"/>
      <c r="L555" s="3" t="s">
        <v>36</v>
      </c>
      <c r="M555" s="3" t="str">
        <f>CONCATENATE("GRSMNL61D65F205W")</f>
        <v>GRSMNL61D65F205W</v>
      </c>
      <c r="N555" s="3" t="s">
        <v>675</v>
      </c>
      <c r="O555" s="3" t="s">
        <v>38</v>
      </c>
      <c r="P555" s="3"/>
      <c r="Q555" s="4">
        <v>45968</v>
      </c>
      <c r="R555" s="3" t="s">
        <v>39</v>
      </c>
      <c r="S555" s="3" t="s">
        <v>38</v>
      </c>
      <c r="T555" s="3" t="s">
        <v>40</v>
      </c>
      <c r="U555" s="3"/>
      <c r="V555" s="3" t="s">
        <v>41</v>
      </c>
      <c r="W555" s="5">
        <v>4720.59</v>
      </c>
      <c r="X555" s="5">
        <v>3540.44</v>
      </c>
      <c r="Y555" s="3">
        <v>826.1</v>
      </c>
      <c r="Z555" s="3">
        <v>354.05</v>
      </c>
      <c r="AA555" s="3">
        <v>0</v>
      </c>
    </row>
    <row r="556" spans="1:27" ht="60.75" x14ac:dyDescent="0.25">
      <c r="A556" s="3" t="s">
        <v>28</v>
      </c>
      <c r="B556" s="3" t="s">
        <v>29</v>
      </c>
      <c r="C556" s="3" t="s">
        <v>30</v>
      </c>
      <c r="D556" s="3" t="s">
        <v>47</v>
      </c>
      <c r="E556" s="3" t="s">
        <v>51</v>
      </c>
      <c r="F556" s="3" t="s">
        <v>107</v>
      </c>
      <c r="G556" s="3">
        <v>2025</v>
      </c>
      <c r="H556" s="3" t="str">
        <f>CONCATENATE("54240548930")</f>
        <v>54240548930</v>
      </c>
      <c r="I556" s="3" t="s">
        <v>34</v>
      </c>
      <c r="J556" s="3" t="s">
        <v>35</v>
      </c>
      <c r="K556" s="3"/>
      <c r="L556" s="3" t="s">
        <v>36</v>
      </c>
      <c r="M556" s="3" t="str">
        <f>CONCATENATE("VLIDNI45D19L191E")</f>
        <v>VLIDNI45D19L191E</v>
      </c>
      <c r="N556" s="3" t="s">
        <v>676</v>
      </c>
      <c r="O556" s="3" t="s">
        <v>38</v>
      </c>
      <c r="P556" s="3"/>
      <c r="Q556" s="4">
        <v>45968</v>
      </c>
      <c r="R556" s="3" t="s">
        <v>39</v>
      </c>
      <c r="S556" s="3" t="s">
        <v>38</v>
      </c>
      <c r="T556" s="3" t="s">
        <v>40</v>
      </c>
      <c r="U556" s="3"/>
      <c r="V556" s="3" t="s">
        <v>41</v>
      </c>
      <c r="W556" s="5">
        <v>1441.98</v>
      </c>
      <c r="X556" s="5">
        <v>1081.49</v>
      </c>
      <c r="Y556" s="3">
        <v>252.35</v>
      </c>
      <c r="Z556" s="3">
        <v>108.14</v>
      </c>
      <c r="AA556" s="3">
        <v>0</v>
      </c>
    </row>
    <row r="557" spans="1:27" ht="72.75" x14ac:dyDescent="0.25">
      <c r="A557" s="3" t="s">
        <v>28</v>
      </c>
      <c r="B557" s="3" t="s">
        <v>29</v>
      </c>
      <c r="C557" s="3" t="s">
        <v>30</v>
      </c>
      <c r="D557" s="3" t="s">
        <v>42</v>
      </c>
      <c r="E557" s="3" t="s">
        <v>32</v>
      </c>
      <c r="F557" s="3" t="s">
        <v>110</v>
      </c>
      <c r="G557" s="3">
        <v>2025</v>
      </c>
      <c r="H557" s="3" t="str">
        <f>CONCATENATE("54240549052")</f>
        <v>54240549052</v>
      </c>
      <c r="I557" s="3" t="s">
        <v>34</v>
      </c>
      <c r="J557" s="3" t="s">
        <v>35</v>
      </c>
      <c r="K557" s="3"/>
      <c r="L557" s="3" t="s">
        <v>36</v>
      </c>
      <c r="M557" s="3" t="str">
        <f>CONCATENATE("CCRMLR52H58A047W")</f>
        <v>CCRMLR52H58A047W</v>
      </c>
      <c r="N557" s="3" t="s">
        <v>677</v>
      </c>
      <c r="O557" s="3" t="s">
        <v>38</v>
      </c>
      <c r="P557" s="3"/>
      <c r="Q557" s="4">
        <v>45968</v>
      </c>
      <c r="R557" s="3" t="s">
        <v>39</v>
      </c>
      <c r="S557" s="3" t="s">
        <v>38</v>
      </c>
      <c r="T557" s="3" t="s">
        <v>40</v>
      </c>
      <c r="U557" s="3"/>
      <c r="V557" s="3" t="s">
        <v>41</v>
      </c>
      <c r="W557" s="3">
        <v>832.48</v>
      </c>
      <c r="X557" s="3">
        <v>624.36</v>
      </c>
      <c r="Y557" s="3">
        <v>145.68</v>
      </c>
      <c r="Z557" s="3">
        <v>62.44</v>
      </c>
      <c r="AA557" s="3">
        <v>0</v>
      </c>
    </row>
    <row r="558" spans="1:27" ht="60.75" x14ac:dyDescent="0.25">
      <c r="A558" s="3" t="s">
        <v>28</v>
      </c>
      <c r="B558" s="3" t="s">
        <v>29</v>
      </c>
      <c r="C558" s="3" t="s">
        <v>30</v>
      </c>
      <c r="D558" s="3" t="s">
        <v>31</v>
      </c>
      <c r="E558" s="3" t="s">
        <v>32</v>
      </c>
      <c r="F558" s="3" t="s">
        <v>621</v>
      </c>
      <c r="G558" s="3">
        <v>2025</v>
      </c>
      <c r="H558" s="3" t="str">
        <f>CONCATENATE("54240549243")</f>
        <v>54240549243</v>
      </c>
      <c r="I558" s="3" t="s">
        <v>34</v>
      </c>
      <c r="J558" s="3" t="s">
        <v>35</v>
      </c>
      <c r="K558" s="3"/>
      <c r="L558" s="3" t="s">
        <v>36</v>
      </c>
      <c r="M558" s="3" t="str">
        <f>CONCATENATE("TMSMTT86L16I608O")</f>
        <v>TMSMTT86L16I608O</v>
      </c>
      <c r="N558" s="3" t="s">
        <v>678</v>
      </c>
      <c r="O558" s="3" t="s">
        <v>38</v>
      </c>
      <c r="P558" s="3"/>
      <c r="Q558" s="4">
        <v>45968</v>
      </c>
      <c r="R558" s="3" t="s">
        <v>39</v>
      </c>
      <c r="S558" s="3" t="s">
        <v>38</v>
      </c>
      <c r="T558" s="3" t="s">
        <v>40</v>
      </c>
      <c r="U558" s="3"/>
      <c r="V558" s="3" t="s">
        <v>41</v>
      </c>
      <c r="W558" s="5">
        <v>5097.8100000000004</v>
      </c>
      <c r="X558" s="5">
        <v>3823.36</v>
      </c>
      <c r="Y558" s="3">
        <v>892.12</v>
      </c>
      <c r="Z558" s="3">
        <v>382.33</v>
      </c>
      <c r="AA558" s="3">
        <v>0</v>
      </c>
    </row>
    <row r="559" spans="1:27" ht="60.75" x14ac:dyDescent="0.25">
      <c r="A559" s="3" t="s">
        <v>28</v>
      </c>
      <c r="B559" s="3" t="s">
        <v>29</v>
      </c>
      <c r="C559" s="3" t="s">
        <v>30</v>
      </c>
      <c r="D559" s="3" t="s">
        <v>65</v>
      </c>
      <c r="E559" s="3" t="s">
        <v>43</v>
      </c>
      <c r="F559" s="3" t="s">
        <v>43</v>
      </c>
      <c r="G559" s="3">
        <v>2025</v>
      </c>
      <c r="H559" s="3" t="str">
        <f>CONCATENATE("54240549441")</f>
        <v>54240549441</v>
      </c>
      <c r="I559" s="3" t="s">
        <v>34</v>
      </c>
      <c r="J559" s="3" t="s">
        <v>35</v>
      </c>
      <c r="K559" s="3"/>
      <c r="L559" s="3" t="s">
        <v>36</v>
      </c>
      <c r="M559" s="3" t="str">
        <f>CONCATENATE("LRGNTN59B23E785T")</f>
        <v>LRGNTN59B23E785T</v>
      </c>
      <c r="N559" s="3" t="s">
        <v>679</v>
      </c>
      <c r="O559" s="3" t="s">
        <v>38</v>
      </c>
      <c r="P559" s="3"/>
      <c r="Q559" s="4">
        <v>45968</v>
      </c>
      <c r="R559" s="3" t="s">
        <v>39</v>
      </c>
      <c r="S559" s="3" t="s">
        <v>38</v>
      </c>
      <c r="T559" s="3" t="s">
        <v>40</v>
      </c>
      <c r="U559" s="3"/>
      <c r="V559" s="3" t="s">
        <v>41</v>
      </c>
      <c r="W559" s="5">
        <v>10408.64</v>
      </c>
      <c r="X559" s="5">
        <v>7806.48</v>
      </c>
      <c r="Y559" s="5">
        <v>1821.51</v>
      </c>
      <c r="Z559" s="3">
        <v>780.65</v>
      </c>
      <c r="AA559" s="3">
        <v>0</v>
      </c>
    </row>
    <row r="560" spans="1:27" ht="60.75" x14ac:dyDescent="0.25">
      <c r="A560" s="3" t="s">
        <v>28</v>
      </c>
      <c r="B560" s="3" t="s">
        <v>29</v>
      </c>
      <c r="C560" s="3" t="s">
        <v>30</v>
      </c>
      <c r="D560" s="3" t="s">
        <v>65</v>
      </c>
      <c r="E560" s="3" t="s">
        <v>43</v>
      </c>
      <c r="F560" s="3" t="s">
        <v>43</v>
      </c>
      <c r="G560" s="3">
        <v>2025</v>
      </c>
      <c r="H560" s="3" t="str">
        <f>CONCATENATE("54240555158")</f>
        <v>54240555158</v>
      </c>
      <c r="I560" s="3" t="s">
        <v>34</v>
      </c>
      <c r="J560" s="3" t="s">
        <v>35</v>
      </c>
      <c r="K560" s="3"/>
      <c r="L560" s="3" t="s">
        <v>36</v>
      </c>
      <c r="M560" s="3" t="str">
        <f>CONCATENATE("MRTDNL86S18I459B")</f>
        <v>MRTDNL86S18I459B</v>
      </c>
      <c r="N560" s="3" t="s">
        <v>680</v>
      </c>
      <c r="O560" s="3" t="s">
        <v>38</v>
      </c>
      <c r="P560" s="3"/>
      <c r="Q560" s="4">
        <v>45968</v>
      </c>
      <c r="R560" s="3" t="s">
        <v>39</v>
      </c>
      <c r="S560" s="3" t="s">
        <v>38</v>
      </c>
      <c r="T560" s="3" t="s">
        <v>40</v>
      </c>
      <c r="U560" s="3"/>
      <c r="V560" s="3" t="s">
        <v>41</v>
      </c>
      <c r="W560" s="5">
        <v>13494.73</v>
      </c>
      <c r="X560" s="5">
        <v>10121.049999999999</v>
      </c>
      <c r="Y560" s="5">
        <v>2361.58</v>
      </c>
      <c r="Z560" s="5">
        <v>1012.1</v>
      </c>
      <c r="AA560" s="3">
        <v>0</v>
      </c>
    </row>
    <row r="561" spans="1:27" ht="60.75" x14ac:dyDescent="0.25">
      <c r="A561" s="3" t="s">
        <v>28</v>
      </c>
      <c r="B561" s="3" t="s">
        <v>29</v>
      </c>
      <c r="C561" s="3" t="s">
        <v>30</v>
      </c>
      <c r="D561" s="3" t="s">
        <v>65</v>
      </c>
      <c r="E561" s="3" t="s">
        <v>43</v>
      </c>
      <c r="F561" s="3" t="s">
        <v>43</v>
      </c>
      <c r="G561" s="3">
        <v>2025</v>
      </c>
      <c r="H561" s="3" t="str">
        <f>CONCATENATE("54240549805")</f>
        <v>54240549805</v>
      </c>
      <c r="I561" s="3" t="s">
        <v>34</v>
      </c>
      <c r="J561" s="3" t="s">
        <v>35</v>
      </c>
      <c r="K561" s="3"/>
      <c r="L561" s="3" t="s">
        <v>36</v>
      </c>
      <c r="M561" s="3" t="str">
        <f>CONCATENATE("MRNFNC68C21I459Z")</f>
        <v>MRNFNC68C21I459Z</v>
      </c>
      <c r="N561" s="3" t="s">
        <v>681</v>
      </c>
      <c r="O561" s="3" t="s">
        <v>38</v>
      </c>
      <c r="P561" s="3"/>
      <c r="Q561" s="4">
        <v>45968</v>
      </c>
      <c r="R561" s="3" t="s">
        <v>39</v>
      </c>
      <c r="S561" s="3" t="s">
        <v>38</v>
      </c>
      <c r="T561" s="3" t="s">
        <v>40</v>
      </c>
      <c r="U561" s="3"/>
      <c r="V561" s="3" t="s">
        <v>41</v>
      </c>
      <c r="W561" s="5">
        <v>9001.67</v>
      </c>
      <c r="X561" s="5">
        <v>6751.25</v>
      </c>
      <c r="Y561" s="5">
        <v>1575.29</v>
      </c>
      <c r="Z561" s="3">
        <v>675.13</v>
      </c>
      <c r="AA561" s="3">
        <v>0</v>
      </c>
    </row>
    <row r="562" spans="1:27" ht="36.75" x14ac:dyDescent="0.25">
      <c r="A562" s="3" t="s">
        <v>28</v>
      </c>
      <c r="B562" s="3" t="s">
        <v>29</v>
      </c>
      <c r="C562" s="3" t="s">
        <v>30</v>
      </c>
      <c r="D562" s="3" t="s">
        <v>47</v>
      </c>
      <c r="E562" s="3" t="s">
        <v>48</v>
      </c>
      <c r="F562" s="3" t="s">
        <v>90</v>
      </c>
      <c r="G562" s="3">
        <v>2025</v>
      </c>
      <c r="H562" s="3" t="str">
        <f>CONCATENATE("54240577459")</f>
        <v>54240577459</v>
      </c>
      <c r="I562" s="3" t="s">
        <v>34</v>
      </c>
      <c r="J562" s="3" t="s">
        <v>35</v>
      </c>
      <c r="K562" s="3"/>
      <c r="L562" s="3" t="s">
        <v>36</v>
      </c>
      <c r="M562" s="3" t="str">
        <f>CONCATENATE("02126960430")</f>
        <v>02126960430</v>
      </c>
      <c r="N562" s="3" t="s">
        <v>682</v>
      </c>
      <c r="O562" s="3" t="s">
        <v>38</v>
      </c>
      <c r="P562" s="3"/>
      <c r="Q562" s="4">
        <v>45968</v>
      </c>
      <c r="R562" s="3" t="s">
        <v>39</v>
      </c>
      <c r="S562" s="3" t="s">
        <v>38</v>
      </c>
      <c r="T562" s="3" t="s">
        <v>40</v>
      </c>
      <c r="U562" s="3"/>
      <c r="V562" s="3" t="s">
        <v>41</v>
      </c>
      <c r="W562" s="5">
        <v>7583.61</v>
      </c>
      <c r="X562" s="5">
        <v>5687.71</v>
      </c>
      <c r="Y562" s="5">
        <v>1327.13</v>
      </c>
      <c r="Z562" s="3">
        <v>568.77</v>
      </c>
      <c r="AA562" s="3">
        <v>0</v>
      </c>
    </row>
    <row r="563" spans="1:27" ht="60.75" x14ac:dyDescent="0.25">
      <c r="A563" s="3" t="s">
        <v>28</v>
      </c>
      <c r="B563" s="3" t="s">
        <v>29</v>
      </c>
      <c r="C563" s="3" t="s">
        <v>30</v>
      </c>
      <c r="D563" s="3" t="s">
        <v>47</v>
      </c>
      <c r="E563" s="3" t="s">
        <v>48</v>
      </c>
      <c r="F563" s="3" t="s">
        <v>90</v>
      </c>
      <c r="G563" s="3">
        <v>2025</v>
      </c>
      <c r="H563" s="3" t="str">
        <f>CONCATENATE("54240550266")</f>
        <v>54240550266</v>
      </c>
      <c r="I563" s="3" t="s">
        <v>34</v>
      </c>
      <c r="J563" s="3" t="s">
        <v>35</v>
      </c>
      <c r="K563" s="3"/>
      <c r="L563" s="3" t="s">
        <v>36</v>
      </c>
      <c r="M563" s="3" t="str">
        <f>CONCATENATE("SRGFRZ73L29F520U")</f>
        <v>SRGFRZ73L29F520U</v>
      </c>
      <c r="N563" s="3" t="s">
        <v>683</v>
      </c>
      <c r="O563" s="3" t="s">
        <v>38</v>
      </c>
      <c r="P563" s="3"/>
      <c r="Q563" s="4">
        <v>45968</v>
      </c>
      <c r="R563" s="3" t="s">
        <v>39</v>
      </c>
      <c r="S563" s="3" t="s">
        <v>38</v>
      </c>
      <c r="T563" s="3" t="s">
        <v>40</v>
      </c>
      <c r="U563" s="3"/>
      <c r="V563" s="3" t="s">
        <v>41</v>
      </c>
      <c r="W563" s="5">
        <v>3188.6</v>
      </c>
      <c r="X563" s="5">
        <v>2391.4499999999998</v>
      </c>
      <c r="Y563" s="3">
        <v>558.01</v>
      </c>
      <c r="Z563" s="3">
        <v>239.14</v>
      </c>
      <c r="AA563" s="3">
        <v>0</v>
      </c>
    </row>
    <row r="564" spans="1:27" ht="60.75" x14ac:dyDescent="0.25">
      <c r="A564" s="3" t="s">
        <v>28</v>
      </c>
      <c r="B564" s="3" t="s">
        <v>29</v>
      </c>
      <c r="C564" s="3" t="s">
        <v>30</v>
      </c>
      <c r="D564" s="3" t="s">
        <v>31</v>
      </c>
      <c r="E564" s="3" t="s">
        <v>51</v>
      </c>
      <c r="F564" s="3" t="s">
        <v>120</v>
      </c>
      <c r="G564" s="3">
        <v>2025</v>
      </c>
      <c r="H564" s="3" t="str">
        <f>CONCATENATE("54240550159")</f>
        <v>54240550159</v>
      </c>
      <c r="I564" s="3" t="s">
        <v>34</v>
      </c>
      <c r="J564" s="3" t="s">
        <v>35</v>
      </c>
      <c r="K564" s="3"/>
      <c r="L564" s="3" t="s">
        <v>36</v>
      </c>
      <c r="M564" s="3" t="str">
        <f>CONCATENATE("RCCLCN63R12C704A")</f>
        <v>RCCLCN63R12C704A</v>
      </c>
      <c r="N564" s="3" t="s">
        <v>684</v>
      </c>
      <c r="O564" s="3" t="s">
        <v>38</v>
      </c>
      <c r="P564" s="3"/>
      <c r="Q564" s="4">
        <v>45968</v>
      </c>
      <c r="R564" s="3" t="s">
        <v>39</v>
      </c>
      <c r="S564" s="3" t="s">
        <v>38</v>
      </c>
      <c r="T564" s="3" t="s">
        <v>40</v>
      </c>
      <c r="U564" s="3"/>
      <c r="V564" s="3" t="s">
        <v>41</v>
      </c>
      <c r="W564" s="5">
        <v>2106.0300000000002</v>
      </c>
      <c r="X564" s="5">
        <v>1579.52</v>
      </c>
      <c r="Y564" s="3">
        <v>368.56</v>
      </c>
      <c r="Z564" s="3">
        <v>157.94999999999999</v>
      </c>
      <c r="AA564" s="3">
        <v>0</v>
      </c>
    </row>
    <row r="565" spans="1:27" ht="60.75" x14ac:dyDescent="0.25">
      <c r="A565" s="3" t="s">
        <v>28</v>
      </c>
      <c r="B565" s="3" t="s">
        <v>29</v>
      </c>
      <c r="C565" s="3" t="s">
        <v>30</v>
      </c>
      <c r="D565" s="3" t="s">
        <v>65</v>
      </c>
      <c r="E565" s="3" t="s">
        <v>43</v>
      </c>
      <c r="F565" s="3" t="s">
        <v>43</v>
      </c>
      <c r="G565" s="3">
        <v>2025</v>
      </c>
      <c r="H565" s="3" t="str">
        <f>CONCATENATE("54240551520")</f>
        <v>54240551520</v>
      </c>
      <c r="I565" s="3" t="s">
        <v>34</v>
      </c>
      <c r="J565" s="3" t="s">
        <v>35</v>
      </c>
      <c r="K565" s="3"/>
      <c r="L565" s="3" t="s">
        <v>36</v>
      </c>
      <c r="M565" s="3" t="str">
        <f>CONCATENATE("SNTJCP97P27L500N")</f>
        <v>SNTJCP97P27L500N</v>
      </c>
      <c r="N565" s="3" t="s">
        <v>685</v>
      </c>
      <c r="O565" s="3" t="s">
        <v>38</v>
      </c>
      <c r="P565" s="3"/>
      <c r="Q565" s="4">
        <v>45968</v>
      </c>
      <c r="R565" s="3" t="s">
        <v>39</v>
      </c>
      <c r="S565" s="3" t="s">
        <v>38</v>
      </c>
      <c r="T565" s="3" t="s">
        <v>40</v>
      </c>
      <c r="U565" s="3"/>
      <c r="V565" s="3" t="s">
        <v>41</v>
      </c>
      <c r="W565" s="3">
        <v>945.74</v>
      </c>
      <c r="X565" s="3">
        <v>709.31</v>
      </c>
      <c r="Y565" s="3">
        <v>165.5</v>
      </c>
      <c r="Z565" s="3">
        <v>70.930000000000007</v>
      </c>
      <c r="AA565" s="3">
        <v>0</v>
      </c>
    </row>
    <row r="566" spans="1:27" ht="60.75" x14ac:dyDescent="0.25">
      <c r="A566" s="3" t="s">
        <v>28</v>
      </c>
      <c r="B566" s="3" t="s">
        <v>29</v>
      </c>
      <c r="C566" s="3" t="s">
        <v>30</v>
      </c>
      <c r="D566" s="3" t="s">
        <v>31</v>
      </c>
      <c r="E566" s="3" t="s">
        <v>51</v>
      </c>
      <c r="F566" s="3" t="s">
        <v>120</v>
      </c>
      <c r="G566" s="3">
        <v>2025</v>
      </c>
      <c r="H566" s="3" t="str">
        <f>CONCATENATE("54240578903")</f>
        <v>54240578903</v>
      </c>
      <c r="I566" s="3" t="s">
        <v>34</v>
      </c>
      <c r="J566" s="3" t="s">
        <v>35</v>
      </c>
      <c r="K566" s="3"/>
      <c r="L566" s="3" t="s">
        <v>36</v>
      </c>
      <c r="M566" s="3" t="str">
        <f>CONCATENATE("FCLFNC70E05A329L")</f>
        <v>FCLFNC70E05A329L</v>
      </c>
      <c r="N566" s="3" t="s">
        <v>686</v>
      </c>
      <c r="O566" s="3" t="s">
        <v>38</v>
      </c>
      <c r="P566" s="3"/>
      <c r="Q566" s="4">
        <v>45968</v>
      </c>
      <c r="R566" s="3" t="s">
        <v>39</v>
      </c>
      <c r="S566" s="3" t="s">
        <v>38</v>
      </c>
      <c r="T566" s="3" t="s">
        <v>40</v>
      </c>
      <c r="U566" s="3"/>
      <c r="V566" s="3" t="s">
        <v>41</v>
      </c>
      <c r="W566" s="5">
        <v>69407.83</v>
      </c>
      <c r="X566" s="5">
        <v>52055.87</v>
      </c>
      <c r="Y566" s="5">
        <v>12146.37</v>
      </c>
      <c r="Z566" s="5">
        <v>5205.59</v>
      </c>
      <c r="AA566" s="3">
        <v>0</v>
      </c>
    </row>
    <row r="567" spans="1:27" ht="36.75" x14ac:dyDescent="0.25">
      <c r="A567" s="3" t="s">
        <v>28</v>
      </c>
      <c r="B567" s="3" t="s">
        <v>29</v>
      </c>
      <c r="C567" s="3" t="s">
        <v>30</v>
      </c>
      <c r="D567" s="3" t="s">
        <v>31</v>
      </c>
      <c r="E567" s="3" t="s">
        <v>51</v>
      </c>
      <c r="F567" s="3" t="s">
        <v>69</v>
      </c>
      <c r="G567" s="3">
        <v>2025</v>
      </c>
      <c r="H567" s="3" t="str">
        <f>CONCATENATE("54240550712")</f>
        <v>54240550712</v>
      </c>
      <c r="I567" s="3" t="s">
        <v>34</v>
      </c>
      <c r="J567" s="3" t="s">
        <v>35</v>
      </c>
      <c r="K567" s="3"/>
      <c r="L567" s="3" t="s">
        <v>36</v>
      </c>
      <c r="M567" s="3" t="str">
        <f>CONCATENATE("01374650420")</f>
        <v>01374650420</v>
      </c>
      <c r="N567" s="3" t="s">
        <v>687</v>
      </c>
      <c r="O567" s="3" t="s">
        <v>38</v>
      </c>
      <c r="P567" s="3"/>
      <c r="Q567" s="4">
        <v>45968</v>
      </c>
      <c r="R567" s="3" t="s">
        <v>39</v>
      </c>
      <c r="S567" s="3" t="s">
        <v>38</v>
      </c>
      <c r="T567" s="3" t="s">
        <v>40</v>
      </c>
      <c r="U567" s="3"/>
      <c r="V567" s="3" t="s">
        <v>41</v>
      </c>
      <c r="W567" s="5">
        <v>5116.26</v>
      </c>
      <c r="X567" s="5">
        <v>3837.2</v>
      </c>
      <c r="Y567" s="3">
        <v>895.35</v>
      </c>
      <c r="Z567" s="3">
        <v>383.71</v>
      </c>
      <c r="AA567" s="3">
        <v>0</v>
      </c>
    </row>
    <row r="568" spans="1:27" ht="60.75" x14ac:dyDescent="0.25">
      <c r="A568" s="3" t="s">
        <v>28</v>
      </c>
      <c r="B568" s="3" t="s">
        <v>29</v>
      </c>
      <c r="C568" s="3" t="s">
        <v>30</v>
      </c>
      <c r="D568" s="3" t="s">
        <v>65</v>
      </c>
      <c r="E568" s="3" t="s">
        <v>51</v>
      </c>
      <c r="F568" s="3" t="s">
        <v>105</v>
      </c>
      <c r="G568" s="3">
        <v>2025</v>
      </c>
      <c r="H568" s="3" t="str">
        <f>CONCATENATE("54240550894")</f>
        <v>54240550894</v>
      </c>
      <c r="I568" s="3" t="s">
        <v>34</v>
      </c>
      <c r="J568" s="3" t="s">
        <v>35</v>
      </c>
      <c r="K568" s="3"/>
      <c r="L568" s="3" t="s">
        <v>36</v>
      </c>
      <c r="M568" s="3" t="str">
        <f>CONCATENATE("GLNPRZ67C05D488R")</f>
        <v>GLNPRZ67C05D488R</v>
      </c>
      <c r="N568" s="3" t="s">
        <v>688</v>
      </c>
      <c r="O568" s="3" t="s">
        <v>38</v>
      </c>
      <c r="P568" s="3"/>
      <c r="Q568" s="4">
        <v>45968</v>
      </c>
      <c r="R568" s="3" t="s">
        <v>39</v>
      </c>
      <c r="S568" s="3" t="s">
        <v>38</v>
      </c>
      <c r="T568" s="3" t="s">
        <v>40</v>
      </c>
      <c r="U568" s="3"/>
      <c r="V568" s="3" t="s">
        <v>41</v>
      </c>
      <c r="W568" s="5">
        <v>1308.98</v>
      </c>
      <c r="X568" s="3">
        <v>981.74</v>
      </c>
      <c r="Y568" s="3">
        <v>229.07</v>
      </c>
      <c r="Z568" s="3">
        <v>98.17</v>
      </c>
      <c r="AA568" s="3">
        <v>0</v>
      </c>
    </row>
    <row r="569" spans="1:27" ht="36.75" x14ac:dyDescent="0.25">
      <c r="A569" s="3" t="s">
        <v>28</v>
      </c>
      <c r="B569" s="3" t="s">
        <v>29</v>
      </c>
      <c r="C569" s="3" t="s">
        <v>30</v>
      </c>
      <c r="D569" s="3" t="s">
        <v>65</v>
      </c>
      <c r="E569" s="3" t="s">
        <v>48</v>
      </c>
      <c r="F569" s="3" t="s">
        <v>76</v>
      </c>
      <c r="G569" s="3">
        <v>2025</v>
      </c>
      <c r="H569" s="3" t="str">
        <f>CONCATENATE("54240551405")</f>
        <v>54240551405</v>
      </c>
      <c r="I569" s="3" t="s">
        <v>34</v>
      </c>
      <c r="J569" s="3" t="s">
        <v>35</v>
      </c>
      <c r="K569" s="3"/>
      <c r="L569" s="3" t="s">
        <v>36</v>
      </c>
      <c r="M569" s="3" t="str">
        <f>CONCATENATE("02829340419")</f>
        <v>02829340419</v>
      </c>
      <c r="N569" s="3" t="s">
        <v>689</v>
      </c>
      <c r="O569" s="3" t="s">
        <v>38</v>
      </c>
      <c r="P569" s="3"/>
      <c r="Q569" s="4">
        <v>45968</v>
      </c>
      <c r="R569" s="3" t="s">
        <v>39</v>
      </c>
      <c r="S569" s="3" t="s">
        <v>38</v>
      </c>
      <c r="T569" s="3" t="s">
        <v>40</v>
      </c>
      <c r="U569" s="3"/>
      <c r="V569" s="3" t="s">
        <v>41</v>
      </c>
      <c r="W569" s="5">
        <v>26054.71</v>
      </c>
      <c r="X569" s="5">
        <v>19541.03</v>
      </c>
      <c r="Y569" s="5">
        <v>4559.57</v>
      </c>
      <c r="Z569" s="5">
        <v>1954.11</v>
      </c>
      <c r="AA569" s="3">
        <v>0</v>
      </c>
    </row>
    <row r="570" spans="1:27" ht="36.75" x14ac:dyDescent="0.25">
      <c r="A570" s="3" t="s">
        <v>28</v>
      </c>
      <c r="B570" s="3" t="s">
        <v>29</v>
      </c>
      <c r="C570" s="3" t="s">
        <v>30</v>
      </c>
      <c r="D570" s="3" t="s">
        <v>47</v>
      </c>
      <c r="E570" s="3" t="s">
        <v>48</v>
      </c>
      <c r="F570" s="3" t="s">
        <v>90</v>
      </c>
      <c r="G570" s="3">
        <v>2025</v>
      </c>
      <c r="H570" s="3" t="str">
        <f>CONCATENATE("54240551595")</f>
        <v>54240551595</v>
      </c>
      <c r="I570" s="3" t="s">
        <v>34</v>
      </c>
      <c r="J570" s="3" t="s">
        <v>35</v>
      </c>
      <c r="K570" s="3"/>
      <c r="L570" s="3" t="s">
        <v>36</v>
      </c>
      <c r="M570" s="3" t="str">
        <f>CONCATENATE("02029570435")</f>
        <v>02029570435</v>
      </c>
      <c r="N570" s="3" t="s">
        <v>690</v>
      </c>
      <c r="O570" s="3" t="s">
        <v>38</v>
      </c>
      <c r="P570" s="3"/>
      <c r="Q570" s="4">
        <v>45968</v>
      </c>
      <c r="R570" s="3" t="s">
        <v>39</v>
      </c>
      <c r="S570" s="3" t="s">
        <v>38</v>
      </c>
      <c r="T570" s="3" t="s">
        <v>40</v>
      </c>
      <c r="U570" s="3"/>
      <c r="V570" s="3" t="s">
        <v>41</v>
      </c>
      <c r="W570" s="5">
        <v>31189.02</v>
      </c>
      <c r="X570" s="5">
        <v>23391.77</v>
      </c>
      <c r="Y570" s="5">
        <v>5458.08</v>
      </c>
      <c r="Z570" s="5">
        <v>2339.17</v>
      </c>
      <c r="AA570" s="3">
        <v>0</v>
      </c>
    </row>
    <row r="571" spans="1:27" ht="36.75" x14ac:dyDescent="0.25">
      <c r="A571" s="3" t="s">
        <v>28</v>
      </c>
      <c r="B571" s="3" t="s">
        <v>29</v>
      </c>
      <c r="C571" s="3" t="s">
        <v>30</v>
      </c>
      <c r="D571" s="3" t="s">
        <v>47</v>
      </c>
      <c r="E571" s="3" t="s">
        <v>48</v>
      </c>
      <c r="F571" s="3" t="s">
        <v>90</v>
      </c>
      <c r="G571" s="3">
        <v>2025</v>
      </c>
      <c r="H571" s="3" t="str">
        <f>CONCATENATE("54240551686")</f>
        <v>54240551686</v>
      </c>
      <c r="I571" s="3" t="s">
        <v>44</v>
      </c>
      <c r="J571" s="3" t="s">
        <v>35</v>
      </c>
      <c r="K571" s="3"/>
      <c r="L571" s="3" t="s">
        <v>36</v>
      </c>
      <c r="M571" s="3" t="str">
        <f>CONCATENATE("02043740436")</f>
        <v>02043740436</v>
      </c>
      <c r="N571" s="3" t="s">
        <v>691</v>
      </c>
      <c r="O571" s="3" t="s">
        <v>38</v>
      </c>
      <c r="P571" s="3"/>
      <c r="Q571" s="4">
        <v>45968</v>
      </c>
      <c r="R571" s="3" t="s">
        <v>39</v>
      </c>
      <c r="S571" s="3" t="s">
        <v>38</v>
      </c>
      <c r="T571" s="3" t="s">
        <v>40</v>
      </c>
      <c r="U571" s="3"/>
      <c r="V571" s="3" t="s">
        <v>41</v>
      </c>
      <c r="W571" s="5">
        <v>3091.69</v>
      </c>
      <c r="X571" s="5">
        <v>2318.77</v>
      </c>
      <c r="Y571" s="3">
        <v>541.04999999999995</v>
      </c>
      <c r="Z571" s="3">
        <v>231.87</v>
      </c>
      <c r="AA571" s="3">
        <v>0</v>
      </c>
    </row>
    <row r="572" spans="1:27" ht="36.75" x14ac:dyDescent="0.25">
      <c r="A572" s="3" t="s">
        <v>28</v>
      </c>
      <c r="B572" s="3" t="s">
        <v>29</v>
      </c>
      <c r="C572" s="3" t="s">
        <v>30</v>
      </c>
      <c r="D572" s="3" t="s">
        <v>47</v>
      </c>
      <c r="E572" s="3" t="s">
        <v>51</v>
      </c>
      <c r="F572" s="3" t="s">
        <v>83</v>
      </c>
      <c r="G572" s="3">
        <v>2025</v>
      </c>
      <c r="H572" s="3" t="str">
        <f>CONCATENATE("54240552338")</f>
        <v>54240552338</v>
      </c>
      <c r="I572" s="3" t="s">
        <v>34</v>
      </c>
      <c r="J572" s="3" t="s">
        <v>35</v>
      </c>
      <c r="K572" s="3"/>
      <c r="L572" s="3" t="s">
        <v>36</v>
      </c>
      <c r="M572" s="3" t="str">
        <f>CONCATENATE("02083290433")</f>
        <v>02083290433</v>
      </c>
      <c r="N572" s="3" t="s">
        <v>692</v>
      </c>
      <c r="O572" s="3" t="s">
        <v>38</v>
      </c>
      <c r="P572" s="3"/>
      <c r="Q572" s="4">
        <v>45968</v>
      </c>
      <c r="R572" s="3" t="s">
        <v>39</v>
      </c>
      <c r="S572" s="3" t="s">
        <v>38</v>
      </c>
      <c r="T572" s="3" t="s">
        <v>40</v>
      </c>
      <c r="U572" s="3"/>
      <c r="V572" s="3" t="s">
        <v>41</v>
      </c>
      <c r="W572" s="3">
        <v>551.64</v>
      </c>
      <c r="X572" s="3">
        <v>413.73</v>
      </c>
      <c r="Y572" s="3">
        <v>96.54</v>
      </c>
      <c r="Z572" s="3">
        <v>41.37</v>
      </c>
      <c r="AA572" s="3">
        <v>0</v>
      </c>
    </row>
    <row r="573" spans="1:27" ht="60.75" x14ac:dyDescent="0.25">
      <c r="A573" s="3" t="s">
        <v>28</v>
      </c>
      <c r="B573" s="3" t="s">
        <v>29</v>
      </c>
      <c r="C573" s="3" t="s">
        <v>30</v>
      </c>
      <c r="D573" s="3" t="s">
        <v>31</v>
      </c>
      <c r="E573" s="3" t="s">
        <v>32</v>
      </c>
      <c r="F573" s="3" t="s">
        <v>63</v>
      </c>
      <c r="G573" s="3">
        <v>2025</v>
      </c>
      <c r="H573" s="3" t="str">
        <f>CONCATENATE("54240552270")</f>
        <v>54240552270</v>
      </c>
      <c r="I573" s="3" t="s">
        <v>34</v>
      </c>
      <c r="J573" s="3" t="s">
        <v>35</v>
      </c>
      <c r="K573" s="3"/>
      <c r="L573" s="3" t="s">
        <v>36</v>
      </c>
      <c r="M573" s="3" t="str">
        <f>CONCATENATE("ZCCRLL63A48E388M")</f>
        <v>ZCCRLL63A48E388M</v>
      </c>
      <c r="N573" s="3" t="s">
        <v>693</v>
      </c>
      <c r="O573" s="3" t="s">
        <v>38</v>
      </c>
      <c r="P573" s="3"/>
      <c r="Q573" s="4">
        <v>45968</v>
      </c>
      <c r="R573" s="3" t="s">
        <v>39</v>
      </c>
      <c r="S573" s="3" t="s">
        <v>38</v>
      </c>
      <c r="T573" s="3" t="s">
        <v>40</v>
      </c>
      <c r="U573" s="3"/>
      <c r="V573" s="3" t="s">
        <v>41</v>
      </c>
      <c r="W573" s="5">
        <v>8558.81</v>
      </c>
      <c r="X573" s="5">
        <v>6419.11</v>
      </c>
      <c r="Y573" s="5">
        <v>1497.79</v>
      </c>
      <c r="Z573" s="3">
        <v>641.91</v>
      </c>
      <c r="AA573" s="3">
        <v>0</v>
      </c>
    </row>
    <row r="574" spans="1:27" ht="60.75" x14ac:dyDescent="0.25">
      <c r="A574" s="3" t="s">
        <v>28</v>
      </c>
      <c r="B574" s="3" t="s">
        <v>29</v>
      </c>
      <c r="C574" s="3" t="s">
        <v>30</v>
      </c>
      <c r="D574" s="3" t="s">
        <v>65</v>
      </c>
      <c r="E574" s="3" t="s">
        <v>51</v>
      </c>
      <c r="F574" s="3" t="s">
        <v>105</v>
      </c>
      <c r="G574" s="3">
        <v>2025</v>
      </c>
      <c r="H574" s="3" t="str">
        <f>CONCATENATE("54240552809")</f>
        <v>54240552809</v>
      </c>
      <c r="I574" s="3" t="s">
        <v>34</v>
      </c>
      <c r="J574" s="3" t="s">
        <v>35</v>
      </c>
      <c r="K574" s="3"/>
      <c r="L574" s="3" t="s">
        <v>36</v>
      </c>
      <c r="M574" s="3" t="str">
        <f>CONCATENATE("RBRLSN59B07H809J")</f>
        <v>RBRLSN59B07H809J</v>
      </c>
      <c r="N574" s="3" t="s">
        <v>694</v>
      </c>
      <c r="O574" s="3" t="s">
        <v>38</v>
      </c>
      <c r="P574" s="3"/>
      <c r="Q574" s="4">
        <v>45968</v>
      </c>
      <c r="R574" s="3" t="s">
        <v>39</v>
      </c>
      <c r="S574" s="3" t="s">
        <v>38</v>
      </c>
      <c r="T574" s="3" t="s">
        <v>40</v>
      </c>
      <c r="U574" s="3"/>
      <c r="V574" s="3" t="s">
        <v>41</v>
      </c>
      <c r="W574" s="5">
        <v>6546.69</v>
      </c>
      <c r="X574" s="5">
        <v>4910.0200000000004</v>
      </c>
      <c r="Y574" s="5">
        <v>1145.67</v>
      </c>
      <c r="Z574" s="3">
        <v>491</v>
      </c>
      <c r="AA574" s="3">
        <v>0</v>
      </c>
    </row>
    <row r="575" spans="1:27" ht="36.75" x14ac:dyDescent="0.25">
      <c r="A575" s="3" t="s">
        <v>28</v>
      </c>
      <c r="B575" s="3" t="s">
        <v>29</v>
      </c>
      <c r="C575" s="3" t="s">
        <v>30</v>
      </c>
      <c r="D575" s="3" t="s">
        <v>31</v>
      </c>
      <c r="E575" s="3" t="s">
        <v>60</v>
      </c>
      <c r="F575" s="3" t="s">
        <v>61</v>
      </c>
      <c r="G575" s="3">
        <v>2025</v>
      </c>
      <c r="H575" s="3" t="str">
        <f>CONCATENATE("54240553377")</f>
        <v>54240553377</v>
      </c>
      <c r="I575" s="3" t="s">
        <v>34</v>
      </c>
      <c r="J575" s="3" t="s">
        <v>35</v>
      </c>
      <c r="K575" s="3"/>
      <c r="L575" s="3" t="s">
        <v>36</v>
      </c>
      <c r="M575" s="3" t="str">
        <f>CONCATENATE("13802311004")</f>
        <v>13802311004</v>
      </c>
      <c r="N575" s="3" t="s">
        <v>695</v>
      </c>
      <c r="O575" s="3" t="s">
        <v>38</v>
      </c>
      <c r="P575" s="3"/>
      <c r="Q575" s="4">
        <v>45968</v>
      </c>
      <c r="R575" s="3" t="s">
        <v>39</v>
      </c>
      <c r="S575" s="3" t="s">
        <v>38</v>
      </c>
      <c r="T575" s="3" t="s">
        <v>40</v>
      </c>
      <c r="U575" s="3"/>
      <c r="V575" s="3" t="s">
        <v>41</v>
      </c>
      <c r="W575" s="5">
        <v>36439.31</v>
      </c>
      <c r="X575" s="5">
        <v>27329.48</v>
      </c>
      <c r="Y575" s="5">
        <v>6376.88</v>
      </c>
      <c r="Z575" s="5">
        <v>2732.95</v>
      </c>
      <c r="AA575" s="3">
        <v>0</v>
      </c>
    </row>
    <row r="576" spans="1:27" ht="60.75" x14ac:dyDescent="0.25">
      <c r="A576" s="3" t="s">
        <v>28</v>
      </c>
      <c r="B576" s="3" t="s">
        <v>29</v>
      </c>
      <c r="C576" s="3" t="s">
        <v>30</v>
      </c>
      <c r="D576" s="3" t="s">
        <v>42</v>
      </c>
      <c r="E576" s="3" t="s">
        <v>32</v>
      </c>
      <c r="F576" s="3" t="s">
        <v>101</v>
      </c>
      <c r="G576" s="3">
        <v>2025</v>
      </c>
      <c r="H576" s="3" t="str">
        <f>CONCATENATE("54240553369")</f>
        <v>54240553369</v>
      </c>
      <c r="I576" s="3" t="s">
        <v>44</v>
      </c>
      <c r="J576" s="3" t="s">
        <v>35</v>
      </c>
      <c r="K576" s="3"/>
      <c r="L576" s="3" t="s">
        <v>36</v>
      </c>
      <c r="M576" s="3" t="str">
        <f>CONCATENATE("FLCMRZ89C30H769G")</f>
        <v>FLCMRZ89C30H769G</v>
      </c>
      <c r="N576" s="3" t="s">
        <v>696</v>
      </c>
      <c r="O576" s="3" t="s">
        <v>38</v>
      </c>
      <c r="P576" s="3"/>
      <c r="Q576" s="4">
        <v>45968</v>
      </c>
      <c r="R576" s="3" t="s">
        <v>39</v>
      </c>
      <c r="S576" s="3" t="s">
        <v>38</v>
      </c>
      <c r="T576" s="3" t="s">
        <v>40</v>
      </c>
      <c r="U576" s="3"/>
      <c r="V576" s="3" t="s">
        <v>41</v>
      </c>
      <c r="W576" s="5">
        <v>5085.18</v>
      </c>
      <c r="X576" s="5">
        <v>3813.89</v>
      </c>
      <c r="Y576" s="3">
        <v>889.91</v>
      </c>
      <c r="Z576" s="3">
        <v>381.38</v>
      </c>
      <c r="AA576" s="3">
        <v>0</v>
      </c>
    </row>
    <row r="577" spans="1:27" ht="60.75" x14ac:dyDescent="0.25">
      <c r="A577" s="3" t="s">
        <v>28</v>
      </c>
      <c r="B577" s="3" t="s">
        <v>29</v>
      </c>
      <c r="C577" s="3" t="s">
        <v>30</v>
      </c>
      <c r="D577" s="3" t="s">
        <v>31</v>
      </c>
      <c r="E577" s="3" t="s">
        <v>32</v>
      </c>
      <c r="F577" s="3" t="s">
        <v>621</v>
      </c>
      <c r="G577" s="3">
        <v>2025</v>
      </c>
      <c r="H577" s="3" t="str">
        <f>CONCATENATE("54240526415")</f>
        <v>54240526415</v>
      </c>
      <c r="I577" s="3" t="s">
        <v>34</v>
      </c>
      <c r="J577" s="3" t="s">
        <v>35</v>
      </c>
      <c r="K577" s="3"/>
      <c r="L577" s="3" t="s">
        <v>36</v>
      </c>
      <c r="M577" s="3" t="str">
        <f>CONCATENATE("FRNSML71R29E783A")</f>
        <v>FRNSML71R29E783A</v>
      </c>
      <c r="N577" s="3" t="s">
        <v>697</v>
      </c>
      <c r="O577" s="3" t="s">
        <v>38</v>
      </c>
      <c r="P577" s="3"/>
      <c r="Q577" s="4">
        <v>45968</v>
      </c>
      <c r="R577" s="3" t="s">
        <v>39</v>
      </c>
      <c r="S577" s="3" t="s">
        <v>38</v>
      </c>
      <c r="T577" s="3" t="s">
        <v>40</v>
      </c>
      <c r="U577" s="3"/>
      <c r="V577" s="3" t="s">
        <v>41</v>
      </c>
      <c r="W577" s="3">
        <v>994.35</v>
      </c>
      <c r="X577" s="3">
        <v>745.76</v>
      </c>
      <c r="Y577" s="3">
        <v>174.01</v>
      </c>
      <c r="Z577" s="3">
        <v>74.58</v>
      </c>
      <c r="AA577" s="3">
        <v>0</v>
      </c>
    </row>
    <row r="578" spans="1:27" ht="60.75" x14ac:dyDescent="0.25">
      <c r="A578" s="3" t="s">
        <v>28</v>
      </c>
      <c r="B578" s="3" t="s">
        <v>29</v>
      </c>
      <c r="C578" s="3" t="s">
        <v>30</v>
      </c>
      <c r="D578" s="3" t="s">
        <v>31</v>
      </c>
      <c r="E578" s="3" t="s">
        <v>32</v>
      </c>
      <c r="F578" s="3" t="s">
        <v>621</v>
      </c>
      <c r="G578" s="3">
        <v>2025</v>
      </c>
      <c r="H578" s="3" t="str">
        <f>CONCATENATE("54240526845")</f>
        <v>54240526845</v>
      </c>
      <c r="I578" s="3" t="s">
        <v>34</v>
      </c>
      <c r="J578" s="3" t="s">
        <v>35</v>
      </c>
      <c r="K578" s="3"/>
      <c r="L578" s="3" t="s">
        <v>36</v>
      </c>
      <c r="M578" s="3" t="str">
        <f>CONCATENATE("GLNNNA46D42F581G")</f>
        <v>GLNNNA46D42F581G</v>
      </c>
      <c r="N578" s="3" t="s">
        <v>698</v>
      </c>
      <c r="O578" s="3" t="s">
        <v>38</v>
      </c>
      <c r="P578" s="3"/>
      <c r="Q578" s="4">
        <v>45968</v>
      </c>
      <c r="R578" s="3" t="s">
        <v>39</v>
      </c>
      <c r="S578" s="3" t="s">
        <v>38</v>
      </c>
      <c r="T578" s="3" t="s">
        <v>40</v>
      </c>
      <c r="U578" s="3"/>
      <c r="V578" s="3" t="s">
        <v>41</v>
      </c>
      <c r="W578" s="5">
        <v>1891.1</v>
      </c>
      <c r="X578" s="5">
        <v>1418.33</v>
      </c>
      <c r="Y578" s="3">
        <v>330.94</v>
      </c>
      <c r="Z578" s="3">
        <v>141.83000000000001</v>
      </c>
      <c r="AA578" s="3">
        <v>0</v>
      </c>
    </row>
    <row r="579" spans="1:27" ht="60.75" x14ac:dyDescent="0.25">
      <c r="A579" s="3" t="s">
        <v>28</v>
      </c>
      <c r="B579" s="3" t="s">
        <v>29</v>
      </c>
      <c r="C579" s="3" t="s">
        <v>30</v>
      </c>
      <c r="D579" s="3" t="s">
        <v>31</v>
      </c>
      <c r="E579" s="3" t="s">
        <v>32</v>
      </c>
      <c r="F579" s="3" t="s">
        <v>621</v>
      </c>
      <c r="G579" s="3">
        <v>2025</v>
      </c>
      <c r="H579" s="3" t="str">
        <f>CONCATENATE("54240526969")</f>
        <v>54240526969</v>
      </c>
      <c r="I579" s="3" t="s">
        <v>34</v>
      </c>
      <c r="J579" s="3" t="s">
        <v>35</v>
      </c>
      <c r="K579" s="3"/>
      <c r="L579" s="3" t="s">
        <v>36</v>
      </c>
      <c r="M579" s="3" t="str">
        <f>CONCATENATE("LPNLRS74P52A271S")</f>
        <v>LPNLRS74P52A271S</v>
      </c>
      <c r="N579" s="3" t="s">
        <v>699</v>
      </c>
      <c r="O579" s="3" t="s">
        <v>38</v>
      </c>
      <c r="P579" s="3"/>
      <c r="Q579" s="4">
        <v>45968</v>
      </c>
      <c r="R579" s="3" t="s">
        <v>39</v>
      </c>
      <c r="S579" s="3" t="s">
        <v>38</v>
      </c>
      <c r="T579" s="3" t="s">
        <v>40</v>
      </c>
      <c r="U579" s="3"/>
      <c r="V579" s="3" t="s">
        <v>41</v>
      </c>
      <c r="W579" s="5">
        <v>1842.19</v>
      </c>
      <c r="X579" s="5">
        <v>1381.64</v>
      </c>
      <c r="Y579" s="3">
        <v>322.38</v>
      </c>
      <c r="Z579" s="3">
        <v>138.16999999999999</v>
      </c>
      <c r="AA579" s="3">
        <v>0</v>
      </c>
    </row>
    <row r="580" spans="1:27" ht="72.75" x14ac:dyDescent="0.25">
      <c r="A580" s="3" t="s">
        <v>28</v>
      </c>
      <c r="B580" s="3" t="s">
        <v>29</v>
      </c>
      <c r="C580" s="3" t="s">
        <v>30</v>
      </c>
      <c r="D580" s="3" t="s">
        <v>31</v>
      </c>
      <c r="E580" s="3" t="s">
        <v>32</v>
      </c>
      <c r="F580" s="3" t="s">
        <v>621</v>
      </c>
      <c r="G580" s="3">
        <v>2025</v>
      </c>
      <c r="H580" s="3" t="str">
        <f>CONCATENATE("54240527710")</f>
        <v>54240527710</v>
      </c>
      <c r="I580" s="3" t="s">
        <v>34</v>
      </c>
      <c r="J580" s="3" t="s">
        <v>35</v>
      </c>
      <c r="K580" s="3"/>
      <c r="L580" s="3" t="s">
        <v>36</v>
      </c>
      <c r="M580" s="3" t="str">
        <f>CONCATENATE("MGNFRN44L06I008A")</f>
        <v>MGNFRN44L06I008A</v>
      </c>
      <c r="N580" s="3" t="s">
        <v>700</v>
      </c>
      <c r="O580" s="3" t="s">
        <v>38</v>
      </c>
      <c r="P580" s="3"/>
      <c r="Q580" s="4">
        <v>45968</v>
      </c>
      <c r="R580" s="3" t="s">
        <v>39</v>
      </c>
      <c r="S580" s="3" t="s">
        <v>38</v>
      </c>
      <c r="T580" s="3" t="s">
        <v>40</v>
      </c>
      <c r="U580" s="3"/>
      <c r="V580" s="3" t="s">
        <v>41</v>
      </c>
      <c r="W580" s="3">
        <v>568.29999999999995</v>
      </c>
      <c r="X580" s="3">
        <v>426.23</v>
      </c>
      <c r="Y580" s="3">
        <v>99.45</v>
      </c>
      <c r="Z580" s="3">
        <v>42.62</v>
      </c>
      <c r="AA580" s="3">
        <v>0</v>
      </c>
    </row>
    <row r="581" spans="1:27" ht="60.75" x14ac:dyDescent="0.25">
      <c r="A581" s="3" t="s">
        <v>28</v>
      </c>
      <c r="B581" s="3" t="s">
        <v>29</v>
      </c>
      <c r="C581" s="3" t="s">
        <v>30</v>
      </c>
      <c r="D581" s="3" t="s">
        <v>65</v>
      </c>
      <c r="E581" s="3" t="s">
        <v>48</v>
      </c>
      <c r="F581" s="3" t="s">
        <v>76</v>
      </c>
      <c r="G581" s="3">
        <v>2025</v>
      </c>
      <c r="H581" s="3" t="str">
        <f>CONCATENATE("54240527892")</f>
        <v>54240527892</v>
      </c>
      <c r="I581" s="3" t="s">
        <v>34</v>
      </c>
      <c r="J581" s="3" t="s">
        <v>35</v>
      </c>
      <c r="K581" s="3"/>
      <c r="L581" s="3" t="s">
        <v>36</v>
      </c>
      <c r="M581" s="3" t="str">
        <f>CONCATENATE("MSCMRC73P24D749M")</f>
        <v>MSCMRC73P24D749M</v>
      </c>
      <c r="N581" s="3" t="s">
        <v>701</v>
      </c>
      <c r="O581" s="3" t="s">
        <v>38</v>
      </c>
      <c r="P581" s="3"/>
      <c r="Q581" s="4">
        <v>45968</v>
      </c>
      <c r="R581" s="3" t="s">
        <v>39</v>
      </c>
      <c r="S581" s="3" t="s">
        <v>38</v>
      </c>
      <c r="T581" s="3" t="s">
        <v>40</v>
      </c>
      <c r="U581" s="3"/>
      <c r="V581" s="3" t="s">
        <v>41</v>
      </c>
      <c r="W581" s="5">
        <v>7491.1</v>
      </c>
      <c r="X581" s="5">
        <v>5618.33</v>
      </c>
      <c r="Y581" s="5">
        <v>1310.94</v>
      </c>
      <c r="Z581" s="3">
        <v>561.83000000000004</v>
      </c>
      <c r="AA581" s="3">
        <v>0</v>
      </c>
    </row>
    <row r="582" spans="1:27" ht="60.75" x14ac:dyDescent="0.25">
      <c r="A582" s="3" t="s">
        <v>28</v>
      </c>
      <c r="B582" s="3" t="s">
        <v>29</v>
      </c>
      <c r="C582" s="3" t="s">
        <v>30</v>
      </c>
      <c r="D582" s="3" t="s">
        <v>42</v>
      </c>
      <c r="E582" s="3" t="s">
        <v>32</v>
      </c>
      <c r="F582" s="3" t="s">
        <v>110</v>
      </c>
      <c r="G582" s="3">
        <v>2025</v>
      </c>
      <c r="H582" s="3" t="str">
        <f>CONCATENATE("54240528270")</f>
        <v>54240528270</v>
      </c>
      <c r="I582" s="3" t="s">
        <v>34</v>
      </c>
      <c r="J582" s="3" t="s">
        <v>35</v>
      </c>
      <c r="K582" s="3"/>
      <c r="L582" s="3" t="s">
        <v>36</v>
      </c>
      <c r="M582" s="3" t="str">
        <f>CONCATENATE("FLSSFN54D70L117L")</f>
        <v>FLSSFN54D70L117L</v>
      </c>
      <c r="N582" s="3" t="s">
        <v>702</v>
      </c>
      <c r="O582" s="3" t="s">
        <v>38</v>
      </c>
      <c r="P582" s="3"/>
      <c r="Q582" s="4">
        <v>45968</v>
      </c>
      <c r="R582" s="3" t="s">
        <v>39</v>
      </c>
      <c r="S582" s="3" t="s">
        <v>38</v>
      </c>
      <c r="T582" s="3" t="s">
        <v>40</v>
      </c>
      <c r="U582" s="3"/>
      <c r="V582" s="3" t="s">
        <v>41</v>
      </c>
      <c r="W582" s="5">
        <v>16147.16</v>
      </c>
      <c r="X582" s="5">
        <v>12110.37</v>
      </c>
      <c r="Y582" s="5">
        <v>2825.75</v>
      </c>
      <c r="Z582" s="5">
        <v>1211.04</v>
      </c>
      <c r="AA582" s="3">
        <v>0</v>
      </c>
    </row>
    <row r="583" spans="1:27" ht="48.75" x14ac:dyDescent="0.25">
      <c r="A583" s="3" t="s">
        <v>28</v>
      </c>
      <c r="B583" s="3" t="s">
        <v>29</v>
      </c>
      <c r="C583" s="3" t="s">
        <v>30</v>
      </c>
      <c r="D583" s="3" t="s">
        <v>47</v>
      </c>
      <c r="E583" s="3" t="s">
        <v>48</v>
      </c>
      <c r="F583" s="3" t="s">
        <v>90</v>
      </c>
      <c r="G583" s="3">
        <v>2025</v>
      </c>
      <c r="H583" s="3" t="str">
        <f>CONCATENATE("54240528163")</f>
        <v>54240528163</v>
      </c>
      <c r="I583" s="3" t="s">
        <v>34</v>
      </c>
      <c r="J583" s="3" t="s">
        <v>35</v>
      </c>
      <c r="K583" s="3"/>
      <c r="L583" s="3" t="s">
        <v>36</v>
      </c>
      <c r="M583" s="3" t="str">
        <f>CONCATENATE("RCLCST84L21E783I")</f>
        <v>RCLCST84L21E783I</v>
      </c>
      <c r="N583" s="3" t="s">
        <v>703</v>
      </c>
      <c r="O583" s="3" t="s">
        <v>38</v>
      </c>
      <c r="P583" s="3"/>
      <c r="Q583" s="4">
        <v>45968</v>
      </c>
      <c r="R583" s="3" t="s">
        <v>39</v>
      </c>
      <c r="S583" s="3" t="s">
        <v>38</v>
      </c>
      <c r="T583" s="3" t="s">
        <v>40</v>
      </c>
      <c r="U583" s="3"/>
      <c r="V583" s="3" t="s">
        <v>41</v>
      </c>
      <c r="W583" s="5">
        <v>2525.62</v>
      </c>
      <c r="X583" s="5">
        <v>1894.22</v>
      </c>
      <c r="Y583" s="3">
        <v>441.98</v>
      </c>
      <c r="Z583" s="3">
        <v>189.42</v>
      </c>
      <c r="AA583" s="3">
        <v>0</v>
      </c>
    </row>
    <row r="584" spans="1:27" ht="60.75" x14ac:dyDescent="0.25">
      <c r="A584" s="3" t="s">
        <v>28</v>
      </c>
      <c r="B584" s="3" t="s">
        <v>29</v>
      </c>
      <c r="C584" s="3" t="s">
        <v>30</v>
      </c>
      <c r="D584" s="3" t="s">
        <v>42</v>
      </c>
      <c r="E584" s="3" t="s">
        <v>43</v>
      </c>
      <c r="F584" s="3" t="s">
        <v>43</v>
      </c>
      <c r="G584" s="3">
        <v>2025</v>
      </c>
      <c r="H584" s="3" t="str">
        <f>CONCATENATE("54240663929")</f>
        <v>54240663929</v>
      </c>
      <c r="I584" s="3" t="s">
        <v>34</v>
      </c>
      <c r="J584" s="3" t="s">
        <v>35</v>
      </c>
      <c r="K584" s="3"/>
      <c r="L584" s="3" t="s">
        <v>36</v>
      </c>
      <c r="M584" s="3" t="str">
        <f>CONCATENATE("CNTCNZ68L60D542I")</f>
        <v>CNTCNZ68L60D542I</v>
      </c>
      <c r="N584" s="3" t="s">
        <v>704</v>
      </c>
      <c r="O584" s="3" t="s">
        <v>38</v>
      </c>
      <c r="P584" s="3"/>
      <c r="Q584" s="4">
        <v>45968</v>
      </c>
      <c r="R584" s="3" t="s">
        <v>39</v>
      </c>
      <c r="S584" s="3" t="s">
        <v>38</v>
      </c>
      <c r="T584" s="3" t="s">
        <v>40</v>
      </c>
      <c r="U584" s="3"/>
      <c r="V584" s="3" t="s">
        <v>41</v>
      </c>
      <c r="W584" s="5">
        <v>1565.49</v>
      </c>
      <c r="X584" s="5">
        <v>1174.1199999999999</v>
      </c>
      <c r="Y584" s="3">
        <v>273.95999999999998</v>
      </c>
      <c r="Z584" s="3">
        <v>117.41</v>
      </c>
      <c r="AA584" s="3">
        <v>0</v>
      </c>
    </row>
    <row r="585" spans="1:27" ht="60.75" x14ac:dyDescent="0.25">
      <c r="A585" s="3" t="s">
        <v>28</v>
      </c>
      <c r="B585" s="3" t="s">
        <v>29</v>
      </c>
      <c r="C585" s="3" t="s">
        <v>30</v>
      </c>
      <c r="D585" s="3" t="s">
        <v>31</v>
      </c>
      <c r="E585" s="3" t="s">
        <v>32</v>
      </c>
      <c r="F585" s="3" t="s">
        <v>621</v>
      </c>
      <c r="G585" s="3">
        <v>2025</v>
      </c>
      <c r="H585" s="3" t="str">
        <f>CONCATENATE("54240528551")</f>
        <v>54240528551</v>
      </c>
      <c r="I585" s="3" t="s">
        <v>34</v>
      </c>
      <c r="J585" s="3" t="s">
        <v>35</v>
      </c>
      <c r="K585" s="3"/>
      <c r="L585" s="3" t="s">
        <v>36</v>
      </c>
      <c r="M585" s="3" t="str">
        <f>CONCATENATE("RNLSMN74B47I608C")</f>
        <v>RNLSMN74B47I608C</v>
      </c>
      <c r="N585" s="3" t="s">
        <v>705</v>
      </c>
      <c r="O585" s="3" t="s">
        <v>38</v>
      </c>
      <c r="P585" s="3"/>
      <c r="Q585" s="4">
        <v>45968</v>
      </c>
      <c r="R585" s="3" t="s">
        <v>39</v>
      </c>
      <c r="S585" s="3" t="s">
        <v>38</v>
      </c>
      <c r="T585" s="3" t="s">
        <v>40</v>
      </c>
      <c r="U585" s="3"/>
      <c r="V585" s="3" t="s">
        <v>41</v>
      </c>
      <c r="W585" s="3">
        <v>612.49</v>
      </c>
      <c r="X585" s="3">
        <v>459.37</v>
      </c>
      <c r="Y585" s="3">
        <v>107.19</v>
      </c>
      <c r="Z585" s="3">
        <v>45.93</v>
      </c>
      <c r="AA585" s="3">
        <v>0</v>
      </c>
    </row>
    <row r="586" spans="1:27" ht="60.75" x14ac:dyDescent="0.25">
      <c r="A586" s="3" t="s">
        <v>28</v>
      </c>
      <c r="B586" s="3" t="s">
        <v>29</v>
      </c>
      <c r="C586" s="3" t="s">
        <v>30</v>
      </c>
      <c r="D586" s="3" t="s">
        <v>65</v>
      </c>
      <c r="E586" s="3" t="s">
        <v>32</v>
      </c>
      <c r="F586" s="3" t="s">
        <v>270</v>
      </c>
      <c r="G586" s="3">
        <v>2025</v>
      </c>
      <c r="H586" s="3" t="str">
        <f>CONCATENATE("54240529286")</f>
        <v>54240529286</v>
      </c>
      <c r="I586" s="3" t="s">
        <v>34</v>
      </c>
      <c r="J586" s="3" t="s">
        <v>35</v>
      </c>
      <c r="K586" s="3"/>
      <c r="L586" s="3" t="s">
        <v>36</v>
      </c>
      <c r="M586" s="3" t="str">
        <f>CONCATENATE("MNTGPP38A19F348M")</f>
        <v>MNTGPP38A19F348M</v>
      </c>
      <c r="N586" s="3" t="s">
        <v>706</v>
      </c>
      <c r="O586" s="3" t="s">
        <v>38</v>
      </c>
      <c r="P586" s="3"/>
      <c r="Q586" s="4">
        <v>45968</v>
      </c>
      <c r="R586" s="3" t="s">
        <v>39</v>
      </c>
      <c r="S586" s="3" t="s">
        <v>38</v>
      </c>
      <c r="T586" s="3" t="s">
        <v>40</v>
      </c>
      <c r="U586" s="3"/>
      <c r="V586" s="3" t="s">
        <v>41</v>
      </c>
      <c r="W586" s="3">
        <v>905.82</v>
      </c>
      <c r="X586" s="3">
        <v>679.37</v>
      </c>
      <c r="Y586" s="3">
        <v>158.52000000000001</v>
      </c>
      <c r="Z586" s="3">
        <v>67.930000000000007</v>
      </c>
      <c r="AA586" s="3">
        <v>0</v>
      </c>
    </row>
    <row r="587" spans="1:27" ht="60.75" x14ac:dyDescent="0.25">
      <c r="A587" s="3" t="s">
        <v>28</v>
      </c>
      <c r="B587" s="3" t="s">
        <v>29</v>
      </c>
      <c r="C587" s="3" t="s">
        <v>30</v>
      </c>
      <c r="D587" s="3" t="s">
        <v>65</v>
      </c>
      <c r="E587" s="3" t="s">
        <v>48</v>
      </c>
      <c r="F587" s="3" t="s">
        <v>66</v>
      </c>
      <c r="G587" s="3">
        <v>2025</v>
      </c>
      <c r="H587" s="3" t="str">
        <f>CONCATENATE("54240529575")</f>
        <v>54240529575</v>
      </c>
      <c r="I587" s="3" t="s">
        <v>34</v>
      </c>
      <c r="J587" s="3" t="s">
        <v>35</v>
      </c>
      <c r="K587" s="3"/>
      <c r="L587" s="3" t="s">
        <v>36</v>
      </c>
      <c r="M587" s="3" t="str">
        <f>CONCATENATE("CNTLGO91L49L500S")</f>
        <v>CNTLGO91L49L500S</v>
      </c>
      <c r="N587" s="3" t="s">
        <v>707</v>
      </c>
      <c r="O587" s="3" t="s">
        <v>38</v>
      </c>
      <c r="P587" s="3"/>
      <c r="Q587" s="4">
        <v>45968</v>
      </c>
      <c r="R587" s="3" t="s">
        <v>39</v>
      </c>
      <c r="S587" s="3" t="s">
        <v>38</v>
      </c>
      <c r="T587" s="3" t="s">
        <v>40</v>
      </c>
      <c r="U587" s="3"/>
      <c r="V587" s="3" t="s">
        <v>41</v>
      </c>
      <c r="W587" s="5">
        <v>1332.55</v>
      </c>
      <c r="X587" s="3">
        <v>999.41</v>
      </c>
      <c r="Y587" s="3">
        <v>233.2</v>
      </c>
      <c r="Z587" s="3">
        <v>99.94</v>
      </c>
      <c r="AA587" s="3">
        <v>0</v>
      </c>
    </row>
    <row r="588" spans="1:27" ht="60.75" x14ac:dyDescent="0.25">
      <c r="A588" s="3" t="s">
        <v>28</v>
      </c>
      <c r="B588" s="3" t="s">
        <v>29</v>
      </c>
      <c r="C588" s="3" t="s">
        <v>30</v>
      </c>
      <c r="D588" s="3" t="s">
        <v>47</v>
      </c>
      <c r="E588" s="3" t="s">
        <v>48</v>
      </c>
      <c r="F588" s="3" t="s">
        <v>90</v>
      </c>
      <c r="G588" s="3">
        <v>2025</v>
      </c>
      <c r="H588" s="3" t="str">
        <f>CONCATENATE("54240529609")</f>
        <v>54240529609</v>
      </c>
      <c r="I588" s="3" t="s">
        <v>34</v>
      </c>
      <c r="J588" s="3" t="s">
        <v>35</v>
      </c>
      <c r="K588" s="3"/>
      <c r="L588" s="3" t="s">
        <v>36</v>
      </c>
      <c r="M588" s="3" t="str">
        <f>CONCATENATE("FRNLCU91R26A271P")</f>
        <v>FRNLCU91R26A271P</v>
      </c>
      <c r="N588" s="3" t="s">
        <v>708</v>
      </c>
      <c r="O588" s="3" t="s">
        <v>38</v>
      </c>
      <c r="P588" s="3"/>
      <c r="Q588" s="4">
        <v>45968</v>
      </c>
      <c r="R588" s="3" t="s">
        <v>39</v>
      </c>
      <c r="S588" s="3" t="s">
        <v>38</v>
      </c>
      <c r="T588" s="3" t="s">
        <v>40</v>
      </c>
      <c r="U588" s="3"/>
      <c r="V588" s="3" t="s">
        <v>41</v>
      </c>
      <c r="W588" s="3">
        <v>684.14</v>
      </c>
      <c r="X588" s="3">
        <v>513.11</v>
      </c>
      <c r="Y588" s="3">
        <v>119.72</v>
      </c>
      <c r="Z588" s="3">
        <v>51.31</v>
      </c>
      <c r="AA588" s="3">
        <v>0</v>
      </c>
    </row>
    <row r="589" spans="1:27" ht="72.75" x14ac:dyDescent="0.25">
      <c r="A589" s="3" t="s">
        <v>28</v>
      </c>
      <c r="B589" s="3" t="s">
        <v>29</v>
      </c>
      <c r="C589" s="3" t="s">
        <v>30</v>
      </c>
      <c r="D589" s="3" t="s">
        <v>65</v>
      </c>
      <c r="E589" s="3" t="s">
        <v>32</v>
      </c>
      <c r="F589" s="3" t="s">
        <v>625</v>
      </c>
      <c r="G589" s="3">
        <v>2025</v>
      </c>
      <c r="H589" s="3" t="str">
        <f>CONCATENATE("54240530144")</f>
        <v>54240530144</v>
      </c>
      <c r="I589" s="3" t="s">
        <v>34</v>
      </c>
      <c r="J589" s="3" t="s">
        <v>35</v>
      </c>
      <c r="K589" s="3"/>
      <c r="L589" s="3" t="s">
        <v>36</v>
      </c>
      <c r="M589" s="3" t="str">
        <f>CONCATENATE("SLFGLN72A09D007R")</f>
        <v>SLFGLN72A09D007R</v>
      </c>
      <c r="N589" s="3" t="s">
        <v>709</v>
      </c>
      <c r="O589" s="3" t="s">
        <v>38</v>
      </c>
      <c r="P589" s="3"/>
      <c r="Q589" s="4">
        <v>45968</v>
      </c>
      <c r="R589" s="3" t="s">
        <v>39</v>
      </c>
      <c r="S589" s="3" t="s">
        <v>38</v>
      </c>
      <c r="T589" s="3" t="s">
        <v>40</v>
      </c>
      <c r="U589" s="3"/>
      <c r="V589" s="3" t="s">
        <v>41</v>
      </c>
      <c r="W589" s="5">
        <v>3747.97</v>
      </c>
      <c r="X589" s="5">
        <v>2810.98</v>
      </c>
      <c r="Y589" s="3">
        <v>655.89</v>
      </c>
      <c r="Z589" s="3">
        <v>281.10000000000002</v>
      </c>
      <c r="AA589" s="3">
        <v>0</v>
      </c>
    </row>
    <row r="590" spans="1:27" ht="60.75" x14ac:dyDescent="0.25">
      <c r="A590" s="3" t="s">
        <v>28</v>
      </c>
      <c r="B590" s="3" t="s">
        <v>29</v>
      </c>
      <c r="C590" s="3" t="s">
        <v>30</v>
      </c>
      <c r="D590" s="3" t="s">
        <v>47</v>
      </c>
      <c r="E590" s="3" t="s">
        <v>132</v>
      </c>
      <c r="F590" s="3" t="s">
        <v>710</v>
      </c>
      <c r="G590" s="3">
        <v>2025</v>
      </c>
      <c r="H590" s="3" t="str">
        <f>CONCATENATE("54240530060")</f>
        <v>54240530060</v>
      </c>
      <c r="I590" s="3" t="s">
        <v>34</v>
      </c>
      <c r="J590" s="3" t="s">
        <v>35</v>
      </c>
      <c r="K590" s="3"/>
      <c r="L590" s="3" t="s">
        <v>36</v>
      </c>
      <c r="M590" s="3" t="str">
        <f>CONCATENATE("CTRPLA74L56L219E")</f>
        <v>CTRPLA74L56L219E</v>
      </c>
      <c r="N590" s="3" t="s">
        <v>711</v>
      </c>
      <c r="O590" s="3" t="s">
        <v>38</v>
      </c>
      <c r="P590" s="3"/>
      <c r="Q590" s="4">
        <v>45968</v>
      </c>
      <c r="R590" s="3" t="s">
        <v>39</v>
      </c>
      <c r="S590" s="3" t="s">
        <v>38</v>
      </c>
      <c r="T590" s="3" t="s">
        <v>40</v>
      </c>
      <c r="U590" s="3"/>
      <c r="V590" s="3" t="s">
        <v>41</v>
      </c>
      <c r="W590" s="3">
        <v>554.85</v>
      </c>
      <c r="X590" s="3">
        <v>416.14</v>
      </c>
      <c r="Y590" s="3">
        <v>97.1</v>
      </c>
      <c r="Z590" s="3">
        <v>41.61</v>
      </c>
      <c r="AA590" s="3">
        <v>0</v>
      </c>
    </row>
    <row r="591" spans="1:27" ht="60.75" x14ac:dyDescent="0.25">
      <c r="A591" s="3" t="s">
        <v>28</v>
      </c>
      <c r="B591" s="3" t="s">
        <v>29</v>
      </c>
      <c r="C591" s="3" t="s">
        <v>30</v>
      </c>
      <c r="D591" s="3" t="s">
        <v>47</v>
      </c>
      <c r="E591" s="3" t="s">
        <v>132</v>
      </c>
      <c r="F591" s="3" t="s">
        <v>710</v>
      </c>
      <c r="G591" s="3">
        <v>2025</v>
      </c>
      <c r="H591" s="3" t="str">
        <f>CONCATENATE("54240530029")</f>
        <v>54240530029</v>
      </c>
      <c r="I591" s="3" t="s">
        <v>34</v>
      </c>
      <c r="J591" s="3" t="s">
        <v>35</v>
      </c>
      <c r="K591" s="3"/>
      <c r="L591" s="3" t="s">
        <v>36</v>
      </c>
      <c r="M591" s="3" t="str">
        <f>CONCATENATE("QDRSDR60A03I651G")</f>
        <v>QDRSDR60A03I651G</v>
      </c>
      <c r="N591" s="3" t="s">
        <v>712</v>
      </c>
      <c r="O591" s="3" t="s">
        <v>38</v>
      </c>
      <c r="P591" s="3"/>
      <c r="Q591" s="4">
        <v>45968</v>
      </c>
      <c r="R591" s="3" t="s">
        <v>39</v>
      </c>
      <c r="S591" s="3" t="s">
        <v>38</v>
      </c>
      <c r="T591" s="3" t="s">
        <v>40</v>
      </c>
      <c r="U591" s="3"/>
      <c r="V591" s="3" t="s">
        <v>41</v>
      </c>
      <c r="W591" s="5">
        <v>3485.77</v>
      </c>
      <c r="X591" s="5">
        <v>2614.33</v>
      </c>
      <c r="Y591" s="3">
        <v>610.01</v>
      </c>
      <c r="Z591" s="3">
        <v>261.43</v>
      </c>
      <c r="AA591" s="3">
        <v>0</v>
      </c>
    </row>
    <row r="592" spans="1:27" ht="60.75" x14ac:dyDescent="0.25">
      <c r="A592" s="3" t="s">
        <v>28</v>
      </c>
      <c r="B592" s="3" t="s">
        <v>29</v>
      </c>
      <c r="C592" s="3" t="s">
        <v>30</v>
      </c>
      <c r="D592" s="3" t="s">
        <v>65</v>
      </c>
      <c r="E592" s="3" t="s">
        <v>32</v>
      </c>
      <c r="F592" s="3" t="s">
        <v>135</v>
      </c>
      <c r="G592" s="3">
        <v>2025</v>
      </c>
      <c r="H592" s="3" t="str">
        <f>CONCATENATE("54240530169")</f>
        <v>54240530169</v>
      </c>
      <c r="I592" s="3" t="s">
        <v>34</v>
      </c>
      <c r="J592" s="3" t="s">
        <v>35</v>
      </c>
      <c r="K592" s="3"/>
      <c r="L592" s="3" t="s">
        <v>36</v>
      </c>
      <c r="M592" s="3" t="str">
        <f>CONCATENATE("RSSGGL01T41F205J")</f>
        <v>RSSGGL01T41F205J</v>
      </c>
      <c r="N592" s="3" t="s">
        <v>713</v>
      </c>
      <c r="O592" s="3" t="s">
        <v>38</v>
      </c>
      <c r="P592" s="3"/>
      <c r="Q592" s="4">
        <v>45968</v>
      </c>
      <c r="R592" s="3" t="s">
        <v>39</v>
      </c>
      <c r="S592" s="3" t="s">
        <v>38</v>
      </c>
      <c r="T592" s="3" t="s">
        <v>40</v>
      </c>
      <c r="U592" s="3"/>
      <c r="V592" s="3" t="s">
        <v>41</v>
      </c>
      <c r="W592" s="5">
        <v>4337.05</v>
      </c>
      <c r="X592" s="5">
        <v>3252.79</v>
      </c>
      <c r="Y592" s="3">
        <v>758.98</v>
      </c>
      <c r="Z592" s="3">
        <v>325.27999999999997</v>
      </c>
      <c r="AA592" s="3">
        <v>0</v>
      </c>
    </row>
    <row r="593" spans="1:27" ht="36.75" x14ac:dyDescent="0.25">
      <c r="A593" s="3" t="s">
        <v>28</v>
      </c>
      <c r="B593" s="3" t="s">
        <v>29</v>
      </c>
      <c r="C593" s="3" t="s">
        <v>30</v>
      </c>
      <c r="D593" s="3" t="s">
        <v>42</v>
      </c>
      <c r="E593" s="3" t="s">
        <v>51</v>
      </c>
      <c r="F593" s="3" t="s">
        <v>661</v>
      </c>
      <c r="G593" s="3">
        <v>2025</v>
      </c>
      <c r="H593" s="3" t="str">
        <f>CONCATENATE("54240566437")</f>
        <v>54240566437</v>
      </c>
      <c r="I593" s="3" t="s">
        <v>34</v>
      </c>
      <c r="J593" s="3" t="s">
        <v>35</v>
      </c>
      <c r="K593" s="3"/>
      <c r="L593" s="3" t="s">
        <v>36</v>
      </c>
      <c r="M593" s="3" t="str">
        <f>CONCATENATE("02341960447")</f>
        <v>02341960447</v>
      </c>
      <c r="N593" s="3" t="s">
        <v>662</v>
      </c>
      <c r="O593" s="3" t="s">
        <v>38</v>
      </c>
      <c r="P593" s="3"/>
      <c r="Q593" s="4">
        <v>45968</v>
      </c>
      <c r="R593" s="3" t="s">
        <v>39</v>
      </c>
      <c r="S593" s="3" t="s">
        <v>38</v>
      </c>
      <c r="T593" s="3" t="s">
        <v>40</v>
      </c>
      <c r="U593" s="3"/>
      <c r="V593" s="3" t="s">
        <v>41</v>
      </c>
      <c r="W593" s="5">
        <v>4091.3</v>
      </c>
      <c r="X593" s="5">
        <v>3068.48</v>
      </c>
      <c r="Y593" s="3">
        <v>715.98</v>
      </c>
      <c r="Z593" s="3">
        <v>306.83999999999997</v>
      </c>
      <c r="AA593" s="3">
        <v>0</v>
      </c>
    </row>
    <row r="594" spans="1:27" ht="60.75" x14ac:dyDescent="0.25">
      <c r="A594" s="3" t="s">
        <v>28</v>
      </c>
      <c r="B594" s="3" t="s">
        <v>29</v>
      </c>
      <c r="C594" s="3" t="s">
        <v>30</v>
      </c>
      <c r="D594" s="3" t="s">
        <v>47</v>
      </c>
      <c r="E594" s="3" t="s">
        <v>51</v>
      </c>
      <c r="F594" s="3" t="s">
        <v>151</v>
      </c>
      <c r="G594" s="3">
        <v>2025</v>
      </c>
      <c r="H594" s="3" t="str">
        <f>CONCATENATE("54240530722")</f>
        <v>54240530722</v>
      </c>
      <c r="I594" s="3" t="s">
        <v>34</v>
      </c>
      <c r="J594" s="3" t="s">
        <v>35</v>
      </c>
      <c r="K594" s="3"/>
      <c r="L594" s="3" t="s">
        <v>36</v>
      </c>
      <c r="M594" s="3" t="str">
        <f>CONCATENATE("CSTLCU91S19A271L")</f>
        <v>CSTLCU91S19A271L</v>
      </c>
      <c r="N594" s="3" t="s">
        <v>714</v>
      </c>
      <c r="O594" s="3" t="s">
        <v>38</v>
      </c>
      <c r="P594" s="3"/>
      <c r="Q594" s="4">
        <v>45968</v>
      </c>
      <c r="R594" s="3" t="s">
        <v>39</v>
      </c>
      <c r="S594" s="3" t="s">
        <v>38</v>
      </c>
      <c r="T594" s="3" t="s">
        <v>40</v>
      </c>
      <c r="U594" s="3"/>
      <c r="V594" s="3" t="s">
        <v>41</v>
      </c>
      <c r="W594" s="5">
        <v>2963.91</v>
      </c>
      <c r="X594" s="5">
        <v>2222.9299999999998</v>
      </c>
      <c r="Y594" s="3">
        <v>518.67999999999995</v>
      </c>
      <c r="Z594" s="3">
        <v>222.3</v>
      </c>
      <c r="AA594" s="3">
        <v>0</v>
      </c>
    </row>
    <row r="595" spans="1:27" ht="60.75" x14ac:dyDescent="0.25">
      <c r="A595" s="3" t="s">
        <v>28</v>
      </c>
      <c r="B595" s="3" t="s">
        <v>29</v>
      </c>
      <c r="C595" s="3" t="s">
        <v>30</v>
      </c>
      <c r="D595" s="3" t="s">
        <v>47</v>
      </c>
      <c r="E595" s="3" t="s">
        <v>51</v>
      </c>
      <c r="F595" s="3" t="s">
        <v>83</v>
      </c>
      <c r="G595" s="3">
        <v>2025</v>
      </c>
      <c r="H595" s="3" t="str">
        <f>CONCATENATE("54240530979")</f>
        <v>54240530979</v>
      </c>
      <c r="I595" s="3" t="s">
        <v>34</v>
      </c>
      <c r="J595" s="3" t="s">
        <v>35</v>
      </c>
      <c r="K595" s="3"/>
      <c r="L595" s="3" t="s">
        <v>36</v>
      </c>
      <c r="M595" s="3" t="str">
        <f>CONCATENATE("MRARNZ46D18F051V")</f>
        <v>MRARNZ46D18F051V</v>
      </c>
      <c r="N595" s="3" t="s">
        <v>715</v>
      </c>
      <c r="O595" s="3" t="s">
        <v>38</v>
      </c>
      <c r="P595" s="3"/>
      <c r="Q595" s="4">
        <v>45968</v>
      </c>
      <c r="R595" s="3" t="s">
        <v>39</v>
      </c>
      <c r="S595" s="3" t="s">
        <v>38</v>
      </c>
      <c r="T595" s="3" t="s">
        <v>40</v>
      </c>
      <c r="U595" s="3"/>
      <c r="V595" s="3" t="s">
        <v>41</v>
      </c>
      <c r="W595" s="5">
        <v>3859.71</v>
      </c>
      <c r="X595" s="5">
        <v>2894.78</v>
      </c>
      <c r="Y595" s="3">
        <v>675.45</v>
      </c>
      <c r="Z595" s="3">
        <v>289.48</v>
      </c>
      <c r="AA595" s="3">
        <v>0</v>
      </c>
    </row>
    <row r="596" spans="1:27" ht="36.75" x14ac:dyDescent="0.25">
      <c r="A596" s="3" t="s">
        <v>28</v>
      </c>
      <c r="B596" s="3" t="s">
        <v>29</v>
      </c>
      <c r="C596" s="3" t="s">
        <v>30</v>
      </c>
      <c r="D596" s="3" t="s">
        <v>65</v>
      </c>
      <c r="E596" s="3" t="s">
        <v>32</v>
      </c>
      <c r="F596" s="3" t="s">
        <v>625</v>
      </c>
      <c r="G596" s="3">
        <v>2025</v>
      </c>
      <c r="H596" s="3" t="str">
        <f>CONCATENATE("54240531266")</f>
        <v>54240531266</v>
      </c>
      <c r="I596" s="3" t="s">
        <v>34</v>
      </c>
      <c r="J596" s="3" t="s">
        <v>35</v>
      </c>
      <c r="K596" s="3"/>
      <c r="L596" s="3" t="s">
        <v>36</v>
      </c>
      <c r="M596" s="3" t="str">
        <f>CONCATENATE("01057570416")</f>
        <v>01057570416</v>
      </c>
      <c r="N596" s="3" t="s">
        <v>716</v>
      </c>
      <c r="O596" s="3" t="s">
        <v>38</v>
      </c>
      <c r="P596" s="3"/>
      <c r="Q596" s="4">
        <v>45968</v>
      </c>
      <c r="R596" s="3" t="s">
        <v>39</v>
      </c>
      <c r="S596" s="3" t="s">
        <v>38</v>
      </c>
      <c r="T596" s="3" t="s">
        <v>40</v>
      </c>
      <c r="U596" s="3"/>
      <c r="V596" s="3" t="s">
        <v>41</v>
      </c>
      <c r="W596" s="5">
        <v>4840.8999999999996</v>
      </c>
      <c r="X596" s="5">
        <v>3630.68</v>
      </c>
      <c r="Y596" s="3">
        <v>847.16</v>
      </c>
      <c r="Z596" s="3">
        <v>363.06</v>
      </c>
      <c r="AA596" s="3">
        <v>0</v>
      </c>
    </row>
    <row r="597" spans="1:27" ht="36.75" x14ac:dyDescent="0.25">
      <c r="A597" s="3" t="s">
        <v>28</v>
      </c>
      <c r="B597" s="3" t="s">
        <v>29</v>
      </c>
      <c r="C597" s="3" t="s">
        <v>30</v>
      </c>
      <c r="D597" s="3" t="s">
        <v>47</v>
      </c>
      <c r="E597" s="3" t="s">
        <v>48</v>
      </c>
      <c r="F597" s="3" t="s">
        <v>90</v>
      </c>
      <c r="G597" s="3">
        <v>2025</v>
      </c>
      <c r="H597" s="3" t="str">
        <f>CONCATENATE("54240531274")</f>
        <v>54240531274</v>
      </c>
      <c r="I597" s="3" t="s">
        <v>34</v>
      </c>
      <c r="J597" s="3" t="s">
        <v>35</v>
      </c>
      <c r="K597" s="3"/>
      <c r="L597" s="3" t="s">
        <v>36</v>
      </c>
      <c r="M597" s="3" t="str">
        <f>CONCATENATE("01914220437")</f>
        <v>01914220437</v>
      </c>
      <c r="N597" s="3" t="s">
        <v>717</v>
      </c>
      <c r="O597" s="3" t="s">
        <v>38</v>
      </c>
      <c r="P597" s="3"/>
      <c r="Q597" s="4">
        <v>45968</v>
      </c>
      <c r="R597" s="3" t="s">
        <v>39</v>
      </c>
      <c r="S597" s="3" t="s">
        <v>38</v>
      </c>
      <c r="T597" s="3" t="s">
        <v>40</v>
      </c>
      <c r="U597" s="3"/>
      <c r="V597" s="3" t="s">
        <v>41</v>
      </c>
      <c r="W597" s="5">
        <v>12002.85</v>
      </c>
      <c r="X597" s="5">
        <v>9002.14</v>
      </c>
      <c r="Y597" s="5">
        <v>2100.5</v>
      </c>
      <c r="Z597" s="3">
        <v>900.21</v>
      </c>
      <c r="AA597" s="3">
        <v>0</v>
      </c>
    </row>
    <row r="598" spans="1:27" ht="36.75" x14ac:dyDescent="0.25">
      <c r="A598" s="3" t="s">
        <v>28</v>
      </c>
      <c r="B598" s="3" t="s">
        <v>29</v>
      </c>
      <c r="C598" s="3" t="s">
        <v>30</v>
      </c>
      <c r="D598" s="3" t="s">
        <v>42</v>
      </c>
      <c r="E598" s="3" t="s">
        <v>48</v>
      </c>
      <c r="F598" s="3" t="s">
        <v>249</v>
      </c>
      <c r="G598" s="3">
        <v>2025</v>
      </c>
      <c r="H598" s="3" t="str">
        <f>CONCATENATE("54240532967")</f>
        <v>54240532967</v>
      </c>
      <c r="I598" s="3" t="s">
        <v>34</v>
      </c>
      <c r="J598" s="3" t="s">
        <v>35</v>
      </c>
      <c r="K598" s="3"/>
      <c r="L598" s="3" t="s">
        <v>36</v>
      </c>
      <c r="M598" s="3" t="str">
        <f>CONCATENATE("02077180434")</f>
        <v>02077180434</v>
      </c>
      <c r="N598" s="3" t="s">
        <v>718</v>
      </c>
      <c r="O598" s="3" t="s">
        <v>38</v>
      </c>
      <c r="P598" s="3"/>
      <c r="Q598" s="4">
        <v>45968</v>
      </c>
      <c r="R598" s="3" t="s">
        <v>39</v>
      </c>
      <c r="S598" s="3" t="s">
        <v>38</v>
      </c>
      <c r="T598" s="3" t="s">
        <v>40</v>
      </c>
      <c r="U598" s="3"/>
      <c r="V598" s="3" t="s">
        <v>41</v>
      </c>
      <c r="W598" s="5">
        <v>105508.21</v>
      </c>
      <c r="X598" s="5">
        <v>79131.16</v>
      </c>
      <c r="Y598" s="5">
        <v>18463.939999999999</v>
      </c>
      <c r="Z598" s="5">
        <v>7913.11</v>
      </c>
      <c r="AA598" s="3">
        <v>0</v>
      </c>
    </row>
    <row r="599" spans="1:27" ht="72.75" x14ac:dyDescent="0.25">
      <c r="A599" s="3" t="s">
        <v>28</v>
      </c>
      <c r="B599" s="3" t="s">
        <v>29</v>
      </c>
      <c r="C599" s="3" t="s">
        <v>30</v>
      </c>
      <c r="D599" s="3" t="s">
        <v>47</v>
      </c>
      <c r="E599" s="3" t="s">
        <v>48</v>
      </c>
      <c r="F599" s="3" t="s">
        <v>79</v>
      </c>
      <c r="G599" s="3">
        <v>2025</v>
      </c>
      <c r="H599" s="3" t="str">
        <f>CONCATENATE("54240532710")</f>
        <v>54240532710</v>
      </c>
      <c r="I599" s="3" t="s">
        <v>34</v>
      </c>
      <c r="J599" s="3" t="s">
        <v>35</v>
      </c>
      <c r="K599" s="3"/>
      <c r="L599" s="3" t="s">
        <v>36</v>
      </c>
      <c r="M599" s="3" t="str">
        <f>CONCATENATE("NTLRRT80A14B474N")</f>
        <v>NTLRRT80A14B474N</v>
      </c>
      <c r="N599" s="3" t="s">
        <v>719</v>
      </c>
      <c r="O599" s="3" t="s">
        <v>38</v>
      </c>
      <c r="P599" s="3"/>
      <c r="Q599" s="4">
        <v>45968</v>
      </c>
      <c r="R599" s="3" t="s">
        <v>39</v>
      </c>
      <c r="S599" s="3" t="s">
        <v>38</v>
      </c>
      <c r="T599" s="3" t="s">
        <v>40</v>
      </c>
      <c r="U599" s="3"/>
      <c r="V599" s="3" t="s">
        <v>41</v>
      </c>
      <c r="W599" s="5">
        <v>47344.32</v>
      </c>
      <c r="X599" s="5">
        <v>35508.239999999998</v>
      </c>
      <c r="Y599" s="5">
        <v>8285.26</v>
      </c>
      <c r="Z599" s="5">
        <v>3550.82</v>
      </c>
      <c r="AA599" s="3">
        <v>0</v>
      </c>
    </row>
    <row r="600" spans="1:27" ht="60.75" x14ac:dyDescent="0.25">
      <c r="A600" s="3" t="s">
        <v>28</v>
      </c>
      <c r="B600" s="3" t="s">
        <v>29</v>
      </c>
      <c r="C600" s="3" t="s">
        <v>30</v>
      </c>
      <c r="D600" s="3" t="s">
        <v>47</v>
      </c>
      <c r="E600" s="3" t="s">
        <v>51</v>
      </c>
      <c r="F600" s="3" t="s">
        <v>161</v>
      </c>
      <c r="G600" s="3">
        <v>2025</v>
      </c>
      <c r="H600" s="3" t="str">
        <f>CONCATENATE("54240532660")</f>
        <v>54240532660</v>
      </c>
      <c r="I600" s="3" t="s">
        <v>34</v>
      </c>
      <c r="J600" s="3" t="s">
        <v>35</v>
      </c>
      <c r="K600" s="3"/>
      <c r="L600" s="3" t="s">
        <v>36</v>
      </c>
      <c r="M600" s="3" t="str">
        <f>CONCATENATE("CNTNGL56E05I156K")</f>
        <v>CNTNGL56E05I156K</v>
      </c>
      <c r="N600" s="3" t="s">
        <v>720</v>
      </c>
      <c r="O600" s="3" t="s">
        <v>38</v>
      </c>
      <c r="P600" s="3"/>
      <c r="Q600" s="4">
        <v>45968</v>
      </c>
      <c r="R600" s="3" t="s">
        <v>39</v>
      </c>
      <c r="S600" s="3" t="s">
        <v>38</v>
      </c>
      <c r="T600" s="3" t="s">
        <v>40</v>
      </c>
      <c r="U600" s="3"/>
      <c r="V600" s="3" t="s">
        <v>41</v>
      </c>
      <c r="W600" s="5">
        <v>1559.93</v>
      </c>
      <c r="X600" s="5">
        <v>1169.95</v>
      </c>
      <c r="Y600" s="3">
        <v>272.99</v>
      </c>
      <c r="Z600" s="3">
        <v>116.99</v>
      </c>
      <c r="AA600" s="3">
        <v>0</v>
      </c>
    </row>
    <row r="601" spans="1:27" ht="60.75" x14ac:dyDescent="0.25">
      <c r="A601" s="3" t="s">
        <v>28</v>
      </c>
      <c r="B601" s="3" t="s">
        <v>29</v>
      </c>
      <c r="C601" s="3" t="s">
        <v>30</v>
      </c>
      <c r="D601" s="3" t="s">
        <v>47</v>
      </c>
      <c r="E601" s="3" t="s">
        <v>48</v>
      </c>
      <c r="F601" s="3" t="s">
        <v>251</v>
      </c>
      <c r="G601" s="3">
        <v>2025</v>
      </c>
      <c r="H601" s="3" t="str">
        <f>CONCATENATE("54240532975")</f>
        <v>54240532975</v>
      </c>
      <c r="I601" s="3" t="s">
        <v>34</v>
      </c>
      <c r="J601" s="3" t="s">
        <v>35</v>
      </c>
      <c r="K601" s="3"/>
      <c r="L601" s="3" t="s">
        <v>36</v>
      </c>
      <c r="M601" s="3" t="str">
        <f>CONCATENATE("GBRCRN64T58F496M")</f>
        <v>GBRCRN64T58F496M</v>
      </c>
      <c r="N601" s="3" t="s">
        <v>721</v>
      </c>
      <c r="O601" s="3" t="s">
        <v>38</v>
      </c>
      <c r="P601" s="3"/>
      <c r="Q601" s="4">
        <v>45968</v>
      </c>
      <c r="R601" s="3" t="s">
        <v>39</v>
      </c>
      <c r="S601" s="3" t="s">
        <v>38</v>
      </c>
      <c r="T601" s="3" t="s">
        <v>40</v>
      </c>
      <c r="U601" s="3"/>
      <c r="V601" s="3" t="s">
        <v>41</v>
      </c>
      <c r="W601" s="5">
        <v>7224.46</v>
      </c>
      <c r="X601" s="5">
        <v>5418.35</v>
      </c>
      <c r="Y601" s="5">
        <v>1264.28</v>
      </c>
      <c r="Z601" s="3">
        <v>541.83000000000004</v>
      </c>
      <c r="AA601" s="3">
        <v>0</v>
      </c>
    </row>
    <row r="602" spans="1:27" ht="60.75" x14ac:dyDescent="0.25">
      <c r="A602" s="3" t="s">
        <v>28</v>
      </c>
      <c r="B602" s="3" t="s">
        <v>29</v>
      </c>
      <c r="C602" s="3" t="s">
        <v>30</v>
      </c>
      <c r="D602" s="3" t="s">
        <v>47</v>
      </c>
      <c r="E602" s="3" t="s">
        <v>51</v>
      </c>
      <c r="F602" s="3" t="s">
        <v>161</v>
      </c>
      <c r="G602" s="3">
        <v>2025</v>
      </c>
      <c r="H602" s="3" t="str">
        <f>CONCATENATE("54240532736")</f>
        <v>54240532736</v>
      </c>
      <c r="I602" s="3" t="s">
        <v>34</v>
      </c>
      <c r="J602" s="3" t="s">
        <v>35</v>
      </c>
      <c r="K602" s="3"/>
      <c r="L602" s="3" t="s">
        <v>36</v>
      </c>
      <c r="M602" s="3" t="str">
        <f>CONCATENATE("CMBDNS60E41I156K")</f>
        <v>CMBDNS60E41I156K</v>
      </c>
      <c r="N602" s="3" t="s">
        <v>722</v>
      </c>
      <c r="O602" s="3" t="s">
        <v>38</v>
      </c>
      <c r="P602" s="3"/>
      <c r="Q602" s="4">
        <v>45968</v>
      </c>
      <c r="R602" s="3" t="s">
        <v>39</v>
      </c>
      <c r="S602" s="3" t="s">
        <v>38</v>
      </c>
      <c r="T602" s="3" t="s">
        <v>40</v>
      </c>
      <c r="U602" s="3"/>
      <c r="V602" s="3" t="s">
        <v>41</v>
      </c>
      <c r="W602" s="5">
        <v>2695.03</v>
      </c>
      <c r="X602" s="5">
        <v>2021.27</v>
      </c>
      <c r="Y602" s="3">
        <v>471.63</v>
      </c>
      <c r="Z602" s="3">
        <v>202.13</v>
      </c>
      <c r="AA602" s="3">
        <v>0</v>
      </c>
    </row>
    <row r="603" spans="1:27" ht="60.75" x14ac:dyDescent="0.25">
      <c r="A603" s="3" t="s">
        <v>28</v>
      </c>
      <c r="B603" s="3" t="s">
        <v>29</v>
      </c>
      <c r="C603" s="3" t="s">
        <v>30</v>
      </c>
      <c r="D603" s="3" t="s">
        <v>47</v>
      </c>
      <c r="E603" s="3" t="s">
        <v>48</v>
      </c>
      <c r="F603" s="3" t="s">
        <v>90</v>
      </c>
      <c r="G603" s="3">
        <v>2025</v>
      </c>
      <c r="H603" s="3" t="str">
        <f>CONCATENATE("54240533031")</f>
        <v>54240533031</v>
      </c>
      <c r="I603" s="3" t="s">
        <v>34</v>
      </c>
      <c r="J603" s="3" t="s">
        <v>35</v>
      </c>
      <c r="K603" s="3"/>
      <c r="L603" s="3" t="s">
        <v>36</v>
      </c>
      <c r="M603" s="3" t="str">
        <f>CONCATENATE("MRTDLA52H56H501Y")</f>
        <v>MRTDLA52H56H501Y</v>
      </c>
      <c r="N603" s="3" t="s">
        <v>723</v>
      </c>
      <c r="O603" s="3" t="s">
        <v>38</v>
      </c>
      <c r="P603" s="3"/>
      <c r="Q603" s="4">
        <v>45968</v>
      </c>
      <c r="R603" s="3" t="s">
        <v>39</v>
      </c>
      <c r="S603" s="3" t="s">
        <v>38</v>
      </c>
      <c r="T603" s="3" t="s">
        <v>40</v>
      </c>
      <c r="U603" s="3"/>
      <c r="V603" s="3" t="s">
        <v>41</v>
      </c>
      <c r="W603" s="3">
        <v>850.62</v>
      </c>
      <c r="X603" s="3">
        <v>637.97</v>
      </c>
      <c r="Y603" s="3">
        <v>148.86000000000001</v>
      </c>
      <c r="Z603" s="3">
        <v>63.79</v>
      </c>
      <c r="AA603" s="3">
        <v>0</v>
      </c>
    </row>
    <row r="604" spans="1:27" ht="60.75" x14ac:dyDescent="0.25">
      <c r="A604" s="3" t="s">
        <v>28</v>
      </c>
      <c r="B604" s="3" t="s">
        <v>29</v>
      </c>
      <c r="C604" s="3" t="s">
        <v>30</v>
      </c>
      <c r="D604" s="3" t="s">
        <v>47</v>
      </c>
      <c r="E604" s="3" t="s">
        <v>48</v>
      </c>
      <c r="F604" s="3" t="s">
        <v>251</v>
      </c>
      <c r="G604" s="3">
        <v>2025</v>
      </c>
      <c r="H604" s="3" t="str">
        <f>CONCATENATE("54240533106")</f>
        <v>54240533106</v>
      </c>
      <c r="I604" s="3" t="s">
        <v>34</v>
      </c>
      <c r="J604" s="3" t="s">
        <v>35</v>
      </c>
      <c r="K604" s="3"/>
      <c r="L604" s="3" t="s">
        <v>36</v>
      </c>
      <c r="M604" s="3" t="str">
        <f>CONCATENATE("MRGFNC48A06L366T")</f>
        <v>MRGFNC48A06L366T</v>
      </c>
      <c r="N604" s="3" t="s">
        <v>724</v>
      </c>
      <c r="O604" s="3" t="s">
        <v>38</v>
      </c>
      <c r="P604" s="3"/>
      <c r="Q604" s="4">
        <v>45968</v>
      </c>
      <c r="R604" s="3" t="s">
        <v>39</v>
      </c>
      <c r="S604" s="3" t="s">
        <v>38</v>
      </c>
      <c r="T604" s="3" t="s">
        <v>40</v>
      </c>
      <c r="U604" s="3"/>
      <c r="V604" s="3" t="s">
        <v>41</v>
      </c>
      <c r="W604" s="5">
        <v>1386.15</v>
      </c>
      <c r="X604" s="5">
        <v>1039.6099999999999</v>
      </c>
      <c r="Y604" s="3">
        <v>242.58</v>
      </c>
      <c r="Z604" s="3">
        <v>103.96</v>
      </c>
      <c r="AA604" s="3">
        <v>0</v>
      </c>
    </row>
    <row r="605" spans="1:27" ht="60.75" x14ac:dyDescent="0.25">
      <c r="A605" s="3" t="s">
        <v>28</v>
      </c>
      <c r="B605" s="3" t="s">
        <v>29</v>
      </c>
      <c r="C605" s="3" t="s">
        <v>30</v>
      </c>
      <c r="D605" s="3" t="s">
        <v>47</v>
      </c>
      <c r="E605" s="3" t="s">
        <v>48</v>
      </c>
      <c r="F605" s="3" t="s">
        <v>251</v>
      </c>
      <c r="G605" s="3">
        <v>2025</v>
      </c>
      <c r="H605" s="3" t="str">
        <f>CONCATENATE("54240533056")</f>
        <v>54240533056</v>
      </c>
      <c r="I605" s="3" t="s">
        <v>34</v>
      </c>
      <c r="J605" s="3" t="s">
        <v>35</v>
      </c>
      <c r="K605" s="3"/>
      <c r="L605" s="3" t="s">
        <v>36</v>
      </c>
      <c r="M605" s="3" t="str">
        <f>CONCATENATE("GGLMRA87B16I156L")</f>
        <v>GGLMRA87B16I156L</v>
      </c>
      <c r="N605" s="3" t="s">
        <v>725</v>
      </c>
      <c r="O605" s="3" t="s">
        <v>38</v>
      </c>
      <c r="P605" s="3"/>
      <c r="Q605" s="4">
        <v>45968</v>
      </c>
      <c r="R605" s="3" t="s">
        <v>39</v>
      </c>
      <c r="S605" s="3" t="s">
        <v>38</v>
      </c>
      <c r="T605" s="3" t="s">
        <v>40</v>
      </c>
      <c r="U605" s="3"/>
      <c r="V605" s="3" t="s">
        <v>41</v>
      </c>
      <c r="W605" s="5">
        <v>3386.71</v>
      </c>
      <c r="X605" s="5">
        <v>2540.0300000000002</v>
      </c>
      <c r="Y605" s="3">
        <v>592.66999999999996</v>
      </c>
      <c r="Z605" s="3">
        <v>254.01</v>
      </c>
      <c r="AA605" s="3">
        <v>0</v>
      </c>
    </row>
    <row r="606" spans="1:27" ht="72.75" x14ac:dyDescent="0.25">
      <c r="A606" s="3" t="s">
        <v>28</v>
      </c>
      <c r="B606" s="3" t="s">
        <v>29</v>
      </c>
      <c r="C606" s="3" t="s">
        <v>30</v>
      </c>
      <c r="D606" s="3" t="s">
        <v>47</v>
      </c>
      <c r="E606" s="3" t="s">
        <v>48</v>
      </c>
      <c r="F606" s="3" t="s">
        <v>251</v>
      </c>
      <c r="G606" s="3">
        <v>2025</v>
      </c>
      <c r="H606" s="3" t="str">
        <f>CONCATENATE("54240533320")</f>
        <v>54240533320</v>
      </c>
      <c r="I606" s="3" t="s">
        <v>34</v>
      </c>
      <c r="J606" s="3" t="s">
        <v>35</v>
      </c>
      <c r="K606" s="3"/>
      <c r="L606" s="3" t="s">
        <v>36</v>
      </c>
      <c r="M606" s="3" t="str">
        <f>CONCATENATE("MNGMTR57D70F454W")</f>
        <v>MNGMTR57D70F454W</v>
      </c>
      <c r="N606" s="3" t="s">
        <v>726</v>
      </c>
      <c r="O606" s="3" t="s">
        <v>38</v>
      </c>
      <c r="P606" s="3"/>
      <c r="Q606" s="4">
        <v>45968</v>
      </c>
      <c r="R606" s="3" t="s">
        <v>39</v>
      </c>
      <c r="S606" s="3" t="s">
        <v>38</v>
      </c>
      <c r="T606" s="3" t="s">
        <v>40</v>
      </c>
      <c r="U606" s="3"/>
      <c r="V606" s="3" t="s">
        <v>41</v>
      </c>
      <c r="W606" s="5">
        <v>1646.03</v>
      </c>
      <c r="X606" s="5">
        <v>1234.52</v>
      </c>
      <c r="Y606" s="3">
        <v>288.06</v>
      </c>
      <c r="Z606" s="3">
        <v>123.45</v>
      </c>
      <c r="AA606" s="3">
        <v>0</v>
      </c>
    </row>
    <row r="607" spans="1:27" ht="60.75" x14ac:dyDescent="0.25">
      <c r="A607" s="3" t="s">
        <v>28</v>
      </c>
      <c r="B607" s="3" t="s">
        <v>29</v>
      </c>
      <c r="C607" s="3" t="s">
        <v>30</v>
      </c>
      <c r="D607" s="3" t="s">
        <v>47</v>
      </c>
      <c r="E607" s="3" t="s">
        <v>60</v>
      </c>
      <c r="F607" s="3" t="s">
        <v>81</v>
      </c>
      <c r="G607" s="3">
        <v>2025</v>
      </c>
      <c r="H607" s="3" t="str">
        <f>CONCATENATE("54240533544")</f>
        <v>54240533544</v>
      </c>
      <c r="I607" s="3" t="s">
        <v>34</v>
      </c>
      <c r="J607" s="3" t="s">
        <v>35</v>
      </c>
      <c r="K607" s="3"/>
      <c r="L607" s="3" t="s">
        <v>36</v>
      </c>
      <c r="M607" s="3" t="str">
        <f>CONCATENATE("RPNRNZ54C02D042P")</f>
        <v>RPNRNZ54C02D042P</v>
      </c>
      <c r="N607" s="3" t="s">
        <v>727</v>
      </c>
      <c r="O607" s="3" t="s">
        <v>38</v>
      </c>
      <c r="P607" s="3"/>
      <c r="Q607" s="4">
        <v>45968</v>
      </c>
      <c r="R607" s="3" t="s">
        <v>39</v>
      </c>
      <c r="S607" s="3" t="s">
        <v>38</v>
      </c>
      <c r="T607" s="3" t="s">
        <v>40</v>
      </c>
      <c r="U607" s="3"/>
      <c r="V607" s="3" t="s">
        <v>41</v>
      </c>
      <c r="W607" s="5">
        <v>1674.76</v>
      </c>
      <c r="X607" s="5">
        <v>1256.07</v>
      </c>
      <c r="Y607" s="3">
        <v>293.08</v>
      </c>
      <c r="Z607" s="3">
        <v>125.61</v>
      </c>
      <c r="AA607" s="3">
        <v>0</v>
      </c>
    </row>
    <row r="608" spans="1:27" ht="60.75" x14ac:dyDescent="0.25">
      <c r="A608" s="3" t="s">
        <v>28</v>
      </c>
      <c r="B608" s="3" t="s">
        <v>29</v>
      </c>
      <c r="C608" s="3" t="s">
        <v>30</v>
      </c>
      <c r="D608" s="3" t="s">
        <v>65</v>
      </c>
      <c r="E608" s="3" t="s">
        <v>60</v>
      </c>
      <c r="F608" s="3" t="s">
        <v>85</v>
      </c>
      <c r="G608" s="3">
        <v>2025</v>
      </c>
      <c r="H608" s="3" t="str">
        <f>CONCATENATE("54240533965")</f>
        <v>54240533965</v>
      </c>
      <c r="I608" s="3" t="s">
        <v>34</v>
      </c>
      <c r="J608" s="3" t="s">
        <v>35</v>
      </c>
      <c r="K608" s="3"/>
      <c r="L608" s="3" t="s">
        <v>36</v>
      </c>
      <c r="M608" s="3" t="str">
        <f>CONCATENATE("GCMMZN44C57D488G")</f>
        <v>GCMMZN44C57D488G</v>
      </c>
      <c r="N608" s="3" t="s">
        <v>728</v>
      </c>
      <c r="O608" s="3" t="s">
        <v>38</v>
      </c>
      <c r="P608" s="3"/>
      <c r="Q608" s="4">
        <v>45968</v>
      </c>
      <c r="R608" s="3" t="s">
        <v>39</v>
      </c>
      <c r="S608" s="3" t="s">
        <v>38</v>
      </c>
      <c r="T608" s="3" t="s">
        <v>40</v>
      </c>
      <c r="U608" s="3"/>
      <c r="V608" s="3" t="s">
        <v>41</v>
      </c>
      <c r="W608" s="5">
        <v>1973.68</v>
      </c>
      <c r="X608" s="5">
        <v>1480.26</v>
      </c>
      <c r="Y608" s="3">
        <v>345.39</v>
      </c>
      <c r="Z608" s="3">
        <v>148.03</v>
      </c>
      <c r="AA608" s="3">
        <v>0</v>
      </c>
    </row>
    <row r="609" spans="1:27" ht="60.75" x14ac:dyDescent="0.25">
      <c r="A609" s="3" t="s">
        <v>28</v>
      </c>
      <c r="B609" s="3" t="s">
        <v>29</v>
      </c>
      <c r="C609" s="3" t="s">
        <v>30</v>
      </c>
      <c r="D609" s="3" t="s">
        <v>65</v>
      </c>
      <c r="E609" s="3" t="s">
        <v>60</v>
      </c>
      <c r="F609" s="3" t="s">
        <v>85</v>
      </c>
      <c r="G609" s="3">
        <v>2025</v>
      </c>
      <c r="H609" s="3" t="str">
        <f>CONCATENATE("54240533940")</f>
        <v>54240533940</v>
      </c>
      <c r="I609" s="3" t="s">
        <v>34</v>
      </c>
      <c r="J609" s="3" t="s">
        <v>35</v>
      </c>
      <c r="K609" s="3"/>
      <c r="L609" s="3" t="s">
        <v>36</v>
      </c>
      <c r="M609" s="3" t="str">
        <f>CONCATENATE("GRLMRP57C66E743T")</f>
        <v>GRLMRP57C66E743T</v>
      </c>
      <c r="N609" s="3" t="s">
        <v>729</v>
      </c>
      <c r="O609" s="3" t="s">
        <v>38</v>
      </c>
      <c r="P609" s="3"/>
      <c r="Q609" s="4">
        <v>45968</v>
      </c>
      <c r="R609" s="3" t="s">
        <v>39</v>
      </c>
      <c r="S609" s="3" t="s">
        <v>38</v>
      </c>
      <c r="T609" s="3" t="s">
        <v>40</v>
      </c>
      <c r="U609" s="3"/>
      <c r="V609" s="3" t="s">
        <v>41</v>
      </c>
      <c r="W609" s="5">
        <v>20218.669999999998</v>
      </c>
      <c r="X609" s="5">
        <v>15164</v>
      </c>
      <c r="Y609" s="5">
        <v>3538.27</v>
      </c>
      <c r="Z609" s="5">
        <v>1516.4</v>
      </c>
      <c r="AA609" s="3">
        <v>0</v>
      </c>
    </row>
    <row r="610" spans="1:27" ht="60.75" x14ac:dyDescent="0.25">
      <c r="A610" s="3" t="s">
        <v>28</v>
      </c>
      <c r="B610" s="3" t="s">
        <v>29</v>
      </c>
      <c r="C610" s="3" t="s">
        <v>30</v>
      </c>
      <c r="D610" s="3" t="s">
        <v>65</v>
      </c>
      <c r="E610" s="3" t="s">
        <v>60</v>
      </c>
      <c r="F610" s="3" t="s">
        <v>85</v>
      </c>
      <c r="G610" s="3">
        <v>2025</v>
      </c>
      <c r="H610" s="3" t="str">
        <f>CONCATENATE("54240533957")</f>
        <v>54240533957</v>
      </c>
      <c r="I610" s="3" t="s">
        <v>34</v>
      </c>
      <c r="J610" s="3" t="s">
        <v>35</v>
      </c>
      <c r="K610" s="3"/>
      <c r="L610" s="3" t="s">
        <v>36</v>
      </c>
      <c r="M610" s="3" t="str">
        <f>CONCATENATE("LZUGPP56P22D488H")</f>
        <v>LZUGPP56P22D488H</v>
      </c>
      <c r="N610" s="3" t="s">
        <v>730</v>
      </c>
      <c r="O610" s="3" t="s">
        <v>38</v>
      </c>
      <c r="P610" s="3"/>
      <c r="Q610" s="4">
        <v>45968</v>
      </c>
      <c r="R610" s="3" t="s">
        <v>39</v>
      </c>
      <c r="S610" s="3" t="s">
        <v>38</v>
      </c>
      <c r="T610" s="3" t="s">
        <v>40</v>
      </c>
      <c r="U610" s="3"/>
      <c r="V610" s="3" t="s">
        <v>41</v>
      </c>
      <c r="W610" s="5">
        <v>1485.32</v>
      </c>
      <c r="X610" s="5">
        <v>1113.99</v>
      </c>
      <c r="Y610" s="3">
        <v>259.93</v>
      </c>
      <c r="Z610" s="3">
        <v>111.4</v>
      </c>
      <c r="AA610" s="3">
        <v>0</v>
      </c>
    </row>
    <row r="611" spans="1:27" ht="60.75" x14ac:dyDescent="0.25">
      <c r="A611" s="3" t="s">
        <v>28</v>
      </c>
      <c r="B611" s="3" t="s">
        <v>29</v>
      </c>
      <c r="C611" s="3" t="s">
        <v>30</v>
      </c>
      <c r="D611" s="3" t="s">
        <v>47</v>
      </c>
      <c r="E611" s="3" t="s">
        <v>60</v>
      </c>
      <c r="F611" s="3" t="s">
        <v>81</v>
      </c>
      <c r="G611" s="3">
        <v>2025</v>
      </c>
      <c r="H611" s="3" t="str">
        <f>CONCATENATE("54240535960")</f>
        <v>54240535960</v>
      </c>
      <c r="I611" s="3" t="s">
        <v>34</v>
      </c>
      <c r="J611" s="3" t="s">
        <v>35</v>
      </c>
      <c r="K611" s="3"/>
      <c r="L611" s="3" t="s">
        <v>36</v>
      </c>
      <c r="M611" s="3" t="str">
        <f>CONCATENATE("CMPCLD48R69Z613Z")</f>
        <v>CMPCLD48R69Z613Z</v>
      </c>
      <c r="N611" s="3" t="s">
        <v>731</v>
      </c>
      <c r="O611" s="3" t="s">
        <v>38</v>
      </c>
      <c r="P611" s="3"/>
      <c r="Q611" s="4">
        <v>45968</v>
      </c>
      <c r="R611" s="3" t="s">
        <v>39</v>
      </c>
      <c r="S611" s="3" t="s">
        <v>38</v>
      </c>
      <c r="T611" s="3" t="s">
        <v>40</v>
      </c>
      <c r="U611" s="3"/>
      <c r="V611" s="3" t="s">
        <v>41</v>
      </c>
      <c r="W611" s="3">
        <v>510.1</v>
      </c>
      <c r="X611" s="3">
        <v>382.58</v>
      </c>
      <c r="Y611" s="3">
        <v>89.27</v>
      </c>
      <c r="Z611" s="3">
        <v>38.25</v>
      </c>
      <c r="AA611" s="3">
        <v>0</v>
      </c>
    </row>
    <row r="612" spans="1:27" ht="60.75" x14ac:dyDescent="0.25">
      <c r="A612" s="3" t="s">
        <v>28</v>
      </c>
      <c r="B612" s="3" t="s">
        <v>29</v>
      </c>
      <c r="C612" s="3" t="s">
        <v>30</v>
      </c>
      <c r="D612" s="3" t="s">
        <v>42</v>
      </c>
      <c r="E612" s="3" t="s">
        <v>32</v>
      </c>
      <c r="F612" s="3" t="s">
        <v>101</v>
      </c>
      <c r="G612" s="3">
        <v>2025</v>
      </c>
      <c r="H612" s="3" t="str">
        <f>CONCATENATE("54240534450")</f>
        <v>54240534450</v>
      </c>
      <c r="I612" s="3" t="s">
        <v>34</v>
      </c>
      <c r="J612" s="3" t="s">
        <v>35</v>
      </c>
      <c r="K612" s="3"/>
      <c r="L612" s="3" t="s">
        <v>36</v>
      </c>
      <c r="M612" s="3" t="str">
        <f>CONCATENATE("CPRLSN64C03H769Q")</f>
        <v>CPRLSN64C03H769Q</v>
      </c>
      <c r="N612" s="3" t="s">
        <v>732</v>
      </c>
      <c r="O612" s="3" t="s">
        <v>38</v>
      </c>
      <c r="P612" s="3"/>
      <c r="Q612" s="4">
        <v>45968</v>
      </c>
      <c r="R612" s="3" t="s">
        <v>39</v>
      </c>
      <c r="S612" s="3" t="s">
        <v>38</v>
      </c>
      <c r="T612" s="3" t="s">
        <v>40</v>
      </c>
      <c r="U612" s="3"/>
      <c r="V612" s="3" t="s">
        <v>41</v>
      </c>
      <c r="W612" s="5">
        <v>6181.68</v>
      </c>
      <c r="X612" s="5">
        <v>4636.26</v>
      </c>
      <c r="Y612" s="5">
        <v>1081.79</v>
      </c>
      <c r="Z612" s="3">
        <v>463.63</v>
      </c>
      <c r="AA612" s="3">
        <v>0</v>
      </c>
    </row>
    <row r="613" spans="1:27" ht="60.75" x14ac:dyDescent="0.25">
      <c r="A613" s="3" t="s">
        <v>28</v>
      </c>
      <c r="B613" s="3" t="s">
        <v>29</v>
      </c>
      <c r="C613" s="3" t="s">
        <v>30</v>
      </c>
      <c r="D613" s="3" t="s">
        <v>42</v>
      </c>
      <c r="E613" s="3" t="s">
        <v>32</v>
      </c>
      <c r="F613" s="3" t="s">
        <v>101</v>
      </c>
      <c r="G613" s="3">
        <v>2025</v>
      </c>
      <c r="H613" s="3" t="str">
        <f>CONCATENATE("54240534468")</f>
        <v>54240534468</v>
      </c>
      <c r="I613" s="3" t="s">
        <v>34</v>
      </c>
      <c r="J613" s="3" t="s">
        <v>35</v>
      </c>
      <c r="K613" s="3"/>
      <c r="L613" s="3" t="s">
        <v>36</v>
      </c>
      <c r="M613" s="3" t="str">
        <f>CONCATENATE("CTLRSL65L44D096D")</f>
        <v>CTLRSL65L44D096D</v>
      </c>
      <c r="N613" s="3" t="s">
        <v>733</v>
      </c>
      <c r="O613" s="3" t="s">
        <v>38</v>
      </c>
      <c r="P613" s="3"/>
      <c r="Q613" s="4">
        <v>45968</v>
      </c>
      <c r="R613" s="3" t="s">
        <v>39</v>
      </c>
      <c r="S613" s="3" t="s">
        <v>38</v>
      </c>
      <c r="T613" s="3" t="s">
        <v>40</v>
      </c>
      <c r="U613" s="3"/>
      <c r="V613" s="3" t="s">
        <v>41</v>
      </c>
      <c r="W613" s="5">
        <v>2710.99</v>
      </c>
      <c r="X613" s="5">
        <v>2033.24</v>
      </c>
      <c r="Y613" s="3">
        <v>474.42</v>
      </c>
      <c r="Z613" s="3">
        <v>203.33</v>
      </c>
      <c r="AA613" s="3">
        <v>0</v>
      </c>
    </row>
    <row r="614" spans="1:27" ht="60.75" x14ac:dyDescent="0.25">
      <c r="A614" s="3" t="s">
        <v>28</v>
      </c>
      <c r="B614" s="3" t="s">
        <v>29</v>
      </c>
      <c r="C614" s="3" t="s">
        <v>30</v>
      </c>
      <c r="D614" s="3" t="s">
        <v>42</v>
      </c>
      <c r="E614" s="3" t="s">
        <v>51</v>
      </c>
      <c r="F614" s="3" t="s">
        <v>375</v>
      </c>
      <c r="G614" s="3">
        <v>2025</v>
      </c>
      <c r="H614" s="3" t="str">
        <f>CONCATENATE("54240535861")</f>
        <v>54240535861</v>
      </c>
      <c r="I614" s="3" t="s">
        <v>34</v>
      </c>
      <c r="J614" s="3" t="s">
        <v>35</v>
      </c>
      <c r="K614" s="3"/>
      <c r="L614" s="3" t="s">
        <v>36</v>
      </c>
      <c r="M614" s="3" t="str">
        <f>CONCATENATE("VRGNNA51B47F415I")</f>
        <v>VRGNNA51B47F415I</v>
      </c>
      <c r="N614" s="3" t="s">
        <v>734</v>
      </c>
      <c r="O614" s="3" t="s">
        <v>38</v>
      </c>
      <c r="P614" s="3"/>
      <c r="Q614" s="4">
        <v>45968</v>
      </c>
      <c r="R614" s="3" t="s">
        <v>39</v>
      </c>
      <c r="S614" s="3" t="s">
        <v>38</v>
      </c>
      <c r="T614" s="3" t="s">
        <v>40</v>
      </c>
      <c r="U614" s="3"/>
      <c r="V614" s="3" t="s">
        <v>41</v>
      </c>
      <c r="W614" s="5">
        <v>2081.96</v>
      </c>
      <c r="X614" s="5">
        <v>1561.47</v>
      </c>
      <c r="Y614" s="3">
        <v>364.34</v>
      </c>
      <c r="Z614" s="3">
        <v>156.15</v>
      </c>
      <c r="AA614" s="3">
        <v>0</v>
      </c>
    </row>
    <row r="615" spans="1:27" ht="60.75" x14ac:dyDescent="0.25">
      <c r="A615" s="3" t="s">
        <v>28</v>
      </c>
      <c r="B615" s="3" t="s">
        <v>29</v>
      </c>
      <c r="C615" s="3" t="s">
        <v>30</v>
      </c>
      <c r="D615" s="3" t="s">
        <v>42</v>
      </c>
      <c r="E615" s="3" t="s">
        <v>51</v>
      </c>
      <c r="F615" s="3" t="s">
        <v>375</v>
      </c>
      <c r="G615" s="3">
        <v>2025</v>
      </c>
      <c r="H615" s="3" t="str">
        <f>CONCATENATE("54240535788")</f>
        <v>54240535788</v>
      </c>
      <c r="I615" s="3" t="s">
        <v>34</v>
      </c>
      <c r="J615" s="3" t="s">
        <v>35</v>
      </c>
      <c r="K615" s="3"/>
      <c r="L615" s="3" t="s">
        <v>36</v>
      </c>
      <c r="M615" s="3" t="str">
        <f>CONCATENATE("MRCMNL96A55A462T")</f>
        <v>MRCMNL96A55A462T</v>
      </c>
      <c r="N615" s="3" t="s">
        <v>735</v>
      </c>
      <c r="O615" s="3" t="s">
        <v>38</v>
      </c>
      <c r="P615" s="3"/>
      <c r="Q615" s="4">
        <v>45968</v>
      </c>
      <c r="R615" s="3" t="s">
        <v>39</v>
      </c>
      <c r="S615" s="3" t="s">
        <v>38</v>
      </c>
      <c r="T615" s="3" t="s">
        <v>40</v>
      </c>
      <c r="U615" s="3"/>
      <c r="V615" s="3" t="s">
        <v>41</v>
      </c>
      <c r="W615" s="5">
        <v>5570.59</v>
      </c>
      <c r="X615" s="5">
        <v>4177.9399999999996</v>
      </c>
      <c r="Y615" s="3">
        <v>974.85</v>
      </c>
      <c r="Z615" s="3">
        <v>417.8</v>
      </c>
      <c r="AA615" s="3">
        <v>0</v>
      </c>
    </row>
    <row r="616" spans="1:27" ht="60.75" x14ac:dyDescent="0.25">
      <c r="A616" s="3" t="s">
        <v>28</v>
      </c>
      <c r="B616" s="3" t="s">
        <v>29</v>
      </c>
      <c r="C616" s="3" t="s">
        <v>30</v>
      </c>
      <c r="D616" s="3" t="s">
        <v>65</v>
      </c>
      <c r="E616" s="3" t="s">
        <v>32</v>
      </c>
      <c r="F616" s="3" t="s">
        <v>144</v>
      </c>
      <c r="G616" s="3">
        <v>2025</v>
      </c>
      <c r="H616" s="3" t="str">
        <f>CONCATENATE("54240535986")</f>
        <v>54240535986</v>
      </c>
      <c r="I616" s="3" t="s">
        <v>44</v>
      </c>
      <c r="J616" s="3" t="s">
        <v>35</v>
      </c>
      <c r="K616" s="3"/>
      <c r="L616" s="3" t="s">
        <v>36</v>
      </c>
      <c r="M616" s="3" t="str">
        <f>CONCATENATE("CRNGNN83D20L500I")</f>
        <v>CRNGNN83D20L500I</v>
      </c>
      <c r="N616" s="3" t="s">
        <v>736</v>
      </c>
      <c r="O616" s="3" t="s">
        <v>38</v>
      </c>
      <c r="P616" s="3"/>
      <c r="Q616" s="4">
        <v>45968</v>
      </c>
      <c r="R616" s="3" t="s">
        <v>39</v>
      </c>
      <c r="S616" s="3" t="s">
        <v>38</v>
      </c>
      <c r="T616" s="3" t="s">
        <v>40</v>
      </c>
      <c r="U616" s="3"/>
      <c r="V616" s="3" t="s">
        <v>41</v>
      </c>
      <c r="W616" s="5">
        <v>1474.24</v>
      </c>
      <c r="X616" s="5">
        <v>1105.68</v>
      </c>
      <c r="Y616" s="3">
        <v>257.99</v>
      </c>
      <c r="Z616" s="3">
        <v>110.57</v>
      </c>
      <c r="AA616" s="3">
        <v>0</v>
      </c>
    </row>
    <row r="617" spans="1:27" ht="60.75" x14ac:dyDescent="0.25">
      <c r="A617" s="3" t="s">
        <v>28</v>
      </c>
      <c r="B617" s="3" t="s">
        <v>29</v>
      </c>
      <c r="C617" s="3" t="s">
        <v>30</v>
      </c>
      <c r="D617" s="3" t="s">
        <v>47</v>
      </c>
      <c r="E617" s="3" t="s">
        <v>51</v>
      </c>
      <c r="F617" s="3" t="s">
        <v>151</v>
      </c>
      <c r="G617" s="3">
        <v>2025</v>
      </c>
      <c r="H617" s="3" t="str">
        <f>CONCATENATE("54240581394")</f>
        <v>54240581394</v>
      </c>
      <c r="I617" s="3" t="s">
        <v>34</v>
      </c>
      <c r="J617" s="3" t="s">
        <v>35</v>
      </c>
      <c r="K617" s="3"/>
      <c r="L617" s="3" t="s">
        <v>36</v>
      </c>
      <c r="M617" s="3" t="str">
        <f>CONCATENATE("VRKWHL64R19Z126O")</f>
        <v>VRKWHL64R19Z126O</v>
      </c>
      <c r="N617" s="3" t="s">
        <v>737</v>
      </c>
      <c r="O617" s="3" t="s">
        <v>38</v>
      </c>
      <c r="P617" s="3"/>
      <c r="Q617" s="4">
        <v>45968</v>
      </c>
      <c r="R617" s="3" t="s">
        <v>39</v>
      </c>
      <c r="S617" s="3" t="s">
        <v>38</v>
      </c>
      <c r="T617" s="3" t="s">
        <v>40</v>
      </c>
      <c r="U617" s="3"/>
      <c r="V617" s="3" t="s">
        <v>41</v>
      </c>
      <c r="W617" s="5">
        <v>1279.76</v>
      </c>
      <c r="X617" s="3">
        <v>959.82</v>
      </c>
      <c r="Y617" s="3">
        <v>223.96</v>
      </c>
      <c r="Z617" s="3">
        <v>95.98</v>
      </c>
      <c r="AA617" s="3">
        <v>0</v>
      </c>
    </row>
    <row r="618" spans="1:27" ht="60.75" x14ac:dyDescent="0.25">
      <c r="A618" s="3" t="s">
        <v>28</v>
      </c>
      <c r="B618" s="3" t="s">
        <v>29</v>
      </c>
      <c r="C618" s="3" t="s">
        <v>30</v>
      </c>
      <c r="D618" s="3" t="s">
        <v>42</v>
      </c>
      <c r="E618" s="3" t="s">
        <v>32</v>
      </c>
      <c r="F618" s="3" t="s">
        <v>101</v>
      </c>
      <c r="G618" s="3">
        <v>2025</v>
      </c>
      <c r="H618" s="3" t="str">
        <f>CONCATENATE("54240536364")</f>
        <v>54240536364</v>
      </c>
      <c r="I618" s="3" t="s">
        <v>44</v>
      </c>
      <c r="J618" s="3" t="s">
        <v>35</v>
      </c>
      <c r="K618" s="3"/>
      <c r="L618" s="3" t="s">
        <v>36</v>
      </c>
      <c r="M618" s="3" t="str">
        <f>CONCATENATE("CRDLGN51L03G005J")</f>
        <v>CRDLGN51L03G005J</v>
      </c>
      <c r="N618" s="3" t="s">
        <v>738</v>
      </c>
      <c r="O618" s="3" t="s">
        <v>38</v>
      </c>
      <c r="P618" s="3"/>
      <c r="Q618" s="4">
        <v>45968</v>
      </c>
      <c r="R618" s="3" t="s">
        <v>39</v>
      </c>
      <c r="S618" s="3" t="s">
        <v>38</v>
      </c>
      <c r="T618" s="3" t="s">
        <v>40</v>
      </c>
      <c r="U618" s="3"/>
      <c r="V618" s="3" t="s">
        <v>41</v>
      </c>
      <c r="W618" s="3">
        <v>771.83</v>
      </c>
      <c r="X618" s="3">
        <v>578.87</v>
      </c>
      <c r="Y618" s="3">
        <v>135.07</v>
      </c>
      <c r="Z618" s="3">
        <v>57.89</v>
      </c>
      <c r="AA618" s="3">
        <v>0</v>
      </c>
    </row>
    <row r="619" spans="1:27" ht="60.75" x14ac:dyDescent="0.25">
      <c r="A619" s="3" t="s">
        <v>28</v>
      </c>
      <c r="B619" s="3" t="s">
        <v>29</v>
      </c>
      <c r="C619" s="3" t="s">
        <v>30</v>
      </c>
      <c r="D619" s="3" t="s">
        <v>31</v>
      </c>
      <c r="E619" s="3" t="s">
        <v>32</v>
      </c>
      <c r="F619" s="3" t="s">
        <v>63</v>
      </c>
      <c r="G619" s="3">
        <v>2025</v>
      </c>
      <c r="H619" s="3" t="str">
        <f>CONCATENATE("54240577442")</f>
        <v>54240577442</v>
      </c>
      <c r="I619" s="3" t="s">
        <v>34</v>
      </c>
      <c r="J619" s="3" t="s">
        <v>35</v>
      </c>
      <c r="K619" s="3"/>
      <c r="L619" s="3" t="s">
        <v>36</v>
      </c>
      <c r="M619" s="3" t="str">
        <f>CONCATENATE("PSRSRA65C29E690C")</f>
        <v>PSRSRA65C29E690C</v>
      </c>
      <c r="N619" s="3" t="s">
        <v>739</v>
      </c>
      <c r="O619" s="3" t="s">
        <v>38</v>
      </c>
      <c r="P619" s="3"/>
      <c r="Q619" s="4">
        <v>45968</v>
      </c>
      <c r="R619" s="3" t="s">
        <v>39</v>
      </c>
      <c r="S619" s="3" t="s">
        <v>38</v>
      </c>
      <c r="T619" s="3" t="s">
        <v>40</v>
      </c>
      <c r="U619" s="3"/>
      <c r="V619" s="3" t="s">
        <v>41</v>
      </c>
      <c r="W619" s="3">
        <v>486.69</v>
      </c>
      <c r="X619" s="3">
        <v>365.02</v>
      </c>
      <c r="Y619" s="3">
        <v>85.17</v>
      </c>
      <c r="Z619" s="3">
        <v>36.5</v>
      </c>
      <c r="AA619" s="3">
        <v>0</v>
      </c>
    </row>
    <row r="620" spans="1:27" ht="60.75" x14ac:dyDescent="0.25">
      <c r="A620" s="3" t="s">
        <v>28</v>
      </c>
      <c r="B620" s="3" t="s">
        <v>29</v>
      </c>
      <c r="C620" s="3" t="s">
        <v>30</v>
      </c>
      <c r="D620" s="3" t="s">
        <v>31</v>
      </c>
      <c r="E620" s="3" t="s">
        <v>32</v>
      </c>
      <c r="F620" s="3" t="s">
        <v>621</v>
      </c>
      <c r="G620" s="3">
        <v>2025</v>
      </c>
      <c r="H620" s="3" t="str">
        <f>CONCATENATE("54240536505")</f>
        <v>54240536505</v>
      </c>
      <c r="I620" s="3" t="s">
        <v>34</v>
      </c>
      <c r="J620" s="3" t="s">
        <v>35</v>
      </c>
      <c r="K620" s="3"/>
      <c r="L620" s="3" t="s">
        <v>36</v>
      </c>
      <c r="M620" s="3" t="str">
        <f>CONCATENATE("SNGNNA45M46I608K")</f>
        <v>SNGNNA45M46I608K</v>
      </c>
      <c r="N620" s="3" t="s">
        <v>740</v>
      </c>
      <c r="O620" s="3" t="s">
        <v>38</v>
      </c>
      <c r="P620" s="3"/>
      <c r="Q620" s="4">
        <v>45968</v>
      </c>
      <c r="R620" s="3" t="s">
        <v>39</v>
      </c>
      <c r="S620" s="3" t="s">
        <v>38</v>
      </c>
      <c r="T620" s="3" t="s">
        <v>40</v>
      </c>
      <c r="U620" s="3"/>
      <c r="V620" s="3" t="s">
        <v>41</v>
      </c>
      <c r="W620" s="5">
        <v>3479.73</v>
      </c>
      <c r="X620" s="5">
        <v>2609.8000000000002</v>
      </c>
      <c r="Y620" s="3">
        <v>608.95000000000005</v>
      </c>
      <c r="Z620" s="3">
        <v>260.98</v>
      </c>
      <c r="AA620" s="3">
        <v>0</v>
      </c>
    </row>
    <row r="621" spans="1:27" ht="36.75" x14ac:dyDescent="0.25">
      <c r="A621" s="3" t="s">
        <v>28</v>
      </c>
      <c r="B621" s="3" t="s">
        <v>29</v>
      </c>
      <c r="C621" s="3" t="s">
        <v>30</v>
      </c>
      <c r="D621" s="3" t="s">
        <v>42</v>
      </c>
      <c r="E621" s="3" t="s">
        <v>43</v>
      </c>
      <c r="F621" s="3" t="s">
        <v>43</v>
      </c>
      <c r="G621" s="3">
        <v>2025</v>
      </c>
      <c r="H621" s="3" t="str">
        <f>CONCATENATE("54240663895")</f>
        <v>54240663895</v>
      </c>
      <c r="I621" s="3" t="s">
        <v>34</v>
      </c>
      <c r="J621" s="3" t="s">
        <v>35</v>
      </c>
      <c r="K621" s="3"/>
      <c r="L621" s="3" t="s">
        <v>36</v>
      </c>
      <c r="M621" s="3" t="str">
        <f>CONCATENATE("02426180440")</f>
        <v>02426180440</v>
      </c>
      <c r="N621" s="3" t="s">
        <v>741</v>
      </c>
      <c r="O621" s="3" t="s">
        <v>38</v>
      </c>
      <c r="P621" s="3"/>
      <c r="Q621" s="4">
        <v>45968</v>
      </c>
      <c r="R621" s="3" t="s">
        <v>39</v>
      </c>
      <c r="S621" s="3" t="s">
        <v>38</v>
      </c>
      <c r="T621" s="3" t="s">
        <v>40</v>
      </c>
      <c r="U621" s="3"/>
      <c r="V621" s="3" t="s">
        <v>41</v>
      </c>
      <c r="W621" s="5">
        <v>2382.0100000000002</v>
      </c>
      <c r="X621" s="5">
        <v>1786.51</v>
      </c>
      <c r="Y621" s="3">
        <v>416.85</v>
      </c>
      <c r="Z621" s="3">
        <v>178.65</v>
      </c>
      <c r="AA621" s="3">
        <v>0</v>
      </c>
    </row>
    <row r="622" spans="1:27" ht="36.75" x14ac:dyDescent="0.25">
      <c r="A622" s="3" t="s">
        <v>28</v>
      </c>
      <c r="B622" s="3" t="s">
        <v>29</v>
      </c>
      <c r="C622" s="3" t="s">
        <v>30</v>
      </c>
      <c r="D622" s="3" t="s">
        <v>31</v>
      </c>
      <c r="E622" s="3" t="s">
        <v>32</v>
      </c>
      <c r="F622" s="3" t="s">
        <v>621</v>
      </c>
      <c r="G622" s="3">
        <v>2025</v>
      </c>
      <c r="H622" s="3" t="str">
        <f>CONCATENATE("54240536661")</f>
        <v>54240536661</v>
      </c>
      <c r="I622" s="3" t="s">
        <v>34</v>
      </c>
      <c r="J622" s="3" t="s">
        <v>35</v>
      </c>
      <c r="K622" s="3"/>
      <c r="L622" s="3" t="s">
        <v>36</v>
      </c>
      <c r="M622" s="3" t="str">
        <f>CONCATENATE("02881390427")</f>
        <v>02881390427</v>
      </c>
      <c r="N622" s="3" t="s">
        <v>742</v>
      </c>
      <c r="O622" s="3" t="s">
        <v>38</v>
      </c>
      <c r="P622" s="3"/>
      <c r="Q622" s="4">
        <v>45968</v>
      </c>
      <c r="R622" s="3" t="s">
        <v>39</v>
      </c>
      <c r="S622" s="3" t="s">
        <v>38</v>
      </c>
      <c r="T622" s="3" t="s">
        <v>40</v>
      </c>
      <c r="U622" s="3"/>
      <c r="V622" s="3" t="s">
        <v>41</v>
      </c>
      <c r="W622" s="5">
        <v>2165.1999999999998</v>
      </c>
      <c r="X622" s="5">
        <v>1623.9</v>
      </c>
      <c r="Y622" s="3">
        <v>378.91</v>
      </c>
      <c r="Z622" s="3">
        <v>162.38999999999999</v>
      </c>
      <c r="AA622" s="3">
        <v>0</v>
      </c>
    </row>
    <row r="623" spans="1:27" ht="60.75" x14ac:dyDescent="0.25">
      <c r="A623" s="3" t="s">
        <v>28</v>
      </c>
      <c r="B623" s="3" t="s">
        <v>29</v>
      </c>
      <c r="C623" s="3" t="s">
        <v>30</v>
      </c>
      <c r="D623" s="3" t="s">
        <v>47</v>
      </c>
      <c r="E623" s="3" t="s">
        <v>48</v>
      </c>
      <c r="F623" s="3" t="s">
        <v>79</v>
      </c>
      <c r="G623" s="3">
        <v>2025</v>
      </c>
      <c r="H623" s="3" t="str">
        <f>CONCATENATE("54240557188")</f>
        <v>54240557188</v>
      </c>
      <c r="I623" s="3" t="s">
        <v>34</v>
      </c>
      <c r="J623" s="3" t="s">
        <v>35</v>
      </c>
      <c r="K623" s="3"/>
      <c r="L623" s="3" t="s">
        <v>36</v>
      </c>
      <c r="M623" s="3" t="str">
        <f>CONCATENATE("GBNJTH94D06B474J")</f>
        <v>GBNJTH94D06B474J</v>
      </c>
      <c r="N623" s="3" t="s">
        <v>743</v>
      </c>
      <c r="O623" s="3" t="s">
        <v>38</v>
      </c>
      <c r="P623" s="3"/>
      <c r="Q623" s="4">
        <v>45968</v>
      </c>
      <c r="R623" s="3" t="s">
        <v>39</v>
      </c>
      <c r="S623" s="3" t="s">
        <v>38</v>
      </c>
      <c r="T623" s="3" t="s">
        <v>40</v>
      </c>
      <c r="U623" s="3"/>
      <c r="V623" s="3" t="s">
        <v>41</v>
      </c>
      <c r="W623" s="5">
        <v>3040.2</v>
      </c>
      <c r="X623" s="5">
        <v>2280.15</v>
      </c>
      <c r="Y623" s="3">
        <v>532.04</v>
      </c>
      <c r="Z623" s="3">
        <v>228.01</v>
      </c>
      <c r="AA623" s="3">
        <v>0</v>
      </c>
    </row>
    <row r="624" spans="1:27" ht="36.75" x14ac:dyDescent="0.25">
      <c r="A624" s="3" t="s">
        <v>28</v>
      </c>
      <c r="B624" s="3" t="s">
        <v>29</v>
      </c>
      <c r="C624" s="3" t="s">
        <v>30</v>
      </c>
      <c r="D624" s="3" t="s">
        <v>65</v>
      </c>
      <c r="E624" s="3" t="s">
        <v>32</v>
      </c>
      <c r="F624" s="3" t="s">
        <v>144</v>
      </c>
      <c r="G624" s="3">
        <v>2025</v>
      </c>
      <c r="H624" s="3" t="str">
        <f>CONCATENATE("54240536703")</f>
        <v>54240536703</v>
      </c>
      <c r="I624" s="3" t="s">
        <v>34</v>
      </c>
      <c r="J624" s="3" t="s">
        <v>35</v>
      </c>
      <c r="K624" s="3"/>
      <c r="L624" s="3" t="s">
        <v>36</v>
      </c>
      <c r="M624" s="3" t="str">
        <f>CONCATENATE("02008350411")</f>
        <v>02008350411</v>
      </c>
      <c r="N624" s="3" t="s">
        <v>744</v>
      </c>
      <c r="O624" s="3" t="s">
        <v>38</v>
      </c>
      <c r="P624" s="3"/>
      <c r="Q624" s="4">
        <v>45968</v>
      </c>
      <c r="R624" s="3" t="s">
        <v>39</v>
      </c>
      <c r="S624" s="3" t="s">
        <v>38</v>
      </c>
      <c r="T624" s="3" t="s">
        <v>40</v>
      </c>
      <c r="U624" s="3"/>
      <c r="V624" s="3" t="s">
        <v>41</v>
      </c>
      <c r="W624" s="5">
        <v>1115.3599999999999</v>
      </c>
      <c r="X624" s="3">
        <v>836.52</v>
      </c>
      <c r="Y624" s="3">
        <v>195.19</v>
      </c>
      <c r="Z624" s="3">
        <v>83.65</v>
      </c>
      <c r="AA624" s="3">
        <v>0</v>
      </c>
    </row>
    <row r="625" spans="1:27" ht="60.75" x14ac:dyDescent="0.25">
      <c r="A625" s="3" t="s">
        <v>28</v>
      </c>
      <c r="B625" s="3" t="s">
        <v>29</v>
      </c>
      <c r="C625" s="3" t="s">
        <v>30</v>
      </c>
      <c r="D625" s="3" t="s">
        <v>65</v>
      </c>
      <c r="E625" s="3" t="s">
        <v>51</v>
      </c>
      <c r="F625" s="3" t="s">
        <v>278</v>
      </c>
      <c r="G625" s="3">
        <v>2025</v>
      </c>
      <c r="H625" s="3" t="str">
        <f>CONCATENATE("54240536760")</f>
        <v>54240536760</v>
      </c>
      <c r="I625" s="3" t="s">
        <v>34</v>
      </c>
      <c r="J625" s="3" t="s">
        <v>35</v>
      </c>
      <c r="K625" s="3"/>
      <c r="L625" s="3" t="s">
        <v>36</v>
      </c>
      <c r="M625" s="3" t="str">
        <f>CONCATENATE("DFRDNL77R05H501P")</f>
        <v>DFRDNL77R05H501P</v>
      </c>
      <c r="N625" s="3" t="s">
        <v>745</v>
      </c>
      <c r="O625" s="3" t="s">
        <v>38</v>
      </c>
      <c r="P625" s="3"/>
      <c r="Q625" s="4">
        <v>45968</v>
      </c>
      <c r="R625" s="3" t="s">
        <v>39</v>
      </c>
      <c r="S625" s="3" t="s">
        <v>38</v>
      </c>
      <c r="T625" s="3" t="s">
        <v>40</v>
      </c>
      <c r="U625" s="3"/>
      <c r="V625" s="3" t="s">
        <v>41</v>
      </c>
      <c r="W625" s="3">
        <v>287.27</v>
      </c>
      <c r="X625" s="3">
        <v>215.45</v>
      </c>
      <c r="Y625" s="3">
        <v>50.27</v>
      </c>
      <c r="Z625" s="3">
        <v>21.55</v>
      </c>
      <c r="AA625" s="3">
        <v>0</v>
      </c>
    </row>
    <row r="626" spans="1:27" ht="36.75" x14ac:dyDescent="0.25">
      <c r="A626" s="3" t="s">
        <v>28</v>
      </c>
      <c r="B626" s="3" t="s">
        <v>29</v>
      </c>
      <c r="C626" s="3" t="s">
        <v>30</v>
      </c>
      <c r="D626" s="3" t="s">
        <v>31</v>
      </c>
      <c r="E626" s="3" t="s">
        <v>32</v>
      </c>
      <c r="F626" s="3" t="s">
        <v>621</v>
      </c>
      <c r="G626" s="3">
        <v>2025</v>
      </c>
      <c r="H626" s="3" t="str">
        <f>CONCATENATE("54240536869")</f>
        <v>54240536869</v>
      </c>
      <c r="I626" s="3" t="s">
        <v>34</v>
      </c>
      <c r="J626" s="3" t="s">
        <v>35</v>
      </c>
      <c r="K626" s="3"/>
      <c r="L626" s="3" t="s">
        <v>36</v>
      </c>
      <c r="M626" s="3" t="str">
        <f>CONCATENATE("02881550426")</f>
        <v>02881550426</v>
      </c>
      <c r="N626" s="3" t="s">
        <v>746</v>
      </c>
      <c r="O626" s="3" t="s">
        <v>38</v>
      </c>
      <c r="P626" s="3"/>
      <c r="Q626" s="4">
        <v>45968</v>
      </c>
      <c r="R626" s="3" t="s">
        <v>39</v>
      </c>
      <c r="S626" s="3" t="s">
        <v>38</v>
      </c>
      <c r="T626" s="3" t="s">
        <v>40</v>
      </c>
      <c r="U626" s="3"/>
      <c r="V626" s="3" t="s">
        <v>41</v>
      </c>
      <c r="W626" s="5">
        <v>3037.77</v>
      </c>
      <c r="X626" s="5">
        <v>2278.33</v>
      </c>
      <c r="Y626" s="3">
        <v>531.61</v>
      </c>
      <c r="Z626" s="3">
        <v>227.83</v>
      </c>
      <c r="AA626" s="3">
        <v>0</v>
      </c>
    </row>
    <row r="627" spans="1:27" ht="60.75" x14ac:dyDescent="0.25">
      <c r="A627" s="3" t="s">
        <v>28</v>
      </c>
      <c r="B627" s="3" t="s">
        <v>29</v>
      </c>
      <c r="C627" s="3" t="s">
        <v>30</v>
      </c>
      <c r="D627" s="3" t="s">
        <v>65</v>
      </c>
      <c r="E627" s="3" t="s">
        <v>32</v>
      </c>
      <c r="F627" s="3" t="s">
        <v>144</v>
      </c>
      <c r="G627" s="3">
        <v>2025</v>
      </c>
      <c r="H627" s="3" t="str">
        <f>CONCATENATE("54240536851")</f>
        <v>54240536851</v>
      </c>
      <c r="I627" s="3" t="s">
        <v>34</v>
      </c>
      <c r="J627" s="3" t="s">
        <v>35</v>
      </c>
      <c r="K627" s="3"/>
      <c r="L627" s="3" t="s">
        <v>36</v>
      </c>
      <c r="M627" s="3" t="str">
        <f>CONCATENATE("CRSPRD61B16L500N")</f>
        <v>CRSPRD61B16L500N</v>
      </c>
      <c r="N627" s="3" t="s">
        <v>747</v>
      </c>
      <c r="O627" s="3" t="s">
        <v>38</v>
      </c>
      <c r="P627" s="3"/>
      <c r="Q627" s="4">
        <v>45968</v>
      </c>
      <c r="R627" s="3" t="s">
        <v>39</v>
      </c>
      <c r="S627" s="3" t="s">
        <v>38</v>
      </c>
      <c r="T627" s="3" t="s">
        <v>40</v>
      </c>
      <c r="U627" s="3"/>
      <c r="V627" s="3" t="s">
        <v>41</v>
      </c>
      <c r="W627" s="5">
        <v>1226.75</v>
      </c>
      <c r="X627" s="3">
        <v>920.06</v>
      </c>
      <c r="Y627" s="3">
        <v>214.68</v>
      </c>
      <c r="Z627" s="3">
        <v>92.01</v>
      </c>
      <c r="AA627" s="3">
        <v>0</v>
      </c>
    </row>
    <row r="628" spans="1:27" ht="72.75" x14ac:dyDescent="0.25">
      <c r="A628" s="3" t="s">
        <v>28</v>
      </c>
      <c r="B628" s="3" t="s">
        <v>29</v>
      </c>
      <c r="C628" s="3" t="s">
        <v>30</v>
      </c>
      <c r="D628" s="3" t="s">
        <v>42</v>
      </c>
      <c r="E628" s="3" t="s">
        <v>43</v>
      </c>
      <c r="F628" s="3" t="s">
        <v>43</v>
      </c>
      <c r="G628" s="3">
        <v>2025</v>
      </c>
      <c r="H628" s="3" t="str">
        <f>CONCATENATE("54240664299")</f>
        <v>54240664299</v>
      </c>
      <c r="I628" s="3" t="s">
        <v>34</v>
      </c>
      <c r="J628" s="3" t="s">
        <v>35</v>
      </c>
      <c r="K628" s="3"/>
      <c r="L628" s="3" t="s">
        <v>36</v>
      </c>
      <c r="M628" s="3" t="str">
        <f>CONCATENATE("GBRMRC83D18H769Q")</f>
        <v>GBRMRC83D18H769Q</v>
      </c>
      <c r="N628" s="3" t="s">
        <v>748</v>
      </c>
      <c r="O628" s="3" t="s">
        <v>38</v>
      </c>
      <c r="P628" s="3"/>
      <c r="Q628" s="4">
        <v>45968</v>
      </c>
      <c r="R628" s="3" t="s">
        <v>39</v>
      </c>
      <c r="S628" s="3" t="s">
        <v>38</v>
      </c>
      <c r="T628" s="3" t="s">
        <v>40</v>
      </c>
      <c r="U628" s="3"/>
      <c r="V628" s="3" t="s">
        <v>41</v>
      </c>
      <c r="W628" s="3">
        <v>970.45</v>
      </c>
      <c r="X628" s="3">
        <v>727.84</v>
      </c>
      <c r="Y628" s="3">
        <v>169.83</v>
      </c>
      <c r="Z628" s="3">
        <v>72.78</v>
      </c>
      <c r="AA628" s="3">
        <v>0</v>
      </c>
    </row>
    <row r="629" spans="1:27" ht="60.75" x14ac:dyDescent="0.25">
      <c r="A629" s="3" t="s">
        <v>28</v>
      </c>
      <c r="B629" s="3" t="s">
        <v>29</v>
      </c>
      <c r="C629" s="3" t="s">
        <v>30</v>
      </c>
      <c r="D629" s="3" t="s">
        <v>31</v>
      </c>
      <c r="E629" s="3" t="s">
        <v>32</v>
      </c>
      <c r="F629" s="3" t="s">
        <v>621</v>
      </c>
      <c r="G629" s="3">
        <v>2025</v>
      </c>
      <c r="H629" s="3" t="str">
        <f>CONCATENATE("54240537180")</f>
        <v>54240537180</v>
      </c>
      <c r="I629" s="3" t="s">
        <v>34</v>
      </c>
      <c r="J629" s="3" t="s">
        <v>35</v>
      </c>
      <c r="K629" s="3"/>
      <c r="L629" s="3" t="s">
        <v>36</v>
      </c>
      <c r="M629" s="3" t="str">
        <f>CONCATENATE("SPDGPP75H09D007J")</f>
        <v>SPDGPP75H09D007J</v>
      </c>
      <c r="N629" s="3" t="s">
        <v>749</v>
      </c>
      <c r="O629" s="3" t="s">
        <v>38</v>
      </c>
      <c r="P629" s="3"/>
      <c r="Q629" s="4">
        <v>45968</v>
      </c>
      <c r="R629" s="3" t="s">
        <v>39</v>
      </c>
      <c r="S629" s="3" t="s">
        <v>38</v>
      </c>
      <c r="T629" s="3" t="s">
        <v>40</v>
      </c>
      <c r="U629" s="3"/>
      <c r="V629" s="3" t="s">
        <v>41</v>
      </c>
      <c r="W629" s="5">
        <v>5391.99</v>
      </c>
      <c r="X629" s="5">
        <v>4043.99</v>
      </c>
      <c r="Y629" s="3">
        <v>943.6</v>
      </c>
      <c r="Z629" s="3">
        <v>404.4</v>
      </c>
      <c r="AA629" s="3">
        <v>0</v>
      </c>
    </row>
    <row r="630" spans="1:27" ht="36.75" x14ac:dyDescent="0.25">
      <c r="A630" s="3" t="s">
        <v>28</v>
      </c>
      <c r="B630" s="3" t="s">
        <v>29</v>
      </c>
      <c r="C630" s="3" t="s">
        <v>30</v>
      </c>
      <c r="D630" s="3" t="s">
        <v>31</v>
      </c>
      <c r="E630" s="3" t="s">
        <v>32</v>
      </c>
      <c r="F630" s="3" t="s">
        <v>621</v>
      </c>
      <c r="G630" s="3">
        <v>2025</v>
      </c>
      <c r="H630" s="3" t="str">
        <f>CONCATENATE("54240537669")</f>
        <v>54240537669</v>
      </c>
      <c r="I630" s="3" t="s">
        <v>34</v>
      </c>
      <c r="J630" s="3" t="s">
        <v>35</v>
      </c>
      <c r="K630" s="3"/>
      <c r="L630" s="3" t="s">
        <v>36</v>
      </c>
      <c r="M630" s="3" t="str">
        <f>CONCATENATE("02719940427")</f>
        <v>02719940427</v>
      </c>
      <c r="N630" s="3" t="s">
        <v>750</v>
      </c>
      <c r="O630" s="3" t="s">
        <v>38</v>
      </c>
      <c r="P630" s="3"/>
      <c r="Q630" s="4">
        <v>45968</v>
      </c>
      <c r="R630" s="3" t="s">
        <v>39</v>
      </c>
      <c r="S630" s="3" t="s">
        <v>38</v>
      </c>
      <c r="T630" s="3" t="s">
        <v>40</v>
      </c>
      <c r="U630" s="3"/>
      <c r="V630" s="3" t="s">
        <v>41</v>
      </c>
      <c r="W630" s="5">
        <v>4963.7</v>
      </c>
      <c r="X630" s="5">
        <v>3722.78</v>
      </c>
      <c r="Y630" s="3">
        <v>868.65</v>
      </c>
      <c r="Z630" s="3">
        <v>372.27</v>
      </c>
      <c r="AA630" s="3">
        <v>0</v>
      </c>
    </row>
    <row r="631" spans="1:27" ht="60.75" x14ac:dyDescent="0.25">
      <c r="A631" s="3" t="s">
        <v>28</v>
      </c>
      <c r="B631" s="3" t="s">
        <v>29</v>
      </c>
      <c r="C631" s="3" t="s">
        <v>30</v>
      </c>
      <c r="D631" s="3" t="s">
        <v>42</v>
      </c>
      <c r="E631" s="3" t="s">
        <v>132</v>
      </c>
      <c r="F631" s="3" t="s">
        <v>263</v>
      </c>
      <c r="G631" s="3">
        <v>2025</v>
      </c>
      <c r="H631" s="3" t="str">
        <f>CONCATENATE("54240537727")</f>
        <v>54240537727</v>
      </c>
      <c r="I631" s="3" t="s">
        <v>34</v>
      </c>
      <c r="J631" s="3" t="s">
        <v>35</v>
      </c>
      <c r="K631" s="3"/>
      <c r="L631" s="3" t="s">
        <v>36</v>
      </c>
      <c r="M631" s="3" t="str">
        <f>CONCATENATE("PNTGNN80M23H769K")</f>
        <v>PNTGNN80M23H769K</v>
      </c>
      <c r="N631" s="3" t="s">
        <v>751</v>
      </c>
      <c r="O631" s="3" t="s">
        <v>38</v>
      </c>
      <c r="P631" s="3"/>
      <c r="Q631" s="4">
        <v>45968</v>
      </c>
      <c r="R631" s="3" t="s">
        <v>39</v>
      </c>
      <c r="S631" s="3" t="s">
        <v>38</v>
      </c>
      <c r="T631" s="3" t="s">
        <v>40</v>
      </c>
      <c r="U631" s="3"/>
      <c r="V631" s="3" t="s">
        <v>41</v>
      </c>
      <c r="W631" s="5">
        <v>2714.22</v>
      </c>
      <c r="X631" s="5">
        <v>2035.67</v>
      </c>
      <c r="Y631" s="3">
        <v>474.99</v>
      </c>
      <c r="Z631" s="3">
        <v>203.56</v>
      </c>
      <c r="AA631" s="3">
        <v>0</v>
      </c>
    </row>
    <row r="632" spans="1:27" ht="60.75" x14ac:dyDescent="0.25">
      <c r="A632" s="3" t="s">
        <v>28</v>
      </c>
      <c r="B632" s="3" t="s">
        <v>29</v>
      </c>
      <c r="C632" s="3" t="s">
        <v>30</v>
      </c>
      <c r="D632" s="3" t="s">
        <v>65</v>
      </c>
      <c r="E632" s="3" t="s">
        <v>51</v>
      </c>
      <c r="F632" s="3" t="s">
        <v>534</v>
      </c>
      <c r="G632" s="3">
        <v>2025</v>
      </c>
      <c r="H632" s="3" t="str">
        <f>CONCATENATE("54240537875")</f>
        <v>54240537875</v>
      </c>
      <c r="I632" s="3" t="s">
        <v>34</v>
      </c>
      <c r="J632" s="3" t="s">
        <v>35</v>
      </c>
      <c r="K632" s="3"/>
      <c r="L632" s="3" t="s">
        <v>36</v>
      </c>
      <c r="M632" s="3" t="str">
        <f>CONCATENATE("GRRNDR79A29I287J")</f>
        <v>GRRNDR79A29I287J</v>
      </c>
      <c r="N632" s="3" t="s">
        <v>752</v>
      </c>
      <c r="O632" s="3" t="s">
        <v>38</v>
      </c>
      <c r="P632" s="3"/>
      <c r="Q632" s="4">
        <v>45968</v>
      </c>
      <c r="R632" s="3" t="s">
        <v>39</v>
      </c>
      <c r="S632" s="3" t="s">
        <v>38</v>
      </c>
      <c r="T632" s="3" t="s">
        <v>40</v>
      </c>
      <c r="U632" s="3"/>
      <c r="V632" s="3" t="s">
        <v>41</v>
      </c>
      <c r="W632" s="5">
        <v>20328.060000000001</v>
      </c>
      <c r="X632" s="5">
        <v>15246.05</v>
      </c>
      <c r="Y632" s="5">
        <v>3557.41</v>
      </c>
      <c r="Z632" s="5">
        <v>1524.6</v>
      </c>
      <c r="AA632" s="3">
        <v>0</v>
      </c>
    </row>
    <row r="633" spans="1:27" ht="60.75" x14ac:dyDescent="0.25">
      <c r="A633" s="3" t="s">
        <v>28</v>
      </c>
      <c r="B633" s="3" t="s">
        <v>29</v>
      </c>
      <c r="C633" s="3" t="s">
        <v>30</v>
      </c>
      <c r="D633" s="3" t="s">
        <v>42</v>
      </c>
      <c r="E633" s="3" t="s">
        <v>51</v>
      </c>
      <c r="F633" s="3" t="s">
        <v>524</v>
      </c>
      <c r="G633" s="3">
        <v>2025</v>
      </c>
      <c r="H633" s="3" t="str">
        <f>CONCATENATE("54240538733")</f>
        <v>54240538733</v>
      </c>
      <c r="I633" s="3" t="s">
        <v>34</v>
      </c>
      <c r="J633" s="3" t="s">
        <v>35</v>
      </c>
      <c r="K633" s="3"/>
      <c r="L633" s="3" t="s">
        <v>36</v>
      </c>
      <c r="M633" s="3" t="str">
        <f>CONCATENATE("CCCSFN70E25G516C")</f>
        <v>CCCSFN70E25G516C</v>
      </c>
      <c r="N633" s="3" t="s">
        <v>753</v>
      </c>
      <c r="O633" s="3" t="s">
        <v>38</v>
      </c>
      <c r="P633" s="3"/>
      <c r="Q633" s="4">
        <v>45968</v>
      </c>
      <c r="R633" s="3" t="s">
        <v>39</v>
      </c>
      <c r="S633" s="3" t="s">
        <v>38</v>
      </c>
      <c r="T633" s="3" t="s">
        <v>40</v>
      </c>
      <c r="U633" s="3"/>
      <c r="V633" s="3" t="s">
        <v>41</v>
      </c>
      <c r="W633" s="5">
        <v>2585.94</v>
      </c>
      <c r="X633" s="5">
        <v>1939.46</v>
      </c>
      <c r="Y633" s="3">
        <v>452.54</v>
      </c>
      <c r="Z633" s="3">
        <v>193.94</v>
      </c>
      <c r="AA633" s="3">
        <v>0</v>
      </c>
    </row>
    <row r="634" spans="1:27" ht="36.75" x14ac:dyDescent="0.25">
      <c r="A634" s="3" t="s">
        <v>28</v>
      </c>
      <c r="B634" s="3" t="s">
        <v>29</v>
      </c>
      <c r="C634" s="3" t="s">
        <v>30</v>
      </c>
      <c r="D634" s="3" t="s">
        <v>65</v>
      </c>
      <c r="E634" s="3" t="s">
        <v>48</v>
      </c>
      <c r="F634" s="3" t="s">
        <v>76</v>
      </c>
      <c r="G634" s="3">
        <v>2025</v>
      </c>
      <c r="H634" s="3" t="str">
        <f>CONCATENATE("54240547320")</f>
        <v>54240547320</v>
      </c>
      <c r="I634" s="3" t="s">
        <v>34</v>
      </c>
      <c r="J634" s="3" t="s">
        <v>35</v>
      </c>
      <c r="K634" s="3"/>
      <c r="L634" s="3" t="s">
        <v>36</v>
      </c>
      <c r="M634" s="3" t="str">
        <f>CONCATENATE("02683880419")</f>
        <v>02683880419</v>
      </c>
      <c r="N634" s="3" t="s">
        <v>754</v>
      </c>
      <c r="O634" s="3" t="s">
        <v>38</v>
      </c>
      <c r="P634" s="3"/>
      <c r="Q634" s="4">
        <v>45968</v>
      </c>
      <c r="R634" s="3" t="s">
        <v>39</v>
      </c>
      <c r="S634" s="3" t="s">
        <v>38</v>
      </c>
      <c r="T634" s="3" t="s">
        <v>40</v>
      </c>
      <c r="U634" s="3"/>
      <c r="V634" s="3" t="s">
        <v>41</v>
      </c>
      <c r="W634" s="5">
        <v>29401.47</v>
      </c>
      <c r="X634" s="5">
        <v>22051.1</v>
      </c>
      <c r="Y634" s="5">
        <v>5145.26</v>
      </c>
      <c r="Z634" s="5">
        <v>2205.11</v>
      </c>
      <c r="AA634" s="3">
        <v>0</v>
      </c>
    </row>
    <row r="635" spans="1:27" ht="60.75" x14ac:dyDescent="0.25">
      <c r="A635" s="3" t="s">
        <v>28</v>
      </c>
      <c r="B635" s="3" t="s">
        <v>29</v>
      </c>
      <c r="C635" s="3" t="s">
        <v>30</v>
      </c>
      <c r="D635" s="3" t="s">
        <v>42</v>
      </c>
      <c r="E635" s="3" t="s">
        <v>32</v>
      </c>
      <c r="F635" s="3" t="s">
        <v>110</v>
      </c>
      <c r="G635" s="3">
        <v>2025</v>
      </c>
      <c r="H635" s="3" t="str">
        <f>CONCATENATE("54240563590")</f>
        <v>54240563590</v>
      </c>
      <c r="I635" s="3" t="s">
        <v>34</v>
      </c>
      <c r="J635" s="3" t="s">
        <v>35</v>
      </c>
      <c r="K635" s="3"/>
      <c r="L635" s="3" t="s">
        <v>36</v>
      </c>
      <c r="M635" s="3" t="str">
        <f>CONCATENATE("CMLFRC77L46H769E")</f>
        <v>CMLFRC77L46H769E</v>
      </c>
      <c r="N635" s="3" t="s">
        <v>755</v>
      </c>
      <c r="O635" s="3" t="s">
        <v>38</v>
      </c>
      <c r="P635" s="3"/>
      <c r="Q635" s="4">
        <v>45968</v>
      </c>
      <c r="R635" s="3" t="s">
        <v>39</v>
      </c>
      <c r="S635" s="3" t="s">
        <v>38</v>
      </c>
      <c r="T635" s="3" t="s">
        <v>40</v>
      </c>
      <c r="U635" s="3"/>
      <c r="V635" s="3" t="s">
        <v>41</v>
      </c>
      <c r="W635" s="5">
        <v>2848.87</v>
      </c>
      <c r="X635" s="5">
        <v>2136.65</v>
      </c>
      <c r="Y635" s="3">
        <v>498.55</v>
      </c>
      <c r="Z635" s="3">
        <v>213.67</v>
      </c>
      <c r="AA635" s="3">
        <v>0</v>
      </c>
    </row>
    <row r="636" spans="1:27" ht="60.75" x14ac:dyDescent="0.25">
      <c r="A636" s="3" t="s">
        <v>28</v>
      </c>
      <c r="B636" s="3" t="s">
        <v>29</v>
      </c>
      <c r="C636" s="3" t="s">
        <v>30</v>
      </c>
      <c r="D636" s="3" t="s">
        <v>31</v>
      </c>
      <c r="E636" s="3" t="s">
        <v>32</v>
      </c>
      <c r="F636" s="3" t="s">
        <v>33</v>
      </c>
      <c r="G636" s="3">
        <v>2025</v>
      </c>
      <c r="H636" s="3" t="str">
        <f>CONCATENATE("54240538642")</f>
        <v>54240538642</v>
      </c>
      <c r="I636" s="3" t="s">
        <v>34</v>
      </c>
      <c r="J636" s="3" t="s">
        <v>35</v>
      </c>
      <c r="K636" s="3"/>
      <c r="L636" s="3" t="s">
        <v>36</v>
      </c>
      <c r="M636" s="3" t="str">
        <f>CONCATENATE("SCHHBR55C27Z112Y")</f>
        <v>SCHHBR55C27Z112Y</v>
      </c>
      <c r="N636" s="3" t="s">
        <v>756</v>
      </c>
      <c r="O636" s="3" t="s">
        <v>38</v>
      </c>
      <c r="P636" s="3"/>
      <c r="Q636" s="4">
        <v>45968</v>
      </c>
      <c r="R636" s="3" t="s">
        <v>39</v>
      </c>
      <c r="S636" s="3" t="s">
        <v>38</v>
      </c>
      <c r="T636" s="3" t="s">
        <v>40</v>
      </c>
      <c r="U636" s="3"/>
      <c r="V636" s="3" t="s">
        <v>41</v>
      </c>
      <c r="W636" s="5">
        <v>4529.3100000000004</v>
      </c>
      <c r="X636" s="5">
        <v>3396.98</v>
      </c>
      <c r="Y636" s="3">
        <v>792.63</v>
      </c>
      <c r="Z636" s="3">
        <v>339.7</v>
      </c>
      <c r="AA636" s="3">
        <v>0</v>
      </c>
    </row>
    <row r="637" spans="1:27" ht="36.75" x14ac:dyDescent="0.25">
      <c r="A637" s="3" t="s">
        <v>28</v>
      </c>
      <c r="B637" s="3" t="s">
        <v>29</v>
      </c>
      <c r="C637" s="3" t="s">
        <v>30</v>
      </c>
      <c r="D637" s="3" t="s">
        <v>47</v>
      </c>
      <c r="E637" s="3" t="s">
        <v>60</v>
      </c>
      <c r="F637" s="3" t="s">
        <v>81</v>
      </c>
      <c r="G637" s="3">
        <v>2025</v>
      </c>
      <c r="H637" s="3" t="str">
        <f>CONCATENATE("54240538857")</f>
        <v>54240538857</v>
      </c>
      <c r="I637" s="3" t="s">
        <v>34</v>
      </c>
      <c r="J637" s="3" t="s">
        <v>35</v>
      </c>
      <c r="K637" s="3"/>
      <c r="L637" s="3" t="s">
        <v>36</v>
      </c>
      <c r="M637" s="3" t="str">
        <f>CONCATENATE("02120100439")</f>
        <v>02120100439</v>
      </c>
      <c r="N637" s="3" t="s">
        <v>757</v>
      </c>
      <c r="O637" s="3" t="s">
        <v>38</v>
      </c>
      <c r="P637" s="3"/>
      <c r="Q637" s="4">
        <v>45968</v>
      </c>
      <c r="R637" s="3" t="s">
        <v>39</v>
      </c>
      <c r="S637" s="3" t="s">
        <v>38</v>
      </c>
      <c r="T637" s="3" t="s">
        <v>40</v>
      </c>
      <c r="U637" s="3"/>
      <c r="V637" s="3" t="s">
        <v>41</v>
      </c>
      <c r="W637" s="5">
        <v>2556.1</v>
      </c>
      <c r="X637" s="5">
        <v>1917.08</v>
      </c>
      <c r="Y637" s="3">
        <v>447.32</v>
      </c>
      <c r="Z637" s="3">
        <v>191.7</v>
      </c>
      <c r="AA637" s="3">
        <v>0</v>
      </c>
    </row>
    <row r="638" spans="1:27" ht="36.75" x14ac:dyDescent="0.25">
      <c r="A638" s="3" t="s">
        <v>28</v>
      </c>
      <c r="B638" s="3" t="s">
        <v>29</v>
      </c>
      <c r="C638" s="3" t="s">
        <v>30</v>
      </c>
      <c r="D638" s="3" t="s">
        <v>47</v>
      </c>
      <c r="E638" s="3" t="s">
        <v>60</v>
      </c>
      <c r="F638" s="3" t="s">
        <v>81</v>
      </c>
      <c r="G638" s="3">
        <v>2025</v>
      </c>
      <c r="H638" s="3" t="str">
        <f>CONCATENATE("54240538659")</f>
        <v>54240538659</v>
      </c>
      <c r="I638" s="3" t="s">
        <v>34</v>
      </c>
      <c r="J638" s="3" t="s">
        <v>35</v>
      </c>
      <c r="K638" s="3"/>
      <c r="L638" s="3" t="s">
        <v>36</v>
      </c>
      <c r="M638" s="3" t="str">
        <f>CONCATENATE("01540360433")</f>
        <v>01540360433</v>
      </c>
      <c r="N638" s="3" t="s">
        <v>758</v>
      </c>
      <c r="O638" s="3" t="s">
        <v>38</v>
      </c>
      <c r="P638" s="3"/>
      <c r="Q638" s="4">
        <v>45968</v>
      </c>
      <c r="R638" s="3" t="s">
        <v>39</v>
      </c>
      <c r="S638" s="3" t="s">
        <v>38</v>
      </c>
      <c r="T638" s="3" t="s">
        <v>40</v>
      </c>
      <c r="U638" s="3"/>
      <c r="V638" s="3" t="s">
        <v>41</v>
      </c>
      <c r="W638" s="5">
        <v>34198.42</v>
      </c>
      <c r="X638" s="5">
        <v>25648.82</v>
      </c>
      <c r="Y638" s="5">
        <v>5984.72</v>
      </c>
      <c r="Z638" s="5">
        <v>2564.88</v>
      </c>
      <c r="AA638" s="3">
        <v>0</v>
      </c>
    </row>
    <row r="639" spans="1:27" ht="60.75" x14ac:dyDescent="0.25">
      <c r="A639" s="3" t="s">
        <v>28</v>
      </c>
      <c r="B639" s="3" t="s">
        <v>29</v>
      </c>
      <c r="C639" s="3" t="s">
        <v>30</v>
      </c>
      <c r="D639" s="3" t="s">
        <v>47</v>
      </c>
      <c r="E639" s="3" t="s">
        <v>48</v>
      </c>
      <c r="F639" s="3" t="s">
        <v>90</v>
      </c>
      <c r="G639" s="3">
        <v>2025</v>
      </c>
      <c r="H639" s="3" t="str">
        <f>CONCATENATE("54240538782")</f>
        <v>54240538782</v>
      </c>
      <c r="I639" s="3" t="s">
        <v>34</v>
      </c>
      <c r="J639" s="3" t="s">
        <v>35</v>
      </c>
      <c r="K639" s="3"/>
      <c r="L639" s="3" t="s">
        <v>36</v>
      </c>
      <c r="M639" s="3" t="str">
        <f>CONCATENATE("RSTDRD96A16H769T")</f>
        <v>RSTDRD96A16H769T</v>
      </c>
      <c r="N639" s="3" t="s">
        <v>759</v>
      </c>
      <c r="O639" s="3" t="s">
        <v>38</v>
      </c>
      <c r="P639" s="3"/>
      <c r="Q639" s="4">
        <v>45968</v>
      </c>
      <c r="R639" s="3" t="s">
        <v>39</v>
      </c>
      <c r="S639" s="3" t="s">
        <v>38</v>
      </c>
      <c r="T639" s="3" t="s">
        <v>40</v>
      </c>
      <c r="U639" s="3"/>
      <c r="V639" s="3" t="s">
        <v>41</v>
      </c>
      <c r="W639" s="3">
        <v>792.28</v>
      </c>
      <c r="X639" s="3">
        <v>594.21</v>
      </c>
      <c r="Y639" s="3">
        <v>138.65</v>
      </c>
      <c r="Z639" s="3">
        <v>59.42</v>
      </c>
      <c r="AA639" s="3">
        <v>0</v>
      </c>
    </row>
    <row r="640" spans="1:27" ht="36.75" x14ac:dyDescent="0.25">
      <c r="A640" s="3" t="s">
        <v>28</v>
      </c>
      <c r="B640" s="3" t="s">
        <v>29</v>
      </c>
      <c r="C640" s="3" t="s">
        <v>30</v>
      </c>
      <c r="D640" s="3" t="s">
        <v>47</v>
      </c>
      <c r="E640" s="3" t="s">
        <v>48</v>
      </c>
      <c r="F640" s="3" t="s">
        <v>251</v>
      </c>
      <c r="G640" s="3">
        <v>2025</v>
      </c>
      <c r="H640" s="3" t="str">
        <f>CONCATENATE("54240540028")</f>
        <v>54240540028</v>
      </c>
      <c r="I640" s="3" t="s">
        <v>34</v>
      </c>
      <c r="J640" s="3" t="s">
        <v>35</v>
      </c>
      <c r="K640" s="3"/>
      <c r="L640" s="3" t="s">
        <v>36</v>
      </c>
      <c r="M640" s="3" t="str">
        <f>CONCATENATE("00782220438")</f>
        <v>00782220438</v>
      </c>
      <c r="N640" s="3" t="s">
        <v>760</v>
      </c>
      <c r="O640" s="3" t="s">
        <v>38</v>
      </c>
      <c r="P640" s="3"/>
      <c r="Q640" s="4">
        <v>45968</v>
      </c>
      <c r="R640" s="3" t="s">
        <v>39</v>
      </c>
      <c r="S640" s="3" t="s">
        <v>38</v>
      </c>
      <c r="T640" s="3" t="s">
        <v>40</v>
      </c>
      <c r="U640" s="3"/>
      <c r="V640" s="3" t="s">
        <v>41</v>
      </c>
      <c r="W640" s="5">
        <v>11738.32</v>
      </c>
      <c r="X640" s="5">
        <v>8803.74</v>
      </c>
      <c r="Y640" s="5">
        <v>2054.21</v>
      </c>
      <c r="Z640" s="3">
        <v>880.37</v>
      </c>
      <c r="AA640" s="3">
        <v>0</v>
      </c>
    </row>
    <row r="641" spans="1:27" ht="72.75" x14ac:dyDescent="0.25">
      <c r="A641" s="3" t="s">
        <v>28</v>
      </c>
      <c r="B641" s="3" t="s">
        <v>29</v>
      </c>
      <c r="C641" s="3" t="s">
        <v>30</v>
      </c>
      <c r="D641" s="3" t="s">
        <v>47</v>
      </c>
      <c r="E641" s="3" t="s">
        <v>51</v>
      </c>
      <c r="F641" s="3" t="s">
        <v>83</v>
      </c>
      <c r="G641" s="3">
        <v>2025</v>
      </c>
      <c r="H641" s="3" t="str">
        <f>CONCATENATE("54240659232")</f>
        <v>54240659232</v>
      </c>
      <c r="I641" s="3" t="s">
        <v>34</v>
      </c>
      <c r="J641" s="3" t="s">
        <v>35</v>
      </c>
      <c r="K641" s="3"/>
      <c r="L641" s="3" t="s">
        <v>36</v>
      </c>
      <c r="M641" s="3" t="str">
        <f>CONCATENATE("CRSSRA89H64B474Q")</f>
        <v>CRSSRA89H64B474Q</v>
      </c>
      <c r="N641" s="3" t="s">
        <v>761</v>
      </c>
      <c r="O641" s="3" t="s">
        <v>38</v>
      </c>
      <c r="P641" s="3"/>
      <c r="Q641" s="4">
        <v>45968</v>
      </c>
      <c r="R641" s="3" t="s">
        <v>39</v>
      </c>
      <c r="S641" s="3" t="s">
        <v>38</v>
      </c>
      <c r="T641" s="3" t="s">
        <v>40</v>
      </c>
      <c r="U641" s="3"/>
      <c r="V641" s="3" t="s">
        <v>41</v>
      </c>
      <c r="W641" s="5">
        <v>30385.97</v>
      </c>
      <c r="X641" s="5">
        <v>22789.48</v>
      </c>
      <c r="Y641" s="5">
        <v>5317.54</v>
      </c>
      <c r="Z641" s="5">
        <v>2278.9499999999998</v>
      </c>
      <c r="AA641" s="3">
        <v>0</v>
      </c>
    </row>
    <row r="642" spans="1:27" ht="60.75" x14ac:dyDescent="0.25">
      <c r="A642" s="3" t="s">
        <v>28</v>
      </c>
      <c r="B642" s="3" t="s">
        <v>29</v>
      </c>
      <c r="C642" s="3" t="s">
        <v>30</v>
      </c>
      <c r="D642" s="3" t="s">
        <v>47</v>
      </c>
      <c r="E642" s="3" t="s">
        <v>32</v>
      </c>
      <c r="F642" s="3" t="s">
        <v>545</v>
      </c>
      <c r="G642" s="3">
        <v>2025</v>
      </c>
      <c r="H642" s="3" t="str">
        <f>CONCATENATE("54240655636")</f>
        <v>54240655636</v>
      </c>
      <c r="I642" s="3" t="s">
        <v>34</v>
      </c>
      <c r="J642" s="3" t="s">
        <v>35</v>
      </c>
      <c r="K642" s="3"/>
      <c r="L642" s="3" t="s">
        <v>36</v>
      </c>
      <c r="M642" s="3" t="str">
        <f>CONCATENATE("SCRMHL88L15L191X")</f>
        <v>SCRMHL88L15L191X</v>
      </c>
      <c r="N642" s="3" t="s">
        <v>762</v>
      </c>
      <c r="O642" s="3" t="s">
        <v>38</v>
      </c>
      <c r="P642" s="3"/>
      <c r="Q642" s="4">
        <v>45968</v>
      </c>
      <c r="R642" s="3" t="s">
        <v>39</v>
      </c>
      <c r="S642" s="3" t="s">
        <v>38</v>
      </c>
      <c r="T642" s="3" t="s">
        <v>40</v>
      </c>
      <c r="U642" s="3"/>
      <c r="V642" s="3" t="s">
        <v>41</v>
      </c>
      <c r="W642" s="5">
        <v>7941.24</v>
      </c>
      <c r="X642" s="5">
        <v>5955.93</v>
      </c>
      <c r="Y642" s="5">
        <v>1389.72</v>
      </c>
      <c r="Z642" s="3">
        <v>595.59</v>
      </c>
      <c r="AA642" s="3">
        <v>0</v>
      </c>
    </row>
    <row r="643" spans="1:27" ht="36.75" x14ac:dyDescent="0.25">
      <c r="A643" s="3" t="s">
        <v>28</v>
      </c>
      <c r="B643" s="3" t="s">
        <v>29</v>
      </c>
      <c r="C643" s="3" t="s">
        <v>30</v>
      </c>
      <c r="D643" s="3" t="s">
        <v>47</v>
      </c>
      <c r="E643" s="3" t="s">
        <v>51</v>
      </c>
      <c r="F643" s="3" t="s">
        <v>103</v>
      </c>
      <c r="G643" s="3">
        <v>2025</v>
      </c>
      <c r="H643" s="3" t="str">
        <f>CONCATENATE("54240655834")</f>
        <v>54240655834</v>
      </c>
      <c r="I643" s="3" t="s">
        <v>34</v>
      </c>
      <c r="J643" s="3" t="s">
        <v>35</v>
      </c>
      <c r="K643" s="3"/>
      <c r="L643" s="3" t="s">
        <v>36</v>
      </c>
      <c r="M643" s="3" t="str">
        <f>CONCATENATE("01674350432")</f>
        <v>01674350432</v>
      </c>
      <c r="N643" s="3" t="s">
        <v>763</v>
      </c>
      <c r="O643" s="3" t="s">
        <v>38</v>
      </c>
      <c r="P643" s="3"/>
      <c r="Q643" s="4">
        <v>45968</v>
      </c>
      <c r="R643" s="3" t="s">
        <v>39</v>
      </c>
      <c r="S643" s="3" t="s">
        <v>38</v>
      </c>
      <c r="T643" s="3" t="s">
        <v>40</v>
      </c>
      <c r="U643" s="3"/>
      <c r="V643" s="3" t="s">
        <v>41</v>
      </c>
      <c r="W643" s="3">
        <v>464.96</v>
      </c>
      <c r="X643" s="3">
        <v>348.72</v>
      </c>
      <c r="Y643" s="3">
        <v>81.37</v>
      </c>
      <c r="Z643" s="3">
        <v>34.869999999999997</v>
      </c>
      <c r="AA643" s="3">
        <v>0</v>
      </c>
    </row>
    <row r="644" spans="1:27" ht="60.75" x14ac:dyDescent="0.25">
      <c r="A644" s="3" t="s">
        <v>28</v>
      </c>
      <c r="B644" s="3" t="s">
        <v>29</v>
      </c>
      <c r="C644" s="3" t="s">
        <v>30</v>
      </c>
      <c r="D644" s="3" t="s">
        <v>42</v>
      </c>
      <c r="E644" s="3" t="s">
        <v>207</v>
      </c>
      <c r="F644" s="3" t="s">
        <v>764</v>
      </c>
      <c r="G644" s="3">
        <v>2025</v>
      </c>
      <c r="H644" s="3" t="str">
        <f>CONCATENATE("54240657160")</f>
        <v>54240657160</v>
      </c>
      <c r="I644" s="3" t="s">
        <v>34</v>
      </c>
      <c r="J644" s="3" t="s">
        <v>35</v>
      </c>
      <c r="K644" s="3"/>
      <c r="L644" s="3" t="s">
        <v>36</v>
      </c>
      <c r="M644" s="3" t="str">
        <f>CONCATENATE("CNNMLN72A42F415U")</f>
        <v>CNNMLN72A42F415U</v>
      </c>
      <c r="N644" s="3" t="s">
        <v>765</v>
      </c>
      <c r="O644" s="3" t="s">
        <v>38</v>
      </c>
      <c r="P644" s="3"/>
      <c r="Q644" s="4">
        <v>45968</v>
      </c>
      <c r="R644" s="3" t="s">
        <v>39</v>
      </c>
      <c r="S644" s="3" t="s">
        <v>38</v>
      </c>
      <c r="T644" s="3" t="s">
        <v>40</v>
      </c>
      <c r="U644" s="3"/>
      <c r="V644" s="3" t="s">
        <v>41</v>
      </c>
      <c r="W644" s="5">
        <v>1677.84</v>
      </c>
      <c r="X644" s="5">
        <v>1258.3800000000001</v>
      </c>
      <c r="Y644" s="3">
        <v>293.62</v>
      </c>
      <c r="Z644" s="3">
        <v>125.84</v>
      </c>
      <c r="AA644" s="3">
        <v>0</v>
      </c>
    </row>
    <row r="645" spans="1:27" ht="60.75" x14ac:dyDescent="0.25">
      <c r="A645" s="3" t="s">
        <v>28</v>
      </c>
      <c r="B645" s="3" t="s">
        <v>29</v>
      </c>
      <c r="C645" s="3" t="s">
        <v>30</v>
      </c>
      <c r="D645" s="3" t="s">
        <v>42</v>
      </c>
      <c r="E645" s="3" t="s">
        <v>132</v>
      </c>
      <c r="F645" s="3" t="s">
        <v>263</v>
      </c>
      <c r="G645" s="3">
        <v>2025</v>
      </c>
      <c r="H645" s="3" t="str">
        <f>CONCATENATE("54240661899")</f>
        <v>54240661899</v>
      </c>
      <c r="I645" s="3" t="s">
        <v>34</v>
      </c>
      <c r="J645" s="3" t="s">
        <v>35</v>
      </c>
      <c r="K645" s="3"/>
      <c r="L645" s="3" t="s">
        <v>36</v>
      </c>
      <c r="M645" s="3" t="str">
        <f>CONCATENATE("FRRDLF04P08A462T")</f>
        <v>FRRDLF04P08A462T</v>
      </c>
      <c r="N645" s="3" t="s">
        <v>766</v>
      </c>
      <c r="O645" s="3" t="s">
        <v>38</v>
      </c>
      <c r="P645" s="3"/>
      <c r="Q645" s="4">
        <v>45968</v>
      </c>
      <c r="R645" s="3" t="s">
        <v>39</v>
      </c>
      <c r="S645" s="3" t="s">
        <v>38</v>
      </c>
      <c r="T645" s="3" t="s">
        <v>40</v>
      </c>
      <c r="U645" s="3"/>
      <c r="V645" s="3" t="s">
        <v>41</v>
      </c>
      <c r="W645" s="5">
        <v>14023.96</v>
      </c>
      <c r="X645" s="5">
        <v>10517.97</v>
      </c>
      <c r="Y645" s="5">
        <v>2454.19</v>
      </c>
      <c r="Z645" s="5">
        <v>1051.8</v>
      </c>
      <c r="AA645" s="3">
        <v>0</v>
      </c>
    </row>
    <row r="646" spans="1:27" ht="60.75" x14ac:dyDescent="0.25">
      <c r="A646" s="3" t="s">
        <v>28</v>
      </c>
      <c r="B646" s="3" t="s">
        <v>29</v>
      </c>
      <c r="C646" s="3" t="s">
        <v>30</v>
      </c>
      <c r="D646" s="3" t="s">
        <v>65</v>
      </c>
      <c r="E646" s="3" t="s">
        <v>767</v>
      </c>
      <c r="F646" s="3" t="s">
        <v>768</v>
      </c>
      <c r="G646" s="3">
        <v>2025</v>
      </c>
      <c r="H646" s="3" t="str">
        <f>CONCATENATE("54240665205")</f>
        <v>54240665205</v>
      </c>
      <c r="I646" s="3" t="s">
        <v>44</v>
      </c>
      <c r="J646" s="3" t="s">
        <v>35</v>
      </c>
      <c r="K646" s="3"/>
      <c r="L646" s="3" t="s">
        <v>36</v>
      </c>
      <c r="M646" s="3" t="str">
        <f>CONCATENATE("CLMFRC80H16L500W")</f>
        <v>CLMFRC80H16L500W</v>
      </c>
      <c r="N646" s="3" t="s">
        <v>769</v>
      </c>
      <c r="O646" s="3" t="s">
        <v>38</v>
      </c>
      <c r="P646" s="3"/>
      <c r="Q646" s="4">
        <v>45968</v>
      </c>
      <c r="R646" s="3" t="s">
        <v>39</v>
      </c>
      <c r="S646" s="3" t="s">
        <v>38</v>
      </c>
      <c r="T646" s="3" t="s">
        <v>40</v>
      </c>
      <c r="U646" s="3"/>
      <c r="V646" s="3" t="s">
        <v>41</v>
      </c>
      <c r="W646" s="3">
        <v>283.57</v>
      </c>
      <c r="X646" s="3">
        <v>212.68</v>
      </c>
      <c r="Y646" s="3">
        <v>49.62</v>
      </c>
      <c r="Z646" s="3">
        <v>21.27</v>
      </c>
      <c r="AA646" s="3">
        <v>0</v>
      </c>
    </row>
    <row r="647" spans="1:27" ht="60.75" x14ac:dyDescent="0.25">
      <c r="A647" s="3" t="s">
        <v>28</v>
      </c>
      <c r="B647" s="3" t="s">
        <v>29</v>
      </c>
      <c r="C647" s="3" t="s">
        <v>30</v>
      </c>
      <c r="D647" s="3" t="s">
        <v>47</v>
      </c>
      <c r="E647" s="3" t="s">
        <v>48</v>
      </c>
      <c r="F647" s="3" t="s">
        <v>90</v>
      </c>
      <c r="G647" s="3">
        <v>2025</v>
      </c>
      <c r="H647" s="3" t="str">
        <f>CONCATENATE("54240663119")</f>
        <v>54240663119</v>
      </c>
      <c r="I647" s="3" t="s">
        <v>34</v>
      </c>
      <c r="J647" s="3" t="s">
        <v>35</v>
      </c>
      <c r="K647" s="3"/>
      <c r="L647" s="3" t="s">
        <v>36</v>
      </c>
      <c r="M647" s="3" t="str">
        <f>CONCATENATE("RZOLRD83H02E783Q")</f>
        <v>RZOLRD83H02E783Q</v>
      </c>
      <c r="N647" s="3" t="s">
        <v>770</v>
      </c>
      <c r="O647" s="3" t="s">
        <v>38</v>
      </c>
      <c r="P647" s="3"/>
      <c r="Q647" s="4">
        <v>45968</v>
      </c>
      <c r="R647" s="3" t="s">
        <v>39</v>
      </c>
      <c r="S647" s="3" t="s">
        <v>38</v>
      </c>
      <c r="T647" s="3" t="s">
        <v>40</v>
      </c>
      <c r="U647" s="3"/>
      <c r="V647" s="3" t="s">
        <v>41</v>
      </c>
      <c r="W647" s="5">
        <v>2489.16</v>
      </c>
      <c r="X647" s="5">
        <v>1866.87</v>
      </c>
      <c r="Y647" s="3">
        <v>435.6</v>
      </c>
      <c r="Z647" s="3">
        <v>186.69</v>
      </c>
      <c r="AA647" s="3">
        <v>0</v>
      </c>
    </row>
    <row r="648" spans="1:27" ht="60.75" x14ac:dyDescent="0.25">
      <c r="A648" s="3" t="s">
        <v>28</v>
      </c>
      <c r="B648" s="3" t="s">
        <v>29</v>
      </c>
      <c r="C648" s="3" t="s">
        <v>30</v>
      </c>
      <c r="D648" s="3" t="s">
        <v>47</v>
      </c>
      <c r="E648" s="3" t="s">
        <v>48</v>
      </c>
      <c r="F648" s="3" t="s">
        <v>90</v>
      </c>
      <c r="G648" s="3">
        <v>2025</v>
      </c>
      <c r="H648" s="3" t="str">
        <f>CONCATENATE("54240662939")</f>
        <v>54240662939</v>
      </c>
      <c r="I648" s="3" t="s">
        <v>34</v>
      </c>
      <c r="J648" s="3" t="s">
        <v>35</v>
      </c>
      <c r="K648" s="3"/>
      <c r="L648" s="3" t="s">
        <v>36</v>
      </c>
      <c r="M648" s="3" t="str">
        <f>CONCATENATE("FGLRNZ57P01F454G")</f>
        <v>FGLRNZ57P01F454G</v>
      </c>
      <c r="N648" s="3" t="s">
        <v>771</v>
      </c>
      <c r="O648" s="3" t="s">
        <v>38</v>
      </c>
      <c r="P648" s="3"/>
      <c r="Q648" s="4">
        <v>45968</v>
      </c>
      <c r="R648" s="3" t="s">
        <v>39</v>
      </c>
      <c r="S648" s="3" t="s">
        <v>38</v>
      </c>
      <c r="T648" s="3" t="s">
        <v>40</v>
      </c>
      <c r="U648" s="3"/>
      <c r="V648" s="3" t="s">
        <v>41</v>
      </c>
      <c r="W648" s="3">
        <v>303.95999999999998</v>
      </c>
      <c r="X648" s="3">
        <v>227.97</v>
      </c>
      <c r="Y648" s="3">
        <v>53.19</v>
      </c>
      <c r="Z648" s="3">
        <v>22.8</v>
      </c>
      <c r="AA648" s="3">
        <v>0</v>
      </c>
    </row>
    <row r="649" spans="1:27" ht="36.75" x14ac:dyDescent="0.25">
      <c r="A649" s="3" t="s">
        <v>28</v>
      </c>
      <c r="B649" s="3" t="s">
        <v>29</v>
      </c>
      <c r="C649" s="3" t="s">
        <v>30</v>
      </c>
      <c r="D649" s="3" t="s">
        <v>47</v>
      </c>
      <c r="E649" s="3" t="s">
        <v>132</v>
      </c>
      <c r="F649" s="3" t="s">
        <v>710</v>
      </c>
      <c r="G649" s="3">
        <v>2025</v>
      </c>
      <c r="H649" s="3" t="str">
        <f>CONCATENATE("54240663234")</f>
        <v>54240663234</v>
      </c>
      <c r="I649" s="3" t="s">
        <v>34</v>
      </c>
      <c r="J649" s="3" t="s">
        <v>35</v>
      </c>
      <c r="K649" s="3"/>
      <c r="L649" s="3" t="s">
        <v>36</v>
      </c>
      <c r="M649" s="3" t="str">
        <f>CONCATENATE("01956360430")</f>
        <v>01956360430</v>
      </c>
      <c r="N649" s="3" t="s">
        <v>772</v>
      </c>
      <c r="O649" s="3" t="s">
        <v>38</v>
      </c>
      <c r="P649" s="3"/>
      <c r="Q649" s="4">
        <v>45968</v>
      </c>
      <c r="R649" s="3" t="s">
        <v>39</v>
      </c>
      <c r="S649" s="3" t="s">
        <v>38</v>
      </c>
      <c r="T649" s="3" t="s">
        <v>40</v>
      </c>
      <c r="U649" s="3"/>
      <c r="V649" s="3" t="s">
        <v>41</v>
      </c>
      <c r="W649" s="5">
        <v>2552.41</v>
      </c>
      <c r="X649" s="5">
        <v>1914.31</v>
      </c>
      <c r="Y649" s="3">
        <v>446.67</v>
      </c>
      <c r="Z649" s="3">
        <v>191.43</v>
      </c>
      <c r="AA649" s="3">
        <v>0</v>
      </c>
    </row>
    <row r="650" spans="1:27" ht="36.75" x14ac:dyDescent="0.25">
      <c r="A650" s="3" t="s">
        <v>28</v>
      </c>
      <c r="B650" s="3" t="s">
        <v>29</v>
      </c>
      <c r="C650" s="3" t="s">
        <v>30</v>
      </c>
      <c r="D650" s="3" t="s">
        <v>65</v>
      </c>
      <c r="E650" s="3" t="s">
        <v>767</v>
      </c>
      <c r="F650" s="3" t="s">
        <v>768</v>
      </c>
      <c r="G650" s="3">
        <v>2025</v>
      </c>
      <c r="H650" s="3" t="str">
        <f>CONCATENATE("54240665494")</f>
        <v>54240665494</v>
      </c>
      <c r="I650" s="3" t="s">
        <v>34</v>
      </c>
      <c r="J650" s="3" t="s">
        <v>35</v>
      </c>
      <c r="K650" s="3"/>
      <c r="L650" s="3" t="s">
        <v>36</v>
      </c>
      <c r="M650" s="3" t="str">
        <f>CONCATENATE("02795820410")</f>
        <v>02795820410</v>
      </c>
      <c r="N650" s="3" t="s">
        <v>773</v>
      </c>
      <c r="O650" s="3" t="s">
        <v>38</v>
      </c>
      <c r="P650" s="3"/>
      <c r="Q650" s="4">
        <v>45968</v>
      </c>
      <c r="R650" s="3" t="s">
        <v>39</v>
      </c>
      <c r="S650" s="3" t="s">
        <v>38</v>
      </c>
      <c r="T650" s="3" t="s">
        <v>40</v>
      </c>
      <c r="U650" s="3"/>
      <c r="V650" s="3" t="s">
        <v>41</v>
      </c>
      <c r="W650" s="3">
        <v>431.69</v>
      </c>
      <c r="X650" s="3">
        <v>323.77</v>
      </c>
      <c r="Y650" s="3">
        <v>75.55</v>
      </c>
      <c r="Z650" s="3">
        <v>32.369999999999997</v>
      </c>
      <c r="AA650" s="3">
        <v>0</v>
      </c>
    </row>
    <row r="651" spans="1:27" ht="60.75" x14ac:dyDescent="0.25">
      <c r="A651" s="3" t="s">
        <v>28</v>
      </c>
      <c r="B651" s="3" t="s">
        <v>29</v>
      </c>
      <c r="C651" s="3" t="s">
        <v>30</v>
      </c>
      <c r="D651" s="3" t="s">
        <v>65</v>
      </c>
      <c r="E651" s="3" t="s">
        <v>767</v>
      </c>
      <c r="F651" s="3" t="s">
        <v>768</v>
      </c>
      <c r="G651" s="3">
        <v>2025</v>
      </c>
      <c r="H651" s="3" t="str">
        <f>CONCATENATE("54240668720")</f>
        <v>54240668720</v>
      </c>
      <c r="I651" s="3" t="s">
        <v>44</v>
      </c>
      <c r="J651" s="3" t="s">
        <v>35</v>
      </c>
      <c r="K651" s="3"/>
      <c r="L651" s="3" t="s">
        <v>36</v>
      </c>
      <c r="M651" s="3" t="str">
        <f>CONCATENATE("CRBSNT97R52L500U")</f>
        <v>CRBSNT97R52L500U</v>
      </c>
      <c r="N651" s="3" t="s">
        <v>774</v>
      </c>
      <c r="O651" s="3" t="s">
        <v>38</v>
      </c>
      <c r="P651" s="3"/>
      <c r="Q651" s="4">
        <v>45968</v>
      </c>
      <c r="R651" s="3" t="s">
        <v>39</v>
      </c>
      <c r="S651" s="3" t="s">
        <v>38</v>
      </c>
      <c r="T651" s="3" t="s">
        <v>40</v>
      </c>
      <c r="U651" s="3"/>
      <c r="V651" s="3" t="s">
        <v>41</v>
      </c>
      <c r="W651" s="5">
        <v>5429.62</v>
      </c>
      <c r="X651" s="5">
        <v>4072.22</v>
      </c>
      <c r="Y651" s="3">
        <v>950.18</v>
      </c>
      <c r="Z651" s="3">
        <v>407.22</v>
      </c>
      <c r="AA651" s="3">
        <v>0</v>
      </c>
    </row>
    <row r="652" spans="1:27" ht="36.75" x14ac:dyDescent="0.25">
      <c r="A652" s="3" t="s">
        <v>28</v>
      </c>
      <c r="B652" s="3" t="s">
        <v>29</v>
      </c>
      <c r="C652" s="3" t="s">
        <v>30</v>
      </c>
      <c r="D652" s="3" t="s">
        <v>42</v>
      </c>
      <c r="E652" s="3" t="s">
        <v>32</v>
      </c>
      <c r="F652" s="3" t="s">
        <v>322</v>
      </c>
      <c r="G652" s="3">
        <v>2025</v>
      </c>
      <c r="H652" s="3" t="str">
        <f>CONCATENATE("54240671005")</f>
        <v>54240671005</v>
      </c>
      <c r="I652" s="3" t="s">
        <v>34</v>
      </c>
      <c r="J652" s="3" t="s">
        <v>35</v>
      </c>
      <c r="K652" s="3"/>
      <c r="L652" s="3" t="s">
        <v>36</v>
      </c>
      <c r="M652" s="3" t="str">
        <f>CONCATENATE("01146920440")</f>
        <v>01146920440</v>
      </c>
      <c r="N652" s="3" t="s">
        <v>775</v>
      </c>
      <c r="O652" s="3" t="s">
        <v>38</v>
      </c>
      <c r="P652" s="3"/>
      <c r="Q652" s="4">
        <v>45968</v>
      </c>
      <c r="R652" s="3" t="s">
        <v>39</v>
      </c>
      <c r="S652" s="3" t="s">
        <v>38</v>
      </c>
      <c r="T652" s="3" t="s">
        <v>40</v>
      </c>
      <c r="U652" s="3"/>
      <c r="V652" s="3" t="s">
        <v>41</v>
      </c>
      <c r="W652" s="3">
        <v>20.5</v>
      </c>
      <c r="X652" s="3">
        <v>15.38</v>
      </c>
      <c r="Y652" s="3">
        <v>3.59</v>
      </c>
      <c r="Z652" s="3">
        <v>1.53</v>
      </c>
      <c r="AA652" s="3">
        <v>0</v>
      </c>
    </row>
    <row r="653" spans="1:27" ht="60.75" x14ac:dyDescent="0.25">
      <c r="A653" s="3" t="s">
        <v>28</v>
      </c>
      <c r="B653" s="3" t="s">
        <v>29</v>
      </c>
      <c r="C653" s="3" t="s">
        <v>30</v>
      </c>
      <c r="D653" s="3" t="s">
        <v>47</v>
      </c>
      <c r="E653" s="3" t="s">
        <v>48</v>
      </c>
      <c r="F653" s="3" t="s">
        <v>776</v>
      </c>
      <c r="G653" s="3">
        <v>2025</v>
      </c>
      <c r="H653" s="3" t="str">
        <f>CONCATENATE("54240669496")</f>
        <v>54240669496</v>
      </c>
      <c r="I653" s="3" t="s">
        <v>34</v>
      </c>
      <c r="J653" s="3" t="s">
        <v>35</v>
      </c>
      <c r="K653" s="3"/>
      <c r="L653" s="3" t="s">
        <v>36</v>
      </c>
      <c r="M653" s="3" t="str">
        <f>CONCATENATE("LCRVLR39M01H876I")</f>
        <v>LCRVLR39M01H876I</v>
      </c>
      <c r="N653" s="3" t="s">
        <v>777</v>
      </c>
      <c r="O653" s="3" t="s">
        <v>38</v>
      </c>
      <c r="P653" s="3"/>
      <c r="Q653" s="4">
        <v>45968</v>
      </c>
      <c r="R653" s="3" t="s">
        <v>39</v>
      </c>
      <c r="S653" s="3" t="s">
        <v>38</v>
      </c>
      <c r="T653" s="3" t="s">
        <v>40</v>
      </c>
      <c r="U653" s="3"/>
      <c r="V653" s="3" t="s">
        <v>41</v>
      </c>
      <c r="W653" s="5">
        <v>3573.94</v>
      </c>
      <c r="X653" s="5">
        <v>2680.46</v>
      </c>
      <c r="Y653" s="3">
        <v>625.44000000000005</v>
      </c>
      <c r="Z653" s="3">
        <v>268.04000000000002</v>
      </c>
      <c r="AA653" s="3">
        <v>0</v>
      </c>
    </row>
    <row r="654" spans="1:27" ht="60.75" x14ac:dyDescent="0.25">
      <c r="A654" s="3" t="s">
        <v>28</v>
      </c>
      <c r="B654" s="3" t="s">
        <v>29</v>
      </c>
      <c r="C654" s="3" t="s">
        <v>30</v>
      </c>
      <c r="D654" s="3" t="s">
        <v>31</v>
      </c>
      <c r="E654" s="3" t="s">
        <v>767</v>
      </c>
      <c r="F654" s="3" t="s">
        <v>768</v>
      </c>
      <c r="G654" s="3">
        <v>2025</v>
      </c>
      <c r="H654" s="3" t="str">
        <f>CONCATENATE("54240670098")</f>
        <v>54240670098</v>
      </c>
      <c r="I654" s="3" t="s">
        <v>34</v>
      </c>
      <c r="J654" s="3" t="s">
        <v>35</v>
      </c>
      <c r="K654" s="3"/>
      <c r="L654" s="3" t="s">
        <v>36</v>
      </c>
      <c r="M654" s="3" t="str">
        <f>CONCATENATE("RBNMLR55P50B352D")</f>
        <v>RBNMLR55P50B352D</v>
      </c>
      <c r="N654" s="3" t="s">
        <v>778</v>
      </c>
      <c r="O654" s="3" t="s">
        <v>38</v>
      </c>
      <c r="P654" s="3"/>
      <c r="Q654" s="4">
        <v>45968</v>
      </c>
      <c r="R654" s="3" t="s">
        <v>39</v>
      </c>
      <c r="S654" s="3" t="s">
        <v>38</v>
      </c>
      <c r="T654" s="3" t="s">
        <v>40</v>
      </c>
      <c r="U654" s="3"/>
      <c r="V654" s="3" t="s">
        <v>41</v>
      </c>
      <c r="W654" s="5">
        <v>6502.56</v>
      </c>
      <c r="X654" s="5">
        <v>4876.92</v>
      </c>
      <c r="Y654" s="5">
        <v>1137.95</v>
      </c>
      <c r="Z654" s="3">
        <v>487.69</v>
      </c>
      <c r="AA654" s="3">
        <v>0</v>
      </c>
    </row>
    <row r="655" spans="1:27" ht="36.75" x14ac:dyDescent="0.25">
      <c r="A655" s="3" t="s">
        <v>28</v>
      </c>
      <c r="B655" s="3" t="s">
        <v>29</v>
      </c>
      <c r="C655" s="3" t="s">
        <v>30</v>
      </c>
      <c r="D655" s="3" t="s">
        <v>31</v>
      </c>
      <c r="E655" s="3" t="s">
        <v>779</v>
      </c>
      <c r="F655" s="3" t="s">
        <v>780</v>
      </c>
      <c r="G655" s="3">
        <v>2025</v>
      </c>
      <c r="H655" s="3" t="str">
        <f>CONCATENATE("54240670551")</f>
        <v>54240670551</v>
      </c>
      <c r="I655" s="3" t="s">
        <v>34</v>
      </c>
      <c r="J655" s="3" t="s">
        <v>35</v>
      </c>
      <c r="K655" s="3"/>
      <c r="L655" s="3" t="s">
        <v>36</v>
      </c>
      <c r="M655" s="3" t="str">
        <f>CONCATENATE("01760910511")</f>
        <v>01760910511</v>
      </c>
      <c r="N655" s="3" t="s">
        <v>781</v>
      </c>
      <c r="O655" s="3" t="s">
        <v>38</v>
      </c>
      <c r="P655" s="3"/>
      <c r="Q655" s="4">
        <v>45968</v>
      </c>
      <c r="R655" s="3" t="s">
        <v>39</v>
      </c>
      <c r="S655" s="3" t="s">
        <v>38</v>
      </c>
      <c r="T655" s="3" t="s">
        <v>40</v>
      </c>
      <c r="U655" s="3"/>
      <c r="V655" s="3" t="s">
        <v>41</v>
      </c>
      <c r="W655" s="5">
        <v>1261.76</v>
      </c>
      <c r="X655" s="3">
        <v>946.32</v>
      </c>
      <c r="Y655" s="3">
        <v>220.81</v>
      </c>
      <c r="Z655" s="3">
        <v>94.63</v>
      </c>
      <c r="AA655" s="3">
        <v>0</v>
      </c>
    </row>
    <row r="656" spans="1:27" ht="36.75" x14ac:dyDescent="0.25">
      <c r="A656" s="3" t="s">
        <v>28</v>
      </c>
      <c r="B656" s="3" t="s">
        <v>29</v>
      </c>
      <c r="C656" s="3" t="s">
        <v>30</v>
      </c>
      <c r="D656" s="3" t="s">
        <v>42</v>
      </c>
      <c r="E656" s="3" t="s">
        <v>43</v>
      </c>
      <c r="F656" s="3" t="s">
        <v>43</v>
      </c>
      <c r="G656" s="3">
        <v>2025</v>
      </c>
      <c r="H656" s="3" t="str">
        <f>CONCATENATE("54240671187")</f>
        <v>54240671187</v>
      </c>
      <c r="I656" s="3" t="s">
        <v>34</v>
      </c>
      <c r="J656" s="3" t="s">
        <v>35</v>
      </c>
      <c r="K656" s="3"/>
      <c r="L656" s="3" t="s">
        <v>36</v>
      </c>
      <c r="M656" s="3" t="str">
        <f>CONCATENATE("01511110445")</f>
        <v>01511110445</v>
      </c>
      <c r="N656" s="3" t="s">
        <v>782</v>
      </c>
      <c r="O656" s="3" t="s">
        <v>38</v>
      </c>
      <c r="P656" s="3"/>
      <c r="Q656" s="4">
        <v>45968</v>
      </c>
      <c r="R656" s="3" t="s">
        <v>39</v>
      </c>
      <c r="S656" s="3" t="s">
        <v>38</v>
      </c>
      <c r="T656" s="3" t="s">
        <v>40</v>
      </c>
      <c r="U656" s="3"/>
      <c r="V656" s="3" t="s">
        <v>41</v>
      </c>
      <c r="W656" s="5">
        <v>80652.22</v>
      </c>
      <c r="X656" s="5">
        <v>60489.17</v>
      </c>
      <c r="Y656" s="5">
        <v>14114.14</v>
      </c>
      <c r="Z656" s="5">
        <v>6048.91</v>
      </c>
      <c r="AA656" s="3">
        <v>0</v>
      </c>
    </row>
    <row r="657" spans="1:27" ht="72.75" x14ac:dyDescent="0.25">
      <c r="A657" s="3" t="s">
        <v>28</v>
      </c>
      <c r="B657" s="3" t="s">
        <v>29</v>
      </c>
      <c r="C657" s="3" t="s">
        <v>30</v>
      </c>
      <c r="D657" s="3" t="s">
        <v>47</v>
      </c>
      <c r="E657" s="3" t="s">
        <v>60</v>
      </c>
      <c r="F657" s="3" t="s">
        <v>81</v>
      </c>
      <c r="G657" s="3">
        <v>2025</v>
      </c>
      <c r="H657" s="3" t="str">
        <f>CONCATENATE("54240671906")</f>
        <v>54240671906</v>
      </c>
      <c r="I657" s="3" t="s">
        <v>34</v>
      </c>
      <c r="J657" s="3" t="s">
        <v>35</v>
      </c>
      <c r="K657" s="3"/>
      <c r="L657" s="3" t="s">
        <v>36</v>
      </c>
      <c r="M657" s="3" t="str">
        <f>CONCATENATE("FLCMRC75R08D542V")</f>
        <v>FLCMRC75R08D542V</v>
      </c>
      <c r="N657" s="3" t="s">
        <v>783</v>
      </c>
      <c r="O657" s="3" t="s">
        <v>38</v>
      </c>
      <c r="P657" s="3"/>
      <c r="Q657" s="4">
        <v>45968</v>
      </c>
      <c r="R657" s="3" t="s">
        <v>39</v>
      </c>
      <c r="S657" s="3" t="s">
        <v>38</v>
      </c>
      <c r="T657" s="3" t="s">
        <v>40</v>
      </c>
      <c r="U657" s="3"/>
      <c r="V657" s="3" t="s">
        <v>41</v>
      </c>
      <c r="W657" s="5">
        <v>2827.82</v>
      </c>
      <c r="X657" s="5">
        <v>2120.87</v>
      </c>
      <c r="Y657" s="3">
        <v>494.87</v>
      </c>
      <c r="Z657" s="3">
        <v>212.08</v>
      </c>
      <c r="AA657" s="3">
        <v>0</v>
      </c>
    </row>
    <row r="658" spans="1:27" ht="36.75" x14ac:dyDescent="0.25">
      <c r="A658" s="3" t="s">
        <v>28</v>
      </c>
      <c r="B658" s="3" t="s">
        <v>29</v>
      </c>
      <c r="C658" s="3" t="s">
        <v>30</v>
      </c>
      <c r="D658" s="3" t="s">
        <v>65</v>
      </c>
      <c r="E658" s="3" t="s">
        <v>767</v>
      </c>
      <c r="F658" s="3" t="s">
        <v>768</v>
      </c>
      <c r="G658" s="3">
        <v>2025</v>
      </c>
      <c r="H658" s="3" t="str">
        <f>CONCATENATE("54240673001")</f>
        <v>54240673001</v>
      </c>
      <c r="I658" s="3" t="s">
        <v>34</v>
      </c>
      <c r="J658" s="3" t="s">
        <v>35</v>
      </c>
      <c r="K658" s="3"/>
      <c r="L658" s="3" t="s">
        <v>36</v>
      </c>
      <c r="M658" s="3" t="str">
        <f>CONCATENATE("02854230410")</f>
        <v>02854230410</v>
      </c>
      <c r="N658" s="3" t="s">
        <v>784</v>
      </c>
      <c r="O658" s="3" t="s">
        <v>38</v>
      </c>
      <c r="P658" s="3"/>
      <c r="Q658" s="4">
        <v>45968</v>
      </c>
      <c r="R658" s="3" t="s">
        <v>39</v>
      </c>
      <c r="S658" s="3" t="s">
        <v>38</v>
      </c>
      <c r="T658" s="3" t="s">
        <v>40</v>
      </c>
      <c r="U658" s="3"/>
      <c r="V658" s="3" t="s">
        <v>41</v>
      </c>
      <c r="W658" s="5">
        <v>9481.86</v>
      </c>
      <c r="X658" s="5">
        <v>7111.4</v>
      </c>
      <c r="Y658" s="5">
        <v>1659.33</v>
      </c>
      <c r="Z658" s="3">
        <v>711.13</v>
      </c>
      <c r="AA658" s="3">
        <v>0</v>
      </c>
    </row>
    <row r="659" spans="1:27" ht="60.75" x14ac:dyDescent="0.25">
      <c r="A659" s="3" t="s">
        <v>28</v>
      </c>
      <c r="B659" s="3" t="s">
        <v>29</v>
      </c>
      <c r="C659" s="3" t="s">
        <v>30</v>
      </c>
      <c r="D659" s="3" t="s">
        <v>47</v>
      </c>
      <c r="E659" s="3" t="s">
        <v>48</v>
      </c>
      <c r="F659" s="3" t="s">
        <v>79</v>
      </c>
      <c r="G659" s="3">
        <v>2025</v>
      </c>
      <c r="H659" s="3" t="str">
        <f>CONCATENATE("54240674256")</f>
        <v>54240674256</v>
      </c>
      <c r="I659" s="3" t="s">
        <v>34</v>
      </c>
      <c r="J659" s="3" t="s">
        <v>35</v>
      </c>
      <c r="K659" s="3"/>
      <c r="L659" s="3" t="s">
        <v>36</v>
      </c>
      <c r="M659" s="3" t="str">
        <f>CONCATENATE("FGLDMZ51R04F567L")</f>
        <v>FGLDMZ51R04F567L</v>
      </c>
      <c r="N659" s="3" t="s">
        <v>785</v>
      </c>
      <c r="O659" s="3" t="s">
        <v>38</v>
      </c>
      <c r="P659" s="3"/>
      <c r="Q659" s="4">
        <v>45968</v>
      </c>
      <c r="R659" s="3" t="s">
        <v>39</v>
      </c>
      <c r="S659" s="3" t="s">
        <v>38</v>
      </c>
      <c r="T659" s="3" t="s">
        <v>40</v>
      </c>
      <c r="U659" s="3"/>
      <c r="V659" s="3" t="s">
        <v>41</v>
      </c>
      <c r="W659" s="5">
        <v>19844.599999999999</v>
      </c>
      <c r="X659" s="5">
        <v>14883.45</v>
      </c>
      <c r="Y659" s="5">
        <v>3472.81</v>
      </c>
      <c r="Z659" s="5">
        <v>1488.34</v>
      </c>
      <c r="AA659" s="3">
        <v>0</v>
      </c>
    </row>
    <row r="660" spans="1:27" ht="72.75" x14ac:dyDescent="0.25">
      <c r="A660" s="3" t="s">
        <v>28</v>
      </c>
      <c r="B660" s="3" t="s">
        <v>29</v>
      </c>
      <c r="C660" s="3" t="s">
        <v>30</v>
      </c>
      <c r="D660" s="3" t="s">
        <v>65</v>
      </c>
      <c r="E660" s="3" t="s">
        <v>767</v>
      </c>
      <c r="F660" s="3" t="s">
        <v>768</v>
      </c>
      <c r="G660" s="3">
        <v>2025</v>
      </c>
      <c r="H660" s="3" t="str">
        <f>CONCATENATE("54240657327")</f>
        <v>54240657327</v>
      </c>
      <c r="I660" s="3" t="s">
        <v>34</v>
      </c>
      <c r="J660" s="3" t="s">
        <v>35</v>
      </c>
      <c r="K660" s="3"/>
      <c r="L660" s="3" t="s">
        <v>36</v>
      </c>
      <c r="M660" s="3" t="str">
        <f>CONCATENATE("BRCFRC73D43G479O")</f>
        <v>BRCFRC73D43G479O</v>
      </c>
      <c r="N660" s="3" t="s">
        <v>786</v>
      </c>
      <c r="O660" s="3" t="s">
        <v>38</v>
      </c>
      <c r="P660" s="3"/>
      <c r="Q660" s="4">
        <v>45968</v>
      </c>
      <c r="R660" s="3" t="s">
        <v>39</v>
      </c>
      <c r="S660" s="3" t="s">
        <v>38</v>
      </c>
      <c r="T660" s="3" t="s">
        <v>40</v>
      </c>
      <c r="U660" s="3"/>
      <c r="V660" s="3" t="s">
        <v>41</v>
      </c>
      <c r="W660" s="5">
        <v>2348.7800000000002</v>
      </c>
      <c r="X660" s="5">
        <v>1761.59</v>
      </c>
      <c r="Y660" s="3">
        <v>411.04</v>
      </c>
      <c r="Z660" s="3">
        <v>176.15</v>
      </c>
      <c r="AA660" s="3">
        <v>0</v>
      </c>
    </row>
    <row r="661" spans="1:27" ht="60.75" x14ac:dyDescent="0.25">
      <c r="A661" s="3" t="s">
        <v>28</v>
      </c>
      <c r="B661" s="3" t="s">
        <v>29</v>
      </c>
      <c r="C661" s="3" t="s">
        <v>30</v>
      </c>
      <c r="D661" s="3" t="s">
        <v>65</v>
      </c>
      <c r="E661" s="3" t="s">
        <v>60</v>
      </c>
      <c r="F661" s="3" t="s">
        <v>85</v>
      </c>
      <c r="G661" s="3">
        <v>2025</v>
      </c>
      <c r="H661" s="3" t="str">
        <f>CONCATENATE("54240662608")</f>
        <v>54240662608</v>
      </c>
      <c r="I661" s="3" t="s">
        <v>34</v>
      </c>
      <c r="J661" s="3" t="s">
        <v>35</v>
      </c>
      <c r="K661" s="3"/>
      <c r="L661" s="3" t="s">
        <v>36</v>
      </c>
      <c r="M661" s="3" t="str">
        <f>CONCATENATE("CCCLCU79M69D488C")</f>
        <v>CCCLCU79M69D488C</v>
      </c>
      <c r="N661" s="3" t="s">
        <v>787</v>
      </c>
      <c r="O661" s="3" t="s">
        <v>38</v>
      </c>
      <c r="P661" s="3"/>
      <c r="Q661" s="4">
        <v>45968</v>
      </c>
      <c r="R661" s="3" t="s">
        <v>39</v>
      </c>
      <c r="S661" s="3" t="s">
        <v>38</v>
      </c>
      <c r="T661" s="3" t="s">
        <v>40</v>
      </c>
      <c r="U661" s="3"/>
      <c r="V661" s="3" t="s">
        <v>41</v>
      </c>
      <c r="W661" s="5">
        <v>1329.55</v>
      </c>
      <c r="X661" s="3">
        <v>997.16</v>
      </c>
      <c r="Y661" s="3">
        <v>232.67</v>
      </c>
      <c r="Z661" s="3">
        <v>99.72</v>
      </c>
      <c r="AA661" s="3">
        <v>0</v>
      </c>
    </row>
    <row r="662" spans="1:27" ht="60.75" x14ac:dyDescent="0.25">
      <c r="A662" s="3" t="s">
        <v>28</v>
      </c>
      <c r="B662" s="3" t="s">
        <v>29</v>
      </c>
      <c r="C662" s="3" t="s">
        <v>30</v>
      </c>
      <c r="D662" s="3" t="s">
        <v>47</v>
      </c>
      <c r="E662" s="3" t="s">
        <v>132</v>
      </c>
      <c r="F662" s="3" t="s">
        <v>133</v>
      </c>
      <c r="G662" s="3">
        <v>2025</v>
      </c>
      <c r="H662" s="3" t="str">
        <f>CONCATENATE("54240666427")</f>
        <v>54240666427</v>
      </c>
      <c r="I662" s="3" t="s">
        <v>34</v>
      </c>
      <c r="J662" s="3" t="s">
        <v>35</v>
      </c>
      <c r="K662" s="3"/>
      <c r="L662" s="3" t="s">
        <v>36</v>
      </c>
      <c r="M662" s="3" t="str">
        <f>CONCATENATE("CSRCLD80D09E388V")</f>
        <v>CSRCLD80D09E388V</v>
      </c>
      <c r="N662" s="3" t="s">
        <v>788</v>
      </c>
      <c r="O662" s="3" t="s">
        <v>38</v>
      </c>
      <c r="P662" s="3"/>
      <c r="Q662" s="4">
        <v>45968</v>
      </c>
      <c r="R662" s="3" t="s">
        <v>39</v>
      </c>
      <c r="S662" s="3" t="s">
        <v>38</v>
      </c>
      <c r="T662" s="3" t="s">
        <v>40</v>
      </c>
      <c r="U662" s="3"/>
      <c r="V662" s="3" t="s">
        <v>41</v>
      </c>
      <c r="W662" s="5">
        <v>3405.23</v>
      </c>
      <c r="X662" s="5">
        <v>2553.92</v>
      </c>
      <c r="Y662" s="3">
        <v>595.91999999999996</v>
      </c>
      <c r="Z662" s="3">
        <v>255.39</v>
      </c>
      <c r="AA662" s="3">
        <v>0</v>
      </c>
    </row>
    <row r="663" spans="1:27" ht="72.75" x14ac:dyDescent="0.25">
      <c r="A663" s="3" t="s">
        <v>28</v>
      </c>
      <c r="B663" s="3" t="s">
        <v>29</v>
      </c>
      <c r="C663" s="3" t="s">
        <v>30</v>
      </c>
      <c r="D663" s="3" t="s">
        <v>42</v>
      </c>
      <c r="E663" s="3" t="s">
        <v>154</v>
      </c>
      <c r="F663" s="3" t="s">
        <v>155</v>
      </c>
      <c r="G663" s="3">
        <v>2025</v>
      </c>
      <c r="H663" s="3" t="str">
        <f>CONCATENATE("54240665270")</f>
        <v>54240665270</v>
      </c>
      <c r="I663" s="3" t="s">
        <v>44</v>
      </c>
      <c r="J663" s="3" t="s">
        <v>35</v>
      </c>
      <c r="K663" s="3"/>
      <c r="L663" s="3" t="s">
        <v>36</v>
      </c>
      <c r="M663" s="3" t="str">
        <f>CONCATENATE("MNCTMS85M23A462G")</f>
        <v>MNCTMS85M23A462G</v>
      </c>
      <c r="N663" s="3" t="s">
        <v>789</v>
      </c>
      <c r="O663" s="3" t="s">
        <v>38</v>
      </c>
      <c r="P663" s="3"/>
      <c r="Q663" s="4">
        <v>45968</v>
      </c>
      <c r="R663" s="3" t="s">
        <v>39</v>
      </c>
      <c r="S663" s="3" t="s">
        <v>38</v>
      </c>
      <c r="T663" s="3" t="s">
        <v>40</v>
      </c>
      <c r="U663" s="3"/>
      <c r="V663" s="3" t="s">
        <v>41</v>
      </c>
      <c r="W663" s="5">
        <v>5061.67</v>
      </c>
      <c r="X663" s="5">
        <v>3796.25</v>
      </c>
      <c r="Y663" s="3">
        <v>885.79</v>
      </c>
      <c r="Z663" s="3">
        <v>379.63</v>
      </c>
      <c r="AA663" s="3">
        <v>0</v>
      </c>
    </row>
    <row r="664" spans="1:27" ht="60.75" x14ac:dyDescent="0.25">
      <c r="A664" s="3" t="s">
        <v>28</v>
      </c>
      <c r="B664" s="3" t="s">
        <v>29</v>
      </c>
      <c r="C664" s="3" t="s">
        <v>30</v>
      </c>
      <c r="D664" s="3" t="s">
        <v>31</v>
      </c>
      <c r="E664" s="3" t="s">
        <v>32</v>
      </c>
      <c r="F664" s="3" t="s">
        <v>621</v>
      </c>
      <c r="G664" s="3">
        <v>2025</v>
      </c>
      <c r="H664" s="3" t="str">
        <f>CONCATENATE("54240520780")</f>
        <v>54240520780</v>
      </c>
      <c r="I664" s="3" t="s">
        <v>34</v>
      </c>
      <c r="J664" s="3" t="s">
        <v>35</v>
      </c>
      <c r="K664" s="3"/>
      <c r="L664" s="3" t="s">
        <v>36</v>
      </c>
      <c r="M664" s="3" t="str">
        <f>CONCATENATE("CVTGNN83S55I608R")</f>
        <v>CVTGNN83S55I608R</v>
      </c>
      <c r="N664" s="3" t="s">
        <v>790</v>
      </c>
      <c r="O664" s="3" t="s">
        <v>38</v>
      </c>
      <c r="P664" s="3"/>
      <c r="Q664" s="4">
        <v>45968</v>
      </c>
      <c r="R664" s="3" t="s">
        <v>39</v>
      </c>
      <c r="S664" s="3" t="s">
        <v>38</v>
      </c>
      <c r="T664" s="3" t="s">
        <v>40</v>
      </c>
      <c r="U664" s="3"/>
      <c r="V664" s="3" t="s">
        <v>41</v>
      </c>
      <c r="W664" s="5">
        <v>1042.97</v>
      </c>
      <c r="X664" s="3">
        <v>782.23</v>
      </c>
      <c r="Y664" s="3">
        <v>182.52</v>
      </c>
      <c r="Z664" s="3">
        <v>78.22</v>
      </c>
      <c r="AA664" s="3">
        <v>0</v>
      </c>
    </row>
    <row r="665" spans="1:27" ht="72.75" x14ac:dyDescent="0.25">
      <c r="A665" s="3" t="s">
        <v>28</v>
      </c>
      <c r="B665" s="3" t="s">
        <v>29</v>
      </c>
      <c r="C665" s="3" t="s">
        <v>30</v>
      </c>
      <c r="D665" s="3" t="s">
        <v>31</v>
      </c>
      <c r="E665" s="3" t="s">
        <v>32</v>
      </c>
      <c r="F665" s="3" t="s">
        <v>621</v>
      </c>
      <c r="G665" s="3">
        <v>2025</v>
      </c>
      <c r="H665" s="3" t="str">
        <f>CONCATENATE("54240522893")</f>
        <v>54240522893</v>
      </c>
      <c r="I665" s="3" t="s">
        <v>34</v>
      </c>
      <c r="J665" s="3" t="s">
        <v>35</v>
      </c>
      <c r="K665" s="3"/>
      <c r="L665" s="3" t="s">
        <v>36</v>
      </c>
      <c r="M665" s="3" t="str">
        <f>CONCATENATE("BNGGMR62M25E514Q")</f>
        <v>BNGGMR62M25E514Q</v>
      </c>
      <c r="N665" s="3" t="s">
        <v>791</v>
      </c>
      <c r="O665" s="3" t="s">
        <v>38</v>
      </c>
      <c r="P665" s="3"/>
      <c r="Q665" s="4">
        <v>45968</v>
      </c>
      <c r="R665" s="3" t="s">
        <v>39</v>
      </c>
      <c r="S665" s="3" t="s">
        <v>38</v>
      </c>
      <c r="T665" s="3" t="s">
        <v>40</v>
      </c>
      <c r="U665" s="3"/>
      <c r="V665" s="3" t="s">
        <v>41</v>
      </c>
      <c r="W665" s="5">
        <v>3855.87</v>
      </c>
      <c r="X665" s="5">
        <v>2891.9</v>
      </c>
      <c r="Y665" s="3">
        <v>674.78</v>
      </c>
      <c r="Z665" s="3">
        <v>289.19</v>
      </c>
      <c r="AA665" s="3">
        <v>0</v>
      </c>
    </row>
    <row r="666" spans="1:27" ht="60.75" x14ac:dyDescent="0.25">
      <c r="A666" s="3" t="s">
        <v>28</v>
      </c>
      <c r="B666" s="3" t="s">
        <v>29</v>
      </c>
      <c r="C666" s="3" t="s">
        <v>30</v>
      </c>
      <c r="D666" s="3" t="s">
        <v>47</v>
      </c>
      <c r="E666" s="3" t="s">
        <v>51</v>
      </c>
      <c r="F666" s="3" t="s">
        <v>83</v>
      </c>
      <c r="G666" s="3">
        <v>2025</v>
      </c>
      <c r="H666" s="3" t="str">
        <f>CONCATENATE("54240663101")</f>
        <v>54240663101</v>
      </c>
      <c r="I666" s="3" t="s">
        <v>34</v>
      </c>
      <c r="J666" s="3" t="s">
        <v>35</v>
      </c>
      <c r="K666" s="3"/>
      <c r="L666" s="3" t="s">
        <v>36</v>
      </c>
      <c r="M666" s="3" t="str">
        <f>CONCATENATE("CPPGLN61S26F051Y")</f>
        <v>CPPGLN61S26F051Y</v>
      </c>
      <c r="N666" s="3" t="s">
        <v>792</v>
      </c>
      <c r="O666" s="3" t="s">
        <v>38</v>
      </c>
      <c r="P666" s="3"/>
      <c r="Q666" s="4">
        <v>45968</v>
      </c>
      <c r="R666" s="3" t="s">
        <v>39</v>
      </c>
      <c r="S666" s="3" t="s">
        <v>38</v>
      </c>
      <c r="T666" s="3" t="s">
        <v>40</v>
      </c>
      <c r="U666" s="3"/>
      <c r="V666" s="3" t="s">
        <v>41</v>
      </c>
      <c r="W666" s="5">
        <v>20919.580000000002</v>
      </c>
      <c r="X666" s="5">
        <v>15689.69</v>
      </c>
      <c r="Y666" s="5">
        <v>3660.93</v>
      </c>
      <c r="Z666" s="5">
        <v>1568.96</v>
      </c>
      <c r="AA666" s="3">
        <v>0</v>
      </c>
    </row>
    <row r="667" spans="1:27" ht="36.75" x14ac:dyDescent="0.25">
      <c r="A667" s="3" t="s">
        <v>28</v>
      </c>
      <c r="B667" s="3" t="s">
        <v>29</v>
      </c>
      <c r="C667" s="3" t="s">
        <v>30</v>
      </c>
      <c r="D667" s="3" t="s">
        <v>47</v>
      </c>
      <c r="E667" s="3" t="s">
        <v>51</v>
      </c>
      <c r="F667" s="3" t="s">
        <v>83</v>
      </c>
      <c r="G667" s="3">
        <v>2025</v>
      </c>
      <c r="H667" s="3" t="str">
        <f>CONCATENATE("54240665254")</f>
        <v>54240665254</v>
      </c>
      <c r="I667" s="3" t="s">
        <v>34</v>
      </c>
      <c r="J667" s="3" t="s">
        <v>35</v>
      </c>
      <c r="K667" s="3"/>
      <c r="L667" s="3" t="s">
        <v>36</v>
      </c>
      <c r="M667" s="3" t="str">
        <f>CONCATENATE("01297880435")</f>
        <v>01297880435</v>
      </c>
      <c r="N667" s="3" t="s">
        <v>793</v>
      </c>
      <c r="O667" s="3" t="s">
        <v>38</v>
      </c>
      <c r="P667" s="3"/>
      <c r="Q667" s="4">
        <v>45968</v>
      </c>
      <c r="R667" s="3" t="s">
        <v>39</v>
      </c>
      <c r="S667" s="3" t="s">
        <v>38</v>
      </c>
      <c r="T667" s="3" t="s">
        <v>40</v>
      </c>
      <c r="U667" s="3"/>
      <c r="V667" s="3" t="s">
        <v>41</v>
      </c>
      <c r="W667" s="5">
        <v>23400.57</v>
      </c>
      <c r="X667" s="5">
        <v>17550.43</v>
      </c>
      <c r="Y667" s="5">
        <v>4095.1</v>
      </c>
      <c r="Z667" s="5">
        <v>1755.04</v>
      </c>
      <c r="AA667" s="3">
        <v>0</v>
      </c>
    </row>
    <row r="668" spans="1:27" ht="60.75" x14ac:dyDescent="0.25">
      <c r="A668" s="3" t="s">
        <v>28</v>
      </c>
      <c r="B668" s="3" t="s">
        <v>29</v>
      </c>
      <c r="C668" s="3" t="s">
        <v>30</v>
      </c>
      <c r="D668" s="3" t="s">
        <v>42</v>
      </c>
      <c r="E668" s="3" t="s">
        <v>43</v>
      </c>
      <c r="F668" s="3" t="s">
        <v>43</v>
      </c>
      <c r="G668" s="3">
        <v>2025</v>
      </c>
      <c r="H668" s="3" t="str">
        <f>CONCATENATE("54240519733")</f>
        <v>54240519733</v>
      </c>
      <c r="I668" s="3" t="s">
        <v>34</v>
      </c>
      <c r="J668" s="3" t="s">
        <v>35</v>
      </c>
      <c r="K668" s="3"/>
      <c r="L668" s="3" t="s">
        <v>36</v>
      </c>
      <c r="M668" s="3" t="str">
        <f>CONCATENATE("SPNFNC56E03C321Q")</f>
        <v>SPNFNC56E03C321Q</v>
      </c>
      <c r="N668" s="3" t="s">
        <v>794</v>
      </c>
      <c r="O668" s="3" t="s">
        <v>38</v>
      </c>
      <c r="P668" s="3"/>
      <c r="Q668" s="4">
        <v>45968</v>
      </c>
      <c r="R668" s="3" t="s">
        <v>39</v>
      </c>
      <c r="S668" s="3" t="s">
        <v>38</v>
      </c>
      <c r="T668" s="3" t="s">
        <v>40</v>
      </c>
      <c r="U668" s="3"/>
      <c r="V668" s="3" t="s">
        <v>41</v>
      </c>
      <c r="W668" s="5">
        <v>8944.89</v>
      </c>
      <c r="X668" s="5">
        <v>6708.67</v>
      </c>
      <c r="Y668" s="5">
        <v>1565.36</v>
      </c>
      <c r="Z668" s="3">
        <v>670.86</v>
      </c>
      <c r="AA668" s="3">
        <v>0</v>
      </c>
    </row>
    <row r="669" spans="1:27" ht="60.75" x14ac:dyDescent="0.25">
      <c r="A669" s="3" t="s">
        <v>28</v>
      </c>
      <c r="B669" s="3" t="s">
        <v>29</v>
      </c>
      <c r="C669" s="3" t="s">
        <v>30</v>
      </c>
      <c r="D669" s="3" t="s">
        <v>47</v>
      </c>
      <c r="E669" s="3" t="s">
        <v>48</v>
      </c>
      <c r="F669" s="3" t="s">
        <v>249</v>
      </c>
      <c r="G669" s="3">
        <v>2025</v>
      </c>
      <c r="H669" s="3" t="str">
        <f>CONCATENATE("54240519915")</f>
        <v>54240519915</v>
      </c>
      <c r="I669" s="3" t="s">
        <v>34</v>
      </c>
      <c r="J669" s="3" t="s">
        <v>35</v>
      </c>
      <c r="K669" s="3"/>
      <c r="L669" s="3" t="s">
        <v>36</v>
      </c>
      <c r="M669" s="3" t="str">
        <f>CONCATENATE("BRNCST73L53I156E")</f>
        <v>BRNCST73L53I156E</v>
      </c>
      <c r="N669" s="3" t="s">
        <v>795</v>
      </c>
      <c r="O669" s="3" t="s">
        <v>38</v>
      </c>
      <c r="P669" s="3"/>
      <c r="Q669" s="4">
        <v>45968</v>
      </c>
      <c r="R669" s="3" t="s">
        <v>39</v>
      </c>
      <c r="S669" s="3" t="s">
        <v>38</v>
      </c>
      <c r="T669" s="3" t="s">
        <v>40</v>
      </c>
      <c r="U669" s="3"/>
      <c r="V669" s="3" t="s">
        <v>41</v>
      </c>
      <c r="W669" s="5">
        <v>3420.71</v>
      </c>
      <c r="X669" s="5">
        <v>2565.5300000000002</v>
      </c>
      <c r="Y669" s="3">
        <v>598.62</v>
      </c>
      <c r="Z669" s="3">
        <v>256.56</v>
      </c>
      <c r="AA669" s="3">
        <v>0</v>
      </c>
    </row>
    <row r="670" spans="1:27" ht="60.75" x14ac:dyDescent="0.25">
      <c r="A670" s="3" t="s">
        <v>28</v>
      </c>
      <c r="B670" s="3" t="s">
        <v>29</v>
      </c>
      <c r="C670" s="3" t="s">
        <v>30</v>
      </c>
      <c r="D670" s="3" t="s">
        <v>47</v>
      </c>
      <c r="E670" s="3" t="s">
        <v>48</v>
      </c>
      <c r="F670" s="3" t="s">
        <v>249</v>
      </c>
      <c r="G670" s="3">
        <v>2025</v>
      </c>
      <c r="H670" s="3" t="str">
        <f>CONCATENATE("54240520079")</f>
        <v>54240520079</v>
      </c>
      <c r="I670" s="3" t="s">
        <v>34</v>
      </c>
      <c r="J670" s="3" t="s">
        <v>35</v>
      </c>
      <c r="K670" s="3"/>
      <c r="L670" s="3" t="s">
        <v>36</v>
      </c>
      <c r="M670" s="3" t="str">
        <f>CONCATENATE("MSSMNL74M30E783O")</f>
        <v>MSSMNL74M30E783O</v>
      </c>
      <c r="N670" s="3" t="s">
        <v>796</v>
      </c>
      <c r="O670" s="3" t="s">
        <v>38</v>
      </c>
      <c r="P670" s="3"/>
      <c r="Q670" s="4">
        <v>45968</v>
      </c>
      <c r="R670" s="3" t="s">
        <v>39</v>
      </c>
      <c r="S670" s="3" t="s">
        <v>38</v>
      </c>
      <c r="T670" s="3" t="s">
        <v>40</v>
      </c>
      <c r="U670" s="3"/>
      <c r="V670" s="3" t="s">
        <v>41</v>
      </c>
      <c r="W670" s="5">
        <v>7055.78</v>
      </c>
      <c r="X670" s="5">
        <v>5291.84</v>
      </c>
      <c r="Y670" s="5">
        <v>1234.76</v>
      </c>
      <c r="Z670" s="3">
        <v>529.17999999999995</v>
      </c>
      <c r="AA670" s="3">
        <v>0</v>
      </c>
    </row>
    <row r="671" spans="1:27" ht="60.75" x14ac:dyDescent="0.25">
      <c r="A671" s="3" t="s">
        <v>28</v>
      </c>
      <c r="B671" s="3" t="s">
        <v>29</v>
      </c>
      <c r="C671" s="3" t="s">
        <v>30</v>
      </c>
      <c r="D671" s="3" t="s">
        <v>42</v>
      </c>
      <c r="E671" s="3" t="s">
        <v>48</v>
      </c>
      <c r="F671" s="3" t="s">
        <v>249</v>
      </c>
      <c r="G671" s="3">
        <v>2025</v>
      </c>
      <c r="H671" s="3" t="str">
        <f>CONCATENATE("54240520111")</f>
        <v>54240520111</v>
      </c>
      <c r="I671" s="3" t="s">
        <v>34</v>
      </c>
      <c r="J671" s="3" t="s">
        <v>35</v>
      </c>
      <c r="K671" s="3"/>
      <c r="L671" s="3" t="s">
        <v>36</v>
      </c>
      <c r="M671" s="3" t="str">
        <f>CONCATENATE("DFLMRA63C29G516N")</f>
        <v>DFLMRA63C29G516N</v>
      </c>
      <c r="N671" s="3" t="s">
        <v>797</v>
      </c>
      <c r="O671" s="3" t="s">
        <v>38</v>
      </c>
      <c r="P671" s="3"/>
      <c r="Q671" s="4">
        <v>45968</v>
      </c>
      <c r="R671" s="3" t="s">
        <v>39</v>
      </c>
      <c r="S671" s="3" t="s">
        <v>38</v>
      </c>
      <c r="T671" s="3" t="s">
        <v>40</v>
      </c>
      <c r="U671" s="3"/>
      <c r="V671" s="3" t="s">
        <v>41</v>
      </c>
      <c r="W671" s="3">
        <v>236.19</v>
      </c>
      <c r="X671" s="3">
        <v>177.14</v>
      </c>
      <c r="Y671" s="3">
        <v>41.33</v>
      </c>
      <c r="Z671" s="3">
        <v>17.72</v>
      </c>
      <c r="AA671" s="3">
        <v>0</v>
      </c>
    </row>
    <row r="672" spans="1:27" ht="36.75" x14ac:dyDescent="0.25">
      <c r="A672" s="3" t="s">
        <v>28</v>
      </c>
      <c r="B672" s="3" t="s">
        <v>29</v>
      </c>
      <c r="C672" s="3" t="s">
        <v>30</v>
      </c>
      <c r="D672" s="3" t="s">
        <v>42</v>
      </c>
      <c r="E672" s="3" t="s">
        <v>43</v>
      </c>
      <c r="F672" s="3" t="s">
        <v>43</v>
      </c>
      <c r="G672" s="3">
        <v>2025</v>
      </c>
      <c r="H672" s="3" t="str">
        <f>CONCATENATE("54240520921")</f>
        <v>54240520921</v>
      </c>
      <c r="I672" s="3" t="s">
        <v>44</v>
      </c>
      <c r="J672" s="3" t="s">
        <v>35</v>
      </c>
      <c r="K672" s="3"/>
      <c r="L672" s="3" t="s">
        <v>36</v>
      </c>
      <c r="M672" s="3" t="str">
        <f>CONCATENATE("02367910441")</f>
        <v>02367910441</v>
      </c>
      <c r="N672" s="3" t="s">
        <v>798</v>
      </c>
      <c r="O672" s="3" t="s">
        <v>38</v>
      </c>
      <c r="P672" s="3"/>
      <c r="Q672" s="4">
        <v>45968</v>
      </c>
      <c r="R672" s="3" t="s">
        <v>39</v>
      </c>
      <c r="S672" s="3" t="s">
        <v>38</v>
      </c>
      <c r="T672" s="3" t="s">
        <v>40</v>
      </c>
      <c r="U672" s="3"/>
      <c r="V672" s="3" t="s">
        <v>41</v>
      </c>
      <c r="W672" s="5">
        <v>1882.72</v>
      </c>
      <c r="X672" s="5">
        <v>1412.04</v>
      </c>
      <c r="Y672" s="3">
        <v>329.48</v>
      </c>
      <c r="Z672" s="3">
        <v>141.19999999999999</v>
      </c>
      <c r="AA672" s="3">
        <v>0</v>
      </c>
    </row>
    <row r="673" spans="1:27" ht="60.75" x14ac:dyDescent="0.25">
      <c r="A673" s="3" t="s">
        <v>28</v>
      </c>
      <c r="B673" s="3" t="s">
        <v>29</v>
      </c>
      <c r="C673" s="3" t="s">
        <v>30</v>
      </c>
      <c r="D673" s="3" t="s">
        <v>42</v>
      </c>
      <c r="E673" s="3" t="s">
        <v>43</v>
      </c>
      <c r="F673" s="3" t="s">
        <v>43</v>
      </c>
      <c r="G673" s="3">
        <v>2025</v>
      </c>
      <c r="H673" s="3" t="str">
        <f>CONCATENATE("54240520962")</f>
        <v>54240520962</v>
      </c>
      <c r="I673" s="3" t="s">
        <v>34</v>
      </c>
      <c r="J673" s="3" t="s">
        <v>35</v>
      </c>
      <c r="K673" s="3"/>
      <c r="L673" s="3" t="s">
        <v>36</v>
      </c>
      <c r="M673" s="3" t="str">
        <f>CONCATENATE("CRRRNT69A03G005I")</f>
        <v>CRRRNT69A03G005I</v>
      </c>
      <c r="N673" s="3" t="s">
        <v>799</v>
      </c>
      <c r="O673" s="3" t="s">
        <v>38</v>
      </c>
      <c r="P673" s="3"/>
      <c r="Q673" s="4">
        <v>45968</v>
      </c>
      <c r="R673" s="3" t="s">
        <v>39</v>
      </c>
      <c r="S673" s="3" t="s">
        <v>38</v>
      </c>
      <c r="T673" s="3" t="s">
        <v>40</v>
      </c>
      <c r="U673" s="3"/>
      <c r="V673" s="3" t="s">
        <v>41</v>
      </c>
      <c r="W673" s="5">
        <v>1439.14</v>
      </c>
      <c r="X673" s="5">
        <v>1079.3599999999999</v>
      </c>
      <c r="Y673" s="3">
        <v>251.85</v>
      </c>
      <c r="Z673" s="3">
        <v>107.93</v>
      </c>
      <c r="AA673" s="3">
        <v>0</v>
      </c>
    </row>
    <row r="674" spans="1:27" ht="60.75" x14ac:dyDescent="0.25">
      <c r="A674" s="3" t="s">
        <v>28</v>
      </c>
      <c r="B674" s="3" t="s">
        <v>29</v>
      </c>
      <c r="C674" s="3" t="s">
        <v>30</v>
      </c>
      <c r="D674" s="3" t="s">
        <v>42</v>
      </c>
      <c r="E674" s="3" t="s">
        <v>43</v>
      </c>
      <c r="F674" s="3" t="s">
        <v>43</v>
      </c>
      <c r="G674" s="3">
        <v>2025</v>
      </c>
      <c r="H674" s="3" t="str">
        <f>CONCATENATE("54240521127")</f>
        <v>54240521127</v>
      </c>
      <c r="I674" s="3" t="s">
        <v>34</v>
      </c>
      <c r="J674" s="3" t="s">
        <v>35</v>
      </c>
      <c r="K674" s="3"/>
      <c r="L674" s="3" t="s">
        <v>36</v>
      </c>
      <c r="M674" s="3" t="str">
        <f>CONCATENATE("CCRGNN64M55F415H")</f>
        <v>CCRGNN64M55F415H</v>
      </c>
      <c r="N674" s="3" t="s">
        <v>800</v>
      </c>
      <c r="O674" s="3" t="s">
        <v>38</v>
      </c>
      <c r="P674" s="3"/>
      <c r="Q674" s="4">
        <v>45968</v>
      </c>
      <c r="R674" s="3" t="s">
        <v>39</v>
      </c>
      <c r="S674" s="3" t="s">
        <v>38</v>
      </c>
      <c r="T674" s="3" t="s">
        <v>40</v>
      </c>
      <c r="U674" s="3"/>
      <c r="V674" s="3" t="s">
        <v>41</v>
      </c>
      <c r="W674" s="5">
        <v>6589.87</v>
      </c>
      <c r="X674" s="5">
        <v>4942.3999999999996</v>
      </c>
      <c r="Y674" s="5">
        <v>1153.23</v>
      </c>
      <c r="Z674" s="3">
        <v>494.24</v>
      </c>
      <c r="AA674" s="3">
        <v>0</v>
      </c>
    </row>
    <row r="675" spans="1:27" ht="72.75" x14ac:dyDescent="0.25">
      <c r="A675" s="3" t="s">
        <v>28</v>
      </c>
      <c r="B675" s="3" t="s">
        <v>29</v>
      </c>
      <c r="C675" s="3" t="s">
        <v>30</v>
      </c>
      <c r="D675" s="3" t="s">
        <v>42</v>
      </c>
      <c r="E675" s="3" t="s">
        <v>51</v>
      </c>
      <c r="F675" s="3" t="s">
        <v>661</v>
      </c>
      <c r="G675" s="3">
        <v>2025</v>
      </c>
      <c r="H675" s="3" t="str">
        <f>CONCATENATE("54240525672")</f>
        <v>54240525672</v>
      </c>
      <c r="I675" s="3" t="s">
        <v>44</v>
      </c>
      <c r="J675" s="3" t="s">
        <v>35</v>
      </c>
      <c r="K675" s="3"/>
      <c r="L675" s="3" t="s">
        <v>36</v>
      </c>
      <c r="M675" s="3" t="str">
        <f>CONCATENATE("LRAGCR73H29A462A")</f>
        <v>LRAGCR73H29A462A</v>
      </c>
      <c r="N675" s="3" t="s">
        <v>801</v>
      </c>
      <c r="O675" s="3" t="s">
        <v>38</v>
      </c>
      <c r="P675" s="3"/>
      <c r="Q675" s="4">
        <v>45968</v>
      </c>
      <c r="R675" s="3" t="s">
        <v>39</v>
      </c>
      <c r="S675" s="3" t="s">
        <v>38</v>
      </c>
      <c r="T675" s="3" t="s">
        <v>40</v>
      </c>
      <c r="U675" s="3"/>
      <c r="V675" s="3" t="s">
        <v>41</v>
      </c>
      <c r="W675" s="5">
        <v>4255.21</v>
      </c>
      <c r="X675" s="5">
        <v>3191.41</v>
      </c>
      <c r="Y675" s="3">
        <v>744.66</v>
      </c>
      <c r="Z675" s="3">
        <v>319.14</v>
      </c>
      <c r="AA675" s="3">
        <v>0</v>
      </c>
    </row>
    <row r="676" spans="1:27" ht="72.75" x14ac:dyDescent="0.25">
      <c r="A676" s="3" t="s">
        <v>28</v>
      </c>
      <c r="B676" s="3" t="s">
        <v>29</v>
      </c>
      <c r="C676" s="3" t="s">
        <v>30</v>
      </c>
      <c r="D676" s="3" t="s">
        <v>47</v>
      </c>
      <c r="E676" s="3" t="s">
        <v>51</v>
      </c>
      <c r="F676" s="3" t="s">
        <v>161</v>
      </c>
      <c r="G676" s="3">
        <v>2025</v>
      </c>
      <c r="H676" s="3" t="str">
        <f>CONCATENATE("54240532652")</f>
        <v>54240532652</v>
      </c>
      <c r="I676" s="3" t="s">
        <v>34</v>
      </c>
      <c r="J676" s="3" t="s">
        <v>35</v>
      </c>
      <c r="K676" s="3"/>
      <c r="L676" s="3" t="s">
        <v>36</v>
      </c>
      <c r="M676" s="3" t="str">
        <f>CONCATENATE("PRMMRN59B20I156U")</f>
        <v>PRMMRN59B20I156U</v>
      </c>
      <c r="N676" s="3" t="s">
        <v>802</v>
      </c>
      <c r="O676" s="3" t="s">
        <v>38</v>
      </c>
      <c r="P676" s="3"/>
      <c r="Q676" s="4">
        <v>45968</v>
      </c>
      <c r="R676" s="3" t="s">
        <v>39</v>
      </c>
      <c r="S676" s="3" t="s">
        <v>38</v>
      </c>
      <c r="T676" s="3" t="s">
        <v>40</v>
      </c>
      <c r="U676" s="3"/>
      <c r="V676" s="3" t="s">
        <v>41</v>
      </c>
      <c r="W676" s="5">
        <v>1845.4</v>
      </c>
      <c r="X676" s="5">
        <v>1384.05</v>
      </c>
      <c r="Y676" s="3">
        <v>322.95</v>
      </c>
      <c r="Z676" s="3">
        <v>138.4</v>
      </c>
      <c r="AA676" s="3">
        <v>0</v>
      </c>
    </row>
    <row r="677" spans="1:27" ht="60.75" x14ac:dyDescent="0.25">
      <c r="A677" s="3" t="s">
        <v>28</v>
      </c>
      <c r="B677" s="3" t="s">
        <v>29</v>
      </c>
      <c r="C677" s="3" t="s">
        <v>30</v>
      </c>
      <c r="D677" s="3" t="s">
        <v>31</v>
      </c>
      <c r="E677" s="3" t="s">
        <v>32</v>
      </c>
      <c r="F677" s="3" t="s">
        <v>621</v>
      </c>
      <c r="G677" s="3">
        <v>2025</v>
      </c>
      <c r="H677" s="3" t="str">
        <f>CONCATENATE("54240522836")</f>
        <v>54240522836</v>
      </c>
      <c r="I677" s="3" t="s">
        <v>34</v>
      </c>
      <c r="J677" s="3" t="s">
        <v>35</v>
      </c>
      <c r="K677" s="3"/>
      <c r="L677" s="3" t="s">
        <v>36</v>
      </c>
      <c r="M677" s="3" t="str">
        <f>CONCATENATE("BGNCLD64E27F205B")</f>
        <v>BGNCLD64E27F205B</v>
      </c>
      <c r="N677" s="3" t="s">
        <v>803</v>
      </c>
      <c r="O677" s="3" t="s">
        <v>38</v>
      </c>
      <c r="P677" s="3"/>
      <c r="Q677" s="4">
        <v>45968</v>
      </c>
      <c r="R677" s="3" t="s">
        <v>39</v>
      </c>
      <c r="S677" s="3" t="s">
        <v>38</v>
      </c>
      <c r="T677" s="3" t="s">
        <v>40</v>
      </c>
      <c r="U677" s="3"/>
      <c r="V677" s="3" t="s">
        <v>41</v>
      </c>
      <c r="W677" s="3">
        <v>690.4</v>
      </c>
      <c r="X677" s="3">
        <v>517.79999999999995</v>
      </c>
      <c r="Y677" s="3">
        <v>120.82</v>
      </c>
      <c r="Z677" s="3">
        <v>51.78</v>
      </c>
      <c r="AA677" s="3">
        <v>0</v>
      </c>
    </row>
    <row r="678" spans="1:27" ht="60.75" x14ac:dyDescent="0.25">
      <c r="A678" s="3" t="s">
        <v>28</v>
      </c>
      <c r="B678" s="3" t="s">
        <v>29</v>
      </c>
      <c r="C678" s="3" t="s">
        <v>30</v>
      </c>
      <c r="D678" s="3" t="s">
        <v>31</v>
      </c>
      <c r="E678" s="3" t="s">
        <v>51</v>
      </c>
      <c r="F678" s="3" t="s">
        <v>120</v>
      </c>
      <c r="G678" s="3">
        <v>2025</v>
      </c>
      <c r="H678" s="3" t="str">
        <f>CONCATENATE("54240522794")</f>
        <v>54240522794</v>
      </c>
      <c r="I678" s="3" t="s">
        <v>34</v>
      </c>
      <c r="J678" s="3" t="s">
        <v>35</v>
      </c>
      <c r="K678" s="3"/>
      <c r="L678" s="3" t="s">
        <v>36</v>
      </c>
      <c r="M678" s="3" t="str">
        <f>CONCATENATE("GCMCSR62L21A329P")</f>
        <v>GCMCSR62L21A329P</v>
      </c>
      <c r="N678" s="3" t="s">
        <v>804</v>
      </c>
      <c r="O678" s="3" t="s">
        <v>38</v>
      </c>
      <c r="P678" s="3"/>
      <c r="Q678" s="4">
        <v>45968</v>
      </c>
      <c r="R678" s="3" t="s">
        <v>39</v>
      </c>
      <c r="S678" s="3" t="s">
        <v>38</v>
      </c>
      <c r="T678" s="3" t="s">
        <v>40</v>
      </c>
      <c r="U678" s="3"/>
      <c r="V678" s="3" t="s">
        <v>41</v>
      </c>
      <c r="W678" s="3">
        <v>390.01</v>
      </c>
      <c r="X678" s="3">
        <v>292.51</v>
      </c>
      <c r="Y678" s="3">
        <v>68.25</v>
      </c>
      <c r="Z678" s="3">
        <v>29.25</v>
      </c>
      <c r="AA678" s="3">
        <v>0</v>
      </c>
    </row>
    <row r="679" spans="1:27" ht="60.75" x14ac:dyDescent="0.25">
      <c r="A679" s="3" t="s">
        <v>28</v>
      </c>
      <c r="B679" s="3" t="s">
        <v>29</v>
      </c>
      <c r="C679" s="3" t="s">
        <v>30</v>
      </c>
      <c r="D679" s="3" t="s">
        <v>31</v>
      </c>
      <c r="E679" s="3" t="s">
        <v>32</v>
      </c>
      <c r="F679" s="3" t="s">
        <v>63</v>
      </c>
      <c r="G679" s="3">
        <v>2025</v>
      </c>
      <c r="H679" s="3" t="str">
        <f>CONCATENATE("54240604287")</f>
        <v>54240604287</v>
      </c>
      <c r="I679" s="3" t="s">
        <v>34</v>
      </c>
      <c r="J679" s="3" t="s">
        <v>35</v>
      </c>
      <c r="K679" s="3"/>
      <c r="L679" s="3" t="s">
        <v>36</v>
      </c>
      <c r="M679" s="3" t="str">
        <f>CONCATENATE("LCCRNT71B06I653F")</f>
        <v>LCCRNT71B06I653F</v>
      </c>
      <c r="N679" s="3" t="s">
        <v>805</v>
      </c>
      <c r="O679" s="3" t="s">
        <v>38</v>
      </c>
      <c r="P679" s="3"/>
      <c r="Q679" s="4">
        <v>45968</v>
      </c>
      <c r="R679" s="3" t="s">
        <v>39</v>
      </c>
      <c r="S679" s="3" t="s">
        <v>38</v>
      </c>
      <c r="T679" s="3" t="s">
        <v>40</v>
      </c>
      <c r="U679" s="3"/>
      <c r="V679" s="3" t="s">
        <v>41</v>
      </c>
      <c r="W679" s="5">
        <v>8274.5499999999993</v>
      </c>
      <c r="X679" s="5">
        <v>6205.91</v>
      </c>
      <c r="Y679" s="5">
        <v>1448.05</v>
      </c>
      <c r="Z679" s="3">
        <v>620.59</v>
      </c>
      <c r="AA679" s="3">
        <v>0</v>
      </c>
    </row>
    <row r="680" spans="1:27" ht="36.75" x14ac:dyDescent="0.25">
      <c r="A680" s="3" t="s">
        <v>28</v>
      </c>
      <c r="B680" s="3" t="s">
        <v>29</v>
      </c>
      <c r="C680" s="3" t="s">
        <v>30</v>
      </c>
      <c r="D680" s="3" t="s">
        <v>31</v>
      </c>
      <c r="E680" s="3" t="s">
        <v>32</v>
      </c>
      <c r="F680" s="3" t="s">
        <v>63</v>
      </c>
      <c r="G680" s="3">
        <v>2025</v>
      </c>
      <c r="H680" s="3" t="str">
        <f>CONCATENATE("54240524113")</f>
        <v>54240524113</v>
      </c>
      <c r="I680" s="3" t="s">
        <v>34</v>
      </c>
      <c r="J680" s="3" t="s">
        <v>35</v>
      </c>
      <c r="K680" s="3"/>
      <c r="L680" s="3" t="s">
        <v>36</v>
      </c>
      <c r="M680" s="3" t="str">
        <f>CONCATENATE("02668100429")</f>
        <v>02668100429</v>
      </c>
      <c r="N680" s="3" t="s">
        <v>806</v>
      </c>
      <c r="O680" s="3" t="s">
        <v>38</v>
      </c>
      <c r="P680" s="3"/>
      <c r="Q680" s="4">
        <v>45968</v>
      </c>
      <c r="R680" s="3" t="s">
        <v>39</v>
      </c>
      <c r="S680" s="3" t="s">
        <v>38</v>
      </c>
      <c r="T680" s="3" t="s">
        <v>40</v>
      </c>
      <c r="U680" s="3"/>
      <c r="V680" s="3" t="s">
        <v>41</v>
      </c>
      <c r="W680" s="5">
        <v>3787.84</v>
      </c>
      <c r="X680" s="5">
        <v>2840.88</v>
      </c>
      <c r="Y680" s="3">
        <v>662.87</v>
      </c>
      <c r="Z680" s="3">
        <v>284.08999999999997</v>
      </c>
      <c r="AA680" s="3">
        <v>0</v>
      </c>
    </row>
    <row r="681" spans="1:27" ht="72.75" x14ac:dyDescent="0.25">
      <c r="A681" s="3" t="s">
        <v>28</v>
      </c>
      <c r="B681" s="3" t="s">
        <v>29</v>
      </c>
      <c r="C681" s="3" t="s">
        <v>30</v>
      </c>
      <c r="D681" s="3" t="s">
        <v>31</v>
      </c>
      <c r="E681" s="3" t="s">
        <v>32</v>
      </c>
      <c r="F681" s="3" t="s">
        <v>63</v>
      </c>
      <c r="G681" s="3">
        <v>2025</v>
      </c>
      <c r="H681" s="3" t="str">
        <f>CONCATENATE("54240524196")</f>
        <v>54240524196</v>
      </c>
      <c r="I681" s="3" t="s">
        <v>34</v>
      </c>
      <c r="J681" s="3" t="s">
        <v>35</v>
      </c>
      <c r="K681" s="3"/>
      <c r="L681" s="3" t="s">
        <v>36</v>
      </c>
      <c r="M681" s="3" t="str">
        <f>CONCATENATE("MRNLNZ92A11A271S")</f>
        <v>MRNLNZ92A11A271S</v>
      </c>
      <c r="N681" s="3" t="s">
        <v>807</v>
      </c>
      <c r="O681" s="3" t="s">
        <v>38</v>
      </c>
      <c r="P681" s="3"/>
      <c r="Q681" s="4">
        <v>45968</v>
      </c>
      <c r="R681" s="3" t="s">
        <v>39</v>
      </c>
      <c r="S681" s="3" t="s">
        <v>38</v>
      </c>
      <c r="T681" s="3" t="s">
        <v>40</v>
      </c>
      <c r="U681" s="3"/>
      <c r="V681" s="3" t="s">
        <v>41</v>
      </c>
      <c r="W681" s="5">
        <v>1765.08</v>
      </c>
      <c r="X681" s="5">
        <v>1323.81</v>
      </c>
      <c r="Y681" s="3">
        <v>308.89</v>
      </c>
      <c r="Z681" s="3">
        <v>132.38</v>
      </c>
      <c r="AA681" s="3">
        <v>0</v>
      </c>
    </row>
    <row r="682" spans="1:27" ht="60.75" x14ac:dyDescent="0.25">
      <c r="A682" s="3" t="s">
        <v>28</v>
      </c>
      <c r="B682" s="3" t="s">
        <v>29</v>
      </c>
      <c r="C682" s="3" t="s">
        <v>30</v>
      </c>
      <c r="D682" s="3" t="s">
        <v>65</v>
      </c>
      <c r="E682" s="3" t="s">
        <v>51</v>
      </c>
      <c r="F682" s="3" t="s">
        <v>534</v>
      </c>
      <c r="G682" s="3">
        <v>2025</v>
      </c>
      <c r="H682" s="3" t="str">
        <f>CONCATENATE("54240525110")</f>
        <v>54240525110</v>
      </c>
      <c r="I682" s="3" t="s">
        <v>34</v>
      </c>
      <c r="J682" s="3" t="s">
        <v>35</v>
      </c>
      <c r="K682" s="3"/>
      <c r="L682" s="3" t="s">
        <v>36</v>
      </c>
      <c r="M682" s="3" t="str">
        <f>CONCATENATE("BNDNDR98H26L500P")</f>
        <v>BNDNDR98H26L500P</v>
      </c>
      <c r="N682" s="3" t="s">
        <v>808</v>
      </c>
      <c r="O682" s="3" t="s">
        <v>38</v>
      </c>
      <c r="P682" s="3"/>
      <c r="Q682" s="4">
        <v>45968</v>
      </c>
      <c r="R682" s="3" t="s">
        <v>39</v>
      </c>
      <c r="S682" s="3" t="s">
        <v>38</v>
      </c>
      <c r="T682" s="3" t="s">
        <v>40</v>
      </c>
      <c r="U682" s="3"/>
      <c r="V682" s="3" t="s">
        <v>41</v>
      </c>
      <c r="W682" s="5">
        <v>1185.26</v>
      </c>
      <c r="X682" s="3">
        <v>888.95</v>
      </c>
      <c r="Y682" s="3">
        <v>207.42</v>
      </c>
      <c r="Z682" s="3">
        <v>88.89</v>
      </c>
      <c r="AA682" s="3">
        <v>0</v>
      </c>
    </row>
    <row r="683" spans="1:27" ht="60.75" x14ac:dyDescent="0.25">
      <c r="A683" s="3" t="s">
        <v>28</v>
      </c>
      <c r="B683" s="3" t="s">
        <v>29</v>
      </c>
      <c r="C683" s="3" t="s">
        <v>30</v>
      </c>
      <c r="D683" s="3" t="s">
        <v>65</v>
      </c>
      <c r="E683" s="3" t="s">
        <v>51</v>
      </c>
      <c r="F683" s="3" t="s">
        <v>534</v>
      </c>
      <c r="G683" s="3">
        <v>2025</v>
      </c>
      <c r="H683" s="3" t="str">
        <f>CONCATENATE("54240525318")</f>
        <v>54240525318</v>
      </c>
      <c r="I683" s="3" t="s">
        <v>34</v>
      </c>
      <c r="J683" s="3" t="s">
        <v>35</v>
      </c>
      <c r="K683" s="3"/>
      <c r="L683" s="3" t="s">
        <v>36</v>
      </c>
      <c r="M683" s="3" t="str">
        <f>CONCATENATE("CCCFNC65A18I287O")</f>
        <v>CCCFNC65A18I287O</v>
      </c>
      <c r="N683" s="3" t="s">
        <v>809</v>
      </c>
      <c r="O683" s="3" t="s">
        <v>38</v>
      </c>
      <c r="P683" s="3"/>
      <c r="Q683" s="4">
        <v>45968</v>
      </c>
      <c r="R683" s="3" t="s">
        <v>39</v>
      </c>
      <c r="S683" s="3" t="s">
        <v>38</v>
      </c>
      <c r="T683" s="3" t="s">
        <v>40</v>
      </c>
      <c r="U683" s="3"/>
      <c r="V683" s="3" t="s">
        <v>41</v>
      </c>
      <c r="W683" s="5">
        <v>9565.74</v>
      </c>
      <c r="X683" s="5">
        <v>7174.31</v>
      </c>
      <c r="Y683" s="5">
        <v>1674</v>
      </c>
      <c r="Z683" s="3">
        <v>717.43</v>
      </c>
      <c r="AA683" s="3">
        <v>0</v>
      </c>
    </row>
    <row r="684" spans="1:27" ht="60.75" x14ac:dyDescent="0.25">
      <c r="A684" s="3" t="s">
        <v>28</v>
      </c>
      <c r="B684" s="3" t="s">
        <v>29</v>
      </c>
      <c r="C684" s="3" t="s">
        <v>30</v>
      </c>
      <c r="D684" s="3" t="s">
        <v>42</v>
      </c>
      <c r="E684" s="3" t="s">
        <v>51</v>
      </c>
      <c r="F684" s="3" t="s">
        <v>661</v>
      </c>
      <c r="G684" s="3">
        <v>2025</v>
      </c>
      <c r="H684" s="3" t="str">
        <f>CONCATENATE("54240525888")</f>
        <v>54240525888</v>
      </c>
      <c r="I684" s="3" t="s">
        <v>44</v>
      </c>
      <c r="J684" s="3" t="s">
        <v>35</v>
      </c>
      <c r="K684" s="3"/>
      <c r="L684" s="3" t="s">
        <v>36</v>
      </c>
      <c r="M684" s="3" t="str">
        <f>CONCATENATE("LRALGU84C27A462F")</f>
        <v>LRALGU84C27A462F</v>
      </c>
      <c r="N684" s="3" t="s">
        <v>810</v>
      </c>
      <c r="O684" s="3" t="s">
        <v>38</v>
      </c>
      <c r="P684" s="3"/>
      <c r="Q684" s="4">
        <v>45968</v>
      </c>
      <c r="R684" s="3" t="s">
        <v>39</v>
      </c>
      <c r="S684" s="3" t="s">
        <v>38</v>
      </c>
      <c r="T684" s="3" t="s">
        <v>40</v>
      </c>
      <c r="U684" s="3"/>
      <c r="V684" s="3" t="s">
        <v>41</v>
      </c>
      <c r="W684" s="5">
        <v>6125.42</v>
      </c>
      <c r="X684" s="5">
        <v>4594.07</v>
      </c>
      <c r="Y684" s="5">
        <v>1071.95</v>
      </c>
      <c r="Z684" s="3">
        <v>459.4</v>
      </c>
      <c r="AA684" s="3">
        <v>0</v>
      </c>
    </row>
    <row r="685" spans="1:27" ht="60.75" x14ac:dyDescent="0.25">
      <c r="A685" s="3" t="s">
        <v>28</v>
      </c>
      <c r="B685" s="3" t="s">
        <v>29</v>
      </c>
      <c r="C685" s="3" t="s">
        <v>30</v>
      </c>
      <c r="D685" s="3" t="s">
        <v>65</v>
      </c>
      <c r="E685" s="3" t="s">
        <v>48</v>
      </c>
      <c r="F685" s="3" t="s">
        <v>76</v>
      </c>
      <c r="G685" s="3">
        <v>2025</v>
      </c>
      <c r="H685" s="3" t="str">
        <f>CONCATENATE("54240526183")</f>
        <v>54240526183</v>
      </c>
      <c r="I685" s="3" t="s">
        <v>34</v>
      </c>
      <c r="J685" s="3" t="s">
        <v>35</v>
      </c>
      <c r="K685" s="3"/>
      <c r="L685" s="3" t="s">
        <v>36</v>
      </c>
      <c r="M685" s="3" t="str">
        <f>CONCATENATE("CPNSMN68R27E785Z")</f>
        <v>CPNSMN68R27E785Z</v>
      </c>
      <c r="N685" s="3" t="s">
        <v>811</v>
      </c>
      <c r="O685" s="3" t="s">
        <v>38</v>
      </c>
      <c r="P685" s="3"/>
      <c r="Q685" s="4">
        <v>45968</v>
      </c>
      <c r="R685" s="3" t="s">
        <v>39</v>
      </c>
      <c r="S685" s="3" t="s">
        <v>38</v>
      </c>
      <c r="T685" s="3" t="s">
        <v>40</v>
      </c>
      <c r="U685" s="3"/>
      <c r="V685" s="3" t="s">
        <v>41</v>
      </c>
      <c r="W685" s="5">
        <v>8872.74</v>
      </c>
      <c r="X685" s="5">
        <v>6654.56</v>
      </c>
      <c r="Y685" s="5">
        <v>1552.73</v>
      </c>
      <c r="Z685" s="3">
        <v>665.45</v>
      </c>
      <c r="AA685" s="3">
        <v>0</v>
      </c>
    </row>
    <row r="686" spans="1:27" ht="60.75" x14ac:dyDescent="0.25">
      <c r="A686" s="3" t="s">
        <v>28</v>
      </c>
      <c r="B686" s="3" t="s">
        <v>29</v>
      </c>
      <c r="C686" s="3" t="s">
        <v>30</v>
      </c>
      <c r="D686" s="3" t="s">
        <v>47</v>
      </c>
      <c r="E686" s="3" t="s">
        <v>51</v>
      </c>
      <c r="F686" s="3" t="s">
        <v>147</v>
      </c>
      <c r="G686" s="3">
        <v>2025</v>
      </c>
      <c r="H686" s="3" t="str">
        <f>CONCATENATE("54240528049")</f>
        <v>54240528049</v>
      </c>
      <c r="I686" s="3" t="s">
        <v>34</v>
      </c>
      <c r="J686" s="3" t="s">
        <v>35</v>
      </c>
      <c r="K686" s="3"/>
      <c r="L686" s="3" t="s">
        <v>36</v>
      </c>
      <c r="M686" s="3" t="str">
        <f>CONCATENATE("DRSGBR60D25C321D")</f>
        <v>DRSGBR60D25C321D</v>
      </c>
      <c r="N686" s="3" t="s">
        <v>812</v>
      </c>
      <c r="O686" s="3" t="s">
        <v>38</v>
      </c>
      <c r="P686" s="3"/>
      <c r="Q686" s="4">
        <v>45968</v>
      </c>
      <c r="R686" s="3" t="s">
        <v>39</v>
      </c>
      <c r="S686" s="3" t="s">
        <v>38</v>
      </c>
      <c r="T686" s="3" t="s">
        <v>40</v>
      </c>
      <c r="U686" s="3"/>
      <c r="V686" s="3" t="s">
        <v>41</v>
      </c>
      <c r="W686" s="3">
        <v>959.74</v>
      </c>
      <c r="X686" s="3">
        <v>719.81</v>
      </c>
      <c r="Y686" s="3">
        <v>167.95</v>
      </c>
      <c r="Z686" s="3">
        <v>71.98</v>
      </c>
      <c r="AA686" s="3">
        <v>0</v>
      </c>
    </row>
    <row r="687" spans="1:27" ht="36.75" x14ac:dyDescent="0.25">
      <c r="A687" s="3" t="s">
        <v>28</v>
      </c>
      <c r="B687" s="3" t="s">
        <v>29</v>
      </c>
      <c r="C687" s="3" t="s">
        <v>30</v>
      </c>
      <c r="D687" s="3" t="s">
        <v>47</v>
      </c>
      <c r="E687" s="3" t="s">
        <v>51</v>
      </c>
      <c r="F687" s="3" t="s">
        <v>83</v>
      </c>
      <c r="G687" s="3">
        <v>2025</v>
      </c>
      <c r="H687" s="3" t="str">
        <f>CONCATENATE("54240666252")</f>
        <v>54240666252</v>
      </c>
      <c r="I687" s="3" t="s">
        <v>34</v>
      </c>
      <c r="J687" s="3" t="s">
        <v>35</v>
      </c>
      <c r="K687" s="3"/>
      <c r="L687" s="3" t="s">
        <v>36</v>
      </c>
      <c r="M687" s="3" t="str">
        <f>CONCATENATE("01990480434")</f>
        <v>01990480434</v>
      </c>
      <c r="N687" s="3" t="s">
        <v>813</v>
      </c>
      <c r="O687" s="3" t="s">
        <v>38</v>
      </c>
      <c r="P687" s="3"/>
      <c r="Q687" s="4">
        <v>45968</v>
      </c>
      <c r="R687" s="3" t="s">
        <v>39</v>
      </c>
      <c r="S687" s="3" t="s">
        <v>38</v>
      </c>
      <c r="T687" s="3" t="s">
        <v>40</v>
      </c>
      <c r="U687" s="3"/>
      <c r="V687" s="3" t="s">
        <v>41</v>
      </c>
      <c r="W687" s="5">
        <v>6377.69</v>
      </c>
      <c r="X687" s="5">
        <v>4783.2700000000004</v>
      </c>
      <c r="Y687" s="5">
        <v>1116.0999999999999</v>
      </c>
      <c r="Z687" s="3">
        <v>478.32</v>
      </c>
      <c r="AA687" s="3">
        <v>0</v>
      </c>
    </row>
    <row r="688" spans="1:27" ht="36.75" x14ac:dyDescent="0.25">
      <c r="A688" s="3" t="s">
        <v>28</v>
      </c>
      <c r="B688" s="3" t="s">
        <v>29</v>
      </c>
      <c r="C688" s="3" t="s">
        <v>30</v>
      </c>
      <c r="D688" s="3" t="s">
        <v>42</v>
      </c>
      <c r="E688" s="3" t="s">
        <v>51</v>
      </c>
      <c r="F688" s="3" t="s">
        <v>52</v>
      </c>
      <c r="G688" s="3">
        <v>2025</v>
      </c>
      <c r="H688" s="3" t="str">
        <f>CONCATENATE("54240667524")</f>
        <v>54240667524</v>
      </c>
      <c r="I688" s="3" t="s">
        <v>34</v>
      </c>
      <c r="J688" s="3" t="s">
        <v>35</v>
      </c>
      <c r="K688" s="3"/>
      <c r="L688" s="3" t="s">
        <v>36</v>
      </c>
      <c r="M688" s="3" t="str">
        <f>CONCATENATE("02269060444")</f>
        <v>02269060444</v>
      </c>
      <c r="N688" s="3" t="s">
        <v>814</v>
      </c>
      <c r="O688" s="3" t="s">
        <v>38</v>
      </c>
      <c r="P688" s="3"/>
      <c r="Q688" s="4">
        <v>45968</v>
      </c>
      <c r="R688" s="3" t="s">
        <v>39</v>
      </c>
      <c r="S688" s="3" t="s">
        <v>38</v>
      </c>
      <c r="T688" s="3" t="s">
        <v>40</v>
      </c>
      <c r="U688" s="3"/>
      <c r="V688" s="3" t="s">
        <v>41</v>
      </c>
      <c r="W688" s="5">
        <v>24273.279999999999</v>
      </c>
      <c r="X688" s="5">
        <v>18204.96</v>
      </c>
      <c r="Y688" s="5">
        <v>4247.82</v>
      </c>
      <c r="Z688" s="5">
        <v>1820.5</v>
      </c>
      <c r="AA688" s="3">
        <v>0</v>
      </c>
    </row>
    <row r="689" spans="1:27" ht="60.75" x14ac:dyDescent="0.25">
      <c r="A689" s="3" t="s">
        <v>28</v>
      </c>
      <c r="B689" s="3" t="s">
        <v>29</v>
      </c>
      <c r="C689" s="3" t="s">
        <v>30</v>
      </c>
      <c r="D689" s="3" t="s">
        <v>42</v>
      </c>
      <c r="E689" s="3" t="s">
        <v>207</v>
      </c>
      <c r="F689" s="3" t="s">
        <v>764</v>
      </c>
      <c r="G689" s="3">
        <v>2025</v>
      </c>
      <c r="H689" s="3" t="str">
        <f>CONCATENATE("54240667821")</f>
        <v>54240667821</v>
      </c>
      <c r="I689" s="3" t="s">
        <v>34</v>
      </c>
      <c r="J689" s="3" t="s">
        <v>35</v>
      </c>
      <c r="K689" s="3"/>
      <c r="L689" s="3" t="s">
        <v>36</v>
      </c>
      <c r="M689" s="3" t="str">
        <f>CONCATENATE("CSTSFN93R14H769S")</f>
        <v>CSTSFN93R14H769S</v>
      </c>
      <c r="N689" s="3" t="s">
        <v>815</v>
      </c>
      <c r="O689" s="3" t="s">
        <v>38</v>
      </c>
      <c r="P689" s="3"/>
      <c r="Q689" s="4">
        <v>45968</v>
      </c>
      <c r="R689" s="3" t="s">
        <v>39</v>
      </c>
      <c r="S689" s="3" t="s">
        <v>38</v>
      </c>
      <c r="T689" s="3" t="s">
        <v>40</v>
      </c>
      <c r="U689" s="3"/>
      <c r="V689" s="3" t="s">
        <v>41</v>
      </c>
      <c r="W689" s="5">
        <v>4738.4399999999996</v>
      </c>
      <c r="X689" s="5">
        <v>3553.83</v>
      </c>
      <c r="Y689" s="3">
        <v>829.23</v>
      </c>
      <c r="Z689" s="3">
        <v>355.38</v>
      </c>
      <c r="AA689" s="3">
        <v>0</v>
      </c>
    </row>
    <row r="690" spans="1:27" ht="60.75" x14ac:dyDescent="0.25">
      <c r="A690" s="3" t="s">
        <v>28</v>
      </c>
      <c r="B690" s="3" t="s">
        <v>29</v>
      </c>
      <c r="C690" s="3" t="s">
        <v>30</v>
      </c>
      <c r="D690" s="3" t="s">
        <v>31</v>
      </c>
      <c r="E690" s="3" t="s">
        <v>43</v>
      </c>
      <c r="F690" s="3" t="s">
        <v>43</v>
      </c>
      <c r="G690" s="3">
        <v>2025</v>
      </c>
      <c r="H690" s="3" t="str">
        <f>CONCATENATE("54240668050")</f>
        <v>54240668050</v>
      </c>
      <c r="I690" s="3" t="s">
        <v>34</v>
      </c>
      <c r="J690" s="3" t="s">
        <v>35</v>
      </c>
      <c r="K690" s="3"/>
      <c r="L690" s="3" t="s">
        <v>36</v>
      </c>
      <c r="M690" s="3" t="str">
        <f>CONCATENATE("TRTDNC79E06H926J")</f>
        <v>TRTDNC79E06H926J</v>
      </c>
      <c r="N690" s="3" t="s">
        <v>816</v>
      </c>
      <c r="O690" s="3" t="s">
        <v>38</v>
      </c>
      <c r="P690" s="3"/>
      <c r="Q690" s="4">
        <v>45968</v>
      </c>
      <c r="R690" s="3" t="s">
        <v>39</v>
      </c>
      <c r="S690" s="3" t="s">
        <v>38</v>
      </c>
      <c r="T690" s="3" t="s">
        <v>40</v>
      </c>
      <c r="U690" s="3"/>
      <c r="V690" s="3" t="s">
        <v>41</v>
      </c>
      <c r="W690" s="5">
        <v>8158.73</v>
      </c>
      <c r="X690" s="5">
        <v>6119.05</v>
      </c>
      <c r="Y690" s="5">
        <v>1427.78</v>
      </c>
      <c r="Z690" s="3">
        <v>611.9</v>
      </c>
      <c r="AA690" s="3">
        <v>0</v>
      </c>
    </row>
    <row r="691" spans="1:27" ht="60.75" x14ac:dyDescent="0.25">
      <c r="A691" s="3" t="s">
        <v>28</v>
      </c>
      <c r="B691" s="3" t="s">
        <v>29</v>
      </c>
      <c r="C691" s="3" t="s">
        <v>30</v>
      </c>
      <c r="D691" s="3" t="s">
        <v>47</v>
      </c>
      <c r="E691" s="3" t="s">
        <v>48</v>
      </c>
      <c r="F691" s="3" t="s">
        <v>776</v>
      </c>
      <c r="G691" s="3">
        <v>2025</v>
      </c>
      <c r="H691" s="3" t="str">
        <f>CONCATENATE("54240668746")</f>
        <v>54240668746</v>
      </c>
      <c r="I691" s="3" t="s">
        <v>34</v>
      </c>
      <c r="J691" s="3" t="s">
        <v>35</v>
      </c>
      <c r="K691" s="3"/>
      <c r="L691" s="3" t="s">
        <v>36</v>
      </c>
      <c r="M691" s="3" t="str">
        <f>CONCATENATE("GRFFNC45B14E098Z")</f>
        <v>GRFFNC45B14E098Z</v>
      </c>
      <c r="N691" s="3" t="s">
        <v>817</v>
      </c>
      <c r="O691" s="3" t="s">
        <v>38</v>
      </c>
      <c r="P691" s="3"/>
      <c r="Q691" s="4">
        <v>45968</v>
      </c>
      <c r="R691" s="3" t="s">
        <v>39</v>
      </c>
      <c r="S691" s="3" t="s">
        <v>38</v>
      </c>
      <c r="T691" s="3" t="s">
        <v>40</v>
      </c>
      <c r="U691" s="3"/>
      <c r="V691" s="3" t="s">
        <v>41</v>
      </c>
      <c r="W691" s="5">
        <v>3977.35</v>
      </c>
      <c r="X691" s="5">
        <v>2983.01</v>
      </c>
      <c r="Y691" s="3">
        <v>696.04</v>
      </c>
      <c r="Z691" s="3">
        <v>298.3</v>
      </c>
      <c r="AA691" s="3">
        <v>0</v>
      </c>
    </row>
    <row r="692" spans="1:27" ht="60.75" x14ac:dyDescent="0.25">
      <c r="A692" s="3" t="s">
        <v>28</v>
      </c>
      <c r="B692" s="3" t="s">
        <v>29</v>
      </c>
      <c r="C692" s="3" t="s">
        <v>30</v>
      </c>
      <c r="D692" s="3" t="s">
        <v>42</v>
      </c>
      <c r="E692" s="3" t="s">
        <v>207</v>
      </c>
      <c r="F692" s="3" t="s">
        <v>764</v>
      </c>
      <c r="G692" s="3">
        <v>2025</v>
      </c>
      <c r="H692" s="3" t="str">
        <f>CONCATENATE("54240669041")</f>
        <v>54240669041</v>
      </c>
      <c r="I692" s="3" t="s">
        <v>34</v>
      </c>
      <c r="J692" s="3" t="s">
        <v>35</v>
      </c>
      <c r="K692" s="3"/>
      <c r="L692" s="3" t="s">
        <v>36</v>
      </c>
      <c r="M692" s="3" t="str">
        <f>CONCATENATE("DNGSML94P23H769O")</f>
        <v>DNGSML94P23H769O</v>
      </c>
      <c r="N692" s="3" t="s">
        <v>818</v>
      </c>
      <c r="O692" s="3" t="s">
        <v>38</v>
      </c>
      <c r="P692" s="3"/>
      <c r="Q692" s="4">
        <v>45968</v>
      </c>
      <c r="R692" s="3" t="s">
        <v>39</v>
      </c>
      <c r="S692" s="3" t="s">
        <v>38</v>
      </c>
      <c r="T692" s="3" t="s">
        <v>40</v>
      </c>
      <c r="U692" s="3"/>
      <c r="V692" s="3" t="s">
        <v>41</v>
      </c>
      <c r="W692" s="5">
        <v>14141.66</v>
      </c>
      <c r="X692" s="5">
        <v>10606.25</v>
      </c>
      <c r="Y692" s="5">
        <v>2474.79</v>
      </c>
      <c r="Z692" s="5">
        <v>1060.6199999999999</v>
      </c>
      <c r="AA692" s="3">
        <v>0</v>
      </c>
    </row>
    <row r="693" spans="1:27" ht="36.75" x14ac:dyDescent="0.25">
      <c r="A693" s="3" t="s">
        <v>28</v>
      </c>
      <c r="B693" s="3" t="s">
        <v>29</v>
      </c>
      <c r="C693" s="3" t="s">
        <v>30</v>
      </c>
      <c r="D693" s="3" t="s">
        <v>65</v>
      </c>
      <c r="E693" s="3" t="s">
        <v>48</v>
      </c>
      <c r="F693" s="3" t="s">
        <v>66</v>
      </c>
      <c r="G693" s="3">
        <v>2025</v>
      </c>
      <c r="H693" s="3" t="str">
        <f>CONCATENATE("54240669298")</f>
        <v>54240669298</v>
      </c>
      <c r="I693" s="3" t="s">
        <v>34</v>
      </c>
      <c r="J693" s="3" t="s">
        <v>35</v>
      </c>
      <c r="K693" s="3"/>
      <c r="L693" s="3" t="s">
        <v>36</v>
      </c>
      <c r="M693" s="3" t="str">
        <f>CONCATENATE("02686020419")</f>
        <v>02686020419</v>
      </c>
      <c r="N693" s="3" t="s">
        <v>819</v>
      </c>
      <c r="O693" s="3" t="s">
        <v>38</v>
      </c>
      <c r="P693" s="3"/>
      <c r="Q693" s="4">
        <v>45968</v>
      </c>
      <c r="R693" s="3" t="s">
        <v>39</v>
      </c>
      <c r="S693" s="3" t="s">
        <v>38</v>
      </c>
      <c r="T693" s="3" t="s">
        <v>40</v>
      </c>
      <c r="U693" s="3"/>
      <c r="V693" s="3" t="s">
        <v>41</v>
      </c>
      <c r="W693" s="5">
        <v>17683.740000000002</v>
      </c>
      <c r="X693" s="5">
        <v>13262.81</v>
      </c>
      <c r="Y693" s="5">
        <v>3094.65</v>
      </c>
      <c r="Z693" s="5">
        <v>1326.28</v>
      </c>
      <c r="AA693" s="3">
        <v>0</v>
      </c>
    </row>
    <row r="694" spans="1:27" ht="60.75" x14ac:dyDescent="0.25">
      <c r="A694" s="3" t="s">
        <v>28</v>
      </c>
      <c r="B694" s="3" t="s">
        <v>29</v>
      </c>
      <c r="C694" s="3" t="s">
        <v>30</v>
      </c>
      <c r="D694" s="3" t="s">
        <v>65</v>
      </c>
      <c r="E694" s="3" t="s">
        <v>32</v>
      </c>
      <c r="F694" s="3" t="s">
        <v>276</v>
      </c>
      <c r="G694" s="3">
        <v>2025</v>
      </c>
      <c r="H694" s="3" t="str">
        <f>CONCATENATE("54240669983")</f>
        <v>54240669983</v>
      </c>
      <c r="I694" s="3" t="s">
        <v>34</v>
      </c>
      <c r="J694" s="3" t="s">
        <v>35</v>
      </c>
      <c r="K694" s="3"/>
      <c r="L694" s="3" t="s">
        <v>36</v>
      </c>
      <c r="M694" s="3" t="str">
        <f>CONCATENATE("FRLMLV64C49C357V")</f>
        <v>FRLMLV64C49C357V</v>
      </c>
      <c r="N694" s="3" t="s">
        <v>820</v>
      </c>
      <c r="O694" s="3" t="s">
        <v>38</v>
      </c>
      <c r="P694" s="3"/>
      <c r="Q694" s="4">
        <v>45968</v>
      </c>
      <c r="R694" s="3" t="s">
        <v>39</v>
      </c>
      <c r="S694" s="3" t="s">
        <v>38</v>
      </c>
      <c r="T694" s="3" t="s">
        <v>40</v>
      </c>
      <c r="U694" s="3"/>
      <c r="V694" s="3" t="s">
        <v>41</v>
      </c>
      <c r="W694" s="5">
        <v>8279.4</v>
      </c>
      <c r="X694" s="5">
        <v>6209.55</v>
      </c>
      <c r="Y694" s="5">
        <v>1448.9</v>
      </c>
      <c r="Z694" s="3">
        <v>620.95000000000005</v>
      </c>
      <c r="AA694" s="3">
        <v>0</v>
      </c>
    </row>
    <row r="695" spans="1:27" ht="60.75" x14ac:dyDescent="0.25">
      <c r="A695" s="3" t="s">
        <v>28</v>
      </c>
      <c r="B695" s="3" t="s">
        <v>29</v>
      </c>
      <c r="C695" s="3" t="s">
        <v>30</v>
      </c>
      <c r="D695" s="3" t="s">
        <v>47</v>
      </c>
      <c r="E695" s="3" t="s">
        <v>48</v>
      </c>
      <c r="F695" s="3" t="s">
        <v>90</v>
      </c>
      <c r="G695" s="3">
        <v>2025</v>
      </c>
      <c r="H695" s="3" t="str">
        <f>CONCATENATE("54240671799")</f>
        <v>54240671799</v>
      </c>
      <c r="I695" s="3" t="s">
        <v>34</v>
      </c>
      <c r="J695" s="3" t="s">
        <v>35</v>
      </c>
      <c r="K695" s="3"/>
      <c r="L695" s="3" t="s">
        <v>36</v>
      </c>
      <c r="M695" s="3" t="str">
        <f>CONCATENATE("GSTNDR87R19E783U")</f>
        <v>GSTNDR87R19E783U</v>
      </c>
      <c r="N695" s="3" t="s">
        <v>821</v>
      </c>
      <c r="O695" s="3" t="s">
        <v>38</v>
      </c>
      <c r="P695" s="3"/>
      <c r="Q695" s="4">
        <v>45968</v>
      </c>
      <c r="R695" s="3" t="s">
        <v>39</v>
      </c>
      <c r="S695" s="3" t="s">
        <v>38</v>
      </c>
      <c r="T695" s="3" t="s">
        <v>40</v>
      </c>
      <c r="U695" s="3"/>
      <c r="V695" s="3" t="s">
        <v>41</v>
      </c>
      <c r="W695" s="5">
        <v>5329.87</v>
      </c>
      <c r="X695" s="5">
        <v>3997.4</v>
      </c>
      <c r="Y695" s="3">
        <v>932.73</v>
      </c>
      <c r="Z695" s="3">
        <v>399.74</v>
      </c>
      <c r="AA695" s="3">
        <v>0</v>
      </c>
    </row>
    <row r="696" spans="1:27" ht="36.75" x14ac:dyDescent="0.25">
      <c r="A696" s="3" t="s">
        <v>28</v>
      </c>
      <c r="B696" s="3" t="s">
        <v>29</v>
      </c>
      <c r="C696" s="3" t="s">
        <v>30</v>
      </c>
      <c r="D696" s="3" t="s">
        <v>47</v>
      </c>
      <c r="E696" s="3" t="s">
        <v>48</v>
      </c>
      <c r="F696" s="3" t="s">
        <v>90</v>
      </c>
      <c r="G696" s="3">
        <v>2025</v>
      </c>
      <c r="H696" s="3" t="str">
        <f>CONCATENATE("54240672987")</f>
        <v>54240672987</v>
      </c>
      <c r="I696" s="3" t="s">
        <v>34</v>
      </c>
      <c r="J696" s="3" t="s">
        <v>35</v>
      </c>
      <c r="K696" s="3"/>
      <c r="L696" s="3" t="s">
        <v>36</v>
      </c>
      <c r="M696" s="3" t="str">
        <f>CONCATENATE("02031400431")</f>
        <v>02031400431</v>
      </c>
      <c r="N696" s="3" t="s">
        <v>822</v>
      </c>
      <c r="O696" s="3" t="s">
        <v>38</v>
      </c>
      <c r="P696" s="3"/>
      <c r="Q696" s="4">
        <v>45968</v>
      </c>
      <c r="R696" s="3" t="s">
        <v>39</v>
      </c>
      <c r="S696" s="3" t="s">
        <v>38</v>
      </c>
      <c r="T696" s="3" t="s">
        <v>40</v>
      </c>
      <c r="U696" s="3"/>
      <c r="V696" s="3" t="s">
        <v>41</v>
      </c>
      <c r="W696" s="5">
        <v>2848.72</v>
      </c>
      <c r="X696" s="5">
        <v>2136.54</v>
      </c>
      <c r="Y696" s="3">
        <v>498.53</v>
      </c>
      <c r="Z696" s="3">
        <v>213.65</v>
      </c>
      <c r="AA696" s="3">
        <v>0</v>
      </c>
    </row>
    <row r="697" spans="1:27" ht="72.75" x14ac:dyDescent="0.25">
      <c r="A697" s="3" t="s">
        <v>28</v>
      </c>
      <c r="B697" s="3" t="s">
        <v>29</v>
      </c>
      <c r="C697" s="3" t="s">
        <v>30</v>
      </c>
      <c r="D697" s="3" t="s">
        <v>47</v>
      </c>
      <c r="E697" s="3" t="s">
        <v>48</v>
      </c>
      <c r="F697" s="3" t="s">
        <v>79</v>
      </c>
      <c r="G697" s="3">
        <v>2025</v>
      </c>
      <c r="H697" s="3" t="str">
        <f>CONCATENATE("54240673043")</f>
        <v>54240673043</v>
      </c>
      <c r="I697" s="3" t="s">
        <v>34</v>
      </c>
      <c r="J697" s="3" t="s">
        <v>35</v>
      </c>
      <c r="K697" s="3"/>
      <c r="L697" s="3" t="s">
        <v>36</v>
      </c>
      <c r="M697" s="3" t="str">
        <f>CONCATENATE("SBSDMN91B16I156V")</f>
        <v>SBSDMN91B16I156V</v>
      </c>
      <c r="N697" s="3" t="s">
        <v>823</v>
      </c>
      <c r="O697" s="3" t="s">
        <v>38</v>
      </c>
      <c r="P697" s="3"/>
      <c r="Q697" s="4">
        <v>45968</v>
      </c>
      <c r="R697" s="3" t="s">
        <v>39</v>
      </c>
      <c r="S697" s="3" t="s">
        <v>38</v>
      </c>
      <c r="T697" s="3" t="s">
        <v>40</v>
      </c>
      <c r="U697" s="3"/>
      <c r="V697" s="3" t="s">
        <v>41</v>
      </c>
      <c r="W697" s="5">
        <v>21457.9</v>
      </c>
      <c r="X697" s="5">
        <v>16093.43</v>
      </c>
      <c r="Y697" s="5">
        <v>3755.13</v>
      </c>
      <c r="Z697" s="5">
        <v>1609.34</v>
      </c>
      <c r="AA697" s="3">
        <v>0</v>
      </c>
    </row>
    <row r="698" spans="1:27" ht="72.75" x14ac:dyDescent="0.25">
      <c r="A698" s="3" t="s">
        <v>28</v>
      </c>
      <c r="B698" s="3" t="s">
        <v>29</v>
      </c>
      <c r="C698" s="3" t="s">
        <v>30</v>
      </c>
      <c r="D698" s="3" t="s">
        <v>65</v>
      </c>
      <c r="E698" s="3" t="s">
        <v>51</v>
      </c>
      <c r="F698" s="3" t="s">
        <v>534</v>
      </c>
      <c r="G698" s="3">
        <v>2025</v>
      </c>
      <c r="H698" s="3" t="str">
        <f>CONCATENATE("54240673217")</f>
        <v>54240673217</v>
      </c>
      <c r="I698" s="3" t="s">
        <v>34</v>
      </c>
      <c r="J698" s="3" t="s">
        <v>35</v>
      </c>
      <c r="K698" s="3"/>
      <c r="L698" s="3" t="s">
        <v>36</v>
      </c>
      <c r="M698" s="3" t="str">
        <f>CONCATENATE("GGLMSM77M25I287A")</f>
        <v>GGLMSM77M25I287A</v>
      </c>
      <c r="N698" s="3" t="s">
        <v>824</v>
      </c>
      <c r="O698" s="3" t="s">
        <v>38</v>
      </c>
      <c r="P698" s="3"/>
      <c r="Q698" s="4">
        <v>45968</v>
      </c>
      <c r="R698" s="3" t="s">
        <v>39</v>
      </c>
      <c r="S698" s="3" t="s">
        <v>38</v>
      </c>
      <c r="T698" s="3" t="s">
        <v>40</v>
      </c>
      <c r="U698" s="3"/>
      <c r="V698" s="3" t="s">
        <v>41</v>
      </c>
      <c r="W698" s="5">
        <v>13550.83</v>
      </c>
      <c r="X698" s="5">
        <v>10163.120000000001</v>
      </c>
      <c r="Y698" s="5">
        <v>2371.4</v>
      </c>
      <c r="Z698" s="5">
        <v>1016.31</v>
      </c>
      <c r="AA698" s="3">
        <v>0</v>
      </c>
    </row>
    <row r="699" spans="1:27" ht="36.75" x14ac:dyDescent="0.25">
      <c r="A699" s="3" t="s">
        <v>28</v>
      </c>
      <c r="B699" s="3" t="s">
        <v>29</v>
      </c>
      <c r="C699" s="3" t="s">
        <v>30</v>
      </c>
      <c r="D699" s="3" t="s">
        <v>31</v>
      </c>
      <c r="E699" s="3" t="s">
        <v>32</v>
      </c>
      <c r="F699" s="3" t="s">
        <v>33</v>
      </c>
      <c r="G699" s="3">
        <v>2025</v>
      </c>
      <c r="H699" s="3" t="str">
        <f>CONCATENATE("54240673985")</f>
        <v>54240673985</v>
      </c>
      <c r="I699" s="3" t="s">
        <v>34</v>
      </c>
      <c r="J699" s="3" t="s">
        <v>35</v>
      </c>
      <c r="K699" s="3"/>
      <c r="L699" s="3" t="s">
        <v>36</v>
      </c>
      <c r="M699" s="3" t="str">
        <f>CONCATENATE("01411670423")</f>
        <v>01411670423</v>
      </c>
      <c r="N699" s="3" t="s">
        <v>825</v>
      </c>
      <c r="O699" s="3" t="s">
        <v>38</v>
      </c>
      <c r="P699" s="3"/>
      <c r="Q699" s="4">
        <v>45968</v>
      </c>
      <c r="R699" s="3" t="s">
        <v>39</v>
      </c>
      <c r="S699" s="3" t="s">
        <v>38</v>
      </c>
      <c r="T699" s="3" t="s">
        <v>40</v>
      </c>
      <c r="U699" s="3"/>
      <c r="V699" s="3" t="s">
        <v>41</v>
      </c>
      <c r="W699" s="5">
        <v>38816.86</v>
      </c>
      <c r="X699" s="5">
        <v>29112.65</v>
      </c>
      <c r="Y699" s="5">
        <v>6792.95</v>
      </c>
      <c r="Z699" s="5">
        <v>2911.26</v>
      </c>
      <c r="AA699" s="3">
        <v>0</v>
      </c>
    </row>
    <row r="700" spans="1:27" ht="36.75" x14ac:dyDescent="0.25">
      <c r="A700" s="3" t="s">
        <v>28</v>
      </c>
      <c r="B700" s="3" t="s">
        <v>29</v>
      </c>
      <c r="C700" s="3" t="s">
        <v>30</v>
      </c>
      <c r="D700" s="3" t="s">
        <v>42</v>
      </c>
      <c r="E700" s="3" t="s">
        <v>51</v>
      </c>
      <c r="F700" s="3" t="s">
        <v>375</v>
      </c>
      <c r="G700" s="3">
        <v>2025</v>
      </c>
      <c r="H700" s="3" t="str">
        <f>CONCATENATE("54240674165")</f>
        <v>54240674165</v>
      </c>
      <c r="I700" s="3" t="s">
        <v>34</v>
      </c>
      <c r="J700" s="3" t="s">
        <v>35</v>
      </c>
      <c r="K700" s="3"/>
      <c r="L700" s="3" t="s">
        <v>36</v>
      </c>
      <c r="M700" s="3" t="str">
        <f>CONCATENATE("02274900444")</f>
        <v>02274900444</v>
      </c>
      <c r="N700" s="3" t="s">
        <v>826</v>
      </c>
      <c r="O700" s="3" t="s">
        <v>38</v>
      </c>
      <c r="P700" s="3"/>
      <c r="Q700" s="4">
        <v>45968</v>
      </c>
      <c r="R700" s="3" t="s">
        <v>39</v>
      </c>
      <c r="S700" s="3" t="s">
        <v>38</v>
      </c>
      <c r="T700" s="3" t="s">
        <v>40</v>
      </c>
      <c r="U700" s="3"/>
      <c r="V700" s="3" t="s">
        <v>41</v>
      </c>
      <c r="W700" s="5">
        <v>29870.33</v>
      </c>
      <c r="X700" s="5">
        <v>22402.75</v>
      </c>
      <c r="Y700" s="5">
        <v>5227.3100000000004</v>
      </c>
      <c r="Z700" s="5">
        <v>2240.27</v>
      </c>
      <c r="AA700" s="3">
        <v>0</v>
      </c>
    </row>
    <row r="701" spans="1:27" ht="72.75" x14ac:dyDescent="0.25">
      <c r="A701" s="3" t="s">
        <v>28</v>
      </c>
      <c r="B701" s="3" t="s">
        <v>29</v>
      </c>
      <c r="C701" s="3" t="s">
        <v>30</v>
      </c>
      <c r="D701" s="3" t="s">
        <v>65</v>
      </c>
      <c r="E701" s="3" t="s">
        <v>32</v>
      </c>
      <c r="F701" s="3" t="s">
        <v>135</v>
      </c>
      <c r="G701" s="3">
        <v>2025</v>
      </c>
      <c r="H701" s="3" t="str">
        <f>CONCATENATE("54240674173")</f>
        <v>54240674173</v>
      </c>
      <c r="I701" s="3" t="s">
        <v>44</v>
      </c>
      <c r="J701" s="3" t="s">
        <v>35</v>
      </c>
      <c r="K701" s="3"/>
      <c r="L701" s="3" t="s">
        <v>36</v>
      </c>
      <c r="M701" s="3" t="str">
        <f>CONCATENATE("GTRCRS78A24D786U")</f>
        <v>GTRCRS78A24D786U</v>
      </c>
      <c r="N701" s="3" t="s">
        <v>827</v>
      </c>
      <c r="O701" s="3" t="s">
        <v>38</v>
      </c>
      <c r="P701" s="3"/>
      <c r="Q701" s="4">
        <v>45968</v>
      </c>
      <c r="R701" s="3" t="s">
        <v>39</v>
      </c>
      <c r="S701" s="3" t="s">
        <v>38</v>
      </c>
      <c r="T701" s="3" t="s">
        <v>40</v>
      </c>
      <c r="U701" s="3"/>
      <c r="V701" s="3" t="s">
        <v>41</v>
      </c>
      <c r="W701" s="3">
        <v>119.43</v>
      </c>
      <c r="X701" s="3">
        <v>89.57</v>
      </c>
      <c r="Y701" s="3">
        <v>20.9</v>
      </c>
      <c r="Z701" s="3">
        <v>8.9600000000000009</v>
      </c>
      <c r="AA701" s="3">
        <v>0</v>
      </c>
    </row>
    <row r="702" spans="1:27" ht="60.75" x14ac:dyDescent="0.25">
      <c r="A702" s="3" t="s">
        <v>28</v>
      </c>
      <c r="B702" s="3" t="s">
        <v>29</v>
      </c>
      <c r="C702" s="3" t="s">
        <v>30</v>
      </c>
      <c r="D702" s="3" t="s">
        <v>47</v>
      </c>
      <c r="E702" s="3" t="s">
        <v>51</v>
      </c>
      <c r="F702" s="3" t="s">
        <v>828</v>
      </c>
      <c r="G702" s="3">
        <v>2025</v>
      </c>
      <c r="H702" s="3" t="str">
        <f>CONCATENATE("54240674595")</f>
        <v>54240674595</v>
      </c>
      <c r="I702" s="3" t="s">
        <v>34</v>
      </c>
      <c r="J702" s="3" t="s">
        <v>35</v>
      </c>
      <c r="K702" s="3"/>
      <c r="L702" s="3" t="s">
        <v>36</v>
      </c>
      <c r="M702" s="3" t="str">
        <f>CONCATENATE("SCLRND93L22D024E")</f>
        <v>SCLRND93L22D024E</v>
      </c>
      <c r="N702" s="3" t="s">
        <v>829</v>
      </c>
      <c r="O702" s="3" t="s">
        <v>38</v>
      </c>
      <c r="P702" s="3"/>
      <c r="Q702" s="4">
        <v>45968</v>
      </c>
      <c r="R702" s="3" t="s">
        <v>39</v>
      </c>
      <c r="S702" s="3" t="s">
        <v>38</v>
      </c>
      <c r="T702" s="3" t="s">
        <v>40</v>
      </c>
      <c r="U702" s="3"/>
      <c r="V702" s="3" t="s">
        <v>41</v>
      </c>
      <c r="W702" s="5">
        <v>9688.5</v>
      </c>
      <c r="X702" s="5">
        <v>7266.38</v>
      </c>
      <c r="Y702" s="5">
        <v>1695.49</v>
      </c>
      <c r="Z702" s="3">
        <v>726.63</v>
      </c>
      <c r="AA702" s="3">
        <v>0</v>
      </c>
    </row>
    <row r="703" spans="1:27" ht="60.75" x14ac:dyDescent="0.25">
      <c r="A703" s="3" t="s">
        <v>28</v>
      </c>
      <c r="B703" s="3" t="s">
        <v>29</v>
      </c>
      <c r="C703" s="3" t="s">
        <v>30</v>
      </c>
      <c r="D703" s="3" t="s">
        <v>65</v>
      </c>
      <c r="E703" s="3" t="s">
        <v>51</v>
      </c>
      <c r="F703" s="3" t="s">
        <v>534</v>
      </c>
      <c r="G703" s="3">
        <v>2025</v>
      </c>
      <c r="H703" s="3" t="str">
        <f>CONCATENATE("54240674991")</f>
        <v>54240674991</v>
      </c>
      <c r="I703" s="3" t="s">
        <v>34</v>
      </c>
      <c r="J703" s="3" t="s">
        <v>35</v>
      </c>
      <c r="K703" s="3"/>
      <c r="L703" s="3" t="s">
        <v>36</v>
      </c>
      <c r="M703" s="3" t="str">
        <f>CONCATENATE("CRRPLA82S05H501L")</f>
        <v>CRRPLA82S05H501L</v>
      </c>
      <c r="N703" s="3" t="s">
        <v>830</v>
      </c>
      <c r="O703" s="3" t="s">
        <v>38</v>
      </c>
      <c r="P703" s="3"/>
      <c r="Q703" s="4">
        <v>45968</v>
      </c>
      <c r="R703" s="3" t="s">
        <v>39</v>
      </c>
      <c r="S703" s="3" t="s">
        <v>38</v>
      </c>
      <c r="T703" s="3" t="s">
        <v>40</v>
      </c>
      <c r="U703" s="3"/>
      <c r="V703" s="3" t="s">
        <v>41</v>
      </c>
      <c r="W703" s="5">
        <v>10692.34</v>
      </c>
      <c r="X703" s="5">
        <v>8019.26</v>
      </c>
      <c r="Y703" s="5">
        <v>1871.16</v>
      </c>
      <c r="Z703" s="3">
        <v>801.92</v>
      </c>
      <c r="AA703" s="3">
        <v>0</v>
      </c>
    </row>
    <row r="704" spans="1:27" ht="36.75" x14ac:dyDescent="0.25">
      <c r="A704" s="3" t="s">
        <v>28</v>
      </c>
      <c r="B704" s="3" t="s">
        <v>29</v>
      </c>
      <c r="C704" s="3" t="s">
        <v>30</v>
      </c>
      <c r="D704" s="3" t="s">
        <v>65</v>
      </c>
      <c r="E704" s="3" t="s">
        <v>51</v>
      </c>
      <c r="F704" s="3" t="s">
        <v>534</v>
      </c>
      <c r="G704" s="3">
        <v>2025</v>
      </c>
      <c r="H704" s="3" t="str">
        <f>CONCATENATE("54240675030")</f>
        <v>54240675030</v>
      </c>
      <c r="I704" s="3" t="s">
        <v>34</v>
      </c>
      <c r="J704" s="3" t="s">
        <v>35</v>
      </c>
      <c r="K704" s="3"/>
      <c r="L704" s="3" t="s">
        <v>36</v>
      </c>
      <c r="M704" s="3" t="str">
        <f>CONCATENATE("02664210412")</f>
        <v>02664210412</v>
      </c>
      <c r="N704" s="3" t="s">
        <v>831</v>
      </c>
      <c r="O704" s="3" t="s">
        <v>38</v>
      </c>
      <c r="P704" s="3"/>
      <c r="Q704" s="4">
        <v>45968</v>
      </c>
      <c r="R704" s="3" t="s">
        <v>39</v>
      </c>
      <c r="S704" s="3" t="s">
        <v>38</v>
      </c>
      <c r="T704" s="3" t="s">
        <v>40</v>
      </c>
      <c r="U704" s="3"/>
      <c r="V704" s="3" t="s">
        <v>41</v>
      </c>
      <c r="W704" s="5">
        <v>4170.3100000000004</v>
      </c>
      <c r="X704" s="5">
        <v>3127.73</v>
      </c>
      <c r="Y704" s="3">
        <v>729.8</v>
      </c>
      <c r="Z704" s="3">
        <v>312.77999999999997</v>
      </c>
      <c r="AA704" s="3">
        <v>0</v>
      </c>
    </row>
    <row r="705" spans="1:27" ht="36.75" x14ac:dyDescent="0.25">
      <c r="A705" s="3" t="s">
        <v>28</v>
      </c>
      <c r="B705" s="3" t="s">
        <v>29</v>
      </c>
      <c r="C705" s="3" t="s">
        <v>30</v>
      </c>
      <c r="D705" s="3" t="s">
        <v>42</v>
      </c>
      <c r="E705" s="3" t="s">
        <v>132</v>
      </c>
      <c r="F705" s="3" t="s">
        <v>263</v>
      </c>
      <c r="G705" s="3">
        <v>2025</v>
      </c>
      <c r="H705" s="3" t="str">
        <f>CONCATENATE("54240660289")</f>
        <v>54240660289</v>
      </c>
      <c r="I705" s="3" t="s">
        <v>34</v>
      </c>
      <c r="J705" s="3" t="s">
        <v>35</v>
      </c>
      <c r="K705" s="3"/>
      <c r="L705" s="3" t="s">
        <v>36</v>
      </c>
      <c r="M705" s="3" t="str">
        <f>CONCATENATE("02271980449")</f>
        <v>02271980449</v>
      </c>
      <c r="N705" s="3" t="s">
        <v>832</v>
      </c>
      <c r="O705" s="3" t="s">
        <v>38</v>
      </c>
      <c r="P705" s="3"/>
      <c r="Q705" s="4">
        <v>45968</v>
      </c>
      <c r="R705" s="3" t="s">
        <v>39</v>
      </c>
      <c r="S705" s="3" t="s">
        <v>38</v>
      </c>
      <c r="T705" s="3" t="s">
        <v>40</v>
      </c>
      <c r="U705" s="3"/>
      <c r="V705" s="3" t="s">
        <v>41</v>
      </c>
      <c r="W705" s="3">
        <v>986.7</v>
      </c>
      <c r="X705" s="3">
        <v>740.03</v>
      </c>
      <c r="Y705" s="3">
        <v>172.67</v>
      </c>
      <c r="Z705" s="3">
        <v>74</v>
      </c>
      <c r="AA705" s="3">
        <v>0</v>
      </c>
    </row>
    <row r="706" spans="1:27" ht="60.75" x14ac:dyDescent="0.25">
      <c r="A706" s="3" t="s">
        <v>28</v>
      </c>
      <c r="B706" s="3" t="s">
        <v>29</v>
      </c>
      <c r="C706" s="3" t="s">
        <v>30</v>
      </c>
      <c r="D706" s="3" t="s">
        <v>42</v>
      </c>
      <c r="E706" s="3" t="s">
        <v>132</v>
      </c>
      <c r="F706" s="3" t="s">
        <v>263</v>
      </c>
      <c r="G706" s="3">
        <v>2025</v>
      </c>
      <c r="H706" s="3" t="str">
        <f>CONCATENATE("54240660255")</f>
        <v>54240660255</v>
      </c>
      <c r="I706" s="3" t="s">
        <v>34</v>
      </c>
      <c r="J706" s="3" t="s">
        <v>35</v>
      </c>
      <c r="K706" s="3"/>
      <c r="L706" s="3" t="s">
        <v>36</v>
      </c>
      <c r="M706" s="3" t="str">
        <f>CONCATENATE("FLCCRL59C42A258L")</f>
        <v>FLCCRL59C42A258L</v>
      </c>
      <c r="N706" s="3" t="s">
        <v>833</v>
      </c>
      <c r="O706" s="3" t="s">
        <v>38</v>
      </c>
      <c r="P706" s="3"/>
      <c r="Q706" s="4">
        <v>45968</v>
      </c>
      <c r="R706" s="3" t="s">
        <v>39</v>
      </c>
      <c r="S706" s="3" t="s">
        <v>38</v>
      </c>
      <c r="T706" s="3" t="s">
        <v>40</v>
      </c>
      <c r="U706" s="3"/>
      <c r="V706" s="3" t="s">
        <v>41</v>
      </c>
      <c r="W706" s="5">
        <v>2020.37</v>
      </c>
      <c r="X706" s="5">
        <v>1515.28</v>
      </c>
      <c r="Y706" s="3">
        <v>353.56</v>
      </c>
      <c r="Z706" s="3">
        <v>151.53</v>
      </c>
      <c r="AA706" s="3">
        <v>0</v>
      </c>
    </row>
    <row r="707" spans="1:27" ht="36.75" x14ac:dyDescent="0.25">
      <c r="A707" s="3" t="s">
        <v>28</v>
      </c>
      <c r="B707" s="3" t="s">
        <v>29</v>
      </c>
      <c r="C707" s="3" t="s">
        <v>30</v>
      </c>
      <c r="D707" s="3" t="s">
        <v>42</v>
      </c>
      <c r="E707" s="3" t="s">
        <v>132</v>
      </c>
      <c r="F707" s="3" t="s">
        <v>263</v>
      </c>
      <c r="G707" s="3">
        <v>2025</v>
      </c>
      <c r="H707" s="3" t="str">
        <f>CONCATENATE("54240660313")</f>
        <v>54240660313</v>
      </c>
      <c r="I707" s="3" t="s">
        <v>34</v>
      </c>
      <c r="J707" s="3" t="s">
        <v>35</v>
      </c>
      <c r="K707" s="3"/>
      <c r="L707" s="3" t="s">
        <v>36</v>
      </c>
      <c r="M707" s="3" t="str">
        <f>CONCATENATE("02546330446")</f>
        <v>02546330446</v>
      </c>
      <c r="N707" s="3" t="s">
        <v>834</v>
      </c>
      <c r="O707" s="3" t="s">
        <v>38</v>
      </c>
      <c r="P707" s="3"/>
      <c r="Q707" s="4">
        <v>45968</v>
      </c>
      <c r="R707" s="3" t="s">
        <v>39</v>
      </c>
      <c r="S707" s="3" t="s">
        <v>38</v>
      </c>
      <c r="T707" s="3" t="s">
        <v>40</v>
      </c>
      <c r="U707" s="3"/>
      <c r="V707" s="3" t="s">
        <v>41</v>
      </c>
      <c r="W707" s="5">
        <v>4456.6899999999996</v>
      </c>
      <c r="X707" s="5">
        <v>3342.52</v>
      </c>
      <c r="Y707" s="3">
        <v>779.92</v>
      </c>
      <c r="Z707" s="3">
        <v>334.25</v>
      </c>
      <c r="AA707" s="3">
        <v>0</v>
      </c>
    </row>
    <row r="708" spans="1:27" ht="60.75" x14ac:dyDescent="0.25">
      <c r="A708" s="3" t="s">
        <v>28</v>
      </c>
      <c r="B708" s="3" t="s">
        <v>29</v>
      </c>
      <c r="C708" s="3" t="s">
        <v>30</v>
      </c>
      <c r="D708" s="3" t="s">
        <v>42</v>
      </c>
      <c r="E708" s="3" t="s">
        <v>132</v>
      </c>
      <c r="F708" s="3" t="s">
        <v>263</v>
      </c>
      <c r="G708" s="3">
        <v>2025</v>
      </c>
      <c r="H708" s="3" t="str">
        <f>CONCATENATE("54240661659")</f>
        <v>54240661659</v>
      </c>
      <c r="I708" s="3" t="s">
        <v>34</v>
      </c>
      <c r="J708" s="3" t="s">
        <v>35</v>
      </c>
      <c r="K708" s="3"/>
      <c r="L708" s="3" t="s">
        <v>36</v>
      </c>
      <c r="M708" s="3" t="str">
        <f>CONCATENATE("JCHCRN54M47F570P")</f>
        <v>JCHCRN54M47F570P</v>
      </c>
      <c r="N708" s="3" t="s">
        <v>835</v>
      </c>
      <c r="O708" s="3" t="s">
        <v>38</v>
      </c>
      <c r="P708" s="3"/>
      <c r="Q708" s="4">
        <v>45968</v>
      </c>
      <c r="R708" s="3" t="s">
        <v>39</v>
      </c>
      <c r="S708" s="3" t="s">
        <v>38</v>
      </c>
      <c r="T708" s="3" t="s">
        <v>40</v>
      </c>
      <c r="U708" s="3"/>
      <c r="V708" s="3" t="s">
        <v>41</v>
      </c>
      <c r="W708" s="5">
        <v>2327.4299999999998</v>
      </c>
      <c r="X708" s="5">
        <v>1745.57</v>
      </c>
      <c r="Y708" s="3">
        <v>407.3</v>
      </c>
      <c r="Z708" s="3">
        <v>174.56</v>
      </c>
      <c r="AA708" s="3">
        <v>0</v>
      </c>
    </row>
    <row r="709" spans="1:27" ht="36.75" x14ac:dyDescent="0.25">
      <c r="A709" s="3" t="s">
        <v>28</v>
      </c>
      <c r="B709" s="3" t="s">
        <v>29</v>
      </c>
      <c r="C709" s="3" t="s">
        <v>30</v>
      </c>
      <c r="D709" s="3" t="s">
        <v>42</v>
      </c>
      <c r="E709" s="3" t="s">
        <v>132</v>
      </c>
      <c r="F709" s="3" t="s">
        <v>263</v>
      </c>
      <c r="G709" s="3">
        <v>2025</v>
      </c>
      <c r="H709" s="3" t="str">
        <f>CONCATENATE("54240661709")</f>
        <v>54240661709</v>
      </c>
      <c r="I709" s="3" t="s">
        <v>34</v>
      </c>
      <c r="J709" s="3" t="s">
        <v>35</v>
      </c>
      <c r="K709" s="3"/>
      <c r="L709" s="3" t="s">
        <v>36</v>
      </c>
      <c r="M709" s="3" t="str">
        <f>CONCATENATE("02069340442")</f>
        <v>02069340442</v>
      </c>
      <c r="N709" s="3" t="s">
        <v>836</v>
      </c>
      <c r="O709" s="3" t="s">
        <v>38</v>
      </c>
      <c r="P709" s="3"/>
      <c r="Q709" s="4">
        <v>45968</v>
      </c>
      <c r="R709" s="3" t="s">
        <v>39</v>
      </c>
      <c r="S709" s="3" t="s">
        <v>38</v>
      </c>
      <c r="T709" s="3" t="s">
        <v>40</v>
      </c>
      <c r="U709" s="3"/>
      <c r="V709" s="3" t="s">
        <v>41</v>
      </c>
      <c r="W709" s="5">
        <v>8259.76</v>
      </c>
      <c r="X709" s="5">
        <v>6194.82</v>
      </c>
      <c r="Y709" s="5">
        <v>1445.46</v>
      </c>
      <c r="Z709" s="3">
        <v>619.48</v>
      </c>
      <c r="AA709" s="3">
        <v>0</v>
      </c>
    </row>
    <row r="710" spans="1:27" ht="60.75" x14ac:dyDescent="0.25">
      <c r="A710" s="3" t="s">
        <v>28</v>
      </c>
      <c r="B710" s="3" t="s">
        <v>29</v>
      </c>
      <c r="C710" s="3" t="s">
        <v>30</v>
      </c>
      <c r="D710" s="3" t="s">
        <v>42</v>
      </c>
      <c r="E710" s="3" t="s">
        <v>132</v>
      </c>
      <c r="F710" s="3" t="s">
        <v>710</v>
      </c>
      <c r="G710" s="3">
        <v>2025</v>
      </c>
      <c r="H710" s="3" t="str">
        <f>CONCATENATE("54240662418")</f>
        <v>54240662418</v>
      </c>
      <c r="I710" s="3" t="s">
        <v>34</v>
      </c>
      <c r="J710" s="3" t="s">
        <v>35</v>
      </c>
      <c r="K710" s="3"/>
      <c r="L710" s="3" t="s">
        <v>36</v>
      </c>
      <c r="M710" s="3" t="str">
        <f>CONCATENATE("FBBDVD50E12F570G")</f>
        <v>FBBDVD50E12F570G</v>
      </c>
      <c r="N710" s="3" t="s">
        <v>837</v>
      </c>
      <c r="O710" s="3" t="s">
        <v>38</v>
      </c>
      <c r="P710" s="3"/>
      <c r="Q710" s="4">
        <v>45968</v>
      </c>
      <c r="R710" s="3" t="s">
        <v>39</v>
      </c>
      <c r="S710" s="3" t="s">
        <v>38</v>
      </c>
      <c r="T710" s="3" t="s">
        <v>40</v>
      </c>
      <c r="U710" s="3"/>
      <c r="V710" s="3" t="s">
        <v>41</v>
      </c>
      <c r="W710" s="5">
        <v>2496.36</v>
      </c>
      <c r="X710" s="5">
        <v>1872.27</v>
      </c>
      <c r="Y710" s="3">
        <v>436.86</v>
      </c>
      <c r="Z710" s="3">
        <v>187.23</v>
      </c>
      <c r="AA710" s="3">
        <v>0</v>
      </c>
    </row>
    <row r="711" spans="1:27" ht="36.75" x14ac:dyDescent="0.25">
      <c r="A711" s="3" t="s">
        <v>28</v>
      </c>
      <c r="B711" s="3" t="s">
        <v>29</v>
      </c>
      <c r="C711" s="3" t="s">
        <v>30</v>
      </c>
      <c r="D711" s="3" t="s">
        <v>42</v>
      </c>
      <c r="E711" s="3" t="s">
        <v>207</v>
      </c>
      <c r="F711" s="3" t="s">
        <v>764</v>
      </c>
      <c r="G711" s="3">
        <v>2025</v>
      </c>
      <c r="H711" s="3" t="str">
        <f>CONCATENATE("54240663127")</f>
        <v>54240663127</v>
      </c>
      <c r="I711" s="3" t="s">
        <v>44</v>
      </c>
      <c r="J711" s="3" t="s">
        <v>35</v>
      </c>
      <c r="K711" s="3"/>
      <c r="L711" s="3" t="s">
        <v>36</v>
      </c>
      <c r="M711" s="3" t="str">
        <f>CONCATENATE("00491220448")</f>
        <v>00491220448</v>
      </c>
      <c r="N711" s="3" t="s">
        <v>838</v>
      </c>
      <c r="O711" s="3" t="s">
        <v>38</v>
      </c>
      <c r="P711" s="3"/>
      <c r="Q711" s="4">
        <v>45968</v>
      </c>
      <c r="R711" s="3" t="s">
        <v>39</v>
      </c>
      <c r="S711" s="3" t="s">
        <v>38</v>
      </c>
      <c r="T711" s="3" t="s">
        <v>40</v>
      </c>
      <c r="U711" s="3"/>
      <c r="V711" s="3" t="s">
        <v>41</v>
      </c>
      <c r="W711" s="5">
        <v>10762.49</v>
      </c>
      <c r="X711" s="5">
        <v>8071.87</v>
      </c>
      <c r="Y711" s="5">
        <v>1883.44</v>
      </c>
      <c r="Z711" s="3">
        <v>807.18</v>
      </c>
      <c r="AA711" s="3">
        <v>0</v>
      </c>
    </row>
    <row r="712" spans="1:27" ht="60.75" x14ac:dyDescent="0.25">
      <c r="A712" s="3" t="s">
        <v>28</v>
      </c>
      <c r="B712" s="3" t="s">
        <v>29</v>
      </c>
      <c r="C712" s="3" t="s">
        <v>30</v>
      </c>
      <c r="D712" s="3" t="s">
        <v>42</v>
      </c>
      <c r="E712" s="3" t="s">
        <v>207</v>
      </c>
      <c r="F712" s="3" t="s">
        <v>764</v>
      </c>
      <c r="G712" s="3">
        <v>2025</v>
      </c>
      <c r="H712" s="3" t="str">
        <f>CONCATENATE("54240664745")</f>
        <v>54240664745</v>
      </c>
      <c r="I712" s="3" t="s">
        <v>34</v>
      </c>
      <c r="J712" s="3" t="s">
        <v>35</v>
      </c>
      <c r="K712" s="3"/>
      <c r="L712" s="3" t="s">
        <v>36</v>
      </c>
      <c r="M712" s="3" t="str">
        <f>CONCATENATE("PRNSMN00S03I156H")</f>
        <v>PRNSMN00S03I156H</v>
      </c>
      <c r="N712" s="3" t="s">
        <v>839</v>
      </c>
      <c r="O712" s="3" t="s">
        <v>38</v>
      </c>
      <c r="P712" s="3"/>
      <c r="Q712" s="4">
        <v>45968</v>
      </c>
      <c r="R712" s="3" t="s">
        <v>39</v>
      </c>
      <c r="S712" s="3" t="s">
        <v>38</v>
      </c>
      <c r="T712" s="3" t="s">
        <v>40</v>
      </c>
      <c r="U712" s="3"/>
      <c r="V712" s="3" t="s">
        <v>41</v>
      </c>
      <c r="W712" s="5">
        <v>4010.31</v>
      </c>
      <c r="X712" s="5">
        <v>3007.73</v>
      </c>
      <c r="Y712" s="3">
        <v>701.8</v>
      </c>
      <c r="Z712" s="3">
        <v>300.77999999999997</v>
      </c>
      <c r="AA712" s="3">
        <v>0</v>
      </c>
    </row>
    <row r="713" spans="1:27" ht="60.75" x14ac:dyDescent="0.25">
      <c r="A713" s="3" t="s">
        <v>28</v>
      </c>
      <c r="B713" s="3" t="s">
        <v>29</v>
      </c>
      <c r="C713" s="3" t="s">
        <v>30</v>
      </c>
      <c r="D713" s="3" t="s">
        <v>42</v>
      </c>
      <c r="E713" s="3" t="s">
        <v>43</v>
      </c>
      <c r="F713" s="3" t="s">
        <v>43</v>
      </c>
      <c r="G713" s="3">
        <v>2025</v>
      </c>
      <c r="H713" s="3" t="str">
        <f>CONCATENATE("54240519766")</f>
        <v>54240519766</v>
      </c>
      <c r="I713" s="3" t="s">
        <v>44</v>
      </c>
      <c r="J713" s="3" t="s">
        <v>35</v>
      </c>
      <c r="K713" s="3"/>
      <c r="L713" s="3" t="s">
        <v>36</v>
      </c>
      <c r="M713" s="3" t="str">
        <f>CONCATENATE("DNCSVN56T23G005Y")</f>
        <v>DNCSVN56T23G005Y</v>
      </c>
      <c r="N713" s="3" t="s">
        <v>840</v>
      </c>
      <c r="O713" s="3" t="s">
        <v>38</v>
      </c>
      <c r="P713" s="3"/>
      <c r="Q713" s="4">
        <v>45968</v>
      </c>
      <c r="R713" s="3" t="s">
        <v>39</v>
      </c>
      <c r="S713" s="3" t="s">
        <v>38</v>
      </c>
      <c r="T713" s="3" t="s">
        <v>40</v>
      </c>
      <c r="U713" s="3"/>
      <c r="V713" s="3" t="s">
        <v>41</v>
      </c>
      <c r="W713" s="5">
        <v>4032.83</v>
      </c>
      <c r="X713" s="5">
        <v>3024.62</v>
      </c>
      <c r="Y713" s="3">
        <v>705.75</v>
      </c>
      <c r="Z713" s="3">
        <v>302.45999999999998</v>
      </c>
      <c r="AA713" s="3">
        <v>0</v>
      </c>
    </row>
    <row r="714" spans="1:27" ht="60.75" x14ac:dyDescent="0.25">
      <c r="A714" s="3" t="s">
        <v>28</v>
      </c>
      <c r="B714" s="3" t="s">
        <v>29</v>
      </c>
      <c r="C714" s="3" t="s">
        <v>30</v>
      </c>
      <c r="D714" s="3" t="s">
        <v>47</v>
      </c>
      <c r="E714" s="3" t="s">
        <v>48</v>
      </c>
      <c r="F714" s="3" t="s">
        <v>776</v>
      </c>
      <c r="G714" s="3">
        <v>2025</v>
      </c>
      <c r="H714" s="3" t="str">
        <f>CONCATENATE("54240542859")</f>
        <v>54240542859</v>
      </c>
      <c r="I714" s="3" t="s">
        <v>34</v>
      </c>
      <c r="J714" s="3" t="s">
        <v>35</v>
      </c>
      <c r="K714" s="3"/>
      <c r="L714" s="3" t="s">
        <v>36</v>
      </c>
      <c r="M714" s="3" t="str">
        <f>CONCATENATE("RMNGLC83E15L191N")</f>
        <v>RMNGLC83E15L191N</v>
      </c>
      <c r="N714" s="3" t="s">
        <v>841</v>
      </c>
      <c r="O714" s="3" t="s">
        <v>38</v>
      </c>
      <c r="P714" s="3"/>
      <c r="Q714" s="4">
        <v>45968</v>
      </c>
      <c r="R714" s="3" t="s">
        <v>39</v>
      </c>
      <c r="S714" s="3" t="s">
        <v>38</v>
      </c>
      <c r="T714" s="3" t="s">
        <v>40</v>
      </c>
      <c r="U714" s="3"/>
      <c r="V714" s="3" t="s">
        <v>41</v>
      </c>
      <c r="W714" s="5">
        <v>2867.63</v>
      </c>
      <c r="X714" s="5">
        <v>2150.7199999999998</v>
      </c>
      <c r="Y714" s="3">
        <v>501.84</v>
      </c>
      <c r="Z714" s="3">
        <v>215.07</v>
      </c>
      <c r="AA714" s="3">
        <v>0</v>
      </c>
    </row>
    <row r="715" spans="1:27" ht="36.75" x14ac:dyDescent="0.25">
      <c r="A715" s="3" t="s">
        <v>28</v>
      </c>
      <c r="B715" s="3" t="s">
        <v>29</v>
      </c>
      <c r="C715" s="3" t="s">
        <v>30</v>
      </c>
      <c r="D715" s="3" t="s">
        <v>65</v>
      </c>
      <c r="E715" s="3" t="s">
        <v>48</v>
      </c>
      <c r="F715" s="3" t="s">
        <v>76</v>
      </c>
      <c r="G715" s="3">
        <v>2025</v>
      </c>
      <c r="H715" s="3" t="str">
        <f>CONCATENATE("54240520483")</f>
        <v>54240520483</v>
      </c>
      <c r="I715" s="3" t="s">
        <v>34</v>
      </c>
      <c r="J715" s="3" t="s">
        <v>35</v>
      </c>
      <c r="K715" s="3"/>
      <c r="L715" s="3" t="s">
        <v>36</v>
      </c>
      <c r="M715" s="3" t="str">
        <f>CONCATENATE("01495720417")</f>
        <v>01495720417</v>
      </c>
      <c r="N715" s="3" t="s">
        <v>842</v>
      </c>
      <c r="O715" s="3" t="s">
        <v>38</v>
      </c>
      <c r="P715" s="3"/>
      <c r="Q715" s="4">
        <v>45968</v>
      </c>
      <c r="R715" s="3" t="s">
        <v>39</v>
      </c>
      <c r="S715" s="3" t="s">
        <v>38</v>
      </c>
      <c r="T715" s="3" t="s">
        <v>40</v>
      </c>
      <c r="U715" s="3"/>
      <c r="V715" s="3" t="s">
        <v>41</v>
      </c>
      <c r="W715" s="5">
        <v>23817.8</v>
      </c>
      <c r="X715" s="5">
        <v>17863.349999999999</v>
      </c>
      <c r="Y715" s="5">
        <v>4168.12</v>
      </c>
      <c r="Z715" s="5">
        <v>1786.33</v>
      </c>
      <c r="AA715" s="3">
        <v>0</v>
      </c>
    </row>
    <row r="716" spans="1:27" ht="60.75" x14ac:dyDescent="0.25">
      <c r="A716" s="3" t="s">
        <v>28</v>
      </c>
      <c r="B716" s="3" t="s">
        <v>29</v>
      </c>
      <c r="C716" s="3" t="s">
        <v>30</v>
      </c>
      <c r="D716" s="3" t="s">
        <v>42</v>
      </c>
      <c r="E716" s="3" t="s">
        <v>51</v>
      </c>
      <c r="F716" s="3" t="s">
        <v>52</v>
      </c>
      <c r="G716" s="3">
        <v>2025</v>
      </c>
      <c r="H716" s="3" t="str">
        <f>CONCATENATE("54240520822")</f>
        <v>54240520822</v>
      </c>
      <c r="I716" s="3" t="s">
        <v>34</v>
      </c>
      <c r="J716" s="3" t="s">
        <v>35</v>
      </c>
      <c r="K716" s="3"/>
      <c r="L716" s="3" t="s">
        <v>36</v>
      </c>
      <c r="M716" s="3" t="str">
        <f>CONCATENATE("MDENDR71B28G224Y")</f>
        <v>MDENDR71B28G224Y</v>
      </c>
      <c r="N716" s="3" t="s">
        <v>843</v>
      </c>
      <c r="O716" s="3" t="s">
        <v>38</v>
      </c>
      <c r="P716" s="3"/>
      <c r="Q716" s="4">
        <v>45968</v>
      </c>
      <c r="R716" s="3" t="s">
        <v>39</v>
      </c>
      <c r="S716" s="3" t="s">
        <v>38</v>
      </c>
      <c r="T716" s="3" t="s">
        <v>40</v>
      </c>
      <c r="U716" s="3"/>
      <c r="V716" s="3" t="s">
        <v>41</v>
      </c>
      <c r="W716" s="3">
        <v>435.85</v>
      </c>
      <c r="X716" s="3">
        <v>326.89</v>
      </c>
      <c r="Y716" s="3">
        <v>76.27</v>
      </c>
      <c r="Z716" s="3">
        <v>32.69</v>
      </c>
      <c r="AA716" s="3">
        <v>0</v>
      </c>
    </row>
    <row r="717" spans="1:27" ht="60.75" x14ac:dyDescent="0.25">
      <c r="A717" s="3" t="s">
        <v>28</v>
      </c>
      <c r="B717" s="3" t="s">
        <v>29</v>
      </c>
      <c r="C717" s="3" t="s">
        <v>30</v>
      </c>
      <c r="D717" s="3" t="s">
        <v>42</v>
      </c>
      <c r="E717" s="3" t="s">
        <v>51</v>
      </c>
      <c r="F717" s="3" t="s">
        <v>52</v>
      </c>
      <c r="G717" s="3">
        <v>2025</v>
      </c>
      <c r="H717" s="3" t="str">
        <f>CONCATENATE("54240521044")</f>
        <v>54240521044</v>
      </c>
      <c r="I717" s="3" t="s">
        <v>34</v>
      </c>
      <c r="J717" s="3" t="s">
        <v>35</v>
      </c>
      <c r="K717" s="3"/>
      <c r="L717" s="3" t="s">
        <v>36</v>
      </c>
      <c r="M717" s="3" t="str">
        <f>CONCATENATE("LLMDNL83D46H769K")</f>
        <v>LLMDNL83D46H769K</v>
      </c>
      <c r="N717" s="3" t="s">
        <v>844</v>
      </c>
      <c r="O717" s="3" t="s">
        <v>38</v>
      </c>
      <c r="P717" s="3"/>
      <c r="Q717" s="4">
        <v>45968</v>
      </c>
      <c r="R717" s="3" t="s">
        <v>39</v>
      </c>
      <c r="S717" s="3" t="s">
        <v>38</v>
      </c>
      <c r="T717" s="3" t="s">
        <v>40</v>
      </c>
      <c r="U717" s="3"/>
      <c r="V717" s="3" t="s">
        <v>41</v>
      </c>
      <c r="W717" s="5">
        <v>1845.39</v>
      </c>
      <c r="X717" s="5">
        <v>1384.04</v>
      </c>
      <c r="Y717" s="3">
        <v>322.94</v>
      </c>
      <c r="Z717" s="3">
        <v>138.41</v>
      </c>
      <c r="AA717" s="3">
        <v>0</v>
      </c>
    </row>
    <row r="718" spans="1:27" ht="60.75" x14ac:dyDescent="0.25">
      <c r="A718" s="3" t="s">
        <v>28</v>
      </c>
      <c r="B718" s="3" t="s">
        <v>29</v>
      </c>
      <c r="C718" s="3" t="s">
        <v>30</v>
      </c>
      <c r="D718" s="3" t="s">
        <v>31</v>
      </c>
      <c r="E718" s="3" t="s">
        <v>32</v>
      </c>
      <c r="F718" s="3" t="s">
        <v>621</v>
      </c>
      <c r="G718" s="3">
        <v>2025</v>
      </c>
      <c r="H718" s="3" t="str">
        <f>CONCATENATE("54240521317")</f>
        <v>54240521317</v>
      </c>
      <c r="I718" s="3" t="s">
        <v>34</v>
      </c>
      <c r="J718" s="3" t="s">
        <v>35</v>
      </c>
      <c r="K718" s="3"/>
      <c r="L718" s="3" t="s">
        <v>36</v>
      </c>
      <c r="M718" s="3" t="str">
        <f>CONCATENATE("BLZFNC68P44I608M")</f>
        <v>BLZFNC68P44I608M</v>
      </c>
      <c r="N718" s="3" t="s">
        <v>845</v>
      </c>
      <c r="O718" s="3" t="s">
        <v>38</v>
      </c>
      <c r="P718" s="3"/>
      <c r="Q718" s="4">
        <v>45968</v>
      </c>
      <c r="R718" s="3" t="s">
        <v>39</v>
      </c>
      <c r="S718" s="3" t="s">
        <v>38</v>
      </c>
      <c r="T718" s="3" t="s">
        <v>40</v>
      </c>
      <c r="U718" s="3"/>
      <c r="V718" s="3" t="s">
        <v>41</v>
      </c>
      <c r="W718" s="5">
        <v>1051.05</v>
      </c>
      <c r="X718" s="3">
        <v>788.29</v>
      </c>
      <c r="Y718" s="3">
        <v>183.93</v>
      </c>
      <c r="Z718" s="3">
        <v>78.83</v>
      </c>
      <c r="AA718" s="3">
        <v>0</v>
      </c>
    </row>
    <row r="719" spans="1:27" ht="72.75" x14ac:dyDescent="0.25">
      <c r="A719" s="3" t="s">
        <v>28</v>
      </c>
      <c r="B719" s="3" t="s">
        <v>29</v>
      </c>
      <c r="C719" s="3" t="s">
        <v>30</v>
      </c>
      <c r="D719" s="3" t="s">
        <v>31</v>
      </c>
      <c r="E719" s="3" t="s">
        <v>51</v>
      </c>
      <c r="F719" s="3" t="s">
        <v>74</v>
      </c>
      <c r="G719" s="3">
        <v>2025</v>
      </c>
      <c r="H719" s="3" t="str">
        <f>CONCATENATE("54240521341")</f>
        <v>54240521341</v>
      </c>
      <c r="I719" s="3" t="s">
        <v>34</v>
      </c>
      <c r="J719" s="3" t="s">
        <v>35</v>
      </c>
      <c r="K719" s="3"/>
      <c r="L719" s="3" t="s">
        <v>36</v>
      </c>
      <c r="M719" s="3" t="str">
        <f>CONCATENATE("MRDMRC84E08H501F")</f>
        <v>MRDMRC84E08H501F</v>
      </c>
      <c r="N719" s="3" t="s">
        <v>846</v>
      </c>
      <c r="O719" s="3" t="s">
        <v>38</v>
      </c>
      <c r="P719" s="3"/>
      <c r="Q719" s="4">
        <v>45968</v>
      </c>
      <c r="R719" s="3" t="s">
        <v>39</v>
      </c>
      <c r="S719" s="3" t="s">
        <v>38</v>
      </c>
      <c r="T719" s="3" t="s">
        <v>40</v>
      </c>
      <c r="U719" s="3"/>
      <c r="V719" s="3" t="s">
        <v>41</v>
      </c>
      <c r="W719" s="5">
        <v>1956.74</v>
      </c>
      <c r="X719" s="5">
        <v>1467.56</v>
      </c>
      <c r="Y719" s="3">
        <v>342.43</v>
      </c>
      <c r="Z719" s="3">
        <v>146.75</v>
      </c>
      <c r="AA719" s="3">
        <v>0</v>
      </c>
    </row>
    <row r="720" spans="1:27" ht="72.75" x14ac:dyDescent="0.25">
      <c r="A720" s="3" t="s">
        <v>28</v>
      </c>
      <c r="B720" s="3" t="s">
        <v>29</v>
      </c>
      <c r="C720" s="3" t="s">
        <v>30</v>
      </c>
      <c r="D720" s="3" t="s">
        <v>31</v>
      </c>
      <c r="E720" s="3" t="s">
        <v>132</v>
      </c>
      <c r="F720" s="3" t="s">
        <v>133</v>
      </c>
      <c r="G720" s="3">
        <v>2025</v>
      </c>
      <c r="H720" s="3" t="str">
        <f>CONCATENATE("54240521622")</f>
        <v>54240521622</v>
      </c>
      <c r="I720" s="3" t="s">
        <v>34</v>
      </c>
      <c r="J720" s="3" t="s">
        <v>35</v>
      </c>
      <c r="K720" s="3"/>
      <c r="L720" s="3" t="s">
        <v>36</v>
      </c>
      <c r="M720" s="3" t="str">
        <f>CONCATENATE("BRCGPP65B08D211Q")</f>
        <v>BRCGPP65B08D211Q</v>
      </c>
      <c r="N720" s="3" t="s">
        <v>847</v>
      </c>
      <c r="O720" s="3" t="s">
        <v>38</v>
      </c>
      <c r="P720" s="3"/>
      <c r="Q720" s="4">
        <v>45968</v>
      </c>
      <c r="R720" s="3" t="s">
        <v>39</v>
      </c>
      <c r="S720" s="3" t="s">
        <v>38</v>
      </c>
      <c r="T720" s="3" t="s">
        <v>40</v>
      </c>
      <c r="U720" s="3"/>
      <c r="V720" s="3" t="s">
        <v>41</v>
      </c>
      <c r="W720" s="5">
        <v>8318.7199999999993</v>
      </c>
      <c r="X720" s="5">
        <v>6239.04</v>
      </c>
      <c r="Y720" s="5">
        <v>1455.78</v>
      </c>
      <c r="Z720" s="3">
        <v>623.9</v>
      </c>
      <c r="AA720" s="3">
        <v>0</v>
      </c>
    </row>
    <row r="721" spans="1:27" ht="60.75" x14ac:dyDescent="0.25">
      <c r="A721" s="3" t="s">
        <v>28</v>
      </c>
      <c r="B721" s="3" t="s">
        <v>29</v>
      </c>
      <c r="C721" s="3" t="s">
        <v>30</v>
      </c>
      <c r="D721" s="3" t="s">
        <v>31</v>
      </c>
      <c r="E721" s="3" t="s">
        <v>132</v>
      </c>
      <c r="F721" s="3" t="s">
        <v>133</v>
      </c>
      <c r="G721" s="3">
        <v>2025</v>
      </c>
      <c r="H721" s="3" t="str">
        <f>CONCATENATE("54240521523")</f>
        <v>54240521523</v>
      </c>
      <c r="I721" s="3" t="s">
        <v>34</v>
      </c>
      <c r="J721" s="3" t="s">
        <v>35</v>
      </c>
      <c r="K721" s="3"/>
      <c r="L721" s="3" t="s">
        <v>36</v>
      </c>
      <c r="M721" s="3" t="str">
        <f>CONCATENATE("CRRDNC80L14E716V")</f>
        <v>CRRDNC80L14E716V</v>
      </c>
      <c r="N721" s="3" t="s">
        <v>848</v>
      </c>
      <c r="O721" s="3" t="s">
        <v>38</v>
      </c>
      <c r="P721" s="3"/>
      <c r="Q721" s="4">
        <v>45968</v>
      </c>
      <c r="R721" s="3" t="s">
        <v>39</v>
      </c>
      <c r="S721" s="3" t="s">
        <v>38</v>
      </c>
      <c r="T721" s="3" t="s">
        <v>40</v>
      </c>
      <c r="U721" s="3"/>
      <c r="V721" s="3" t="s">
        <v>41</v>
      </c>
      <c r="W721" s="5">
        <v>3289.48</v>
      </c>
      <c r="X721" s="5">
        <v>2467.11</v>
      </c>
      <c r="Y721" s="3">
        <v>575.66</v>
      </c>
      <c r="Z721" s="3">
        <v>246.71</v>
      </c>
      <c r="AA721" s="3">
        <v>0</v>
      </c>
    </row>
    <row r="722" spans="1:27" ht="60.75" x14ac:dyDescent="0.25">
      <c r="A722" s="3" t="s">
        <v>28</v>
      </c>
      <c r="B722" s="3" t="s">
        <v>29</v>
      </c>
      <c r="C722" s="3" t="s">
        <v>30</v>
      </c>
      <c r="D722" s="3" t="s">
        <v>31</v>
      </c>
      <c r="E722" s="3" t="s">
        <v>32</v>
      </c>
      <c r="F722" s="3" t="s">
        <v>621</v>
      </c>
      <c r="G722" s="3">
        <v>2025</v>
      </c>
      <c r="H722" s="3" t="str">
        <f>CONCATENATE("54240521564")</f>
        <v>54240521564</v>
      </c>
      <c r="I722" s="3" t="s">
        <v>34</v>
      </c>
      <c r="J722" s="3" t="s">
        <v>35</v>
      </c>
      <c r="K722" s="3"/>
      <c r="L722" s="3" t="s">
        <v>36</v>
      </c>
      <c r="M722" s="3" t="str">
        <f>CONCATENATE("BTTSMN87L04I608H")</f>
        <v>BTTSMN87L04I608H</v>
      </c>
      <c r="N722" s="3" t="s">
        <v>849</v>
      </c>
      <c r="O722" s="3" t="s">
        <v>38</v>
      </c>
      <c r="P722" s="3"/>
      <c r="Q722" s="4">
        <v>45968</v>
      </c>
      <c r="R722" s="3" t="s">
        <v>39</v>
      </c>
      <c r="S722" s="3" t="s">
        <v>38</v>
      </c>
      <c r="T722" s="3" t="s">
        <v>40</v>
      </c>
      <c r="U722" s="3"/>
      <c r="V722" s="3" t="s">
        <v>41</v>
      </c>
      <c r="W722" s="5">
        <v>1572.41</v>
      </c>
      <c r="X722" s="5">
        <v>1179.31</v>
      </c>
      <c r="Y722" s="3">
        <v>275.17</v>
      </c>
      <c r="Z722" s="3">
        <v>117.93</v>
      </c>
      <c r="AA722" s="3">
        <v>0</v>
      </c>
    </row>
    <row r="723" spans="1:27" ht="36.75" x14ac:dyDescent="0.25">
      <c r="A723" s="3" t="s">
        <v>28</v>
      </c>
      <c r="B723" s="3" t="s">
        <v>29</v>
      </c>
      <c r="C723" s="3" t="s">
        <v>30</v>
      </c>
      <c r="D723" s="3" t="s">
        <v>31</v>
      </c>
      <c r="E723" s="3" t="s">
        <v>32</v>
      </c>
      <c r="F723" s="3" t="s">
        <v>63</v>
      </c>
      <c r="G723" s="3">
        <v>2025</v>
      </c>
      <c r="H723" s="3" t="str">
        <f>CONCATENATE("54240521960")</f>
        <v>54240521960</v>
      </c>
      <c r="I723" s="3" t="s">
        <v>34</v>
      </c>
      <c r="J723" s="3" t="s">
        <v>35</v>
      </c>
      <c r="K723" s="3"/>
      <c r="L723" s="3" t="s">
        <v>36</v>
      </c>
      <c r="M723" s="3" t="str">
        <f>CONCATENATE("02731470429")</f>
        <v>02731470429</v>
      </c>
      <c r="N723" s="3" t="s">
        <v>850</v>
      </c>
      <c r="O723" s="3" t="s">
        <v>38</v>
      </c>
      <c r="P723" s="3"/>
      <c r="Q723" s="4">
        <v>45968</v>
      </c>
      <c r="R723" s="3" t="s">
        <v>39</v>
      </c>
      <c r="S723" s="3" t="s">
        <v>38</v>
      </c>
      <c r="T723" s="3" t="s">
        <v>40</v>
      </c>
      <c r="U723" s="3"/>
      <c r="V723" s="3" t="s">
        <v>41</v>
      </c>
      <c r="W723" s="5">
        <v>10541.54</v>
      </c>
      <c r="X723" s="5">
        <v>7906.16</v>
      </c>
      <c r="Y723" s="5">
        <v>1844.77</v>
      </c>
      <c r="Z723" s="3">
        <v>790.61</v>
      </c>
      <c r="AA723" s="3">
        <v>0</v>
      </c>
    </row>
    <row r="724" spans="1:27" ht="60.75" x14ac:dyDescent="0.25">
      <c r="A724" s="3" t="s">
        <v>28</v>
      </c>
      <c r="B724" s="3" t="s">
        <v>29</v>
      </c>
      <c r="C724" s="3" t="s">
        <v>30</v>
      </c>
      <c r="D724" s="3" t="s">
        <v>42</v>
      </c>
      <c r="E724" s="3" t="s">
        <v>32</v>
      </c>
      <c r="F724" s="3" t="s">
        <v>101</v>
      </c>
      <c r="G724" s="3">
        <v>2025</v>
      </c>
      <c r="H724" s="3" t="str">
        <f>CONCATENATE("54240521721")</f>
        <v>54240521721</v>
      </c>
      <c r="I724" s="3" t="s">
        <v>34</v>
      </c>
      <c r="J724" s="3" t="s">
        <v>35</v>
      </c>
      <c r="K724" s="3"/>
      <c r="L724" s="3" t="s">
        <v>36</v>
      </c>
      <c r="M724" s="3" t="str">
        <f>CONCATENATE("FBAMRC73S09H769L")</f>
        <v>FBAMRC73S09H769L</v>
      </c>
      <c r="N724" s="3" t="s">
        <v>851</v>
      </c>
      <c r="O724" s="3" t="s">
        <v>38</v>
      </c>
      <c r="P724" s="3"/>
      <c r="Q724" s="4">
        <v>45968</v>
      </c>
      <c r="R724" s="3" t="s">
        <v>39</v>
      </c>
      <c r="S724" s="3" t="s">
        <v>38</v>
      </c>
      <c r="T724" s="3" t="s">
        <v>40</v>
      </c>
      <c r="U724" s="3"/>
      <c r="V724" s="3" t="s">
        <v>41</v>
      </c>
      <c r="W724" s="5">
        <v>12137.76</v>
      </c>
      <c r="X724" s="5">
        <v>9103.32</v>
      </c>
      <c r="Y724" s="5">
        <v>2124.11</v>
      </c>
      <c r="Z724" s="3">
        <v>910.33</v>
      </c>
      <c r="AA724" s="3">
        <v>0</v>
      </c>
    </row>
    <row r="725" spans="1:27" ht="60.75" x14ac:dyDescent="0.25">
      <c r="A725" s="3" t="s">
        <v>28</v>
      </c>
      <c r="B725" s="3" t="s">
        <v>29</v>
      </c>
      <c r="C725" s="3" t="s">
        <v>30</v>
      </c>
      <c r="D725" s="3" t="s">
        <v>31</v>
      </c>
      <c r="E725" s="3" t="s">
        <v>32</v>
      </c>
      <c r="F725" s="3" t="s">
        <v>621</v>
      </c>
      <c r="G725" s="3">
        <v>2025</v>
      </c>
      <c r="H725" s="3" t="str">
        <f>CONCATENATE("54240522034")</f>
        <v>54240522034</v>
      </c>
      <c r="I725" s="3" t="s">
        <v>34</v>
      </c>
      <c r="J725" s="3" t="s">
        <v>35</v>
      </c>
      <c r="K725" s="3"/>
      <c r="L725" s="3" t="s">
        <v>36</v>
      </c>
      <c r="M725" s="3" t="str">
        <f>CONCATENATE("BRTLNE98T61B563M")</f>
        <v>BRTLNE98T61B563M</v>
      </c>
      <c r="N725" s="3" t="s">
        <v>852</v>
      </c>
      <c r="O725" s="3" t="s">
        <v>38</v>
      </c>
      <c r="P725" s="3"/>
      <c r="Q725" s="4">
        <v>45968</v>
      </c>
      <c r="R725" s="3" t="s">
        <v>39</v>
      </c>
      <c r="S725" s="3" t="s">
        <v>38</v>
      </c>
      <c r="T725" s="3" t="s">
        <v>40</v>
      </c>
      <c r="U725" s="3"/>
      <c r="V725" s="3" t="s">
        <v>41</v>
      </c>
      <c r="W725" s="3">
        <v>875.88</v>
      </c>
      <c r="X725" s="3">
        <v>656.91</v>
      </c>
      <c r="Y725" s="3">
        <v>153.28</v>
      </c>
      <c r="Z725" s="3">
        <v>65.69</v>
      </c>
      <c r="AA725" s="3">
        <v>0</v>
      </c>
    </row>
    <row r="726" spans="1:27" ht="60.75" x14ac:dyDescent="0.25">
      <c r="A726" s="3" t="s">
        <v>28</v>
      </c>
      <c r="B726" s="3" t="s">
        <v>29</v>
      </c>
      <c r="C726" s="3" t="s">
        <v>30</v>
      </c>
      <c r="D726" s="3" t="s">
        <v>47</v>
      </c>
      <c r="E726" s="3" t="s">
        <v>32</v>
      </c>
      <c r="F726" s="3" t="s">
        <v>545</v>
      </c>
      <c r="G726" s="3">
        <v>2025</v>
      </c>
      <c r="H726" s="3" t="str">
        <f>CONCATENATE("54240521945")</f>
        <v>54240521945</v>
      </c>
      <c r="I726" s="3" t="s">
        <v>34</v>
      </c>
      <c r="J726" s="3" t="s">
        <v>35</v>
      </c>
      <c r="K726" s="3"/>
      <c r="L726" s="3" t="s">
        <v>36</v>
      </c>
      <c r="M726" s="3" t="str">
        <f>CONCATENATE("VLTSFN79P16E514V")</f>
        <v>VLTSFN79P16E514V</v>
      </c>
      <c r="N726" s="3" t="s">
        <v>853</v>
      </c>
      <c r="O726" s="3" t="s">
        <v>38</v>
      </c>
      <c r="P726" s="3"/>
      <c r="Q726" s="4">
        <v>45968</v>
      </c>
      <c r="R726" s="3" t="s">
        <v>39</v>
      </c>
      <c r="S726" s="3" t="s">
        <v>38</v>
      </c>
      <c r="T726" s="3" t="s">
        <v>40</v>
      </c>
      <c r="U726" s="3"/>
      <c r="V726" s="3" t="s">
        <v>41</v>
      </c>
      <c r="W726" s="5">
        <v>12034.46</v>
      </c>
      <c r="X726" s="5">
        <v>9025.85</v>
      </c>
      <c r="Y726" s="5">
        <v>2106.0300000000002</v>
      </c>
      <c r="Z726" s="3">
        <v>902.58</v>
      </c>
      <c r="AA726" s="3">
        <v>0</v>
      </c>
    </row>
    <row r="727" spans="1:27" ht="60.75" x14ac:dyDescent="0.25">
      <c r="A727" s="3" t="s">
        <v>28</v>
      </c>
      <c r="B727" s="3" t="s">
        <v>29</v>
      </c>
      <c r="C727" s="3" t="s">
        <v>30</v>
      </c>
      <c r="D727" s="3" t="s">
        <v>42</v>
      </c>
      <c r="E727" s="3" t="s">
        <v>51</v>
      </c>
      <c r="F727" s="3" t="s">
        <v>52</v>
      </c>
      <c r="G727" s="3">
        <v>2025</v>
      </c>
      <c r="H727" s="3" t="str">
        <f>CONCATENATE("54240523545")</f>
        <v>54240523545</v>
      </c>
      <c r="I727" s="3" t="s">
        <v>34</v>
      </c>
      <c r="J727" s="3" t="s">
        <v>35</v>
      </c>
      <c r="K727" s="3"/>
      <c r="L727" s="3" t="s">
        <v>36</v>
      </c>
      <c r="M727" s="3" t="str">
        <f>CONCATENATE("SPCPRI77C18H769H")</f>
        <v>SPCPRI77C18H769H</v>
      </c>
      <c r="N727" s="3" t="s">
        <v>854</v>
      </c>
      <c r="O727" s="3" t="s">
        <v>38</v>
      </c>
      <c r="P727" s="3"/>
      <c r="Q727" s="4">
        <v>45968</v>
      </c>
      <c r="R727" s="3" t="s">
        <v>39</v>
      </c>
      <c r="S727" s="3" t="s">
        <v>38</v>
      </c>
      <c r="T727" s="3" t="s">
        <v>40</v>
      </c>
      <c r="U727" s="3"/>
      <c r="V727" s="3" t="s">
        <v>41</v>
      </c>
      <c r="W727" s="5">
        <v>14102.32</v>
      </c>
      <c r="X727" s="5">
        <v>10576.74</v>
      </c>
      <c r="Y727" s="5">
        <v>2467.91</v>
      </c>
      <c r="Z727" s="5">
        <v>1057.67</v>
      </c>
      <c r="AA727" s="3">
        <v>0</v>
      </c>
    </row>
    <row r="728" spans="1:27" ht="60.75" x14ac:dyDescent="0.25">
      <c r="A728" s="3" t="s">
        <v>28</v>
      </c>
      <c r="B728" s="3" t="s">
        <v>29</v>
      </c>
      <c r="C728" s="3" t="s">
        <v>30</v>
      </c>
      <c r="D728" s="3" t="s">
        <v>31</v>
      </c>
      <c r="E728" s="3" t="s">
        <v>51</v>
      </c>
      <c r="F728" s="3" t="s">
        <v>93</v>
      </c>
      <c r="G728" s="3">
        <v>2025</v>
      </c>
      <c r="H728" s="3" t="str">
        <f>CONCATENATE("54240522133")</f>
        <v>54240522133</v>
      </c>
      <c r="I728" s="3" t="s">
        <v>34</v>
      </c>
      <c r="J728" s="3" t="s">
        <v>35</v>
      </c>
      <c r="K728" s="3"/>
      <c r="L728" s="3" t="s">
        <v>36</v>
      </c>
      <c r="M728" s="3" t="str">
        <f>CONCATENATE("FRTGRL03P11E388L")</f>
        <v>FRTGRL03P11E388L</v>
      </c>
      <c r="N728" s="3" t="s">
        <v>855</v>
      </c>
      <c r="O728" s="3" t="s">
        <v>38</v>
      </c>
      <c r="P728" s="3"/>
      <c r="Q728" s="4">
        <v>45968</v>
      </c>
      <c r="R728" s="3" t="s">
        <v>39</v>
      </c>
      <c r="S728" s="3" t="s">
        <v>38</v>
      </c>
      <c r="T728" s="3" t="s">
        <v>40</v>
      </c>
      <c r="U728" s="3"/>
      <c r="V728" s="3" t="s">
        <v>41</v>
      </c>
      <c r="W728" s="5">
        <v>1301.92</v>
      </c>
      <c r="X728" s="3">
        <v>976.44</v>
      </c>
      <c r="Y728" s="3">
        <v>227.84</v>
      </c>
      <c r="Z728" s="3">
        <v>97.64</v>
      </c>
      <c r="AA728" s="3">
        <v>0</v>
      </c>
    </row>
    <row r="729" spans="1:27" ht="60.75" x14ac:dyDescent="0.25">
      <c r="A729" s="3" t="s">
        <v>28</v>
      </c>
      <c r="B729" s="3" t="s">
        <v>29</v>
      </c>
      <c r="C729" s="3" t="s">
        <v>30</v>
      </c>
      <c r="D729" s="3" t="s">
        <v>31</v>
      </c>
      <c r="E729" s="3" t="s">
        <v>51</v>
      </c>
      <c r="F729" s="3" t="s">
        <v>99</v>
      </c>
      <c r="G729" s="3">
        <v>2025</v>
      </c>
      <c r="H729" s="3" t="str">
        <f>CONCATENATE("54240546421")</f>
        <v>54240546421</v>
      </c>
      <c r="I729" s="3" t="s">
        <v>34</v>
      </c>
      <c r="J729" s="3" t="s">
        <v>35</v>
      </c>
      <c r="K729" s="3"/>
      <c r="L729" s="3" t="s">
        <v>36</v>
      </c>
      <c r="M729" s="3" t="str">
        <f>CONCATENATE("MLTMSS77E51I461Q")</f>
        <v>MLTMSS77E51I461Q</v>
      </c>
      <c r="N729" s="3" t="s">
        <v>856</v>
      </c>
      <c r="O729" s="3" t="s">
        <v>38</v>
      </c>
      <c r="P729" s="3"/>
      <c r="Q729" s="4">
        <v>45968</v>
      </c>
      <c r="R729" s="3" t="s">
        <v>39</v>
      </c>
      <c r="S729" s="3" t="s">
        <v>38</v>
      </c>
      <c r="T729" s="3" t="s">
        <v>40</v>
      </c>
      <c r="U729" s="3"/>
      <c r="V729" s="3" t="s">
        <v>41</v>
      </c>
      <c r="W729" s="3">
        <v>736.9</v>
      </c>
      <c r="X729" s="3">
        <v>552.67999999999995</v>
      </c>
      <c r="Y729" s="3">
        <v>128.96</v>
      </c>
      <c r="Z729" s="3">
        <v>55.26</v>
      </c>
      <c r="AA729" s="3">
        <v>0</v>
      </c>
    </row>
    <row r="730" spans="1:27" ht="60.75" x14ac:dyDescent="0.25">
      <c r="A730" s="3" t="s">
        <v>28</v>
      </c>
      <c r="B730" s="3" t="s">
        <v>29</v>
      </c>
      <c r="C730" s="3" t="s">
        <v>30</v>
      </c>
      <c r="D730" s="3" t="s">
        <v>65</v>
      </c>
      <c r="E730" s="3" t="s">
        <v>32</v>
      </c>
      <c r="F730" s="3" t="s">
        <v>270</v>
      </c>
      <c r="G730" s="3">
        <v>2025</v>
      </c>
      <c r="H730" s="3" t="str">
        <f>CONCATENATE("54240649803")</f>
        <v>54240649803</v>
      </c>
      <c r="I730" s="3" t="s">
        <v>34</v>
      </c>
      <c r="J730" s="3" t="s">
        <v>35</v>
      </c>
      <c r="K730" s="3"/>
      <c r="L730" s="3" t="s">
        <v>36</v>
      </c>
      <c r="M730" s="3" t="str">
        <f>CONCATENATE("MNCDNL71E11L081O")</f>
        <v>MNCDNL71E11L081O</v>
      </c>
      <c r="N730" s="3" t="s">
        <v>857</v>
      </c>
      <c r="O730" s="3" t="s">
        <v>38</v>
      </c>
      <c r="P730" s="3"/>
      <c r="Q730" s="4">
        <v>45968</v>
      </c>
      <c r="R730" s="3" t="s">
        <v>39</v>
      </c>
      <c r="S730" s="3" t="s">
        <v>38</v>
      </c>
      <c r="T730" s="3" t="s">
        <v>40</v>
      </c>
      <c r="U730" s="3"/>
      <c r="V730" s="3" t="s">
        <v>41</v>
      </c>
      <c r="W730" s="5">
        <v>27258.89</v>
      </c>
      <c r="X730" s="5">
        <v>20444.169999999998</v>
      </c>
      <c r="Y730" s="5">
        <v>4770.3100000000004</v>
      </c>
      <c r="Z730" s="5">
        <v>2044.41</v>
      </c>
      <c r="AA730" s="3">
        <v>0</v>
      </c>
    </row>
    <row r="731" spans="1:27" ht="60.75" x14ac:dyDescent="0.25">
      <c r="A731" s="3" t="s">
        <v>28</v>
      </c>
      <c r="B731" s="3" t="s">
        <v>29</v>
      </c>
      <c r="C731" s="3" t="s">
        <v>30</v>
      </c>
      <c r="D731" s="3" t="s">
        <v>42</v>
      </c>
      <c r="E731" s="3" t="s">
        <v>43</v>
      </c>
      <c r="F731" s="3" t="s">
        <v>43</v>
      </c>
      <c r="G731" s="3">
        <v>2025</v>
      </c>
      <c r="H731" s="3" t="str">
        <f>CONCATENATE("54240524337")</f>
        <v>54240524337</v>
      </c>
      <c r="I731" s="3" t="s">
        <v>44</v>
      </c>
      <c r="J731" s="3" t="s">
        <v>35</v>
      </c>
      <c r="K731" s="3"/>
      <c r="L731" s="3" t="s">
        <v>36</v>
      </c>
      <c r="M731" s="3" t="str">
        <f>CONCATENATE("VLTRVA84E19H769L")</f>
        <v>VLTRVA84E19H769L</v>
      </c>
      <c r="N731" s="3" t="s">
        <v>858</v>
      </c>
      <c r="O731" s="3" t="s">
        <v>38</v>
      </c>
      <c r="P731" s="3"/>
      <c r="Q731" s="4">
        <v>45968</v>
      </c>
      <c r="R731" s="3" t="s">
        <v>39</v>
      </c>
      <c r="S731" s="3" t="s">
        <v>38</v>
      </c>
      <c r="T731" s="3" t="s">
        <v>40</v>
      </c>
      <c r="U731" s="3"/>
      <c r="V731" s="3" t="s">
        <v>41</v>
      </c>
      <c r="W731" s="5">
        <v>12570.99</v>
      </c>
      <c r="X731" s="5">
        <v>9428.24</v>
      </c>
      <c r="Y731" s="5">
        <v>2199.92</v>
      </c>
      <c r="Z731" s="3">
        <v>942.83</v>
      </c>
      <c r="AA731" s="3">
        <v>0</v>
      </c>
    </row>
    <row r="732" spans="1:27" ht="60.75" x14ac:dyDescent="0.25">
      <c r="A732" s="3" t="s">
        <v>28</v>
      </c>
      <c r="B732" s="3" t="s">
        <v>29</v>
      </c>
      <c r="C732" s="3" t="s">
        <v>30</v>
      </c>
      <c r="D732" s="3" t="s">
        <v>42</v>
      </c>
      <c r="E732" s="3" t="s">
        <v>51</v>
      </c>
      <c r="F732" s="3" t="s">
        <v>375</v>
      </c>
      <c r="G732" s="3">
        <v>2025</v>
      </c>
      <c r="H732" s="3" t="str">
        <f>CONCATENATE("54240524105")</f>
        <v>54240524105</v>
      </c>
      <c r="I732" s="3" t="s">
        <v>34</v>
      </c>
      <c r="J732" s="3" t="s">
        <v>35</v>
      </c>
      <c r="K732" s="3"/>
      <c r="L732" s="3" t="s">
        <v>36</v>
      </c>
      <c r="M732" s="3" t="str">
        <f>CONCATENATE("NNITTR82B07H769J")</f>
        <v>NNITTR82B07H769J</v>
      </c>
      <c r="N732" s="3" t="s">
        <v>859</v>
      </c>
      <c r="O732" s="3" t="s">
        <v>38</v>
      </c>
      <c r="P732" s="3"/>
      <c r="Q732" s="4">
        <v>45968</v>
      </c>
      <c r="R732" s="3" t="s">
        <v>39</v>
      </c>
      <c r="S732" s="3" t="s">
        <v>38</v>
      </c>
      <c r="T732" s="3" t="s">
        <v>40</v>
      </c>
      <c r="U732" s="3"/>
      <c r="V732" s="3" t="s">
        <v>41</v>
      </c>
      <c r="W732" s="5">
        <v>2310.96</v>
      </c>
      <c r="X732" s="5">
        <v>1733.22</v>
      </c>
      <c r="Y732" s="3">
        <v>404.42</v>
      </c>
      <c r="Z732" s="3">
        <v>173.32</v>
      </c>
      <c r="AA732" s="3">
        <v>0</v>
      </c>
    </row>
    <row r="733" spans="1:27" ht="60.75" x14ac:dyDescent="0.25">
      <c r="A733" s="3" t="s">
        <v>28</v>
      </c>
      <c r="B733" s="3" t="s">
        <v>29</v>
      </c>
      <c r="C733" s="3" t="s">
        <v>30</v>
      </c>
      <c r="D733" s="3" t="s">
        <v>42</v>
      </c>
      <c r="E733" s="3" t="s">
        <v>43</v>
      </c>
      <c r="F733" s="3" t="s">
        <v>43</v>
      </c>
      <c r="G733" s="3">
        <v>2025</v>
      </c>
      <c r="H733" s="3" t="str">
        <f>CONCATENATE("54240524279")</f>
        <v>54240524279</v>
      </c>
      <c r="I733" s="3" t="s">
        <v>34</v>
      </c>
      <c r="J733" s="3" t="s">
        <v>35</v>
      </c>
      <c r="K733" s="3"/>
      <c r="L733" s="3" t="s">
        <v>36</v>
      </c>
      <c r="M733" s="3" t="str">
        <f>CONCATENATE("CRLCMN03C12A271I")</f>
        <v>CRLCMN03C12A271I</v>
      </c>
      <c r="N733" s="3" t="s">
        <v>860</v>
      </c>
      <c r="O733" s="3" t="s">
        <v>38</v>
      </c>
      <c r="P733" s="3"/>
      <c r="Q733" s="4">
        <v>45968</v>
      </c>
      <c r="R733" s="3" t="s">
        <v>39</v>
      </c>
      <c r="S733" s="3" t="s">
        <v>38</v>
      </c>
      <c r="T733" s="3" t="s">
        <v>40</v>
      </c>
      <c r="U733" s="3"/>
      <c r="V733" s="3" t="s">
        <v>41</v>
      </c>
      <c r="W733" s="5">
        <v>5005.49</v>
      </c>
      <c r="X733" s="5">
        <v>3754.12</v>
      </c>
      <c r="Y733" s="3">
        <v>875.96</v>
      </c>
      <c r="Z733" s="3">
        <v>375.41</v>
      </c>
      <c r="AA733" s="3">
        <v>0</v>
      </c>
    </row>
    <row r="734" spans="1:27" ht="60.75" x14ac:dyDescent="0.25">
      <c r="A734" s="3" t="s">
        <v>28</v>
      </c>
      <c r="B734" s="3" t="s">
        <v>29</v>
      </c>
      <c r="C734" s="3" t="s">
        <v>30</v>
      </c>
      <c r="D734" s="3" t="s">
        <v>42</v>
      </c>
      <c r="E734" s="3" t="s">
        <v>43</v>
      </c>
      <c r="F734" s="3" t="s">
        <v>43</v>
      </c>
      <c r="G734" s="3">
        <v>2025</v>
      </c>
      <c r="H734" s="3" t="str">
        <f>CONCATENATE("54240524485")</f>
        <v>54240524485</v>
      </c>
      <c r="I734" s="3" t="s">
        <v>34</v>
      </c>
      <c r="J734" s="3" t="s">
        <v>35</v>
      </c>
      <c r="K734" s="3"/>
      <c r="L734" s="3" t="s">
        <v>36</v>
      </c>
      <c r="M734" s="3" t="str">
        <f>CONCATENATE("CTNGPP65S17H769N")</f>
        <v>CTNGPP65S17H769N</v>
      </c>
      <c r="N734" s="3" t="s">
        <v>861</v>
      </c>
      <c r="O734" s="3" t="s">
        <v>38</v>
      </c>
      <c r="P734" s="3"/>
      <c r="Q734" s="4">
        <v>45968</v>
      </c>
      <c r="R734" s="3" t="s">
        <v>39</v>
      </c>
      <c r="S734" s="3" t="s">
        <v>38</v>
      </c>
      <c r="T734" s="3" t="s">
        <v>40</v>
      </c>
      <c r="U734" s="3"/>
      <c r="V734" s="3" t="s">
        <v>41</v>
      </c>
      <c r="W734" s="5">
        <v>2503.5700000000002</v>
      </c>
      <c r="X734" s="5">
        <v>1877.68</v>
      </c>
      <c r="Y734" s="3">
        <v>438.12</v>
      </c>
      <c r="Z734" s="3">
        <v>187.77</v>
      </c>
      <c r="AA734" s="3">
        <v>0</v>
      </c>
    </row>
    <row r="735" spans="1:27" ht="60.75" x14ac:dyDescent="0.25">
      <c r="A735" s="3" t="s">
        <v>28</v>
      </c>
      <c r="B735" s="3" t="s">
        <v>29</v>
      </c>
      <c r="C735" s="3" t="s">
        <v>30</v>
      </c>
      <c r="D735" s="3" t="s">
        <v>65</v>
      </c>
      <c r="E735" s="3" t="s">
        <v>51</v>
      </c>
      <c r="F735" s="3" t="s">
        <v>534</v>
      </c>
      <c r="G735" s="3">
        <v>2025</v>
      </c>
      <c r="H735" s="3" t="str">
        <f>CONCATENATE("54240525409")</f>
        <v>54240525409</v>
      </c>
      <c r="I735" s="3" t="s">
        <v>34</v>
      </c>
      <c r="J735" s="3" t="s">
        <v>35</v>
      </c>
      <c r="K735" s="3"/>
      <c r="L735" s="3" t="s">
        <v>36</v>
      </c>
      <c r="M735" s="3" t="str">
        <f>CONCATENATE("GRGKVN97L13L500P")</f>
        <v>GRGKVN97L13L500P</v>
      </c>
      <c r="N735" s="3" t="s">
        <v>862</v>
      </c>
      <c r="O735" s="3" t="s">
        <v>38</v>
      </c>
      <c r="P735" s="3"/>
      <c r="Q735" s="4">
        <v>45968</v>
      </c>
      <c r="R735" s="3" t="s">
        <v>39</v>
      </c>
      <c r="S735" s="3" t="s">
        <v>38</v>
      </c>
      <c r="T735" s="3" t="s">
        <v>40</v>
      </c>
      <c r="U735" s="3"/>
      <c r="V735" s="3" t="s">
        <v>41</v>
      </c>
      <c r="W735" s="3">
        <v>236.22</v>
      </c>
      <c r="X735" s="3">
        <v>177.17</v>
      </c>
      <c r="Y735" s="3">
        <v>41.34</v>
      </c>
      <c r="Z735" s="3">
        <v>17.71</v>
      </c>
      <c r="AA735" s="3">
        <v>0</v>
      </c>
    </row>
    <row r="736" spans="1:27" ht="36.75" x14ac:dyDescent="0.25">
      <c r="A736" s="3" t="s">
        <v>28</v>
      </c>
      <c r="B736" s="3" t="s">
        <v>29</v>
      </c>
      <c r="C736" s="3" t="s">
        <v>30</v>
      </c>
      <c r="D736" s="3" t="s">
        <v>65</v>
      </c>
      <c r="E736" s="3" t="s">
        <v>48</v>
      </c>
      <c r="F736" s="3" t="s">
        <v>66</v>
      </c>
      <c r="G736" s="3">
        <v>2025</v>
      </c>
      <c r="H736" s="3" t="str">
        <f>CONCATENATE("54240525623")</f>
        <v>54240525623</v>
      </c>
      <c r="I736" s="3" t="s">
        <v>34</v>
      </c>
      <c r="J736" s="3" t="s">
        <v>35</v>
      </c>
      <c r="K736" s="3"/>
      <c r="L736" s="3" t="s">
        <v>36</v>
      </c>
      <c r="M736" s="3" t="str">
        <f>CONCATENATE("01364170413")</f>
        <v>01364170413</v>
      </c>
      <c r="N736" s="3" t="s">
        <v>863</v>
      </c>
      <c r="O736" s="3" t="s">
        <v>38</v>
      </c>
      <c r="P736" s="3"/>
      <c r="Q736" s="4">
        <v>45968</v>
      </c>
      <c r="R736" s="3" t="s">
        <v>39</v>
      </c>
      <c r="S736" s="3" t="s">
        <v>38</v>
      </c>
      <c r="T736" s="3" t="s">
        <v>40</v>
      </c>
      <c r="U736" s="3"/>
      <c r="V736" s="3" t="s">
        <v>41</v>
      </c>
      <c r="W736" s="5">
        <v>28216.58</v>
      </c>
      <c r="X736" s="5">
        <v>21162.44</v>
      </c>
      <c r="Y736" s="5">
        <v>4937.8999999999996</v>
      </c>
      <c r="Z736" s="5">
        <v>2116.2399999999998</v>
      </c>
      <c r="AA736" s="3">
        <v>0</v>
      </c>
    </row>
    <row r="737" spans="1:27" ht="60.75" x14ac:dyDescent="0.25">
      <c r="A737" s="3" t="s">
        <v>28</v>
      </c>
      <c r="B737" s="3" t="s">
        <v>29</v>
      </c>
      <c r="C737" s="3" t="s">
        <v>30</v>
      </c>
      <c r="D737" s="3" t="s">
        <v>31</v>
      </c>
      <c r="E737" s="3" t="s">
        <v>32</v>
      </c>
      <c r="F737" s="3" t="s">
        <v>621</v>
      </c>
      <c r="G737" s="3">
        <v>2025</v>
      </c>
      <c r="H737" s="3" t="str">
        <f>CONCATENATE("54240526126")</f>
        <v>54240526126</v>
      </c>
      <c r="I737" s="3" t="s">
        <v>34</v>
      </c>
      <c r="J737" s="3" t="s">
        <v>35</v>
      </c>
      <c r="K737" s="3"/>
      <c r="L737" s="3" t="s">
        <v>36</v>
      </c>
      <c r="M737" s="3" t="str">
        <f>CONCATENATE("BRSLRT40A29I608M")</f>
        <v>BRSLRT40A29I608M</v>
      </c>
      <c r="N737" s="3" t="s">
        <v>864</v>
      </c>
      <c r="O737" s="3" t="s">
        <v>38</v>
      </c>
      <c r="P737" s="3"/>
      <c r="Q737" s="4">
        <v>45968</v>
      </c>
      <c r="R737" s="3" t="s">
        <v>39</v>
      </c>
      <c r="S737" s="3" t="s">
        <v>38</v>
      </c>
      <c r="T737" s="3" t="s">
        <v>40</v>
      </c>
      <c r="U737" s="3"/>
      <c r="V737" s="3" t="s">
        <v>41</v>
      </c>
      <c r="W737" s="3">
        <v>775.92</v>
      </c>
      <c r="X737" s="3">
        <v>581.94000000000005</v>
      </c>
      <c r="Y737" s="3">
        <v>135.79</v>
      </c>
      <c r="Z737" s="3">
        <v>58.19</v>
      </c>
      <c r="AA737" s="3">
        <v>0</v>
      </c>
    </row>
    <row r="738" spans="1:27" ht="60.75" x14ac:dyDescent="0.25">
      <c r="A738" s="3" t="s">
        <v>28</v>
      </c>
      <c r="B738" s="3" t="s">
        <v>29</v>
      </c>
      <c r="C738" s="3" t="s">
        <v>30</v>
      </c>
      <c r="D738" s="3" t="s">
        <v>31</v>
      </c>
      <c r="E738" s="3" t="s">
        <v>32</v>
      </c>
      <c r="F738" s="3" t="s">
        <v>621</v>
      </c>
      <c r="G738" s="3">
        <v>2025</v>
      </c>
      <c r="H738" s="3" t="str">
        <f>CONCATENATE("54240526217")</f>
        <v>54240526217</v>
      </c>
      <c r="I738" s="3" t="s">
        <v>34</v>
      </c>
      <c r="J738" s="3" t="s">
        <v>35</v>
      </c>
      <c r="K738" s="3"/>
      <c r="L738" s="3" t="s">
        <v>36</v>
      </c>
      <c r="M738" s="3" t="str">
        <f>CONCATENATE("BRCNDR94R11I608F")</f>
        <v>BRCNDR94R11I608F</v>
      </c>
      <c r="N738" s="3" t="s">
        <v>865</v>
      </c>
      <c r="O738" s="3" t="s">
        <v>38</v>
      </c>
      <c r="P738" s="3"/>
      <c r="Q738" s="4">
        <v>45968</v>
      </c>
      <c r="R738" s="3" t="s">
        <v>39</v>
      </c>
      <c r="S738" s="3" t="s">
        <v>38</v>
      </c>
      <c r="T738" s="3" t="s">
        <v>40</v>
      </c>
      <c r="U738" s="3"/>
      <c r="V738" s="3" t="s">
        <v>41</v>
      </c>
      <c r="W738" s="3">
        <v>719.93</v>
      </c>
      <c r="X738" s="3">
        <v>539.95000000000005</v>
      </c>
      <c r="Y738" s="3">
        <v>125.99</v>
      </c>
      <c r="Z738" s="3">
        <v>53.99</v>
      </c>
      <c r="AA738" s="3">
        <v>0</v>
      </c>
    </row>
    <row r="739" spans="1:27" ht="60.75" x14ac:dyDescent="0.25">
      <c r="A739" s="3" t="s">
        <v>28</v>
      </c>
      <c r="B739" s="3" t="s">
        <v>29</v>
      </c>
      <c r="C739" s="3" t="s">
        <v>30</v>
      </c>
      <c r="D739" s="3" t="s">
        <v>47</v>
      </c>
      <c r="E739" s="3" t="s">
        <v>51</v>
      </c>
      <c r="F739" s="3" t="s">
        <v>161</v>
      </c>
      <c r="G739" s="3">
        <v>2025</v>
      </c>
      <c r="H739" s="3" t="str">
        <f>CONCATENATE("54240668084")</f>
        <v>54240668084</v>
      </c>
      <c r="I739" s="3" t="s">
        <v>34</v>
      </c>
      <c r="J739" s="3" t="s">
        <v>35</v>
      </c>
      <c r="K739" s="3"/>
      <c r="L739" s="3" t="s">
        <v>36</v>
      </c>
      <c r="M739" s="3" t="str">
        <f>CONCATENATE("LRDFNC47B01I156V")</f>
        <v>LRDFNC47B01I156V</v>
      </c>
      <c r="N739" s="3" t="s">
        <v>866</v>
      </c>
      <c r="O739" s="3" t="s">
        <v>38</v>
      </c>
      <c r="P739" s="3"/>
      <c r="Q739" s="4">
        <v>45968</v>
      </c>
      <c r="R739" s="3" t="s">
        <v>39</v>
      </c>
      <c r="S739" s="3" t="s">
        <v>38</v>
      </c>
      <c r="T739" s="3" t="s">
        <v>40</v>
      </c>
      <c r="U739" s="3"/>
      <c r="V739" s="3" t="s">
        <v>41</v>
      </c>
      <c r="W739" s="5">
        <v>2571.2800000000002</v>
      </c>
      <c r="X739" s="5">
        <v>1928.46</v>
      </c>
      <c r="Y739" s="3">
        <v>449.97</v>
      </c>
      <c r="Z739" s="3">
        <v>192.85</v>
      </c>
      <c r="AA739" s="3">
        <v>0</v>
      </c>
    </row>
    <row r="740" spans="1:27" ht="36.75" x14ac:dyDescent="0.25">
      <c r="A740" s="3" t="s">
        <v>28</v>
      </c>
      <c r="B740" s="3" t="s">
        <v>29</v>
      </c>
      <c r="C740" s="3" t="s">
        <v>30</v>
      </c>
      <c r="D740" s="3" t="s">
        <v>42</v>
      </c>
      <c r="E740" s="3" t="s">
        <v>32</v>
      </c>
      <c r="F740" s="3" t="s">
        <v>340</v>
      </c>
      <c r="G740" s="3">
        <v>2025</v>
      </c>
      <c r="H740" s="3" t="str">
        <f>CONCATENATE("54240668563")</f>
        <v>54240668563</v>
      </c>
      <c r="I740" s="3" t="s">
        <v>34</v>
      </c>
      <c r="J740" s="3" t="s">
        <v>35</v>
      </c>
      <c r="K740" s="3"/>
      <c r="L740" s="3" t="s">
        <v>36</v>
      </c>
      <c r="M740" s="3" t="str">
        <f>CONCATENATE("02164470441")</f>
        <v>02164470441</v>
      </c>
      <c r="N740" s="3" t="s">
        <v>867</v>
      </c>
      <c r="O740" s="3" t="s">
        <v>38</v>
      </c>
      <c r="P740" s="3"/>
      <c r="Q740" s="4">
        <v>45968</v>
      </c>
      <c r="R740" s="3" t="s">
        <v>39</v>
      </c>
      <c r="S740" s="3" t="s">
        <v>38</v>
      </c>
      <c r="T740" s="3" t="s">
        <v>40</v>
      </c>
      <c r="U740" s="3"/>
      <c r="V740" s="3" t="s">
        <v>41</v>
      </c>
      <c r="W740" s="5">
        <v>26602.14</v>
      </c>
      <c r="X740" s="5">
        <v>19951.61</v>
      </c>
      <c r="Y740" s="5">
        <v>4655.37</v>
      </c>
      <c r="Z740" s="5">
        <v>1995.16</v>
      </c>
      <c r="AA740" s="3">
        <v>0</v>
      </c>
    </row>
    <row r="741" spans="1:27" ht="60.75" x14ac:dyDescent="0.25">
      <c r="A741" s="3" t="s">
        <v>28</v>
      </c>
      <c r="B741" s="3" t="s">
        <v>29</v>
      </c>
      <c r="C741" s="3" t="s">
        <v>30</v>
      </c>
      <c r="D741" s="3" t="s">
        <v>47</v>
      </c>
      <c r="E741" s="3" t="s">
        <v>51</v>
      </c>
      <c r="F741" s="3" t="s">
        <v>161</v>
      </c>
      <c r="G741" s="3">
        <v>2025</v>
      </c>
      <c r="H741" s="3" t="str">
        <f>CONCATENATE("54240668696")</f>
        <v>54240668696</v>
      </c>
      <c r="I741" s="3" t="s">
        <v>34</v>
      </c>
      <c r="J741" s="3" t="s">
        <v>35</v>
      </c>
      <c r="K741" s="3"/>
      <c r="L741" s="3" t="s">
        <v>36</v>
      </c>
      <c r="M741" s="3" t="str">
        <f>CONCATENATE("FRRRRT66R45G337F")</f>
        <v>FRRRRT66R45G337F</v>
      </c>
      <c r="N741" s="3" t="s">
        <v>868</v>
      </c>
      <c r="O741" s="3" t="s">
        <v>38</v>
      </c>
      <c r="P741" s="3"/>
      <c r="Q741" s="4">
        <v>45968</v>
      </c>
      <c r="R741" s="3" t="s">
        <v>39</v>
      </c>
      <c r="S741" s="3" t="s">
        <v>38</v>
      </c>
      <c r="T741" s="3" t="s">
        <v>40</v>
      </c>
      <c r="U741" s="3"/>
      <c r="V741" s="3" t="s">
        <v>41</v>
      </c>
      <c r="W741" s="5">
        <v>21025.75</v>
      </c>
      <c r="X741" s="5">
        <v>15769.31</v>
      </c>
      <c r="Y741" s="5">
        <v>3679.51</v>
      </c>
      <c r="Z741" s="5">
        <v>1576.93</v>
      </c>
      <c r="AA741" s="3">
        <v>0</v>
      </c>
    </row>
    <row r="742" spans="1:27" ht="60.75" x14ac:dyDescent="0.25">
      <c r="A742" s="3" t="s">
        <v>28</v>
      </c>
      <c r="B742" s="3" t="s">
        <v>29</v>
      </c>
      <c r="C742" s="3" t="s">
        <v>30</v>
      </c>
      <c r="D742" s="3" t="s">
        <v>42</v>
      </c>
      <c r="E742" s="3" t="s">
        <v>51</v>
      </c>
      <c r="F742" s="3" t="s">
        <v>157</v>
      </c>
      <c r="G742" s="3">
        <v>2025</v>
      </c>
      <c r="H742" s="3" t="str">
        <f>CONCATENATE("54240669868")</f>
        <v>54240669868</v>
      </c>
      <c r="I742" s="3" t="s">
        <v>34</v>
      </c>
      <c r="J742" s="3" t="s">
        <v>35</v>
      </c>
      <c r="K742" s="3"/>
      <c r="L742" s="3" t="s">
        <v>36</v>
      </c>
      <c r="M742" s="3" t="str">
        <f>CONCATENATE("CCCPLA57C55G920A")</f>
        <v>CCCPLA57C55G920A</v>
      </c>
      <c r="N742" s="3" t="s">
        <v>869</v>
      </c>
      <c r="O742" s="3" t="s">
        <v>38</v>
      </c>
      <c r="P742" s="3"/>
      <c r="Q742" s="4">
        <v>45968</v>
      </c>
      <c r="R742" s="3" t="s">
        <v>39</v>
      </c>
      <c r="S742" s="3" t="s">
        <v>38</v>
      </c>
      <c r="T742" s="3" t="s">
        <v>40</v>
      </c>
      <c r="U742" s="3"/>
      <c r="V742" s="3" t="s">
        <v>41</v>
      </c>
      <c r="W742" s="3">
        <v>125.65</v>
      </c>
      <c r="X742" s="3">
        <v>94.24</v>
      </c>
      <c r="Y742" s="3">
        <v>21.99</v>
      </c>
      <c r="Z742" s="3">
        <v>9.42</v>
      </c>
      <c r="AA742" s="3">
        <v>0</v>
      </c>
    </row>
    <row r="743" spans="1:27" ht="60.75" x14ac:dyDescent="0.25">
      <c r="A743" s="3" t="s">
        <v>28</v>
      </c>
      <c r="B743" s="3" t="s">
        <v>29</v>
      </c>
      <c r="C743" s="3" t="s">
        <v>30</v>
      </c>
      <c r="D743" s="3" t="s">
        <v>65</v>
      </c>
      <c r="E743" s="3" t="s">
        <v>32</v>
      </c>
      <c r="F743" s="3" t="s">
        <v>334</v>
      </c>
      <c r="G743" s="3">
        <v>2025</v>
      </c>
      <c r="H743" s="3" t="str">
        <f>CONCATENATE("54240672474")</f>
        <v>54240672474</v>
      </c>
      <c r="I743" s="3" t="s">
        <v>34</v>
      </c>
      <c r="J743" s="3" t="s">
        <v>35</v>
      </c>
      <c r="K743" s="3"/>
      <c r="L743" s="3" t="s">
        <v>36</v>
      </c>
      <c r="M743" s="3" t="str">
        <f>CONCATENATE("BRGLCN34A12Z326Y")</f>
        <v>BRGLCN34A12Z326Y</v>
      </c>
      <c r="N743" s="3" t="s">
        <v>870</v>
      </c>
      <c r="O743" s="3" t="s">
        <v>38</v>
      </c>
      <c r="P743" s="3"/>
      <c r="Q743" s="4">
        <v>45968</v>
      </c>
      <c r="R743" s="3" t="s">
        <v>39</v>
      </c>
      <c r="S743" s="3" t="s">
        <v>38</v>
      </c>
      <c r="T743" s="3" t="s">
        <v>40</v>
      </c>
      <c r="U743" s="3"/>
      <c r="V743" s="3" t="s">
        <v>41</v>
      </c>
      <c r="W743" s="3">
        <v>286.88</v>
      </c>
      <c r="X743" s="3">
        <v>215.16</v>
      </c>
      <c r="Y743" s="3">
        <v>50.2</v>
      </c>
      <c r="Z743" s="3">
        <v>21.52</v>
      </c>
      <c r="AA743" s="3">
        <v>0</v>
      </c>
    </row>
    <row r="744" spans="1:27" ht="72.75" x14ac:dyDescent="0.25">
      <c r="A744" s="3" t="s">
        <v>28</v>
      </c>
      <c r="B744" s="3" t="s">
        <v>29</v>
      </c>
      <c r="C744" s="3" t="s">
        <v>30</v>
      </c>
      <c r="D744" s="3" t="s">
        <v>42</v>
      </c>
      <c r="E744" s="3" t="s">
        <v>51</v>
      </c>
      <c r="F744" s="3" t="s">
        <v>115</v>
      </c>
      <c r="G744" s="3">
        <v>2025</v>
      </c>
      <c r="H744" s="3" t="str">
        <f>CONCATENATE("54240674017")</f>
        <v>54240674017</v>
      </c>
      <c r="I744" s="3" t="s">
        <v>34</v>
      </c>
      <c r="J744" s="3" t="s">
        <v>35</v>
      </c>
      <c r="K744" s="3"/>
      <c r="L744" s="3" t="s">
        <v>36</v>
      </c>
      <c r="M744" s="3" t="str">
        <f>CONCATENATE("RLAMRN82M13A252L")</f>
        <v>RLAMRN82M13A252L</v>
      </c>
      <c r="N744" s="3" t="s">
        <v>871</v>
      </c>
      <c r="O744" s="3" t="s">
        <v>38</v>
      </c>
      <c r="P744" s="3"/>
      <c r="Q744" s="4">
        <v>45968</v>
      </c>
      <c r="R744" s="3" t="s">
        <v>39</v>
      </c>
      <c r="S744" s="3" t="s">
        <v>38</v>
      </c>
      <c r="T744" s="3" t="s">
        <v>40</v>
      </c>
      <c r="U744" s="3"/>
      <c r="V744" s="3" t="s">
        <v>41</v>
      </c>
      <c r="W744" s="5">
        <v>4678.97</v>
      </c>
      <c r="X744" s="5">
        <v>3509.23</v>
      </c>
      <c r="Y744" s="3">
        <v>818.82</v>
      </c>
      <c r="Z744" s="3">
        <v>350.92</v>
      </c>
      <c r="AA744" s="3">
        <v>0</v>
      </c>
    </row>
    <row r="745" spans="1:27" ht="36.75" x14ac:dyDescent="0.25">
      <c r="A745" s="3" t="s">
        <v>28</v>
      </c>
      <c r="B745" s="3" t="s">
        <v>29</v>
      </c>
      <c r="C745" s="3" t="s">
        <v>30</v>
      </c>
      <c r="D745" s="3" t="s">
        <v>65</v>
      </c>
      <c r="E745" s="3" t="s">
        <v>51</v>
      </c>
      <c r="F745" s="3" t="s">
        <v>105</v>
      </c>
      <c r="G745" s="3">
        <v>2025</v>
      </c>
      <c r="H745" s="3" t="str">
        <f>CONCATENATE("54240674520")</f>
        <v>54240674520</v>
      </c>
      <c r="I745" s="3" t="s">
        <v>34</v>
      </c>
      <c r="J745" s="3" t="s">
        <v>35</v>
      </c>
      <c r="K745" s="3"/>
      <c r="L745" s="3" t="s">
        <v>36</v>
      </c>
      <c r="M745" s="3" t="str">
        <f>CONCATENATE("02694150414")</f>
        <v>02694150414</v>
      </c>
      <c r="N745" s="3" t="s">
        <v>872</v>
      </c>
      <c r="O745" s="3" t="s">
        <v>38</v>
      </c>
      <c r="P745" s="3"/>
      <c r="Q745" s="4">
        <v>45968</v>
      </c>
      <c r="R745" s="3" t="s">
        <v>39</v>
      </c>
      <c r="S745" s="3" t="s">
        <v>38</v>
      </c>
      <c r="T745" s="3" t="s">
        <v>40</v>
      </c>
      <c r="U745" s="3"/>
      <c r="V745" s="3" t="s">
        <v>41</v>
      </c>
      <c r="W745" s="5">
        <v>42885.05</v>
      </c>
      <c r="X745" s="5">
        <v>32163.79</v>
      </c>
      <c r="Y745" s="5">
        <v>7504.88</v>
      </c>
      <c r="Z745" s="5">
        <v>3216.38</v>
      </c>
      <c r="AA745" s="3">
        <v>0</v>
      </c>
    </row>
    <row r="746" spans="1:27" ht="60.75" x14ac:dyDescent="0.25">
      <c r="A746" s="3" t="s">
        <v>28</v>
      </c>
      <c r="B746" s="3" t="s">
        <v>29</v>
      </c>
      <c r="C746" s="3" t="s">
        <v>30</v>
      </c>
      <c r="D746" s="3" t="s">
        <v>31</v>
      </c>
      <c r="E746" s="3" t="s">
        <v>48</v>
      </c>
      <c r="F746" s="3" t="s">
        <v>79</v>
      </c>
      <c r="G746" s="3">
        <v>2025</v>
      </c>
      <c r="H746" s="3" t="str">
        <f>CONCATENATE("54240674579")</f>
        <v>54240674579</v>
      </c>
      <c r="I746" s="3" t="s">
        <v>34</v>
      </c>
      <c r="J746" s="3" t="s">
        <v>35</v>
      </c>
      <c r="K746" s="3"/>
      <c r="L746" s="3" t="s">
        <v>36</v>
      </c>
      <c r="M746" s="3" t="str">
        <f>CONCATENATE("BSCSVN67T13G157G")</f>
        <v>BSCSVN67T13G157G</v>
      </c>
      <c r="N746" s="3" t="s">
        <v>873</v>
      </c>
      <c r="O746" s="3" t="s">
        <v>38</v>
      </c>
      <c r="P746" s="3"/>
      <c r="Q746" s="4">
        <v>45968</v>
      </c>
      <c r="R746" s="3" t="s">
        <v>39</v>
      </c>
      <c r="S746" s="3" t="s">
        <v>38</v>
      </c>
      <c r="T746" s="3" t="s">
        <v>40</v>
      </c>
      <c r="U746" s="3"/>
      <c r="V746" s="3" t="s">
        <v>41</v>
      </c>
      <c r="W746" s="5">
        <v>11093.95</v>
      </c>
      <c r="X746" s="5">
        <v>8320.4599999999991</v>
      </c>
      <c r="Y746" s="5">
        <v>1941.44</v>
      </c>
      <c r="Z746" s="3">
        <v>832.05</v>
      </c>
      <c r="AA746" s="3">
        <v>0</v>
      </c>
    </row>
    <row r="747" spans="1:27" ht="36.75" x14ac:dyDescent="0.25">
      <c r="A747" s="3" t="s">
        <v>28</v>
      </c>
      <c r="B747" s="3" t="s">
        <v>29</v>
      </c>
      <c r="C747" s="3" t="s">
        <v>30</v>
      </c>
      <c r="D747" s="3" t="s">
        <v>65</v>
      </c>
      <c r="E747" s="3" t="s">
        <v>51</v>
      </c>
      <c r="F747" s="3" t="s">
        <v>105</v>
      </c>
      <c r="G747" s="3">
        <v>2025</v>
      </c>
      <c r="H747" s="3" t="str">
        <f>CONCATENATE("54240674793")</f>
        <v>54240674793</v>
      </c>
      <c r="I747" s="3" t="s">
        <v>34</v>
      </c>
      <c r="J747" s="3" t="s">
        <v>35</v>
      </c>
      <c r="K747" s="3"/>
      <c r="L747" s="3" t="s">
        <v>36</v>
      </c>
      <c r="M747" s="3" t="str">
        <f>CONCATENATE("02811240411")</f>
        <v>02811240411</v>
      </c>
      <c r="N747" s="3" t="s">
        <v>874</v>
      </c>
      <c r="O747" s="3" t="s">
        <v>38</v>
      </c>
      <c r="P747" s="3"/>
      <c r="Q747" s="4">
        <v>45968</v>
      </c>
      <c r="R747" s="3" t="s">
        <v>39</v>
      </c>
      <c r="S747" s="3" t="s">
        <v>38</v>
      </c>
      <c r="T747" s="3" t="s">
        <v>40</v>
      </c>
      <c r="U747" s="3"/>
      <c r="V747" s="3" t="s">
        <v>41</v>
      </c>
      <c r="W747" s="5">
        <v>7930.45</v>
      </c>
      <c r="X747" s="5">
        <v>5947.84</v>
      </c>
      <c r="Y747" s="5">
        <v>1387.83</v>
      </c>
      <c r="Z747" s="3">
        <v>594.78</v>
      </c>
      <c r="AA747" s="3">
        <v>0</v>
      </c>
    </row>
    <row r="748" spans="1:27" ht="36.75" x14ac:dyDescent="0.25">
      <c r="A748" s="3" t="s">
        <v>28</v>
      </c>
      <c r="B748" s="3" t="s">
        <v>29</v>
      </c>
      <c r="C748" s="3" t="s">
        <v>30</v>
      </c>
      <c r="D748" s="3" t="s">
        <v>65</v>
      </c>
      <c r="E748" s="3" t="s">
        <v>51</v>
      </c>
      <c r="F748" s="3" t="s">
        <v>534</v>
      </c>
      <c r="G748" s="3">
        <v>2025</v>
      </c>
      <c r="H748" s="3" t="str">
        <f>CONCATENATE("54240675014")</f>
        <v>54240675014</v>
      </c>
      <c r="I748" s="3" t="s">
        <v>34</v>
      </c>
      <c r="J748" s="3" t="s">
        <v>35</v>
      </c>
      <c r="K748" s="3"/>
      <c r="L748" s="3" t="s">
        <v>36</v>
      </c>
      <c r="M748" s="3" t="str">
        <f>CONCATENATE("02650710417")</f>
        <v>02650710417</v>
      </c>
      <c r="N748" s="3" t="s">
        <v>875</v>
      </c>
      <c r="O748" s="3" t="s">
        <v>38</v>
      </c>
      <c r="P748" s="3"/>
      <c r="Q748" s="4">
        <v>45968</v>
      </c>
      <c r="R748" s="3" t="s">
        <v>39</v>
      </c>
      <c r="S748" s="3" t="s">
        <v>38</v>
      </c>
      <c r="T748" s="3" t="s">
        <v>40</v>
      </c>
      <c r="U748" s="3"/>
      <c r="V748" s="3" t="s">
        <v>41</v>
      </c>
      <c r="W748" s="5">
        <v>2690.29</v>
      </c>
      <c r="X748" s="5">
        <v>2017.72</v>
      </c>
      <c r="Y748" s="3">
        <v>470.8</v>
      </c>
      <c r="Z748" s="3">
        <v>201.77</v>
      </c>
      <c r="AA748" s="3">
        <v>0</v>
      </c>
    </row>
    <row r="749" spans="1:27" ht="60.75" x14ac:dyDescent="0.25">
      <c r="A749" s="3" t="s">
        <v>28</v>
      </c>
      <c r="B749" s="3" t="s">
        <v>29</v>
      </c>
      <c r="C749" s="3" t="s">
        <v>30</v>
      </c>
      <c r="D749" s="3" t="s">
        <v>65</v>
      </c>
      <c r="E749" s="3" t="s">
        <v>51</v>
      </c>
      <c r="F749" s="3" t="s">
        <v>534</v>
      </c>
      <c r="G749" s="3">
        <v>2025</v>
      </c>
      <c r="H749" s="3" t="str">
        <f>CONCATENATE("54240675022")</f>
        <v>54240675022</v>
      </c>
      <c r="I749" s="3" t="s">
        <v>34</v>
      </c>
      <c r="J749" s="3" t="s">
        <v>35</v>
      </c>
      <c r="K749" s="3"/>
      <c r="L749" s="3" t="s">
        <v>36</v>
      </c>
      <c r="M749" s="3" t="str">
        <f>CONCATENATE("SLVSLL71H56D488E")</f>
        <v>SLVSLL71H56D488E</v>
      </c>
      <c r="N749" s="3" t="s">
        <v>876</v>
      </c>
      <c r="O749" s="3" t="s">
        <v>38</v>
      </c>
      <c r="P749" s="3"/>
      <c r="Q749" s="4">
        <v>45968</v>
      </c>
      <c r="R749" s="3" t="s">
        <v>39</v>
      </c>
      <c r="S749" s="3" t="s">
        <v>38</v>
      </c>
      <c r="T749" s="3" t="s">
        <v>40</v>
      </c>
      <c r="U749" s="3"/>
      <c r="V749" s="3" t="s">
        <v>41</v>
      </c>
      <c r="W749" s="5">
        <v>6402.13</v>
      </c>
      <c r="X749" s="5">
        <v>4801.6000000000004</v>
      </c>
      <c r="Y749" s="5">
        <v>1120.3699999999999</v>
      </c>
      <c r="Z749" s="3">
        <v>480.16</v>
      </c>
      <c r="AA749" s="3">
        <v>0</v>
      </c>
    </row>
    <row r="750" spans="1:27" ht="36.75" x14ac:dyDescent="0.25">
      <c r="A750" s="3" t="s">
        <v>28</v>
      </c>
      <c r="B750" s="3" t="s">
        <v>29</v>
      </c>
      <c r="C750" s="3" t="s">
        <v>30</v>
      </c>
      <c r="D750" s="3" t="s">
        <v>47</v>
      </c>
      <c r="E750" s="3" t="s">
        <v>48</v>
      </c>
      <c r="F750" s="3" t="s">
        <v>249</v>
      </c>
      <c r="G750" s="3">
        <v>2025</v>
      </c>
      <c r="H750" s="3" t="str">
        <f>CONCATENATE("54240675196")</f>
        <v>54240675196</v>
      </c>
      <c r="I750" s="3" t="s">
        <v>34</v>
      </c>
      <c r="J750" s="3" t="s">
        <v>35</v>
      </c>
      <c r="K750" s="3"/>
      <c r="L750" s="3" t="s">
        <v>36</v>
      </c>
      <c r="M750" s="3" t="str">
        <f>CONCATENATE("01912770433")</f>
        <v>01912770433</v>
      </c>
      <c r="N750" s="3" t="s">
        <v>877</v>
      </c>
      <c r="O750" s="3" t="s">
        <v>38</v>
      </c>
      <c r="P750" s="3"/>
      <c r="Q750" s="4">
        <v>45968</v>
      </c>
      <c r="R750" s="3" t="s">
        <v>39</v>
      </c>
      <c r="S750" s="3" t="s">
        <v>38</v>
      </c>
      <c r="T750" s="3" t="s">
        <v>40</v>
      </c>
      <c r="U750" s="3"/>
      <c r="V750" s="3" t="s">
        <v>41</v>
      </c>
      <c r="W750" s="5">
        <v>9197.17</v>
      </c>
      <c r="X750" s="5">
        <v>6897.88</v>
      </c>
      <c r="Y750" s="5">
        <v>1609.5</v>
      </c>
      <c r="Z750" s="3">
        <v>689.79</v>
      </c>
      <c r="AA750" s="3">
        <v>0</v>
      </c>
    </row>
    <row r="751" spans="1:27" ht="60.75" x14ac:dyDescent="0.25">
      <c r="A751" s="3" t="s">
        <v>28</v>
      </c>
      <c r="B751" s="3" t="s">
        <v>29</v>
      </c>
      <c r="C751" s="3" t="s">
        <v>30</v>
      </c>
      <c r="D751" s="3" t="s">
        <v>42</v>
      </c>
      <c r="E751" s="3" t="s">
        <v>60</v>
      </c>
      <c r="F751" s="3" t="s">
        <v>245</v>
      </c>
      <c r="G751" s="3">
        <v>2025</v>
      </c>
      <c r="H751" s="3" t="str">
        <f>CONCATENATE("54240510278")</f>
        <v>54240510278</v>
      </c>
      <c r="I751" s="3" t="s">
        <v>34</v>
      </c>
      <c r="J751" s="3" t="s">
        <v>35</v>
      </c>
      <c r="K751" s="3"/>
      <c r="L751" s="3" t="s">
        <v>36</v>
      </c>
      <c r="M751" s="3" t="str">
        <f>CONCATENATE("CLNDRA44C26I912N")</f>
        <v>CLNDRA44C26I912N</v>
      </c>
      <c r="N751" s="3" t="s">
        <v>878</v>
      </c>
      <c r="O751" s="3" t="s">
        <v>38</v>
      </c>
      <c r="P751" s="3"/>
      <c r="Q751" s="4">
        <v>45968</v>
      </c>
      <c r="R751" s="3" t="s">
        <v>39</v>
      </c>
      <c r="S751" s="3" t="s">
        <v>38</v>
      </c>
      <c r="T751" s="3" t="s">
        <v>40</v>
      </c>
      <c r="U751" s="3"/>
      <c r="V751" s="3" t="s">
        <v>41</v>
      </c>
      <c r="W751" s="5">
        <v>2568.64</v>
      </c>
      <c r="X751" s="5">
        <v>1926.48</v>
      </c>
      <c r="Y751" s="3">
        <v>449.51</v>
      </c>
      <c r="Z751" s="3">
        <v>192.65</v>
      </c>
      <c r="AA751" s="3">
        <v>0</v>
      </c>
    </row>
    <row r="752" spans="1:27" ht="72.75" x14ac:dyDescent="0.25">
      <c r="A752" s="3" t="s">
        <v>28</v>
      </c>
      <c r="B752" s="3" t="s">
        <v>29</v>
      </c>
      <c r="C752" s="3" t="s">
        <v>30</v>
      </c>
      <c r="D752" s="3" t="s">
        <v>65</v>
      </c>
      <c r="E752" s="3" t="s">
        <v>32</v>
      </c>
      <c r="F752" s="3" t="s">
        <v>276</v>
      </c>
      <c r="G752" s="3">
        <v>2025</v>
      </c>
      <c r="H752" s="3" t="str">
        <f>CONCATENATE("54240511516")</f>
        <v>54240511516</v>
      </c>
      <c r="I752" s="3" t="s">
        <v>34</v>
      </c>
      <c r="J752" s="3" t="s">
        <v>35</v>
      </c>
      <c r="K752" s="3"/>
      <c r="L752" s="3" t="s">
        <v>36</v>
      </c>
      <c r="M752" s="3" t="str">
        <f>CONCATENATE("RGNRCR68R18A740Q")</f>
        <v>RGNRCR68R18A740Q</v>
      </c>
      <c r="N752" s="3" t="s">
        <v>879</v>
      </c>
      <c r="O752" s="3" t="s">
        <v>38</v>
      </c>
      <c r="P752" s="3"/>
      <c r="Q752" s="4">
        <v>45968</v>
      </c>
      <c r="R752" s="3" t="s">
        <v>39</v>
      </c>
      <c r="S752" s="3" t="s">
        <v>38</v>
      </c>
      <c r="T752" s="3" t="s">
        <v>40</v>
      </c>
      <c r="U752" s="3"/>
      <c r="V752" s="3" t="s">
        <v>41</v>
      </c>
      <c r="W752" s="3">
        <v>897.57</v>
      </c>
      <c r="X752" s="3">
        <v>673.18</v>
      </c>
      <c r="Y752" s="3">
        <v>157.07</v>
      </c>
      <c r="Z752" s="3">
        <v>67.319999999999993</v>
      </c>
      <c r="AA752" s="3">
        <v>0</v>
      </c>
    </row>
    <row r="753" spans="1:27" ht="60.75" x14ac:dyDescent="0.25">
      <c r="A753" s="3" t="s">
        <v>28</v>
      </c>
      <c r="B753" s="3" t="s">
        <v>29</v>
      </c>
      <c r="C753" s="3" t="s">
        <v>30</v>
      </c>
      <c r="D753" s="3" t="s">
        <v>31</v>
      </c>
      <c r="E753" s="3" t="s">
        <v>51</v>
      </c>
      <c r="F753" s="3" t="s">
        <v>192</v>
      </c>
      <c r="G753" s="3">
        <v>2025</v>
      </c>
      <c r="H753" s="3" t="str">
        <f>CONCATENATE("54240644895")</f>
        <v>54240644895</v>
      </c>
      <c r="I753" s="3" t="s">
        <v>34</v>
      </c>
      <c r="J753" s="3" t="s">
        <v>35</v>
      </c>
      <c r="K753" s="3"/>
      <c r="L753" s="3" t="s">
        <v>36</v>
      </c>
      <c r="M753" s="3" t="str">
        <f>CONCATENATE("TTTGNN61H01I461M")</f>
        <v>TTTGNN61H01I461M</v>
      </c>
      <c r="N753" s="3" t="s">
        <v>880</v>
      </c>
      <c r="O753" s="3" t="s">
        <v>38</v>
      </c>
      <c r="P753" s="3"/>
      <c r="Q753" s="4">
        <v>45968</v>
      </c>
      <c r="R753" s="3" t="s">
        <v>39</v>
      </c>
      <c r="S753" s="3" t="s">
        <v>38</v>
      </c>
      <c r="T753" s="3" t="s">
        <v>40</v>
      </c>
      <c r="U753" s="3"/>
      <c r="V753" s="3" t="s">
        <v>41</v>
      </c>
      <c r="W753" s="5">
        <v>1595.38</v>
      </c>
      <c r="X753" s="5">
        <v>1196.54</v>
      </c>
      <c r="Y753" s="3">
        <v>279.19</v>
      </c>
      <c r="Z753" s="3">
        <v>119.65</v>
      </c>
      <c r="AA753" s="3">
        <v>0</v>
      </c>
    </row>
    <row r="754" spans="1:27" ht="60.75" x14ac:dyDescent="0.25">
      <c r="A754" s="3" t="s">
        <v>28</v>
      </c>
      <c r="B754" s="3" t="s">
        <v>29</v>
      </c>
      <c r="C754" s="3" t="s">
        <v>30</v>
      </c>
      <c r="D754" s="3" t="s">
        <v>31</v>
      </c>
      <c r="E754" s="3" t="s">
        <v>51</v>
      </c>
      <c r="F754" s="3" t="s">
        <v>192</v>
      </c>
      <c r="G754" s="3">
        <v>2025</v>
      </c>
      <c r="H754" s="3" t="str">
        <f>CONCATENATE("54240649076")</f>
        <v>54240649076</v>
      </c>
      <c r="I754" s="3" t="s">
        <v>34</v>
      </c>
      <c r="J754" s="3" t="s">
        <v>35</v>
      </c>
      <c r="K754" s="3"/>
      <c r="L754" s="3" t="s">
        <v>36</v>
      </c>
      <c r="M754" s="3" t="str">
        <f>CONCATENATE("CRNLCU90D02D451Y")</f>
        <v>CRNLCU90D02D451Y</v>
      </c>
      <c r="N754" s="3" t="s">
        <v>881</v>
      </c>
      <c r="O754" s="3" t="s">
        <v>38</v>
      </c>
      <c r="P754" s="3"/>
      <c r="Q754" s="4">
        <v>45968</v>
      </c>
      <c r="R754" s="3" t="s">
        <v>39</v>
      </c>
      <c r="S754" s="3" t="s">
        <v>38</v>
      </c>
      <c r="T754" s="3" t="s">
        <v>40</v>
      </c>
      <c r="U754" s="3"/>
      <c r="V754" s="3" t="s">
        <v>41</v>
      </c>
      <c r="W754" s="5">
        <v>16799.77</v>
      </c>
      <c r="X754" s="5">
        <v>12599.83</v>
      </c>
      <c r="Y754" s="5">
        <v>2939.96</v>
      </c>
      <c r="Z754" s="5">
        <v>1259.98</v>
      </c>
      <c r="AA754" s="3">
        <v>0</v>
      </c>
    </row>
    <row r="755" spans="1:27" ht="36.75" x14ac:dyDescent="0.25">
      <c r="A755" s="3" t="s">
        <v>28</v>
      </c>
      <c r="B755" s="3" t="s">
        <v>29</v>
      </c>
      <c r="C755" s="3" t="s">
        <v>30</v>
      </c>
      <c r="D755" s="3" t="s">
        <v>42</v>
      </c>
      <c r="E755" s="3" t="s">
        <v>32</v>
      </c>
      <c r="F755" s="3" t="s">
        <v>340</v>
      </c>
      <c r="G755" s="3">
        <v>2025</v>
      </c>
      <c r="H755" s="3" t="str">
        <f>CONCATENATE("54240647070")</f>
        <v>54240647070</v>
      </c>
      <c r="I755" s="3" t="s">
        <v>34</v>
      </c>
      <c r="J755" s="3" t="s">
        <v>35</v>
      </c>
      <c r="K755" s="3"/>
      <c r="L755" s="3" t="s">
        <v>36</v>
      </c>
      <c r="M755" s="3" t="str">
        <f>CONCATENATE("02069530448")</f>
        <v>02069530448</v>
      </c>
      <c r="N755" s="3" t="s">
        <v>882</v>
      </c>
      <c r="O755" s="3" t="s">
        <v>38</v>
      </c>
      <c r="P755" s="3"/>
      <c r="Q755" s="4">
        <v>45968</v>
      </c>
      <c r="R755" s="3" t="s">
        <v>39</v>
      </c>
      <c r="S755" s="3" t="s">
        <v>38</v>
      </c>
      <c r="T755" s="3" t="s">
        <v>40</v>
      </c>
      <c r="U755" s="3"/>
      <c r="V755" s="3" t="s">
        <v>41</v>
      </c>
      <c r="W755" s="5">
        <v>3516.42</v>
      </c>
      <c r="X755" s="5">
        <v>2637.32</v>
      </c>
      <c r="Y755" s="3">
        <v>615.37</v>
      </c>
      <c r="Z755" s="3">
        <v>263.73</v>
      </c>
      <c r="AA755" s="3">
        <v>0</v>
      </c>
    </row>
    <row r="756" spans="1:27" ht="60.75" x14ac:dyDescent="0.25">
      <c r="A756" s="3" t="s">
        <v>28</v>
      </c>
      <c r="B756" s="3" t="s">
        <v>29</v>
      </c>
      <c r="C756" s="3" t="s">
        <v>30</v>
      </c>
      <c r="D756" s="3" t="s">
        <v>42</v>
      </c>
      <c r="E756" s="3" t="s">
        <v>43</v>
      </c>
      <c r="F756" s="3" t="s">
        <v>43</v>
      </c>
      <c r="G756" s="3">
        <v>2025</v>
      </c>
      <c r="H756" s="3" t="str">
        <f>CONCATENATE("54240647724")</f>
        <v>54240647724</v>
      </c>
      <c r="I756" s="3" t="s">
        <v>34</v>
      </c>
      <c r="J756" s="3" t="s">
        <v>35</v>
      </c>
      <c r="K756" s="3"/>
      <c r="L756" s="3" t="s">
        <v>36</v>
      </c>
      <c r="M756" s="3" t="str">
        <f>CONCATENATE("DNGPFR65E02G005E")</f>
        <v>DNGPFR65E02G005E</v>
      </c>
      <c r="N756" s="3" t="s">
        <v>883</v>
      </c>
      <c r="O756" s="3" t="s">
        <v>38</v>
      </c>
      <c r="P756" s="3"/>
      <c r="Q756" s="4">
        <v>45968</v>
      </c>
      <c r="R756" s="3" t="s">
        <v>39</v>
      </c>
      <c r="S756" s="3" t="s">
        <v>38</v>
      </c>
      <c r="T756" s="3" t="s">
        <v>40</v>
      </c>
      <c r="U756" s="3"/>
      <c r="V756" s="3" t="s">
        <v>41</v>
      </c>
      <c r="W756" s="5">
        <v>1624.55</v>
      </c>
      <c r="X756" s="5">
        <v>1218.4100000000001</v>
      </c>
      <c r="Y756" s="3">
        <v>284.3</v>
      </c>
      <c r="Z756" s="3">
        <v>121.84</v>
      </c>
      <c r="AA756" s="3">
        <v>0</v>
      </c>
    </row>
    <row r="757" spans="1:27" ht="60.75" x14ac:dyDescent="0.25">
      <c r="A757" s="3" t="s">
        <v>28</v>
      </c>
      <c r="B757" s="3" t="s">
        <v>29</v>
      </c>
      <c r="C757" s="3" t="s">
        <v>30</v>
      </c>
      <c r="D757" s="3" t="s">
        <v>31</v>
      </c>
      <c r="E757" s="3" t="s">
        <v>51</v>
      </c>
      <c r="F757" s="3" t="s">
        <v>69</v>
      </c>
      <c r="G757" s="3">
        <v>2025</v>
      </c>
      <c r="H757" s="3" t="str">
        <f>CONCATENATE("54240524584")</f>
        <v>54240524584</v>
      </c>
      <c r="I757" s="3" t="s">
        <v>34</v>
      </c>
      <c r="J757" s="3" t="s">
        <v>35</v>
      </c>
      <c r="K757" s="3"/>
      <c r="L757" s="3" t="s">
        <v>36</v>
      </c>
      <c r="M757" s="3" t="str">
        <f>CONCATENATE("CMPMRC88E15I608E")</f>
        <v>CMPMRC88E15I608E</v>
      </c>
      <c r="N757" s="3" t="s">
        <v>884</v>
      </c>
      <c r="O757" s="3" t="s">
        <v>38</v>
      </c>
      <c r="P757" s="3"/>
      <c r="Q757" s="4">
        <v>45968</v>
      </c>
      <c r="R757" s="3" t="s">
        <v>39</v>
      </c>
      <c r="S757" s="3" t="s">
        <v>38</v>
      </c>
      <c r="T757" s="3" t="s">
        <v>40</v>
      </c>
      <c r="U757" s="3"/>
      <c r="V757" s="3" t="s">
        <v>41</v>
      </c>
      <c r="W757" s="5">
        <v>4007.03</v>
      </c>
      <c r="X757" s="5">
        <v>3005.27</v>
      </c>
      <c r="Y757" s="3">
        <v>701.23</v>
      </c>
      <c r="Z757" s="3">
        <v>300.52999999999997</v>
      </c>
      <c r="AA757" s="3">
        <v>0</v>
      </c>
    </row>
    <row r="758" spans="1:27" ht="36.75" x14ac:dyDescent="0.25">
      <c r="A758" s="3" t="s">
        <v>28</v>
      </c>
      <c r="B758" s="3" t="s">
        <v>29</v>
      </c>
      <c r="C758" s="3" t="s">
        <v>30</v>
      </c>
      <c r="D758" s="3" t="s">
        <v>47</v>
      </c>
      <c r="E758" s="3" t="s">
        <v>51</v>
      </c>
      <c r="F758" s="3" t="s">
        <v>103</v>
      </c>
      <c r="G758" s="3">
        <v>2025</v>
      </c>
      <c r="H758" s="3" t="str">
        <f>CONCATENATE("54240648169")</f>
        <v>54240648169</v>
      </c>
      <c r="I758" s="3" t="s">
        <v>34</v>
      </c>
      <c r="J758" s="3" t="s">
        <v>35</v>
      </c>
      <c r="K758" s="3"/>
      <c r="L758" s="3" t="s">
        <v>36</v>
      </c>
      <c r="M758" s="3" t="str">
        <f>CONCATENATE("01644070433")</f>
        <v>01644070433</v>
      </c>
      <c r="N758" s="3" t="s">
        <v>885</v>
      </c>
      <c r="O758" s="3" t="s">
        <v>38</v>
      </c>
      <c r="P758" s="3"/>
      <c r="Q758" s="4">
        <v>45968</v>
      </c>
      <c r="R758" s="3" t="s">
        <v>39</v>
      </c>
      <c r="S758" s="3" t="s">
        <v>38</v>
      </c>
      <c r="T758" s="3" t="s">
        <v>40</v>
      </c>
      <c r="U758" s="3"/>
      <c r="V758" s="3" t="s">
        <v>41</v>
      </c>
      <c r="W758" s="3">
        <v>628.16</v>
      </c>
      <c r="X758" s="3">
        <v>471.12</v>
      </c>
      <c r="Y758" s="3">
        <v>109.93</v>
      </c>
      <c r="Z758" s="3">
        <v>47.11</v>
      </c>
      <c r="AA758" s="3">
        <v>0</v>
      </c>
    </row>
    <row r="759" spans="1:27" ht="60.75" x14ac:dyDescent="0.25">
      <c r="A759" s="3" t="s">
        <v>28</v>
      </c>
      <c r="B759" s="3" t="s">
        <v>29</v>
      </c>
      <c r="C759" s="3" t="s">
        <v>30</v>
      </c>
      <c r="D759" s="3" t="s">
        <v>31</v>
      </c>
      <c r="E759" s="3" t="s">
        <v>51</v>
      </c>
      <c r="F759" s="3" t="s">
        <v>192</v>
      </c>
      <c r="G759" s="3">
        <v>2025</v>
      </c>
      <c r="H759" s="3" t="str">
        <f>CONCATENATE("54240648938")</f>
        <v>54240648938</v>
      </c>
      <c r="I759" s="3" t="s">
        <v>34</v>
      </c>
      <c r="J759" s="3" t="s">
        <v>35</v>
      </c>
      <c r="K759" s="3"/>
      <c r="L759" s="3" t="s">
        <v>36</v>
      </c>
      <c r="M759" s="3" t="str">
        <f>CONCATENATE("NCLDNL66M09I461N")</f>
        <v>NCLDNL66M09I461N</v>
      </c>
      <c r="N759" s="3" t="s">
        <v>886</v>
      </c>
      <c r="O759" s="3" t="s">
        <v>38</v>
      </c>
      <c r="P759" s="3"/>
      <c r="Q759" s="4">
        <v>45968</v>
      </c>
      <c r="R759" s="3" t="s">
        <v>39</v>
      </c>
      <c r="S759" s="3" t="s">
        <v>38</v>
      </c>
      <c r="T759" s="3" t="s">
        <v>40</v>
      </c>
      <c r="U759" s="3"/>
      <c r="V759" s="3" t="s">
        <v>41</v>
      </c>
      <c r="W759" s="3">
        <v>678.28</v>
      </c>
      <c r="X759" s="3">
        <v>508.71</v>
      </c>
      <c r="Y759" s="3">
        <v>118.7</v>
      </c>
      <c r="Z759" s="3">
        <v>50.87</v>
      </c>
      <c r="AA759" s="3">
        <v>0</v>
      </c>
    </row>
    <row r="760" spans="1:27" ht="60.75" x14ac:dyDescent="0.25">
      <c r="A760" s="3" t="s">
        <v>28</v>
      </c>
      <c r="B760" s="3" t="s">
        <v>29</v>
      </c>
      <c r="C760" s="3" t="s">
        <v>30</v>
      </c>
      <c r="D760" s="3" t="s">
        <v>42</v>
      </c>
      <c r="E760" s="3" t="s">
        <v>60</v>
      </c>
      <c r="F760" s="3" t="s">
        <v>245</v>
      </c>
      <c r="G760" s="3">
        <v>2025</v>
      </c>
      <c r="H760" s="3" t="str">
        <f>CONCATENATE("54240517976")</f>
        <v>54240517976</v>
      </c>
      <c r="I760" s="3" t="s">
        <v>34</v>
      </c>
      <c r="J760" s="3" t="s">
        <v>35</v>
      </c>
      <c r="K760" s="3"/>
      <c r="L760" s="3" t="s">
        <v>36</v>
      </c>
      <c r="M760" s="3" t="str">
        <f>CONCATENATE("DNGMLL63H68F415U")</f>
        <v>DNGMLL63H68F415U</v>
      </c>
      <c r="N760" s="3" t="s">
        <v>887</v>
      </c>
      <c r="O760" s="3" t="s">
        <v>38</v>
      </c>
      <c r="P760" s="3"/>
      <c r="Q760" s="4">
        <v>45968</v>
      </c>
      <c r="R760" s="3" t="s">
        <v>39</v>
      </c>
      <c r="S760" s="3" t="s">
        <v>38</v>
      </c>
      <c r="T760" s="3" t="s">
        <v>40</v>
      </c>
      <c r="U760" s="3"/>
      <c r="V760" s="3" t="s">
        <v>41</v>
      </c>
      <c r="W760" s="5">
        <v>2959.36</v>
      </c>
      <c r="X760" s="5">
        <v>2219.52</v>
      </c>
      <c r="Y760" s="3">
        <v>517.89</v>
      </c>
      <c r="Z760" s="3">
        <v>221.95</v>
      </c>
      <c r="AA760" s="3">
        <v>0</v>
      </c>
    </row>
    <row r="761" spans="1:27" ht="60.75" x14ac:dyDescent="0.25">
      <c r="A761" s="3" t="s">
        <v>28</v>
      </c>
      <c r="B761" s="3" t="s">
        <v>29</v>
      </c>
      <c r="C761" s="3" t="s">
        <v>30</v>
      </c>
      <c r="D761" s="3" t="s">
        <v>65</v>
      </c>
      <c r="E761" s="3" t="s">
        <v>51</v>
      </c>
      <c r="F761" s="3" t="s">
        <v>126</v>
      </c>
      <c r="G761" s="3">
        <v>2025</v>
      </c>
      <c r="H761" s="3" t="str">
        <f>CONCATENATE("54240526423")</f>
        <v>54240526423</v>
      </c>
      <c r="I761" s="3" t="s">
        <v>34</v>
      </c>
      <c r="J761" s="3" t="s">
        <v>35</v>
      </c>
      <c r="K761" s="3"/>
      <c r="L761" s="3" t="s">
        <v>36</v>
      </c>
      <c r="M761" s="3" t="str">
        <f>CONCATENATE("CCCRTT69R55D451Z")</f>
        <v>CCCRTT69R55D451Z</v>
      </c>
      <c r="N761" s="3" t="s">
        <v>888</v>
      </c>
      <c r="O761" s="3" t="s">
        <v>38</v>
      </c>
      <c r="P761" s="3"/>
      <c r="Q761" s="4">
        <v>45968</v>
      </c>
      <c r="R761" s="3" t="s">
        <v>39</v>
      </c>
      <c r="S761" s="3" t="s">
        <v>38</v>
      </c>
      <c r="T761" s="3" t="s">
        <v>40</v>
      </c>
      <c r="U761" s="3"/>
      <c r="V761" s="3" t="s">
        <v>41</v>
      </c>
      <c r="W761" s="5">
        <v>4847.45</v>
      </c>
      <c r="X761" s="5">
        <v>3635.59</v>
      </c>
      <c r="Y761" s="3">
        <v>848.3</v>
      </c>
      <c r="Z761" s="3">
        <v>363.56</v>
      </c>
      <c r="AA761" s="3">
        <v>0</v>
      </c>
    </row>
    <row r="762" spans="1:27" ht="60.75" x14ac:dyDescent="0.25">
      <c r="A762" s="3" t="s">
        <v>28</v>
      </c>
      <c r="B762" s="3" t="s">
        <v>29</v>
      </c>
      <c r="C762" s="3" t="s">
        <v>30</v>
      </c>
      <c r="D762" s="3" t="s">
        <v>65</v>
      </c>
      <c r="E762" s="3" t="s">
        <v>32</v>
      </c>
      <c r="F762" s="3" t="s">
        <v>95</v>
      </c>
      <c r="G762" s="3">
        <v>2025</v>
      </c>
      <c r="H762" s="3" t="str">
        <f>CONCATENATE("54240655966")</f>
        <v>54240655966</v>
      </c>
      <c r="I762" s="3" t="s">
        <v>34</v>
      </c>
      <c r="J762" s="3" t="s">
        <v>35</v>
      </c>
      <c r="K762" s="3"/>
      <c r="L762" s="3" t="s">
        <v>36</v>
      </c>
      <c r="M762" s="3" t="str">
        <f>CONCATENATE("PRCLNS83L06A783R")</f>
        <v>PRCLNS83L06A783R</v>
      </c>
      <c r="N762" s="3" t="s">
        <v>889</v>
      </c>
      <c r="O762" s="3" t="s">
        <v>38</v>
      </c>
      <c r="P762" s="3"/>
      <c r="Q762" s="4">
        <v>45968</v>
      </c>
      <c r="R762" s="3" t="s">
        <v>39</v>
      </c>
      <c r="S762" s="3" t="s">
        <v>38</v>
      </c>
      <c r="T762" s="3" t="s">
        <v>40</v>
      </c>
      <c r="U762" s="3"/>
      <c r="V762" s="3" t="s">
        <v>41</v>
      </c>
      <c r="W762" s="5">
        <v>13488.18</v>
      </c>
      <c r="X762" s="5">
        <v>10116.14</v>
      </c>
      <c r="Y762" s="5">
        <v>2360.4299999999998</v>
      </c>
      <c r="Z762" s="5">
        <v>1011.61</v>
      </c>
      <c r="AA762" s="3">
        <v>0</v>
      </c>
    </row>
    <row r="763" spans="1:27" ht="60.75" x14ac:dyDescent="0.25">
      <c r="A763" s="3" t="s">
        <v>28</v>
      </c>
      <c r="B763" s="3" t="s">
        <v>29</v>
      </c>
      <c r="C763" s="3" t="s">
        <v>30</v>
      </c>
      <c r="D763" s="3" t="s">
        <v>42</v>
      </c>
      <c r="E763" s="3" t="s">
        <v>51</v>
      </c>
      <c r="F763" s="3" t="s">
        <v>375</v>
      </c>
      <c r="G763" s="3">
        <v>2025</v>
      </c>
      <c r="H763" s="3" t="str">
        <f>CONCATENATE("54240519592")</f>
        <v>54240519592</v>
      </c>
      <c r="I763" s="3" t="s">
        <v>34</v>
      </c>
      <c r="J763" s="3" t="s">
        <v>35</v>
      </c>
      <c r="K763" s="3"/>
      <c r="L763" s="3" t="s">
        <v>36</v>
      </c>
      <c r="M763" s="3" t="str">
        <f>CONCATENATE("FCCRNI65R45D096I")</f>
        <v>FCCRNI65R45D096I</v>
      </c>
      <c r="N763" s="3" t="s">
        <v>890</v>
      </c>
      <c r="O763" s="3" t="s">
        <v>38</v>
      </c>
      <c r="P763" s="3"/>
      <c r="Q763" s="4">
        <v>45968</v>
      </c>
      <c r="R763" s="3" t="s">
        <v>39</v>
      </c>
      <c r="S763" s="3" t="s">
        <v>38</v>
      </c>
      <c r="T763" s="3" t="s">
        <v>40</v>
      </c>
      <c r="U763" s="3"/>
      <c r="V763" s="3" t="s">
        <v>41</v>
      </c>
      <c r="W763" s="5">
        <v>3949.53</v>
      </c>
      <c r="X763" s="5">
        <v>2962.15</v>
      </c>
      <c r="Y763" s="3">
        <v>691.17</v>
      </c>
      <c r="Z763" s="3">
        <v>296.20999999999998</v>
      </c>
      <c r="AA763" s="3">
        <v>0</v>
      </c>
    </row>
    <row r="764" spans="1:27" ht="60.75" x14ac:dyDescent="0.25">
      <c r="A764" s="3" t="s">
        <v>28</v>
      </c>
      <c r="B764" s="3" t="s">
        <v>29</v>
      </c>
      <c r="C764" s="3" t="s">
        <v>30</v>
      </c>
      <c r="D764" s="3" t="s">
        <v>42</v>
      </c>
      <c r="E764" s="3" t="s">
        <v>43</v>
      </c>
      <c r="F764" s="3" t="s">
        <v>43</v>
      </c>
      <c r="G764" s="3">
        <v>2025</v>
      </c>
      <c r="H764" s="3" t="str">
        <f>CONCATENATE("54240523719")</f>
        <v>54240523719</v>
      </c>
      <c r="I764" s="3" t="s">
        <v>34</v>
      </c>
      <c r="J764" s="3" t="s">
        <v>35</v>
      </c>
      <c r="K764" s="3"/>
      <c r="L764" s="3" t="s">
        <v>36</v>
      </c>
      <c r="M764" s="3" t="str">
        <f>CONCATENATE("FLZGNN67P01H769G")</f>
        <v>FLZGNN67P01H769G</v>
      </c>
      <c r="N764" s="3" t="s">
        <v>891</v>
      </c>
      <c r="O764" s="3" t="s">
        <v>38</v>
      </c>
      <c r="P764" s="3"/>
      <c r="Q764" s="4">
        <v>45968</v>
      </c>
      <c r="R764" s="3" t="s">
        <v>39</v>
      </c>
      <c r="S764" s="3" t="s">
        <v>38</v>
      </c>
      <c r="T764" s="3" t="s">
        <v>40</v>
      </c>
      <c r="U764" s="3"/>
      <c r="V764" s="3" t="s">
        <v>41</v>
      </c>
      <c r="W764" s="3">
        <v>713.79</v>
      </c>
      <c r="X764" s="3">
        <v>535.34</v>
      </c>
      <c r="Y764" s="3">
        <v>124.91</v>
      </c>
      <c r="Z764" s="3">
        <v>53.54</v>
      </c>
      <c r="AA764" s="3">
        <v>0</v>
      </c>
    </row>
    <row r="765" spans="1:27" ht="60.75" x14ac:dyDescent="0.25">
      <c r="A765" s="3" t="s">
        <v>28</v>
      </c>
      <c r="B765" s="3" t="s">
        <v>29</v>
      </c>
      <c r="C765" s="3" t="s">
        <v>30</v>
      </c>
      <c r="D765" s="3" t="s">
        <v>42</v>
      </c>
      <c r="E765" s="3" t="s">
        <v>32</v>
      </c>
      <c r="F765" s="3" t="s">
        <v>322</v>
      </c>
      <c r="G765" s="3">
        <v>2025</v>
      </c>
      <c r="H765" s="3" t="str">
        <f>CONCATENATE("54240653375")</f>
        <v>54240653375</v>
      </c>
      <c r="I765" s="3" t="s">
        <v>34</v>
      </c>
      <c r="J765" s="3" t="s">
        <v>35</v>
      </c>
      <c r="K765" s="3"/>
      <c r="L765" s="3" t="s">
        <v>36</v>
      </c>
      <c r="M765" s="3" t="str">
        <f>CONCATENATE("MRLRRE77C12G516I")</f>
        <v>MRLRRE77C12G516I</v>
      </c>
      <c r="N765" s="3" t="s">
        <v>892</v>
      </c>
      <c r="O765" s="3" t="s">
        <v>38</v>
      </c>
      <c r="P765" s="3"/>
      <c r="Q765" s="4">
        <v>45968</v>
      </c>
      <c r="R765" s="3" t="s">
        <v>39</v>
      </c>
      <c r="S765" s="3" t="s">
        <v>38</v>
      </c>
      <c r="T765" s="3" t="s">
        <v>40</v>
      </c>
      <c r="U765" s="3"/>
      <c r="V765" s="3" t="s">
        <v>41</v>
      </c>
      <c r="W765" s="5">
        <v>1778.5</v>
      </c>
      <c r="X765" s="5">
        <v>1333.88</v>
      </c>
      <c r="Y765" s="3">
        <v>311.24</v>
      </c>
      <c r="Z765" s="3">
        <v>133.38</v>
      </c>
      <c r="AA765" s="3">
        <v>0</v>
      </c>
    </row>
    <row r="766" spans="1:27" ht="36.75" x14ac:dyDescent="0.25">
      <c r="A766" s="3" t="s">
        <v>28</v>
      </c>
      <c r="B766" s="3" t="s">
        <v>29</v>
      </c>
      <c r="C766" s="3" t="s">
        <v>30</v>
      </c>
      <c r="D766" s="3" t="s">
        <v>65</v>
      </c>
      <c r="E766" s="3" t="s">
        <v>51</v>
      </c>
      <c r="F766" s="3" t="s">
        <v>105</v>
      </c>
      <c r="G766" s="3">
        <v>2025</v>
      </c>
      <c r="H766" s="3" t="str">
        <f>CONCATENATE("54240655008")</f>
        <v>54240655008</v>
      </c>
      <c r="I766" s="3" t="s">
        <v>34</v>
      </c>
      <c r="J766" s="3" t="s">
        <v>35</v>
      </c>
      <c r="K766" s="3"/>
      <c r="L766" s="3" t="s">
        <v>36</v>
      </c>
      <c r="M766" s="3" t="str">
        <f>CONCATENATE("01406540417")</f>
        <v>01406540417</v>
      </c>
      <c r="N766" s="3" t="s">
        <v>893</v>
      </c>
      <c r="O766" s="3" t="s">
        <v>38</v>
      </c>
      <c r="P766" s="3"/>
      <c r="Q766" s="4">
        <v>45968</v>
      </c>
      <c r="R766" s="3" t="s">
        <v>39</v>
      </c>
      <c r="S766" s="3" t="s">
        <v>38</v>
      </c>
      <c r="T766" s="3" t="s">
        <v>40</v>
      </c>
      <c r="U766" s="3"/>
      <c r="V766" s="3" t="s">
        <v>41</v>
      </c>
      <c r="W766" s="5">
        <v>33259.339999999997</v>
      </c>
      <c r="X766" s="5">
        <v>24944.51</v>
      </c>
      <c r="Y766" s="5">
        <v>5820.38</v>
      </c>
      <c r="Z766" s="5">
        <v>2494.4499999999998</v>
      </c>
      <c r="AA766" s="3">
        <v>0</v>
      </c>
    </row>
    <row r="767" spans="1:27" ht="36.75" x14ac:dyDescent="0.25">
      <c r="A767" s="3" t="s">
        <v>28</v>
      </c>
      <c r="B767" s="3" t="s">
        <v>29</v>
      </c>
      <c r="C767" s="3" t="s">
        <v>30</v>
      </c>
      <c r="D767" s="3" t="s">
        <v>47</v>
      </c>
      <c r="E767" s="3" t="s">
        <v>48</v>
      </c>
      <c r="F767" s="3" t="s">
        <v>249</v>
      </c>
      <c r="G767" s="3">
        <v>2025</v>
      </c>
      <c r="H767" s="3" t="str">
        <f>CONCATENATE("54240672961")</f>
        <v>54240672961</v>
      </c>
      <c r="I767" s="3" t="s">
        <v>34</v>
      </c>
      <c r="J767" s="3" t="s">
        <v>35</v>
      </c>
      <c r="K767" s="3"/>
      <c r="L767" s="3" t="s">
        <v>36</v>
      </c>
      <c r="M767" s="3" t="str">
        <f>CONCATENATE("01540890439")</f>
        <v>01540890439</v>
      </c>
      <c r="N767" s="3" t="s">
        <v>894</v>
      </c>
      <c r="O767" s="3" t="s">
        <v>38</v>
      </c>
      <c r="P767" s="3"/>
      <c r="Q767" s="4">
        <v>45968</v>
      </c>
      <c r="R767" s="3" t="s">
        <v>39</v>
      </c>
      <c r="S767" s="3" t="s">
        <v>38</v>
      </c>
      <c r="T767" s="3" t="s">
        <v>40</v>
      </c>
      <c r="U767" s="3"/>
      <c r="V767" s="3" t="s">
        <v>41</v>
      </c>
      <c r="W767" s="5">
        <v>10410.41</v>
      </c>
      <c r="X767" s="5">
        <v>7807.81</v>
      </c>
      <c r="Y767" s="5">
        <v>1821.82</v>
      </c>
      <c r="Z767" s="3">
        <v>780.78</v>
      </c>
      <c r="AA767" s="3">
        <v>0</v>
      </c>
    </row>
    <row r="768" spans="1:27" ht="60.75" x14ac:dyDescent="0.25">
      <c r="A768" s="3" t="s">
        <v>28</v>
      </c>
      <c r="B768" s="3" t="s">
        <v>29</v>
      </c>
      <c r="C768" s="3" t="s">
        <v>30</v>
      </c>
      <c r="D768" s="3" t="s">
        <v>42</v>
      </c>
      <c r="E768" s="3" t="s">
        <v>43</v>
      </c>
      <c r="F768" s="3" t="s">
        <v>43</v>
      </c>
      <c r="G768" s="3">
        <v>2025</v>
      </c>
      <c r="H768" s="3" t="str">
        <f>CONCATENATE("54240655214")</f>
        <v>54240655214</v>
      </c>
      <c r="I768" s="3" t="s">
        <v>34</v>
      </c>
      <c r="J768" s="3" t="s">
        <v>35</v>
      </c>
      <c r="K768" s="3"/>
      <c r="L768" s="3" t="s">
        <v>36</v>
      </c>
      <c r="M768" s="3" t="str">
        <f>CONCATENATE("BNCMHL91E10D542M")</f>
        <v>BNCMHL91E10D542M</v>
      </c>
      <c r="N768" s="3" t="s">
        <v>895</v>
      </c>
      <c r="O768" s="3" t="s">
        <v>38</v>
      </c>
      <c r="P768" s="3"/>
      <c r="Q768" s="4">
        <v>45968</v>
      </c>
      <c r="R768" s="3" t="s">
        <v>39</v>
      </c>
      <c r="S768" s="3" t="s">
        <v>38</v>
      </c>
      <c r="T768" s="3" t="s">
        <v>40</v>
      </c>
      <c r="U768" s="3"/>
      <c r="V768" s="3" t="s">
        <v>41</v>
      </c>
      <c r="W768" s="3">
        <v>146.99</v>
      </c>
      <c r="X768" s="3">
        <v>110.24</v>
      </c>
      <c r="Y768" s="3">
        <v>25.72</v>
      </c>
      <c r="Z768" s="3">
        <v>11.03</v>
      </c>
      <c r="AA768" s="3">
        <v>0</v>
      </c>
    </row>
    <row r="769" spans="1:27" ht="60.75" x14ac:dyDescent="0.25">
      <c r="A769" s="3" t="s">
        <v>28</v>
      </c>
      <c r="B769" s="3" t="s">
        <v>29</v>
      </c>
      <c r="C769" s="3" t="s">
        <v>30</v>
      </c>
      <c r="D769" s="3" t="s">
        <v>65</v>
      </c>
      <c r="E769" s="3" t="s">
        <v>51</v>
      </c>
      <c r="F769" s="3" t="s">
        <v>534</v>
      </c>
      <c r="G769" s="3">
        <v>2025</v>
      </c>
      <c r="H769" s="3" t="str">
        <f>CONCATENATE("54240646189")</f>
        <v>54240646189</v>
      </c>
      <c r="I769" s="3" t="s">
        <v>34</v>
      </c>
      <c r="J769" s="3" t="s">
        <v>35</v>
      </c>
      <c r="K769" s="3"/>
      <c r="L769" s="3" t="s">
        <v>36</v>
      </c>
      <c r="M769" s="3" t="str">
        <f>CONCATENATE("PZZDRN64R17F135L")</f>
        <v>PZZDRN64R17F135L</v>
      </c>
      <c r="N769" s="3" t="s">
        <v>896</v>
      </c>
      <c r="O769" s="3" t="s">
        <v>38</v>
      </c>
      <c r="P769" s="3"/>
      <c r="Q769" s="4">
        <v>45968</v>
      </c>
      <c r="R769" s="3" t="s">
        <v>39</v>
      </c>
      <c r="S769" s="3" t="s">
        <v>38</v>
      </c>
      <c r="T769" s="3" t="s">
        <v>40</v>
      </c>
      <c r="U769" s="3"/>
      <c r="V769" s="3" t="s">
        <v>41</v>
      </c>
      <c r="W769" s="5">
        <v>1281.79</v>
      </c>
      <c r="X769" s="3">
        <v>961.34</v>
      </c>
      <c r="Y769" s="3">
        <v>224.31</v>
      </c>
      <c r="Z769" s="3">
        <v>96.14</v>
      </c>
      <c r="AA769" s="3">
        <v>0</v>
      </c>
    </row>
    <row r="770" spans="1:27" ht="60.75" x14ac:dyDescent="0.25">
      <c r="A770" s="3" t="s">
        <v>28</v>
      </c>
      <c r="B770" s="3" t="s">
        <v>29</v>
      </c>
      <c r="C770" s="3" t="s">
        <v>30</v>
      </c>
      <c r="D770" s="3" t="s">
        <v>65</v>
      </c>
      <c r="E770" s="3" t="s">
        <v>207</v>
      </c>
      <c r="F770" s="3" t="s">
        <v>208</v>
      </c>
      <c r="G770" s="3">
        <v>2025</v>
      </c>
      <c r="H770" s="3" t="str">
        <f>CONCATENATE("54240646122")</f>
        <v>54240646122</v>
      </c>
      <c r="I770" s="3" t="s">
        <v>34</v>
      </c>
      <c r="J770" s="3" t="s">
        <v>35</v>
      </c>
      <c r="K770" s="3"/>
      <c r="L770" s="3" t="s">
        <v>36</v>
      </c>
      <c r="M770" s="3" t="str">
        <f>CONCATENATE("PPRFLV57T15A944I")</f>
        <v>PPRFLV57T15A944I</v>
      </c>
      <c r="N770" s="3" t="s">
        <v>897</v>
      </c>
      <c r="O770" s="3" t="s">
        <v>38</v>
      </c>
      <c r="P770" s="3"/>
      <c r="Q770" s="4">
        <v>45968</v>
      </c>
      <c r="R770" s="3" t="s">
        <v>39</v>
      </c>
      <c r="S770" s="3" t="s">
        <v>38</v>
      </c>
      <c r="T770" s="3" t="s">
        <v>40</v>
      </c>
      <c r="U770" s="3"/>
      <c r="V770" s="3" t="s">
        <v>41</v>
      </c>
      <c r="W770" s="5">
        <v>3345.36</v>
      </c>
      <c r="X770" s="5">
        <v>2509.02</v>
      </c>
      <c r="Y770" s="3">
        <v>585.44000000000005</v>
      </c>
      <c r="Z770" s="3">
        <v>250.9</v>
      </c>
      <c r="AA770" s="3">
        <v>0</v>
      </c>
    </row>
    <row r="771" spans="1:27" ht="60.75" x14ac:dyDescent="0.25">
      <c r="A771" s="3" t="s">
        <v>28</v>
      </c>
      <c r="B771" s="3" t="s">
        <v>29</v>
      </c>
      <c r="C771" s="3" t="s">
        <v>30</v>
      </c>
      <c r="D771" s="3" t="s">
        <v>42</v>
      </c>
      <c r="E771" s="3" t="s">
        <v>32</v>
      </c>
      <c r="F771" s="3" t="s">
        <v>340</v>
      </c>
      <c r="G771" s="3">
        <v>2025</v>
      </c>
      <c r="H771" s="3" t="str">
        <f>CONCATENATE("54240646635")</f>
        <v>54240646635</v>
      </c>
      <c r="I771" s="3" t="s">
        <v>34</v>
      </c>
      <c r="J771" s="3" t="s">
        <v>35</v>
      </c>
      <c r="K771" s="3"/>
      <c r="L771" s="3" t="s">
        <v>36</v>
      </c>
      <c r="M771" s="3" t="str">
        <f>CONCATENATE("SCBDRN58S27E208O")</f>
        <v>SCBDRN58S27E208O</v>
      </c>
      <c r="N771" s="3" t="s">
        <v>898</v>
      </c>
      <c r="O771" s="3" t="s">
        <v>38</v>
      </c>
      <c r="P771" s="3"/>
      <c r="Q771" s="4">
        <v>45968</v>
      </c>
      <c r="R771" s="3" t="s">
        <v>39</v>
      </c>
      <c r="S771" s="3" t="s">
        <v>38</v>
      </c>
      <c r="T771" s="3" t="s">
        <v>40</v>
      </c>
      <c r="U771" s="3"/>
      <c r="V771" s="3" t="s">
        <v>41</v>
      </c>
      <c r="W771" s="5">
        <v>12695.37</v>
      </c>
      <c r="X771" s="5">
        <v>9521.5300000000007</v>
      </c>
      <c r="Y771" s="5">
        <v>2221.69</v>
      </c>
      <c r="Z771" s="3">
        <v>952.15</v>
      </c>
      <c r="AA771" s="3">
        <v>0</v>
      </c>
    </row>
    <row r="772" spans="1:27" ht="36.75" x14ac:dyDescent="0.25">
      <c r="A772" s="3" t="s">
        <v>28</v>
      </c>
      <c r="B772" s="3" t="s">
        <v>29</v>
      </c>
      <c r="C772" s="3" t="s">
        <v>30</v>
      </c>
      <c r="D772" s="3" t="s">
        <v>65</v>
      </c>
      <c r="E772" s="3" t="s">
        <v>207</v>
      </c>
      <c r="F772" s="3" t="s">
        <v>208</v>
      </c>
      <c r="G772" s="3">
        <v>2025</v>
      </c>
      <c r="H772" s="3" t="str">
        <f>CONCATENATE("54240646734")</f>
        <v>54240646734</v>
      </c>
      <c r="I772" s="3" t="s">
        <v>34</v>
      </c>
      <c r="J772" s="3" t="s">
        <v>35</v>
      </c>
      <c r="K772" s="3"/>
      <c r="L772" s="3" t="s">
        <v>36</v>
      </c>
      <c r="M772" s="3" t="str">
        <f>CONCATENATE("02645240413")</f>
        <v>02645240413</v>
      </c>
      <c r="N772" s="3" t="s">
        <v>899</v>
      </c>
      <c r="O772" s="3" t="s">
        <v>38</v>
      </c>
      <c r="P772" s="3"/>
      <c r="Q772" s="4">
        <v>45968</v>
      </c>
      <c r="R772" s="3" t="s">
        <v>39</v>
      </c>
      <c r="S772" s="3" t="s">
        <v>38</v>
      </c>
      <c r="T772" s="3" t="s">
        <v>40</v>
      </c>
      <c r="U772" s="3"/>
      <c r="V772" s="3" t="s">
        <v>41</v>
      </c>
      <c r="W772" s="5">
        <v>5175.43</v>
      </c>
      <c r="X772" s="5">
        <v>3881.57</v>
      </c>
      <c r="Y772" s="3">
        <v>905.7</v>
      </c>
      <c r="Z772" s="3">
        <v>388.16</v>
      </c>
      <c r="AA772" s="3">
        <v>0</v>
      </c>
    </row>
    <row r="773" spans="1:27" ht="60.75" x14ac:dyDescent="0.25">
      <c r="A773" s="3" t="s">
        <v>28</v>
      </c>
      <c r="B773" s="3" t="s">
        <v>29</v>
      </c>
      <c r="C773" s="3" t="s">
        <v>30</v>
      </c>
      <c r="D773" s="3" t="s">
        <v>65</v>
      </c>
      <c r="E773" s="3" t="s">
        <v>51</v>
      </c>
      <c r="F773" s="3" t="s">
        <v>240</v>
      </c>
      <c r="G773" s="3">
        <v>2025</v>
      </c>
      <c r="H773" s="3" t="str">
        <f>CONCATENATE("54240646890")</f>
        <v>54240646890</v>
      </c>
      <c r="I773" s="3" t="s">
        <v>34</v>
      </c>
      <c r="J773" s="3" t="s">
        <v>35</v>
      </c>
      <c r="K773" s="3"/>
      <c r="L773" s="3" t="s">
        <v>36</v>
      </c>
      <c r="M773" s="3" t="str">
        <f>CONCATENATE("DSCZMR65D51F205P")</f>
        <v>DSCZMR65D51F205P</v>
      </c>
      <c r="N773" s="3" t="s">
        <v>900</v>
      </c>
      <c r="O773" s="3" t="s">
        <v>38</v>
      </c>
      <c r="P773" s="3"/>
      <c r="Q773" s="4">
        <v>45968</v>
      </c>
      <c r="R773" s="3" t="s">
        <v>39</v>
      </c>
      <c r="S773" s="3" t="s">
        <v>38</v>
      </c>
      <c r="T773" s="3" t="s">
        <v>40</v>
      </c>
      <c r="U773" s="3"/>
      <c r="V773" s="3" t="s">
        <v>41</v>
      </c>
      <c r="W773" s="5">
        <v>6734.18</v>
      </c>
      <c r="X773" s="5">
        <v>5050.6400000000003</v>
      </c>
      <c r="Y773" s="5">
        <v>1178.48</v>
      </c>
      <c r="Z773" s="3">
        <v>505.06</v>
      </c>
      <c r="AA773" s="3">
        <v>0</v>
      </c>
    </row>
    <row r="774" spans="1:27" ht="36.75" x14ac:dyDescent="0.25">
      <c r="A774" s="3" t="s">
        <v>28</v>
      </c>
      <c r="B774" s="3" t="s">
        <v>29</v>
      </c>
      <c r="C774" s="3" t="s">
        <v>30</v>
      </c>
      <c r="D774" s="3" t="s">
        <v>65</v>
      </c>
      <c r="E774" s="3" t="s">
        <v>51</v>
      </c>
      <c r="F774" s="3" t="s">
        <v>460</v>
      </c>
      <c r="G774" s="3">
        <v>2025</v>
      </c>
      <c r="H774" s="3" t="str">
        <f>CONCATENATE("54240646874")</f>
        <v>54240646874</v>
      </c>
      <c r="I774" s="3" t="s">
        <v>34</v>
      </c>
      <c r="J774" s="3" t="s">
        <v>35</v>
      </c>
      <c r="K774" s="3"/>
      <c r="L774" s="3" t="s">
        <v>36</v>
      </c>
      <c r="M774" s="3" t="str">
        <f>CONCATENATE("02256780418")</f>
        <v>02256780418</v>
      </c>
      <c r="N774" s="3" t="s">
        <v>901</v>
      </c>
      <c r="O774" s="3" t="s">
        <v>38</v>
      </c>
      <c r="P774" s="3"/>
      <c r="Q774" s="4">
        <v>45968</v>
      </c>
      <c r="R774" s="3" t="s">
        <v>39</v>
      </c>
      <c r="S774" s="3" t="s">
        <v>38</v>
      </c>
      <c r="T774" s="3" t="s">
        <v>40</v>
      </c>
      <c r="U774" s="3"/>
      <c r="V774" s="3" t="s">
        <v>41</v>
      </c>
      <c r="W774" s="3">
        <v>641.11</v>
      </c>
      <c r="X774" s="3">
        <v>480.83</v>
      </c>
      <c r="Y774" s="3">
        <v>112.19</v>
      </c>
      <c r="Z774" s="3">
        <v>48.09</v>
      </c>
      <c r="AA774" s="3">
        <v>0</v>
      </c>
    </row>
    <row r="775" spans="1:27" ht="60.75" x14ac:dyDescent="0.25">
      <c r="A775" s="3" t="s">
        <v>28</v>
      </c>
      <c r="B775" s="3" t="s">
        <v>29</v>
      </c>
      <c r="C775" s="3" t="s">
        <v>30</v>
      </c>
      <c r="D775" s="3" t="s">
        <v>31</v>
      </c>
      <c r="E775" s="3" t="s">
        <v>32</v>
      </c>
      <c r="F775" s="3" t="s">
        <v>95</v>
      </c>
      <c r="G775" s="3">
        <v>2025</v>
      </c>
      <c r="H775" s="3" t="str">
        <f>CONCATENATE("54240653987")</f>
        <v>54240653987</v>
      </c>
      <c r="I775" s="3" t="s">
        <v>34</v>
      </c>
      <c r="J775" s="3" t="s">
        <v>35</v>
      </c>
      <c r="K775" s="3"/>
      <c r="L775" s="3" t="s">
        <v>36</v>
      </c>
      <c r="M775" s="3" t="str">
        <f>CONCATENATE("BSSGDI83R56E388J")</f>
        <v>BSSGDI83R56E388J</v>
      </c>
      <c r="N775" s="3" t="s">
        <v>902</v>
      </c>
      <c r="O775" s="3" t="s">
        <v>38</v>
      </c>
      <c r="P775" s="3"/>
      <c r="Q775" s="4">
        <v>45968</v>
      </c>
      <c r="R775" s="3" t="s">
        <v>39</v>
      </c>
      <c r="S775" s="3" t="s">
        <v>38</v>
      </c>
      <c r="T775" s="3" t="s">
        <v>40</v>
      </c>
      <c r="U775" s="3"/>
      <c r="V775" s="3" t="s">
        <v>41</v>
      </c>
      <c r="W775" s="5">
        <v>21759.97</v>
      </c>
      <c r="X775" s="5">
        <v>16319.98</v>
      </c>
      <c r="Y775" s="5">
        <v>3807.99</v>
      </c>
      <c r="Z775" s="5">
        <v>1632</v>
      </c>
      <c r="AA775" s="3">
        <v>0</v>
      </c>
    </row>
    <row r="776" spans="1:27" ht="60.75" x14ac:dyDescent="0.25">
      <c r="A776" s="3" t="s">
        <v>28</v>
      </c>
      <c r="B776" s="3" t="s">
        <v>29</v>
      </c>
      <c r="C776" s="3" t="s">
        <v>30</v>
      </c>
      <c r="D776" s="3" t="s">
        <v>31</v>
      </c>
      <c r="E776" s="3" t="s">
        <v>51</v>
      </c>
      <c r="F776" s="3" t="s">
        <v>192</v>
      </c>
      <c r="G776" s="3">
        <v>2025</v>
      </c>
      <c r="H776" s="3" t="str">
        <f>CONCATENATE("54240649217")</f>
        <v>54240649217</v>
      </c>
      <c r="I776" s="3" t="s">
        <v>34</v>
      </c>
      <c r="J776" s="3" t="s">
        <v>35</v>
      </c>
      <c r="K776" s="3"/>
      <c r="L776" s="3" t="s">
        <v>36</v>
      </c>
      <c r="M776" s="3" t="str">
        <f>CONCATENATE("RSSLSN82L08D451F")</f>
        <v>RSSLSN82L08D451F</v>
      </c>
      <c r="N776" s="3" t="s">
        <v>903</v>
      </c>
      <c r="O776" s="3" t="s">
        <v>38</v>
      </c>
      <c r="P776" s="3"/>
      <c r="Q776" s="4">
        <v>45968</v>
      </c>
      <c r="R776" s="3" t="s">
        <v>39</v>
      </c>
      <c r="S776" s="3" t="s">
        <v>38</v>
      </c>
      <c r="T776" s="3" t="s">
        <v>40</v>
      </c>
      <c r="U776" s="3"/>
      <c r="V776" s="3" t="s">
        <v>41</v>
      </c>
      <c r="W776" s="5">
        <v>5259.41</v>
      </c>
      <c r="X776" s="5">
        <v>3944.56</v>
      </c>
      <c r="Y776" s="3">
        <v>920.4</v>
      </c>
      <c r="Z776" s="3">
        <v>394.45</v>
      </c>
      <c r="AA776" s="3">
        <v>0</v>
      </c>
    </row>
    <row r="777" spans="1:27" ht="60.75" x14ac:dyDescent="0.25">
      <c r="A777" s="3" t="s">
        <v>28</v>
      </c>
      <c r="B777" s="3" t="s">
        <v>29</v>
      </c>
      <c r="C777" s="3" t="s">
        <v>30</v>
      </c>
      <c r="D777" s="3" t="s">
        <v>42</v>
      </c>
      <c r="E777" s="3" t="s">
        <v>207</v>
      </c>
      <c r="F777" s="3" t="s">
        <v>764</v>
      </c>
      <c r="G777" s="3">
        <v>2025</v>
      </c>
      <c r="H777" s="3" t="str">
        <f>CONCATENATE("54240649274")</f>
        <v>54240649274</v>
      </c>
      <c r="I777" s="3" t="s">
        <v>34</v>
      </c>
      <c r="J777" s="3" t="s">
        <v>35</v>
      </c>
      <c r="K777" s="3"/>
      <c r="L777" s="3" t="s">
        <v>36</v>
      </c>
      <c r="M777" s="3" t="str">
        <f>CONCATENATE("MTTLDE42P70F415T")</f>
        <v>MTTLDE42P70F415T</v>
      </c>
      <c r="N777" s="3" t="s">
        <v>904</v>
      </c>
      <c r="O777" s="3" t="s">
        <v>38</v>
      </c>
      <c r="P777" s="3"/>
      <c r="Q777" s="4">
        <v>45968</v>
      </c>
      <c r="R777" s="3" t="s">
        <v>39</v>
      </c>
      <c r="S777" s="3" t="s">
        <v>38</v>
      </c>
      <c r="T777" s="3" t="s">
        <v>40</v>
      </c>
      <c r="U777" s="3"/>
      <c r="V777" s="3" t="s">
        <v>41</v>
      </c>
      <c r="W777" s="5">
        <v>1430.3</v>
      </c>
      <c r="X777" s="5">
        <v>1072.73</v>
      </c>
      <c r="Y777" s="3">
        <v>250.3</v>
      </c>
      <c r="Z777" s="3">
        <v>107.27</v>
      </c>
      <c r="AA777" s="3">
        <v>0</v>
      </c>
    </row>
    <row r="778" spans="1:27" ht="60.75" x14ac:dyDescent="0.25">
      <c r="A778" s="3" t="s">
        <v>28</v>
      </c>
      <c r="B778" s="3" t="s">
        <v>29</v>
      </c>
      <c r="C778" s="3" t="s">
        <v>30</v>
      </c>
      <c r="D778" s="3" t="s">
        <v>42</v>
      </c>
      <c r="E778" s="3" t="s">
        <v>207</v>
      </c>
      <c r="F778" s="3" t="s">
        <v>764</v>
      </c>
      <c r="G778" s="3">
        <v>2025</v>
      </c>
      <c r="H778" s="3" t="str">
        <f>CONCATENATE("54240649290")</f>
        <v>54240649290</v>
      </c>
      <c r="I778" s="3" t="s">
        <v>34</v>
      </c>
      <c r="J778" s="3" t="s">
        <v>35</v>
      </c>
      <c r="K778" s="3"/>
      <c r="L778" s="3" t="s">
        <v>36</v>
      </c>
      <c r="M778" s="3" t="str">
        <f>CONCATENATE("MTTVTR60S29C331J")</f>
        <v>MTTVTR60S29C331J</v>
      </c>
      <c r="N778" s="3" t="s">
        <v>905</v>
      </c>
      <c r="O778" s="3" t="s">
        <v>38</v>
      </c>
      <c r="P778" s="3"/>
      <c r="Q778" s="4">
        <v>45968</v>
      </c>
      <c r="R778" s="3" t="s">
        <v>39</v>
      </c>
      <c r="S778" s="3" t="s">
        <v>38</v>
      </c>
      <c r="T778" s="3" t="s">
        <v>40</v>
      </c>
      <c r="U778" s="3"/>
      <c r="V778" s="3" t="s">
        <v>41</v>
      </c>
      <c r="W778" s="5">
        <v>1353.24</v>
      </c>
      <c r="X778" s="5">
        <v>1014.93</v>
      </c>
      <c r="Y778" s="3">
        <v>236.82</v>
      </c>
      <c r="Z778" s="3">
        <v>101.49</v>
      </c>
      <c r="AA778" s="3">
        <v>0</v>
      </c>
    </row>
    <row r="779" spans="1:27" ht="60.75" x14ac:dyDescent="0.25">
      <c r="A779" s="3" t="s">
        <v>28</v>
      </c>
      <c r="B779" s="3" t="s">
        <v>29</v>
      </c>
      <c r="C779" s="3" t="s">
        <v>30</v>
      </c>
      <c r="D779" s="3" t="s">
        <v>42</v>
      </c>
      <c r="E779" s="3" t="s">
        <v>207</v>
      </c>
      <c r="F779" s="3" t="s">
        <v>764</v>
      </c>
      <c r="G779" s="3">
        <v>2025</v>
      </c>
      <c r="H779" s="3" t="str">
        <f>CONCATENATE("54240649357")</f>
        <v>54240649357</v>
      </c>
      <c r="I779" s="3" t="s">
        <v>34</v>
      </c>
      <c r="J779" s="3" t="s">
        <v>35</v>
      </c>
      <c r="K779" s="3"/>
      <c r="L779" s="3" t="s">
        <v>36</v>
      </c>
      <c r="M779" s="3" t="str">
        <f>CONCATENATE("NCCLCN81S30H769N")</f>
        <v>NCCLCN81S30H769N</v>
      </c>
      <c r="N779" s="3" t="s">
        <v>906</v>
      </c>
      <c r="O779" s="3" t="s">
        <v>38</v>
      </c>
      <c r="P779" s="3"/>
      <c r="Q779" s="4">
        <v>45968</v>
      </c>
      <c r="R779" s="3" t="s">
        <v>39</v>
      </c>
      <c r="S779" s="3" t="s">
        <v>38</v>
      </c>
      <c r="T779" s="3" t="s">
        <v>40</v>
      </c>
      <c r="U779" s="3"/>
      <c r="V779" s="3" t="s">
        <v>41</v>
      </c>
      <c r="W779" s="5">
        <v>10912.16</v>
      </c>
      <c r="X779" s="5">
        <v>8184.12</v>
      </c>
      <c r="Y779" s="5">
        <v>1909.63</v>
      </c>
      <c r="Z779" s="3">
        <v>818.41</v>
      </c>
      <c r="AA779" s="3">
        <v>0</v>
      </c>
    </row>
    <row r="780" spans="1:27" ht="60.75" x14ac:dyDescent="0.25">
      <c r="A780" s="3" t="s">
        <v>28</v>
      </c>
      <c r="B780" s="3" t="s">
        <v>29</v>
      </c>
      <c r="C780" s="3" t="s">
        <v>30</v>
      </c>
      <c r="D780" s="3" t="s">
        <v>42</v>
      </c>
      <c r="E780" s="3" t="s">
        <v>51</v>
      </c>
      <c r="F780" s="3" t="s">
        <v>524</v>
      </c>
      <c r="G780" s="3">
        <v>2025</v>
      </c>
      <c r="H780" s="3" t="str">
        <f>CONCATENATE("54240649829")</f>
        <v>54240649829</v>
      </c>
      <c r="I780" s="3" t="s">
        <v>34</v>
      </c>
      <c r="J780" s="3" t="s">
        <v>35</v>
      </c>
      <c r="K780" s="3"/>
      <c r="L780" s="3" t="s">
        <v>36</v>
      </c>
      <c r="M780" s="3" t="str">
        <f>CONCATENATE("CNCPLA74M21E783P")</f>
        <v>CNCPLA74M21E783P</v>
      </c>
      <c r="N780" s="3" t="s">
        <v>907</v>
      </c>
      <c r="O780" s="3" t="s">
        <v>38</v>
      </c>
      <c r="P780" s="3"/>
      <c r="Q780" s="4">
        <v>45968</v>
      </c>
      <c r="R780" s="3" t="s">
        <v>39</v>
      </c>
      <c r="S780" s="3" t="s">
        <v>38</v>
      </c>
      <c r="T780" s="3" t="s">
        <v>40</v>
      </c>
      <c r="U780" s="3"/>
      <c r="V780" s="3" t="s">
        <v>41</v>
      </c>
      <c r="W780" s="5">
        <v>8806.7099999999991</v>
      </c>
      <c r="X780" s="5">
        <v>6605.03</v>
      </c>
      <c r="Y780" s="5">
        <v>1541.17</v>
      </c>
      <c r="Z780" s="3">
        <v>660.51</v>
      </c>
      <c r="AA780" s="3">
        <v>0</v>
      </c>
    </row>
    <row r="781" spans="1:27" ht="60.75" x14ac:dyDescent="0.25">
      <c r="A781" s="3" t="s">
        <v>28</v>
      </c>
      <c r="B781" s="3" t="s">
        <v>29</v>
      </c>
      <c r="C781" s="3" t="s">
        <v>30</v>
      </c>
      <c r="D781" s="3" t="s">
        <v>65</v>
      </c>
      <c r="E781" s="3" t="s">
        <v>51</v>
      </c>
      <c r="F781" s="3" t="s">
        <v>534</v>
      </c>
      <c r="G781" s="3">
        <v>2025</v>
      </c>
      <c r="H781" s="3" t="str">
        <f>CONCATENATE("54240650439")</f>
        <v>54240650439</v>
      </c>
      <c r="I781" s="3" t="s">
        <v>34</v>
      </c>
      <c r="J781" s="3" t="s">
        <v>35</v>
      </c>
      <c r="K781" s="3"/>
      <c r="L781" s="3" t="s">
        <v>36</v>
      </c>
      <c r="M781" s="3" t="str">
        <f>CONCATENATE("CRDGRG59A01F135P")</f>
        <v>CRDGRG59A01F135P</v>
      </c>
      <c r="N781" s="3" t="s">
        <v>908</v>
      </c>
      <c r="O781" s="3" t="s">
        <v>38</v>
      </c>
      <c r="P781" s="3"/>
      <c r="Q781" s="4">
        <v>45968</v>
      </c>
      <c r="R781" s="3" t="s">
        <v>39</v>
      </c>
      <c r="S781" s="3" t="s">
        <v>38</v>
      </c>
      <c r="T781" s="3" t="s">
        <v>40</v>
      </c>
      <c r="U781" s="3"/>
      <c r="V781" s="3" t="s">
        <v>41</v>
      </c>
      <c r="W781" s="5">
        <v>12563.86</v>
      </c>
      <c r="X781" s="5">
        <v>9422.9</v>
      </c>
      <c r="Y781" s="5">
        <v>2198.6799999999998</v>
      </c>
      <c r="Z781" s="3">
        <v>942.28</v>
      </c>
      <c r="AA781" s="3">
        <v>0</v>
      </c>
    </row>
    <row r="782" spans="1:27" ht="60.75" x14ac:dyDescent="0.25">
      <c r="A782" s="3" t="s">
        <v>28</v>
      </c>
      <c r="B782" s="3" t="s">
        <v>29</v>
      </c>
      <c r="C782" s="3" t="s">
        <v>30</v>
      </c>
      <c r="D782" s="3" t="s">
        <v>42</v>
      </c>
      <c r="E782" s="3" t="s">
        <v>207</v>
      </c>
      <c r="F782" s="3" t="s">
        <v>764</v>
      </c>
      <c r="G782" s="3">
        <v>2025</v>
      </c>
      <c r="H782" s="3" t="str">
        <f>CONCATENATE("54240650199")</f>
        <v>54240650199</v>
      </c>
      <c r="I782" s="3" t="s">
        <v>34</v>
      </c>
      <c r="J782" s="3" t="s">
        <v>35</v>
      </c>
      <c r="K782" s="3"/>
      <c r="L782" s="3" t="s">
        <v>36</v>
      </c>
      <c r="M782" s="3" t="str">
        <f>CONCATENATE("VRDLGN66M18H321S")</f>
        <v>VRDLGN66M18H321S</v>
      </c>
      <c r="N782" s="3" t="s">
        <v>909</v>
      </c>
      <c r="O782" s="3" t="s">
        <v>38</v>
      </c>
      <c r="P782" s="3"/>
      <c r="Q782" s="4">
        <v>45968</v>
      </c>
      <c r="R782" s="3" t="s">
        <v>39</v>
      </c>
      <c r="S782" s="3" t="s">
        <v>38</v>
      </c>
      <c r="T782" s="3" t="s">
        <v>40</v>
      </c>
      <c r="U782" s="3"/>
      <c r="V782" s="3" t="s">
        <v>41</v>
      </c>
      <c r="W782" s="5">
        <v>3117.09</v>
      </c>
      <c r="X782" s="5">
        <v>2337.8200000000002</v>
      </c>
      <c r="Y782" s="3">
        <v>545.49</v>
      </c>
      <c r="Z782" s="3">
        <v>233.78</v>
      </c>
      <c r="AA782" s="3">
        <v>0</v>
      </c>
    </row>
    <row r="783" spans="1:27" ht="36.75" x14ac:dyDescent="0.25">
      <c r="A783" s="3" t="s">
        <v>28</v>
      </c>
      <c r="B783" s="3" t="s">
        <v>29</v>
      </c>
      <c r="C783" s="3" t="s">
        <v>30</v>
      </c>
      <c r="D783" s="3" t="s">
        <v>47</v>
      </c>
      <c r="E783" s="3" t="s">
        <v>48</v>
      </c>
      <c r="F783" s="3" t="s">
        <v>90</v>
      </c>
      <c r="G783" s="3">
        <v>2025</v>
      </c>
      <c r="H783" s="3" t="str">
        <f>CONCATENATE("54240515038")</f>
        <v>54240515038</v>
      </c>
      <c r="I783" s="3" t="s">
        <v>34</v>
      </c>
      <c r="J783" s="3" t="s">
        <v>35</v>
      </c>
      <c r="K783" s="3"/>
      <c r="L783" s="3" t="s">
        <v>36</v>
      </c>
      <c r="M783" s="3" t="str">
        <f>CONCATENATE("01915080434")</f>
        <v>01915080434</v>
      </c>
      <c r="N783" s="3" t="s">
        <v>910</v>
      </c>
      <c r="O783" s="3" t="s">
        <v>38</v>
      </c>
      <c r="P783" s="3"/>
      <c r="Q783" s="4">
        <v>45968</v>
      </c>
      <c r="R783" s="3" t="s">
        <v>39</v>
      </c>
      <c r="S783" s="3" t="s">
        <v>38</v>
      </c>
      <c r="T783" s="3" t="s">
        <v>40</v>
      </c>
      <c r="U783" s="3"/>
      <c r="V783" s="3" t="s">
        <v>41</v>
      </c>
      <c r="W783" s="5">
        <v>2081.7600000000002</v>
      </c>
      <c r="X783" s="5">
        <v>1561.32</v>
      </c>
      <c r="Y783" s="3">
        <v>364.31</v>
      </c>
      <c r="Z783" s="3">
        <v>156.13</v>
      </c>
      <c r="AA783" s="3">
        <v>0</v>
      </c>
    </row>
    <row r="784" spans="1:27" ht="72.75" x14ac:dyDescent="0.25">
      <c r="A784" s="3" t="s">
        <v>28</v>
      </c>
      <c r="B784" s="3" t="s">
        <v>29</v>
      </c>
      <c r="C784" s="3" t="s">
        <v>30</v>
      </c>
      <c r="D784" s="3" t="s">
        <v>42</v>
      </c>
      <c r="E784" s="3" t="s">
        <v>43</v>
      </c>
      <c r="F784" s="3" t="s">
        <v>43</v>
      </c>
      <c r="G784" s="3">
        <v>2025</v>
      </c>
      <c r="H784" s="3" t="str">
        <f>CONCATENATE("54240519717")</f>
        <v>54240519717</v>
      </c>
      <c r="I784" s="3" t="s">
        <v>44</v>
      </c>
      <c r="J784" s="3" t="s">
        <v>35</v>
      </c>
      <c r="K784" s="3"/>
      <c r="L784" s="3" t="s">
        <v>36</v>
      </c>
      <c r="M784" s="3" t="str">
        <f>CONCATENATE("CRBLGN65H61H321Q")</f>
        <v>CRBLGN65H61H321Q</v>
      </c>
      <c r="N784" s="3" t="s">
        <v>911</v>
      </c>
      <c r="O784" s="3" t="s">
        <v>38</v>
      </c>
      <c r="P784" s="3"/>
      <c r="Q784" s="4">
        <v>45968</v>
      </c>
      <c r="R784" s="3" t="s">
        <v>39</v>
      </c>
      <c r="S784" s="3" t="s">
        <v>38</v>
      </c>
      <c r="T784" s="3" t="s">
        <v>40</v>
      </c>
      <c r="U784" s="3"/>
      <c r="V784" s="3" t="s">
        <v>41</v>
      </c>
      <c r="W784" s="5">
        <v>1251.48</v>
      </c>
      <c r="X784" s="3">
        <v>938.61</v>
      </c>
      <c r="Y784" s="3">
        <v>219.01</v>
      </c>
      <c r="Z784" s="3">
        <v>93.86</v>
      </c>
      <c r="AA784" s="3">
        <v>0</v>
      </c>
    </row>
    <row r="785" spans="1:27" ht="60.75" x14ac:dyDescent="0.25">
      <c r="A785" s="3" t="s">
        <v>28</v>
      </c>
      <c r="B785" s="3" t="s">
        <v>29</v>
      </c>
      <c r="C785" s="3" t="s">
        <v>30</v>
      </c>
      <c r="D785" s="3" t="s">
        <v>42</v>
      </c>
      <c r="E785" s="3" t="s">
        <v>207</v>
      </c>
      <c r="F785" s="3" t="s">
        <v>764</v>
      </c>
      <c r="G785" s="3">
        <v>2025</v>
      </c>
      <c r="H785" s="3" t="str">
        <f>CONCATENATE("54240650207")</f>
        <v>54240650207</v>
      </c>
      <c r="I785" s="3" t="s">
        <v>34</v>
      </c>
      <c r="J785" s="3" t="s">
        <v>35</v>
      </c>
      <c r="K785" s="3"/>
      <c r="L785" s="3" t="s">
        <v>36</v>
      </c>
      <c r="M785" s="3" t="str">
        <f>CONCATENATE("VSIKHL64P26Z114D")</f>
        <v>VSIKHL64P26Z114D</v>
      </c>
      <c r="N785" s="3" t="s">
        <v>912</v>
      </c>
      <c r="O785" s="3" t="s">
        <v>38</v>
      </c>
      <c r="P785" s="3"/>
      <c r="Q785" s="4">
        <v>45968</v>
      </c>
      <c r="R785" s="3" t="s">
        <v>39</v>
      </c>
      <c r="S785" s="3" t="s">
        <v>38</v>
      </c>
      <c r="T785" s="3" t="s">
        <v>40</v>
      </c>
      <c r="U785" s="3"/>
      <c r="V785" s="3" t="s">
        <v>41</v>
      </c>
      <c r="W785" s="5">
        <v>1406.62</v>
      </c>
      <c r="X785" s="5">
        <v>1054.97</v>
      </c>
      <c r="Y785" s="3">
        <v>246.16</v>
      </c>
      <c r="Z785" s="3">
        <v>105.49</v>
      </c>
      <c r="AA785" s="3">
        <v>0</v>
      </c>
    </row>
    <row r="786" spans="1:27" ht="36.75" x14ac:dyDescent="0.25">
      <c r="A786" s="3" t="s">
        <v>28</v>
      </c>
      <c r="B786" s="3" t="s">
        <v>29</v>
      </c>
      <c r="C786" s="3" t="s">
        <v>30</v>
      </c>
      <c r="D786" s="3" t="s">
        <v>31</v>
      </c>
      <c r="E786" s="3" t="s">
        <v>48</v>
      </c>
      <c r="F786" s="3" t="s">
        <v>76</v>
      </c>
      <c r="G786" s="3">
        <v>2025</v>
      </c>
      <c r="H786" s="3" t="str">
        <f>CONCATENATE("54240517877")</f>
        <v>54240517877</v>
      </c>
      <c r="I786" s="3" t="s">
        <v>34</v>
      </c>
      <c r="J786" s="3" t="s">
        <v>35</v>
      </c>
      <c r="K786" s="3"/>
      <c r="L786" s="3" t="s">
        <v>36</v>
      </c>
      <c r="M786" s="3" t="str">
        <f>CONCATENATE("02532000425")</f>
        <v>02532000425</v>
      </c>
      <c r="N786" s="3" t="s">
        <v>913</v>
      </c>
      <c r="O786" s="3" t="s">
        <v>38</v>
      </c>
      <c r="P786" s="3"/>
      <c r="Q786" s="4">
        <v>45968</v>
      </c>
      <c r="R786" s="3" t="s">
        <v>39</v>
      </c>
      <c r="S786" s="3" t="s">
        <v>38</v>
      </c>
      <c r="T786" s="3" t="s">
        <v>40</v>
      </c>
      <c r="U786" s="3"/>
      <c r="V786" s="3" t="s">
        <v>41</v>
      </c>
      <c r="W786" s="5">
        <v>4464.1000000000004</v>
      </c>
      <c r="X786" s="5">
        <v>3348.08</v>
      </c>
      <c r="Y786" s="3">
        <v>781.22</v>
      </c>
      <c r="Z786" s="3">
        <v>334.8</v>
      </c>
      <c r="AA786" s="3">
        <v>0</v>
      </c>
    </row>
    <row r="787" spans="1:27" ht="60.75" x14ac:dyDescent="0.25">
      <c r="A787" s="3" t="s">
        <v>28</v>
      </c>
      <c r="B787" s="3" t="s">
        <v>29</v>
      </c>
      <c r="C787" s="3" t="s">
        <v>30</v>
      </c>
      <c r="D787" s="3" t="s">
        <v>65</v>
      </c>
      <c r="E787" s="3" t="s">
        <v>51</v>
      </c>
      <c r="F787" s="3" t="s">
        <v>278</v>
      </c>
      <c r="G787" s="3">
        <v>2025</v>
      </c>
      <c r="H787" s="3" t="str">
        <f>CONCATENATE("54240514197")</f>
        <v>54240514197</v>
      </c>
      <c r="I787" s="3" t="s">
        <v>34</v>
      </c>
      <c r="J787" s="3" t="s">
        <v>35</v>
      </c>
      <c r="K787" s="3"/>
      <c r="L787" s="3" t="s">
        <v>36</v>
      </c>
      <c r="M787" s="3" t="str">
        <f>CONCATENATE("FRLGNS83L43D488Y")</f>
        <v>FRLGNS83L43D488Y</v>
      </c>
      <c r="N787" s="3" t="s">
        <v>914</v>
      </c>
      <c r="O787" s="3" t="s">
        <v>38</v>
      </c>
      <c r="P787" s="3"/>
      <c r="Q787" s="4">
        <v>45968</v>
      </c>
      <c r="R787" s="3" t="s">
        <v>39</v>
      </c>
      <c r="S787" s="3" t="s">
        <v>38</v>
      </c>
      <c r="T787" s="3" t="s">
        <v>40</v>
      </c>
      <c r="U787" s="3"/>
      <c r="V787" s="3" t="s">
        <v>41</v>
      </c>
      <c r="W787" s="5">
        <v>1510.2</v>
      </c>
      <c r="X787" s="5">
        <v>1132.6500000000001</v>
      </c>
      <c r="Y787" s="3">
        <v>264.29000000000002</v>
      </c>
      <c r="Z787" s="3">
        <v>113.26</v>
      </c>
      <c r="AA787" s="3">
        <v>0</v>
      </c>
    </row>
    <row r="788" spans="1:27" ht="60.75" x14ac:dyDescent="0.25">
      <c r="A788" s="3" t="s">
        <v>28</v>
      </c>
      <c r="B788" s="3" t="s">
        <v>29</v>
      </c>
      <c r="C788" s="3" t="s">
        <v>30</v>
      </c>
      <c r="D788" s="3" t="s">
        <v>65</v>
      </c>
      <c r="E788" s="3" t="s">
        <v>51</v>
      </c>
      <c r="F788" s="3" t="s">
        <v>460</v>
      </c>
      <c r="G788" s="3">
        <v>2025</v>
      </c>
      <c r="H788" s="3" t="str">
        <f>CONCATENATE("54240514312")</f>
        <v>54240514312</v>
      </c>
      <c r="I788" s="3" t="s">
        <v>44</v>
      </c>
      <c r="J788" s="3" t="s">
        <v>35</v>
      </c>
      <c r="K788" s="3"/>
      <c r="L788" s="3" t="s">
        <v>36</v>
      </c>
      <c r="M788" s="3" t="str">
        <f>CONCATENATE("DDALTT57L63F346T")</f>
        <v>DDALTT57L63F346T</v>
      </c>
      <c r="N788" s="3" t="s">
        <v>915</v>
      </c>
      <c r="O788" s="3" t="s">
        <v>38</v>
      </c>
      <c r="P788" s="3"/>
      <c r="Q788" s="4">
        <v>45968</v>
      </c>
      <c r="R788" s="3" t="s">
        <v>39</v>
      </c>
      <c r="S788" s="3" t="s">
        <v>38</v>
      </c>
      <c r="T788" s="3" t="s">
        <v>40</v>
      </c>
      <c r="U788" s="3"/>
      <c r="V788" s="3" t="s">
        <v>41</v>
      </c>
      <c r="W788" s="5">
        <v>10783.66</v>
      </c>
      <c r="X788" s="5">
        <v>8087.75</v>
      </c>
      <c r="Y788" s="5">
        <v>1887.14</v>
      </c>
      <c r="Z788" s="3">
        <v>808.77</v>
      </c>
      <c r="AA788" s="3">
        <v>0</v>
      </c>
    </row>
    <row r="789" spans="1:27" ht="60.75" x14ac:dyDescent="0.25">
      <c r="A789" s="3" t="s">
        <v>28</v>
      </c>
      <c r="B789" s="3" t="s">
        <v>29</v>
      </c>
      <c r="C789" s="3" t="s">
        <v>30</v>
      </c>
      <c r="D789" s="3" t="s">
        <v>65</v>
      </c>
      <c r="E789" s="3" t="s">
        <v>51</v>
      </c>
      <c r="F789" s="3" t="s">
        <v>460</v>
      </c>
      <c r="G789" s="3">
        <v>2025</v>
      </c>
      <c r="H789" s="3" t="str">
        <f>CONCATENATE("54240514726")</f>
        <v>54240514726</v>
      </c>
      <c r="I789" s="3" t="s">
        <v>34</v>
      </c>
      <c r="J789" s="3" t="s">
        <v>35</v>
      </c>
      <c r="K789" s="3"/>
      <c r="L789" s="3" t="s">
        <v>36</v>
      </c>
      <c r="M789" s="3" t="str">
        <f>CONCATENATE("MRABRN65T46L500G")</f>
        <v>MRABRN65T46L500G</v>
      </c>
      <c r="N789" s="3" t="s">
        <v>916</v>
      </c>
      <c r="O789" s="3" t="s">
        <v>38</v>
      </c>
      <c r="P789" s="3"/>
      <c r="Q789" s="4">
        <v>45968</v>
      </c>
      <c r="R789" s="3" t="s">
        <v>39</v>
      </c>
      <c r="S789" s="3" t="s">
        <v>38</v>
      </c>
      <c r="T789" s="3" t="s">
        <v>40</v>
      </c>
      <c r="U789" s="3"/>
      <c r="V789" s="3" t="s">
        <v>41</v>
      </c>
      <c r="W789" s="5">
        <v>5985.04</v>
      </c>
      <c r="X789" s="5">
        <v>4488.78</v>
      </c>
      <c r="Y789" s="5">
        <v>1047.3800000000001</v>
      </c>
      <c r="Z789" s="3">
        <v>448.88</v>
      </c>
      <c r="AA789" s="3">
        <v>0</v>
      </c>
    </row>
    <row r="790" spans="1:27" ht="72.75" x14ac:dyDescent="0.25">
      <c r="A790" s="3" t="s">
        <v>28</v>
      </c>
      <c r="B790" s="3" t="s">
        <v>29</v>
      </c>
      <c r="C790" s="3" t="s">
        <v>30</v>
      </c>
      <c r="D790" s="3" t="s">
        <v>31</v>
      </c>
      <c r="E790" s="3" t="s">
        <v>32</v>
      </c>
      <c r="F790" s="3" t="s">
        <v>33</v>
      </c>
      <c r="G790" s="3">
        <v>2025</v>
      </c>
      <c r="H790" s="3" t="str">
        <f>CONCATENATE("54240514627")</f>
        <v>54240514627</v>
      </c>
      <c r="I790" s="3" t="s">
        <v>34</v>
      </c>
      <c r="J790" s="3" t="s">
        <v>35</v>
      </c>
      <c r="K790" s="3"/>
      <c r="L790" s="3" t="s">
        <v>36</v>
      </c>
      <c r="M790" s="3" t="str">
        <f>CONCATENATE("BCCMRN76S08A366S")</f>
        <v>BCCMRN76S08A366S</v>
      </c>
      <c r="N790" s="3" t="s">
        <v>917</v>
      </c>
      <c r="O790" s="3" t="s">
        <v>38</v>
      </c>
      <c r="P790" s="3"/>
      <c r="Q790" s="4">
        <v>45968</v>
      </c>
      <c r="R790" s="3" t="s">
        <v>39</v>
      </c>
      <c r="S790" s="3" t="s">
        <v>38</v>
      </c>
      <c r="T790" s="3" t="s">
        <v>40</v>
      </c>
      <c r="U790" s="3"/>
      <c r="V790" s="3" t="s">
        <v>41</v>
      </c>
      <c r="W790" s="5">
        <v>5965.1</v>
      </c>
      <c r="X790" s="5">
        <v>4473.83</v>
      </c>
      <c r="Y790" s="5">
        <v>1043.8900000000001</v>
      </c>
      <c r="Z790" s="3">
        <v>447.38</v>
      </c>
      <c r="AA790" s="3">
        <v>0</v>
      </c>
    </row>
    <row r="791" spans="1:27" ht="36.75" x14ac:dyDescent="0.25">
      <c r="A791" s="3" t="s">
        <v>28</v>
      </c>
      <c r="B791" s="3" t="s">
        <v>29</v>
      </c>
      <c r="C791" s="3" t="s">
        <v>30</v>
      </c>
      <c r="D791" s="3" t="s">
        <v>65</v>
      </c>
      <c r="E791" s="3" t="s">
        <v>48</v>
      </c>
      <c r="F791" s="3" t="s">
        <v>76</v>
      </c>
      <c r="G791" s="3">
        <v>2025</v>
      </c>
      <c r="H791" s="3" t="str">
        <f>CONCATENATE("54240515095")</f>
        <v>54240515095</v>
      </c>
      <c r="I791" s="3" t="s">
        <v>34</v>
      </c>
      <c r="J791" s="3" t="s">
        <v>35</v>
      </c>
      <c r="K791" s="3"/>
      <c r="L791" s="3" t="s">
        <v>36</v>
      </c>
      <c r="M791" s="3" t="str">
        <f>CONCATENATE("02669140416")</f>
        <v>02669140416</v>
      </c>
      <c r="N791" s="3" t="s">
        <v>918</v>
      </c>
      <c r="O791" s="3" t="s">
        <v>38</v>
      </c>
      <c r="P791" s="3"/>
      <c r="Q791" s="4">
        <v>45968</v>
      </c>
      <c r="R791" s="3" t="s">
        <v>39</v>
      </c>
      <c r="S791" s="3" t="s">
        <v>38</v>
      </c>
      <c r="T791" s="3" t="s">
        <v>40</v>
      </c>
      <c r="U791" s="3"/>
      <c r="V791" s="3" t="s">
        <v>41</v>
      </c>
      <c r="W791" s="5">
        <v>2479.62</v>
      </c>
      <c r="X791" s="5">
        <v>1859.72</v>
      </c>
      <c r="Y791" s="3">
        <v>433.93</v>
      </c>
      <c r="Z791" s="3">
        <v>185.97</v>
      </c>
      <c r="AA791" s="3">
        <v>0</v>
      </c>
    </row>
    <row r="792" spans="1:27" ht="36.75" x14ac:dyDescent="0.25">
      <c r="A792" s="3" t="s">
        <v>28</v>
      </c>
      <c r="B792" s="3" t="s">
        <v>29</v>
      </c>
      <c r="C792" s="3" t="s">
        <v>30</v>
      </c>
      <c r="D792" s="3" t="s">
        <v>65</v>
      </c>
      <c r="E792" s="3" t="s">
        <v>48</v>
      </c>
      <c r="F792" s="3" t="s">
        <v>76</v>
      </c>
      <c r="G792" s="3">
        <v>2025</v>
      </c>
      <c r="H792" s="3" t="str">
        <f>CONCATENATE("54240515236")</f>
        <v>54240515236</v>
      </c>
      <c r="I792" s="3" t="s">
        <v>34</v>
      </c>
      <c r="J792" s="3" t="s">
        <v>35</v>
      </c>
      <c r="K792" s="3"/>
      <c r="L792" s="3" t="s">
        <v>36</v>
      </c>
      <c r="M792" s="3" t="str">
        <f>CONCATENATE("02724330416")</f>
        <v>02724330416</v>
      </c>
      <c r="N792" s="3" t="s">
        <v>919</v>
      </c>
      <c r="O792" s="3" t="s">
        <v>38</v>
      </c>
      <c r="P792" s="3"/>
      <c r="Q792" s="4">
        <v>45968</v>
      </c>
      <c r="R792" s="3" t="s">
        <v>39</v>
      </c>
      <c r="S792" s="3" t="s">
        <v>38</v>
      </c>
      <c r="T792" s="3" t="s">
        <v>40</v>
      </c>
      <c r="U792" s="3"/>
      <c r="V792" s="3" t="s">
        <v>41</v>
      </c>
      <c r="W792" s="5">
        <v>2839.12</v>
      </c>
      <c r="X792" s="5">
        <v>2129.34</v>
      </c>
      <c r="Y792" s="3">
        <v>496.85</v>
      </c>
      <c r="Z792" s="3">
        <v>212.93</v>
      </c>
      <c r="AA792" s="3">
        <v>0</v>
      </c>
    </row>
    <row r="793" spans="1:27" ht="72.75" x14ac:dyDescent="0.25">
      <c r="A793" s="3" t="s">
        <v>28</v>
      </c>
      <c r="B793" s="3" t="s">
        <v>29</v>
      </c>
      <c r="C793" s="3" t="s">
        <v>30</v>
      </c>
      <c r="D793" s="3" t="s">
        <v>42</v>
      </c>
      <c r="E793" s="3" t="s">
        <v>32</v>
      </c>
      <c r="F793" s="3" t="s">
        <v>101</v>
      </c>
      <c r="G793" s="3">
        <v>2025</v>
      </c>
      <c r="H793" s="3" t="str">
        <f>CONCATENATE("54240516861")</f>
        <v>54240516861</v>
      </c>
      <c r="I793" s="3" t="s">
        <v>34</v>
      </c>
      <c r="J793" s="3" t="s">
        <v>35</v>
      </c>
      <c r="K793" s="3"/>
      <c r="L793" s="3" t="s">
        <v>36</v>
      </c>
      <c r="M793" s="3" t="str">
        <f>CONCATENATE("MRANMR53B52A462A")</f>
        <v>MRANMR53B52A462A</v>
      </c>
      <c r="N793" s="3" t="s">
        <v>920</v>
      </c>
      <c r="O793" s="3" t="s">
        <v>38</v>
      </c>
      <c r="P793" s="3"/>
      <c r="Q793" s="4">
        <v>45968</v>
      </c>
      <c r="R793" s="3" t="s">
        <v>39</v>
      </c>
      <c r="S793" s="3" t="s">
        <v>38</v>
      </c>
      <c r="T793" s="3" t="s">
        <v>40</v>
      </c>
      <c r="U793" s="3"/>
      <c r="V793" s="3" t="s">
        <v>41</v>
      </c>
      <c r="W793" s="5">
        <v>1296.8699999999999</v>
      </c>
      <c r="X793" s="3">
        <v>972.65</v>
      </c>
      <c r="Y793" s="3">
        <v>226.95</v>
      </c>
      <c r="Z793" s="3">
        <v>97.27</v>
      </c>
      <c r="AA793" s="3">
        <v>0</v>
      </c>
    </row>
    <row r="794" spans="1:27" ht="60.75" x14ac:dyDescent="0.25">
      <c r="A794" s="3" t="s">
        <v>28</v>
      </c>
      <c r="B794" s="3" t="s">
        <v>29</v>
      </c>
      <c r="C794" s="3" t="s">
        <v>30</v>
      </c>
      <c r="D794" s="3" t="s">
        <v>42</v>
      </c>
      <c r="E794" s="3" t="s">
        <v>51</v>
      </c>
      <c r="F794" s="3" t="s">
        <v>661</v>
      </c>
      <c r="G794" s="3">
        <v>2025</v>
      </c>
      <c r="H794" s="3" t="str">
        <f>CONCATENATE("54240515558")</f>
        <v>54240515558</v>
      </c>
      <c r="I794" s="3" t="s">
        <v>34</v>
      </c>
      <c r="J794" s="3" t="s">
        <v>35</v>
      </c>
      <c r="K794" s="3"/>
      <c r="L794" s="3" t="s">
        <v>36</v>
      </c>
      <c r="M794" s="3" t="str">
        <f>CONCATENATE("VLRGDU58L28H501Y")</f>
        <v>VLRGDU58L28H501Y</v>
      </c>
      <c r="N794" s="3" t="s">
        <v>921</v>
      </c>
      <c r="O794" s="3" t="s">
        <v>38</v>
      </c>
      <c r="P794" s="3"/>
      <c r="Q794" s="4">
        <v>45968</v>
      </c>
      <c r="R794" s="3" t="s">
        <v>39</v>
      </c>
      <c r="S794" s="3" t="s">
        <v>38</v>
      </c>
      <c r="T794" s="3" t="s">
        <v>40</v>
      </c>
      <c r="U794" s="3"/>
      <c r="V794" s="3" t="s">
        <v>41</v>
      </c>
      <c r="W794" s="5">
        <v>2514.8200000000002</v>
      </c>
      <c r="X794" s="5">
        <v>1886.12</v>
      </c>
      <c r="Y794" s="3">
        <v>440.09</v>
      </c>
      <c r="Z794" s="3">
        <v>188.61</v>
      </c>
      <c r="AA794" s="3">
        <v>0</v>
      </c>
    </row>
    <row r="795" spans="1:27" ht="60.75" x14ac:dyDescent="0.25">
      <c r="A795" s="3" t="s">
        <v>28</v>
      </c>
      <c r="B795" s="3" t="s">
        <v>29</v>
      </c>
      <c r="C795" s="3" t="s">
        <v>30</v>
      </c>
      <c r="D795" s="3" t="s">
        <v>47</v>
      </c>
      <c r="E795" s="3" t="s">
        <v>132</v>
      </c>
      <c r="F795" s="3" t="s">
        <v>710</v>
      </c>
      <c r="G795" s="3">
        <v>2025</v>
      </c>
      <c r="H795" s="3" t="str">
        <f>CONCATENATE("54240515764")</f>
        <v>54240515764</v>
      </c>
      <c r="I795" s="3" t="s">
        <v>34</v>
      </c>
      <c r="J795" s="3" t="s">
        <v>35</v>
      </c>
      <c r="K795" s="3"/>
      <c r="L795" s="3" t="s">
        <v>36</v>
      </c>
      <c r="M795" s="3" t="str">
        <f>CONCATENATE("NTNLSN92S13I156K")</f>
        <v>NTNLSN92S13I156K</v>
      </c>
      <c r="N795" s="3" t="s">
        <v>922</v>
      </c>
      <c r="O795" s="3" t="s">
        <v>38</v>
      </c>
      <c r="P795" s="3"/>
      <c r="Q795" s="4">
        <v>45968</v>
      </c>
      <c r="R795" s="3" t="s">
        <v>39</v>
      </c>
      <c r="S795" s="3" t="s">
        <v>38</v>
      </c>
      <c r="T795" s="3" t="s">
        <v>40</v>
      </c>
      <c r="U795" s="3"/>
      <c r="V795" s="3" t="s">
        <v>41</v>
      </c>
      <c r="W795" s="5">
        <v>3795.44</v>
      </c>
      <c r="X795" s="5">
        <v>2846.58</v>
      </c>
      <c r="Y795" s="3">
        <v>664.2</v>
      </c>
      <c r="Z795" s="3">
        <v>284.66000000000003</v>
      </c>
      <c r="AA795" s="3">
        <v>0</v>
      </c>
    </row>
    <row r="796" spans="1:27" ht="60.75" x14ac:dyDescent="0.25">
      <c r="A796" s="3" t="s">
        <v>28</v>
      </c>
      <c r="B796" s="3" t="s">
        <v>29</v>
      </c>
      <c r="C796" s="3" t="s">
        <v>30</v>
      </c>
      <c r="D796" s="3" t="s">
        <v>47</v>
      </c>
      <c r="E796" s="3" t="s">
        <v>48</v>
      </c>
      <c r="F796" s="3" t="s">
        <v>90</v>
      </c>
      <c r="G796" s="3">
        <v>2025</v>
      </c>
      <c r="H796" s="3" t="str">
        <f>CONCATENATE("54240515921")</f>
        <v>54240515921</v>
      </c>
      <c r="I796" s="3" t="s">
        <v>34</v>
      </c>
      <c r="J796" s="3" t="s">
        <v>35</v>
      </c>
      <c r="K796" s="3"/>
      <c r="L796" s="3" t="s">
        <v>36</v>
      </c>
      <c r="M796" s="3" t="str">
        <f>CONCATENATE("MRVLRT59S27B474G")</f>
        <v>MRVLRT59S27B474G</v>
      </c>
      <c r="N796" s="3" t="s">
        <v>923</v>
      </c>
      <c r="O796" s="3" t="s">
        <v>38</v>
      </c>
      <c r="P796" s="3"/>
      <c r="Q796" s="4">
        <v>45968</v>
      </c>
      <c r="R796" s="3" t="s">
        <v>39</v>
      </c>
      <c r="S796" s="3" t="s">
        <v>38</v>
      </c>
      <c r="T796" s="3" t="s">
        <v>40</v>
      </c>
      <c r="U796" s="3"/>
      <c r="V796" s="3" t="s">
        <v>41</v>
      </c>
      <c r="W796" s="5">
        <v>8708.91</v>
      </c>
      <c r="X796" s="5">
        <v>6531.68</v>
      </c>
      <c r="Y796" s="5">
        <v>1524.06</v>
      </c>
      <c r="Z796" s="3">
        <v>653.16999999999996</v>
      </c>
      <c r="AA796" s="3">
        <v>0</v>
      </c>
    </row>
    <row r="797" spans="1:27" ht="60.75" x14ac:dyDescent="0.25">
      <c r="A797" s="3" t="s">
        <v>28</v>
      </c>
      <c r="B797" s="3" t="s">
        <v>29</v>
      </c>
      <c r="C797" s="3" t="s">
        <v>30</v>
      </c>
      <c r="D797" s="3" t="s">
        <v>47</v>
      </c>
      <c r="E797" s="3" t="s">
        <v>48</v>
      </c>
      <c r="F797" s="3" t="s">
        <v>249</v>
      </c>
      <c r="G797" s="3">
        <v>2025</v>
      </c>
      <c r="H797" s="3" t="str">
        <f>CONCATENATE("54240516580")</f>
        <v>54240516580</v>
      </c>
      <c r="I797" s="3" t="s">
        <v>34</v>
      </c>
      <c r="J797" s="3" t="s">
        <v>35</v>
      </c>
      <c r="K797" s="3"/>
      <c r="L797" s="3" t="s">
        <v>36</v>
      </c>
      <c r="M797" s="3" t="str">
        <f>CONCATENATE("PRGSFN92T03E783D")</f>
        <v>PRGSFN92T03E783D</v>
      </c>
      <c r="N797" s="3" t="s">
        <v>924</v>
      </c>
      <c r="O797" s="3" t="s">
        <v>38</v>
      </c>
      <c r="P797" s="3"/>
      <c r="Q797" s="4">
        <v>45968</v>
      </c>
      <c r="R797" s="3" t="s">
        <v>39</v>
      </c>
      <c r="S797" s="3" t="s">
        <v>38</v>
      </c>
      <c r="T797" s="3" t="s">
        <v>40</v>
      </c>
      <c r="U797" s="3"/>
      <c r="V797" s="3" t="s">
        <v>41</v>
      </c>
      <c r="W797" s="5">
        <v>1851.68</v>
      </c>
      <c r="X797" s="5">
        <v>1388.76</v>
      </c>
      <c r="Y797" s="3">
        <v>324.04000000000002</v>
      </c>
      <c r="Z797" s="3">
        <v>138.88</v>
      </c>
      <c r="AA797" s="3">
        <v>0</v>
      </c>
    </row>
    <row r="798" spans="1:27" ht="36.75" x14ac:dyDescent="0.25">
      <c r="A798" s="3" t="s">
        <v>28</v>
      </c>
      <c r="B798" s="3" t="s">
        <v>29</v>
      </c>
      <c r="C798" s="3" t="s">
        <v>30</v>
      </c>
      <c r="D798" s="3" t="s">
        <v>42</v>
      </c>
      <c r="E798" s="3" t="s">
        <v>60</v>
      </c>
      <c r="F798" s="3" t="s">
        <v>245</v>
      </c>
      <c r="G798" s="3">
        <v>2025</v>
      </c>
      <c r="H798" s="3" t="str">
        <f>CONCATENATE("54240516994")</f>
        <v>54240516994</v>
      </c>
      <c r="I798" s="3" t="s">
        <v>44</v>
      </c>
      <c r="J798" s="3" t="s">
        <v>35</v>
      </c>
      <c r="K798" s="3"/>
      <c r="L798" s="3" t="s">
        <v>36</v>
      </c>
      <c r="M798" s="3" t="str">
        <f>CONCATENATE("02344710443")</f>
        <v>02344710443</v>
      </c>
      <c r="N798" s="3" t="s">
        <v>925</v>
      </c>
      <c r="O798" s="3" t="s">
        <v>38</v>
      </c>
      <c r="P798" s="3"/>
      <c r="Q798" s="4">
        <v>45968</v>
      </c>
      <c r="R798" s="3" t="s">
        <v>39</v>
      </c>
      <c r="S798" s="3" t="s">
        <v>38</v>
      </c>
      <c r="T798" s="3" t="s">
        <v>40</v>
      </c>
      <c r="U798" s="3"/>
      <c r="V798" s="3" t="s">
        <v>41</v>
      </c>
      <c r="W798" s="5">
        <v>14062.84</v>
      </c>
      <c r="X798" s="5">
        <v>10547.13</v>
      </c>
      <c r="Y798" s="5">
        <v>2461</v>
      </c>
      <c r="Z798" s="5">
        <v>1054.71</v>
      </c>
      <c r="AA798" s="3">
        <v>0</v>
      </c>
    </row>
    <row r="799" spans="1:27" ht="60.75" x14ac:dyDescent="0.25">
      <c r="A799" s="3" t="s">
        <v>28</v>
      </c>
      <c r="B799" s="3" t="s">
        <v>29</v>
      </c>
      <c r="C799" s="3" t="s">
        <v>30</v>
      </c>
      <c r="D799" s="3" t="s">
        <v>65</v>
      </c>
      <c r="E799" s="3" t="s">
        <v>51</v>
      </c>
      <c r="F799" s="3" t="s">
        <v>126</v>
      </c>
      <c r="G799" s="3">
        <v>2025</v>
      </c>
      <c r="H799" s="3" t="str">
        <f>CONCATENATE("54240517026")</f>
        <v>54240517026</v>
      </c>
      <c r="I799" s="3" t="s">
        <v>34</v>
      </c>
      <c r="J799" s="3" t="s">
        <v>35</v>
      </c>
      <c r="K799" s="3"/>
      <c r="L799" s="3" t="s">
        <v>36</v>
      </c>
      <c r="M799" s="3" t="str">
        <f>CONCATENATE("BLLFPP70M21D007S")</f>
        <v>BLLFPP70M21D007S</v>
      </c>
      <c r="N799" s="3" t="s">
        <v>926</v>
      </c>
      <c r="O799" s="3" t="s">
        <v>38</v>
      </c>
      <c r="P799" s="3"/>
      <c r="Q799" s="4">
        <v>45968</v>
      </c>
      <c r="R799" s="3" t="s">
        <v>39</v>
      </c>
      <c r="S799" s="3" t="s">
        <v>38</v>
      </c>
      <c r="T799" s="3" t="s">
        <v>40</v>
      </c>
      <c r="U799" s="3"/>
      <c r="V799" s="3" t="s">
        <v>41</v>
      </c>
      <c r="W799" s="5">
        <v>3131.85</v>
      </c>
      <c r="X799" s="5">
        <v>2348.89</v>
      </c>
      <c r="Y799" s="3">
        <v>548.07000000000005</v>
      </c>
      <c r="Z799" s="3">
        <v>234.89</v>
      </c>
      <c r="AA799" s="3">
        <v>0</v>
      </c>
    </row>
    <row r="800" spans="1:27" ht="72.75" x14ac:dyDescent="0.25">
      <c r="A800" s="3" t="s">
        <v>28</v>
      </c>
      <c r="B800" s="3" t="s">
        <v>29</v>
      </c>
      <c r="C800" s="3" t="s">
        <v>30</v>
      </c>
      <c r="D800" s="3" t="s">
        <v>42</v>
      </c>
      <c r="E800" s="3" t="s">
        <v>32</v>
      </c>
      <c r="F800" s="3" t="s">
        <v>110</v>
      </c>
      <c r="G800" s="3">
        <v>2025</v>
      </c>
      <c r="H800" s="3" t="str">
        <f>CONCATENATE("54240517596")</f>
        <v>54240517596</v>
      </c>
      <c r="I800" s="3" t="s">
        <v>34</v>
      </c>
      <c r="J800" s="3" t="s">
        <v>35</v>
      </c>
      <c r="K800" s="3"/>
      <c r="L800" s="3" t="s">
        <v>36</v>
      </c>
      <c r="M800" s="3" t="str">
        <f>CONCATENATE("GDESRG75A23A462H")</f>
        <v>GDESRG75A23A462H</v>
      </c>
      <c r="N800" s="3" t="s">
        <v>927</v>
      </c>
      <c r="O800" s="3" t="s">
        <v>38</v>
      </c>
      <c r="P800" s="3"/>
      <c r="Q800" s="4">
        <v>45968</v>
      </c>
      <c r="R800" s="3" t="s">
        <v>39</v>
      </c>
      <c r="S800" s="3" t="s">
        <v>38</v>
      </c>
      <c r="T800" s="3" t="s">
        <v>40</v>
      </c>
      <c r="U800" s="3"/>
      <c r="V800" s="3" t="s">
        <v>41</v>
      </c>
      <c r="W800" s="5">
        <v>4929.26</v>
      </c>
      <c r="X800" s="5">
        <v>3696.95</v>
      </c>
      <c r="Y800" s="3">
        <v>862.62</v>
      </c>
      <c r="Z800" s="3">
        <v>369.69</v>
      </c>
      <c r="AA800" s="3">
        <v>0</v>
      </c>
    </row>
    <row r="801" spans="1:27" ht="60.75" x14ac:dyDescent="0.25">
      <c r="A801" s="3" t="s">
        <v>28</v>
      </c>
      <c r="B801" s="3" t="s">
        <v>29</v>
      </c>
      <c r="C801" s="3" t="s">
        <v>30</v>
      </c>
      <c r="D801" s="3" t="s">
        <v>65</v>
      </c>
      <c r="E801" s="3" t="s">
        <v>51</v>
      </c>
      <c r="F801" s="3" t="s">
        <v>460</v>
      </c>
      <c r="G801" s="3">
        <v>2025</v>
      </c>
      <c r="H801" s="3" t="str">
        <f>CONCATENATE("54240571585")</f>
        <v>54240571585</v>
      </c>
      <c r="I801" s="3" t="s">
        <v>44</v>
      </c>
      <c r="J801" s="3" t="s">
        <v>35</v>
      </c>
      <c r="K801" s="3"/>
      <c r="L801" s="3" t="s">
        <v>36</v>
      </c>
      <c r="M801" s="3" t="str">
        <f>CONCATENATE("CNNMRT93A42L500G")</f>
        <v>CNNMRT93A42L500G</v>
      </c>
      <c r="N801" s="3" t="s">
        <v>928</v>
      </c>
      <c r="O801" s="3" t="s">
        <v>38</v>
      </c>
      <c r="P801" s="3"/>
      <c r="Q801" s="4">
        <v>45968</v>
      </c>
      <c r="R801" s="3" t="s">
        <v>39</v>
      </c>
      <c r="S801" s="3" t="s">
        <v>38</v>
      </c>
      <c r="T801" s="3" t="s">
        <v>40</v>
      </c>
      <c r="U801" s="3"/>
      <c r="V801" s="3" t="s">
        <v>41</v>
      </c>
      <c r="W801" s="5">
        <v>5894.04</v>
      </c>
      <c r="X801" s="5">
        <v>4420.53</v>
      </c>
      <c r="Y801" s="5">
        <v>1031.46</v>
      </c>
      <c r="Z801" s="3">
        <v>442.05</v>
      </c>
      <c r="AA801" s="3">
        <v>0</v>
      </c>
    </row>
    <row r="802" spans="1:27" ht="36.75" x14ac:dyDescent="0.25">
      <c r="A802" s="3" t="s">
        <v>28</v>
      </c>
      <c r="B802" s="3" t="s">
        <v>29</v>
      </c>
      <c r="C802" s="3" t="s">
        <v>30</v>
      </c>
      <c r="D802" s="3" t="s">
        <v>65</v>
      </c>
      <c r="E802" s="3" t="s">
        <v>48</v>
      </c>
      <c r="F802" s="3" t="s">
        <v>66</v>
      </c>
      <c r="G802" s="3">
        <v>2025</v>
      </c>
      <c r="H802" s="3" t="str">
        <f>CONCATENATE("54240518313")</f>
        <v>54240518313</v>
      </c>
      <c r="I802" s="3" t="s">
        <v>34</v>
      </c>
      <c r="J802" s="3" t="s">
        <v>35</v>
      </c>
      <c r="K802" s="3"/>
      <c r="L802" s="3" t="s">
        <v>36</v>
      </c>
      <c r="M802" s="3" t="str">
        <f>CONCATENATE("02453800415")</f>
        <v>02453800415</v>
      </c>
      <c r="N802" s="3" t="s">
        <v>929</v>
      </c>
      <c r="O802" s="3" t="s">
        <v>38</v>
      </c>
      <c r="P802" s="3"/>
      <c r="Q802" s="4">
        <v>45968</v>
      </c>
      <c r="R802" s="3" t="s">
        <v>39</v>
      </c>
      <c r="S802" s="3" t="s">
        <v>38</v>
      </c>
      <c r="T802" s="3" t="s">
        <v>40</v>
      </c>
      <c r="U802" s="3"/>
      <c r="V802" s="3" t="s">
        <v>41</v>
      </c>
      <c r="W802" s="5">
        <v>21135.82</v>
      </c>
      <c r="X802" s="5">
        <v>15851.87</v>
      </c>
      <c r="Y802" s="5">
        <v>3698.77</v>
      </c>
      <c r="Z802" s="5">
        <v>1585.18</v>
      </c>
      <c r="AA802" s="3">
        <v>0</v>
      </c>
    </row>
    <row r="803" spans="1:27" ht="72.75" x14ac:dyDescent="0.25">
      <c r="A803" s="3" t="s">
        <v>28</v>
      </c>
      <c r="B803" s="3" t="s">
        <v>29</v>
      </c>
      <c r="C803" s="3" t="s">
        <v>30</v>
      </c>
      <c r="D803" s="3" t="s">
        <v>42</v>
      </c>
      <c r="E803" s="3" t="s">
        <v>32</v>
      </c>
      <c r="F803" s="3" t="s">
        <v>101</v>
      </c>
      <c r="G803" s="3">
        <v>2025</v>
      </c>
      <c r="H803" s="3" t="str">
        <f>CONCATENATE("54240518982")</f>
        <v>54240518982</v>
      </c>
      <c r="I803" s="3" t="s">
        <v>44</v>
      </c>
      <c r="J803" s="3" t="s">
        <v>35</v>
      </c>
      <c r="K803" s="3"/>
      <c r="L803" s="3" t="s">
        <v>36</v>
      </c>
      <c r="M803" s="3" t="str">
        <f>CONCATENATE("FLPGPP56H04A047O")</f>
        <v>FLPGPP56H04A047O</v>
      </c>
      <c r="N803" s="3" t="s">
        <v>930</v>
      </c>
      <c r="O803" s="3" t="s">
        <v>38</v>
      </c>
      <c r="P803" s="3"/>
      <c r="Q803" s="4">
        <v>45968</v>
      </c>
      <c r="R803" s="3" t="s">
        <v>39</v>
      </c>
      <c r="S803" s="3" t="s">
        <v>38</v>
      </c>
      <c r="T803" s="3" t="s">
        <v>40</v>
      </c>
      <c r="U803" s="3"/>
      <c r="V803" s="3" t="s">
        <v>41</v>
      </c>
      <c r="W803" s="3">
        <v>774.5</v>
      </c>
      <c r="X803" s="3">
        <v>580.88</v>
      </c>
      <c r="Y803" s="3">
        <v>135.54</v>
      </c>
      <c r="Z803" s="3">
        <v>58.08</v>
      </c>
      <c r="AA803" s="3">
        <v>0</v>
      </c>
    </row>
    <row r="804" spans="1:27" ht="60.75" x14ac:dyDescent="0.25">
      <c r="A804" s="3" t="s">
        <v>28</v>
      </c>
      <c r="B804" s="3" t="s">
        <v>29</v>
      </c>
      <c r="C804" s="3" t="s">
        <v>30</v>
      </c>
      <c r="D804" s="3" t="s">
        <v>42</v>
      </c>
      <c r="E804" s="3" t="s">
        <v>51</v>
      </c>
      <c r="F804" s="3" t="s">
        <v>375</v>
      </c>
      <c r="G804" s="3">
        <v>2025</v>
      </c>
      <c r="H804" s="3" t="str">
        <f>CONCATENATE("54240518941")</f>
        <v>54240518941</v>
      </c>
      <c r="I804" s="3" t="s">
        <v>34</v>
      </c>
      <c r="J804" s="3" t="s">
        <v>35</v>
      </c>
      <c r="K804" s="3"/>
      <c r="L804" s="3" t="s">
        <v>36</v>
      </c>
      <c r="M804" s="3" t="str">
        <f>CONCATENATE("CRFNDR69D09H769T")</f>
        <v>CRFNDR69D09H769T</v>
      </c>
      <c r="N804" s="3" t="s">
        <v>931</v>
      </c>
      <c r="O804" s="3" t="s">
        <v>38</v>
      </c>
      <c r="P804" s="3"/>
      <c r="Q804" s="4">
        <v>45968</v>
      </c>
      <c r="R804" s="3" t="s">
        <v>39</v>
      </c>
      <c r="S804" s="3" t="s">
        <v>38</v>
      </c>
      <c r="T804" s="3" t="s">
        <v>40</v>
      </c>
      <c r="U804" s="3"/>
      <c r="V804" s="3" t="s">
        <v>41</v>
      </c>
      <c r="W804" s="5">
        <v>8518.26</v>
      </c>
      <c r="X804" s="5">
        <v>6388.7</v>
      </c>
      <c r="Y804" s="5">
        <v>1490.7</v>
      </c>
      <c r="Z804" s="3">
        <v>638.86</v>
      </c>
      <c r="AA804" s="3">
        <v>0</v>
      </c>
    </row>
    <row r="805" spans="1:27" ht="60.75" x14ac:dyDescent="0.25">
      <c r="A805" s="3" t="s">
        <v>28</v>
      </c>
      <c r="B805" s="3" t="s">
        <v>29</v>
      </c>
      <c r="C805" s="3" t="s">
        <v>30</v>
      </c>
      <c r="D805" s="3" t="s">
        <v>42</v>
      </c>
      <c r="E805" s="3" t="s">
        <v>51</v>
      </c>
      <c r="F805" s="3" t="s">
        <v>375</v>
      </c>
      <c r="G805" s="3">
        <v>2025</v>
      </c>
      <c r="H805" s="3" t="str">
        <f>CONCATENATE("54240519006")</f>
        <v>54240519006</v>
      </c>
      <c r="I805" s="3" t="s">
        <v>34</v>
      </c>
      <c r="J805" s="3" t="s">
        <v>35</v>
      </c>
      <c r="K805" s="3"/>
      <c r="L805" s="3" t="s">
        <v>36</v>
      </c>
      <c r="M805" s="3" t="str">
        <f>CONCATENATE("CLLNDA44H45H588E")</f>
        <v>CLLNDA44H45H588E</v>
      </c>
      <c r="N805" s="3" t="s">
        <v>932</v>
      </c>
      <c r="O805" s="3" t="s">
        <v>38</v>
      </c>
      <c r="P805" s="3"/>
      <c r="Q805" s="4">
        <v>45968</v>
      </c>
      <c r="R805" s="3" t="s">
        <v>39</v>
      </c>
      <c r="S805" s="3" t="s">
        <v>38</v>
      </c>
      <c r="T805" s="3" t="s">
        <v>40</v>
      </c>
      <c r="U805" s="3"/>
      <c r="V805" s="3" t="s">
        <v>41</v>
      </c>
      <c r="W805" s="5">
        <v>3047.05</v>
      </c>
      <c r="X805" s="5">
        <v>2285.29</v>
      </c>
      <c r="Y805" s="3">
        <v>533.23</v>
      </c>
      <c r="Z805" s="3">
        <v>228.53</v>
      </c>
      <c r="AA805" s="3">
        <v>0</v>
      </c>
    </row>
    <row r="806" spans="1:27" ht="60.75" x14ac:dyDescent="0.25">
      <c r="A806" s="3" t="s">
        <v>28</v>
      </c>
      <c r="B806" s="3" t="s">
        <v>29</v>
      </c>
      <c r="C806" s="3" t="s">
        <v>30</v>
      </c>
      <c r="D806" s="3" t="s">
        <v>42</v>
      </c>
      <c r="E806" s="3" t="s">
        <v>51</v>
      </c>
      <c r="F806" s="3" t="s">
        <v>52</v>
      </c>
      <c r="G806" s="3">
        <v>2025</v>
      </c>
      <c r="H806" s="3" t="str">
        <f>CONCATENATE("54240519121")</f>
        <v>54240519121</v>
      </c>
      <c r="I806" s="3" t="s">
        <v>34</v>
      </c>
      <c r="J806" s="3" t="s">
        <v>35</v>
      </c>
      <c r="K806" s="3"/>
      <c r="L806" s="3" t="s">
        <v>36</v>
      </c>
      <c r="M806" s="3" t="str">
        <f>CONCATENATE("NTLGNN70D10G920I")</f>
        <v>NTLGNN70D10G920I</v>
      </c>
      <c r="N806" s="3" t="s">
        <v>933</v>
      </c>
      <c r="O806" s="3" t="s">
        <v>38</v>
      </c>
      <c r="P806" s="3"/>
      <c r="Q806" s="4">
        <v>45968</v>
      </c>
      <c r="R806" s="3" t="s">
        <v>39</v>
      </c>
      <c r="S806" s="3" t="s">
        <v>38</v>
      </c>
      <c r="T806" s="3" t="s">
        <v>40</v>
      </c>
      <c r="U806" s="3"/>
      <c r="V806" s="3" t="s">
        <v>41</v>
      </c>
      <c r="W806" s="5">
        <v>10729.5</v>
      </c>
      <c r="X806" s="5">
        <v>8047.13</v>
      </c>
      <c r="Y806" s="5">
        <v>1877.66</v>
      </c>
      <c r="Z806" s="3">
        <v>804.71</v>
      </c>
      <c r="AA806" s="3">
        <v>0</v>
      </c>
    </row>
    <row r="807" spans="1:27" ht="72.75" x14ac:dyDescent="0.25">
      <c r="A807" s="3" t="s">
        <v>28</v>
      </c>
      <c r="B807" s="3" t="s">
        <v>29</v>
      </c>
      <c r="C807" s="3" t="s">
        <v>30</v>
      </c>
      <c r="D807" s="3" t="s">
        <v>31</v>
      </c>
      <c r="E807" s="3" t="s">
        <v>32</v>
      </c>
      <c r="F807" s="3" t="s">
        <v>33</v>
      </c>
      <c r="G807" s="3">
        <v>2025</v>
      </c>
      <c r="H807" s="3" t="str">
        <f>CONCATENATE("54240519261")</f>
        <v>54240519261</v>
      </c>
      <c r="I807" s="3" t="s">
        <v>34</v>
      </c>
      <c r="J807" s="3" t="s">
        <v>35</v>
      </c>
      <c r="K807" s="3"/>
      <c r="L807" s="3" t="s">
        <v>36</v>
      </c>
      <c r="M807" s="3" t="str">
        <f>CONCATENATE("CCCMNL61M54H509O")</f>
        <v>CCCMNL61M54H509O</v>
      </c>
      <c r="N807" s="3" t="s">
        <v>934</v>
      </c>
      <c r="O807" s="3" t="s">
        <v>38</v>
      </c>
      <c r="P807" s="3"/>
      <c r="Q807" s="4">
        <v>45968</v>
      </c>
      <c r="R807" s="3" t="s">
        <v>39</v>
      </c>
      <c r="S807" s="3" t="s">
        <v>38</v>
      </c>
      <c r="T807" s="3" t="s">
        <v>40</v>
      </c>
      <c r="U807" s="3"/>
      <c r="V807" s="3" t="s">
        <v>41</v>
      </c>
      <c r="W807" s="3">
        <v>588.24</v>
      </c>
      <c r="X807" s="3">
        <v>441.18</v>
      </c>
      <c r="Y807" s="3">
        <v>102.94</v>
      </c>
      <c r="Z807" s="3">
        <v>44.12</v>
      </c>
      <c r="AA807" s="3">
        <v>0</v>
      </c>
    </row>
    <row r="808" spans="1:27" ht="60.75" x14ac:dyDescent="0.25">
      <c r="A808" s="3" t="s">
        <v>28</v>
      </c>
      <c r="B808" s="3" t="s">
        <v>29</v>
      </c>
      <c r="C808" s="3" t="s">
        <v>30</v>
      </c>
      <c r="D808" s="3" t="s">
        <v>31</v>
      </c>
      <c r="E808" s="3" t="s">
        <v>32</v>
      </c>
      <c r="F808" s="3" t="s">
        <v>33</v>
      </c>
      <c r="G808" s="3">
        <v>2025</v>
      </c>
      <c r="H808" s="3" t="str">
        <f>CONCATENATE("54240519386")</f>
        <v>54240519386</v>
      </c>
      <c r="I808" s="3" t="s">
        <v>34</v>
      </c>
      <c r="J808" s="3" t="s">
        <v>35</v>
      </c>
      <c r="K808" s="3"/>
      <c r="L808" s="3" t="s">
        <v>36</v>
      </c>
      <c r="M808" s="3" t="str">
        <f>CONCATENATE("DPSPNI84B64D451C")</f>
        <v>DPSPNI84B64D451C</v>
      </c>
      <c r="N808" s="3" t="s">
        <v>935</v>
      </c>
      <c r="O808" s="3" t="s">
        <v>38</v>
      </c>
      <c r="P808" s="3"/>
      <c r="Q808" s="4">
        <v>45968</v>
      </c>
      <c r="R808" s="3" t="s">
        <v>39</v>
      </c>
      <c r="S808" s="3" t="s">
        <v>38</v>
      </c>
      <c r="T808" s="3" t="s">
        <v>40</v>
      </c>
      <c r="U808" s="3"/>
      <c r="V808" s="3" t="s">
        <v>41</v>
      </c>
      <c r="W808" s="3">
        <v>426.39</v>
      </c>
      <c r="X808" s="3">
        <v>319.79000000000002</v>
      </c>
      <c r="Y808" s="3">
        <v>74.62</v>
      </c>
      <c r="Z808" s="3">
        <v>31.98</v>
      </c>
      <c r="AA808" s="3">
        <v>0</v>
      </c>
    </row>
    <row r="809" spans="1:27" ht="60.75" x14ac:dyDescent="0.25">
      <c r="A809" s="3" t="s">
        <v>28</v>
      </c>
      <c r="B809" s="3" t="s">
        <v>29</v>
      </c>
      <c r="C809" s="3" t="s">
        <v>30</v>
      </c>
      <c r="D809" s="3" t="s">
        <v>31</v>
      </c>
      <c r="E809" s="3" t="s">
        <v>32</v>
      </c>
      <c r="F809" s="3" t="s">
        <v>276</v>
      </c>
      <c r="G809" s="3">
        <v>2025</v>
      </c>
      <c r="H809" s="3" t="str">
        <f>CONCATENATE("54240519246")</f>
        <v>54240519246</v>
      </c>
      <c r="I809" s="3" t="s">
        <v>44</v>
      </c>
      <c r="J809" s="3" t="s">
        <v>35</v>
      </c>
      <c r="K809" s="3"/>
      <c r="L809" s="3" t="s">
        <v>36</v>
      </c>
      <c r="M809" s="3" t="str">
        <f>CONCATENATE("GLNFRC55L17I459O")</f>
        <v>GLNFRC55L17I459O</v>
      </c>
      <c r="N809" s="3" t="s">
        <v>936</v>
      </c>
      <c r="O809" s="3" t="s">
        <v>38</v>
      </c>
      <c r="P809" s="3"/>
      <c r="Q809" s="4">
        <v>45968</v>
      </c>
      <c r="R809" s="3" t="s">
        <v>39</v>
      </c>
      <c r="S809" s="3" t="s">
        <v>38</v>
      </c>
      <c r="T809" s="3" t="s">
        <v>40</v>
      </c>
      <c r="U809" s="3"/>
      <c r="V809" s="3" t="s">
        <v>41</v>
      </c>
      <c r="W809" s="3">
        <v>449.35</v>
      </c>
      <c r="X809" s="3">
        <v>337.01</v>
      </c>
      <c r="Y809" s="3">
        <v>78.64</v>
      </c>
      <c r="Z809" s="3">
        <v>33.700000000000003</v>
      </c>
      <c r="AA809" s="3">
        <v>0</v>
      </c>
    </row>
    <row r="810" spans="1:27" ht="60.75" x14ac:dyDescent="0.25">
      <c r="A810" s="3" t="s">
        <v>28</v>
      </c>
      <c r="B810" s="3" t="s">
        <v>29</v>
      </c>
      <c r="C810" s="3" t="s">
        <v>30</v>
      </c>
      <c r="D810" s="3" t="s">
        <v>42</v>
      </c>
      <c r="E810" s="3" t="s">
        <v>51</v>
      </c>
      <c r="F810" s="3" t="s">
        <v>375</v>
      </c>
      <c r="G810" s="3">
        <v>2025</v>
      </c>
      <c r="H810" s="3" t="str">
        <f>CONCATENATE("54240519402")</f>
        <v>54240519402</v>
      </c>
      <c r="I810" s="3" t="s">
        <v>44</v>
      </c>
      <c r="J810" s="3" t="s">
        <v>35</v>
      </c>
      <c r="K810" s="3"/>
      <c r="L810" s="3" t="s">
        <v>36</v>
      </c>
      <c r="M810" s="3" t="str">
        <f>CONCATENATE("DNGNRC68P13G005I")</f>
        <v>DNGNRC68P13G005I</v>
      </c>
      <c r="N810" s="3" t="s">
        <v>937</v>
      </c>
      <c r="O810" s="3" t="s">
        <v>38</v>
      </c>
      <c r="P810" s="3"/>
      <c r="Q810" s="4">
        <v>45968</v>
      </c>
      <c r="R810" s="3" t="s">
        <v>39</v>
      </c>
      <c r="S810" s="3" t="s">
        <v>38</v>
      </c>
      <c r="T810" s="3" t="s">
        <v>40</v>
      </c>
      <c r="U810" s="3"/>
      <c r="V810" s="3" t="s">
        <v>41</v>
      </c>
      <c r="W810" s="5">
        <v>1120.1600000000001</v>
      </c>
      <c r="X810" s="3">
        <v>840.12</v>
      </c>
      <c r="Y810" s="3">
        <v>196.03</v>
      </c>
      <c r="Z810" s="3">
        <v>84.01</v>
      </c>
      <c r="AA810" s="3">
        <v>0</v>
      </c>
    </row>
    <row r="811" spans="1:27" ht="72.75" x14ac:dyDescent="0.25">
      <c r="A811" s="3" t="s">
        <v>28</v>
      </c>
      <c r="B811" s="3" t="s">
        <v>29</v>
      </c>
      <c r="C811" s="3" t="s">
        <v>30</v>
      </c>
      <c r="D811" s="3" t="s">
        <v>42</v>
      </c>
      <c r="E811" s="3" t="s">
        <v>51</v>
      </c>
      <c r="F811" s="3" t="s">
        <v>375</v>
      </c>
      <c r="G811" s="3">
        <v>2025</v>
      </c>
      <c r="H811" s="3" t="str">
        <f>CONCATENATE("54240519568")</f>
        <v>54240519568</v>
      </c>
      <c r="I811" s="3" t="s">
        <v>34</v>
      </c>
      <c r="J811" s="3" t="s">
        <v>35</v>
      </c>
      <c r="K811" s="3"/>
      <c r="L811" s="3" t="s">
        <v>36</v>
      </c>
      <c r="M811" s="3" t="str">
        <f>CONCATENATE("DBISRN70M30A462V")</f>
        <v>DBISRN70M30A462V</v>
      </c>
      <c r="N811" s="3" t="s">
        <v>938</v>
      </c>
      <c r="O811" s="3" t="s">
        <v>38</v>
      </c>
      <c r="P811" s="3"/>
      <c r="Q811" s="4">
        <v>45968</v>
      </c>
      <c r="R811" s="3" t="s">
        <v>39</v>
      </c>
      <c r="S811" s="3" t="s">
        <v>38</v>
      </c>
      <c r="T811" s="3" t="s">
        <v>40</v>
      </c>
      <c r="U811" s="3"/>
      <c r="V811" s="3" t="s">
        <v>41</v>
      </c>
      <c r="W811" s="5">
        <v>2122.91</v>
      </c>
      <c r="X811" s="5">
        <v>1592.18</v>
      </c>
      <c r="Y811" s="3">
        <v>371.51</v>
      </c>
      <c r="Z811" s="3">
        <v>159.22</v>
      </c>
      <c r="AA811" s="3">
        <v>0</v>
      </c>
    </row>
    <row r="812" spans="1:27" ht="60.75" x14ac:dyDescent="0.25">
      <c r="A812" s="3" t="s">
        <v>28</v>
      </c>
      <c r="B812" s="3" t="s">
        <v>29</v>
      </c>
      <c r="C812" s="3" t="s">
        <v>30</v>
      </c>
      <c r="D812" s="3" t="s">
        <v>65</v>
      </c>
      <c r="E812" s="3" t="s">
        <v>51</v>
      </c>
      <c r="F812" s="3" t="s">
        <v>126</v>
      </c>
      <c r="G812" s="3">
        <v>2025</v>
      </c>
      <c r="H812" s="3" t="str">
        <f>CONCATENATE("54240519451")</f>
        <v>54240519451</v>
      </c>
      <c r="I812" s="3" t="s">
        <v>34</v>
      </c>
      <c r="J812" s="3" t="s">
        <v>35</v>
      </c>
      <c r="K812" s="3"/>
      <c r="L812" s="3" t="s">
        <v>36</v>
      </c>
      <c r="M812" s="3" t="str">
        <f>CONCATENATE("CHSGNN72R12D488F")</f>
        <v>CHSGNN72R12D488F</v>
      </c>
      <c r="N812" s="3" t="s">
        <v>939</v>
      </c>
      <c r="O812" s="3" t="s">
        <v>38</v>
      </c>
      <c r="P812" s="3"/>
      <c r="Q812" s="4">
        <v>45968</v>
      </c>
      <c r="R812" s="3" t="s">
        <v>39</v>
      </c>
      <c r="S812" s="3" t="s">
        <v>38</v>
      </c>
      <c r="T812" s="3" t="s">
        <v>40</v>
      </c>
      <c r="U812" s="3"/>
      <c r="V812" s="3" t="s">
        <v>41</v>
      </c>
      <c r="W812" s="5">
        <v>6683.25</v>
      </c>
      <c r="X812" s="5">
        <v>5012.4399999999996</v>
      </c>
      <c r="Y812" s="5">
        <v>1169.57</v>
      </c>
      <c r="Z812" s="3">
        <v>501.24</v>
      </c>
      <c r="AA812" s="3">
        <v>0</v>
      </c>
    </row>
    <row r="813" spans="1:27" ht="60.75" x14ac:dyDescent="0.25">
      <c r="A813" s="3" t="s">
        <v>28</v>
      </c>
      <c r="B813" s="3" t="s">
        <v>29</v>
      </c>
      <c r="C813" s="3" t="s">
        <v>30</v>
      </c>
      <c r="D813" s="3" t="s">
        <v>42</v>
      </c>
      <c r="E813" s="3" t="s">
        <v>51</v>
      </c>
      <c r="F813" s="3" t="s">
        <v>524</v>
      </c>
      <c r="G813" s="3">
        <v>2025</v>
      </c>
      <c r="H813" s="3" t="str">
        <f>CONCATENATE("54240651387")</f>
        <v>54240651387</v>
      </c>
      <c r="I813" s="3" t="s">
        <v>34</v>
      </c>
      <c r="J813" s="3" t="s">
        <v>35</v>
      </c>
      <c r="K813" s="3"/>
      <c r="L813" s="3" t="s">
        <v>36</v>
      </c>
      <c r="M813" s="3" t="str">
        <f>CONCATENATE("VLNVRN78A50D542K")</f>
        <v>VLNVRN78A50D542K</v>
      </c>
      <c r="N813" s="3" t="s">
        <v>940</v>
      </c>
      <c r="O813" s="3" t="s">
        <v>38</v>
      </c>
      <c r="P813" s="3"/>
      <c r="Q813" s="4">
        <v>45968</v>
      </c>
      <c r="R813" s="3" t="s">
        <v>39</v>
      </c>
      <c r="S813" s="3" t="s">
        <v>38</v>
      </c>
      <c r="T813" s="3" t="s">
        <v>40</v>
      </c>
      <c r="U813" s="3"/>
      <c r="V813" s="3" t="s">
        <v>41</v>
      </c>
      <c r="W813" s="5">
        <v>33864.31</v>
      </c>
      <c r="X813" s="5">
        <v>25398.23</v>
      </c>
      <c r="Y813" s="5">
        <v>5926.25</v>
      </c>
      <c r="Z813" s="5">
        <v>2539.83</v>
      </c>
      <c r="AA813" s="3">
        <v>0</v>
      </c>
    </row>
    <row r="814" spans="1:27" ht="36.75" x14ac:dyDescent="0.25">
      <c r="A814" s="3" t="s">
        <v>28</v>
      </c>
      <c r="B814" s="3" t="s">
        <v>29</v>
      </c>
      <c r="C814" s="3" t="s">
        <v>30</v>
      </c>
      <c r="D814" s="3" t="s">
        <v>65</v>
      </c>
      <c r="E814" s="3" t="s">
        <v>43</v>
      </c>
      <c r="F814" s="3" t="s">
        <v>43</v>
      </c>
      <c r="G814" s="3">
        <v>2025</v>
      </c>
      <c r="H814" s="3" t="str">
        <f>CONCATENATE("54240654340")</f>
        <v>54240654340</v>
      </c>
      <c r="I814" s="3" t="s">
        <v>34</v>
      </c>
      <c r="J814" s="3" t="s">
        <v>35</v>
      </c>
      <c r="K814" s="3"/>
      <c r="L814" s="3" t="s">
        <v>36</v>
      </c>
      <c r="M814" s="3" t="str">
        <f>CONCATENATE("01343920417")</f>
        <v>01343920417</v>
      </c>
      <c r="N814" s="3" t="s">
        <v>941</v>
      </c>
      <c r="O814" s="3" t="s">
        <v>38</v>
      </c>
      <c r="P814" s="3"/>
      <c r="Q814" s="4">
        <v>45968</v>
      </c>
      <c r="R814" s="3" t="s">
        <v>39</v>
      </c>
      <c r="S814" s="3" t="s">
        <v>38</v>
      </c>
      <c r="T814" s="3" t="s">
        <v>40</v>
      </c>
      <c r="U814" s="3"/>
      <c r="V814" s="3" t="s">
        <v>41</v>
      </c>
      <c r="W814" s="5">
        <v>5681.55</v>
      </c>
      <c r="X814" s="5">
        <v>4261.16</v>
      </c>
      <c r="Y814" s="3">
        <v>994.27</v>
      </c>
      <c r="Z814" s="3">
        <v>426.12</v>
      </c>
      <c r="AA814" s="3">
        <v>0</v>
      </c>
    </row>
    <row r="815" spans="1:27" ht="60.75" x14ac:dyDescent="0.25">
      <c r="A815" s="3" t="s">
        <v>28</v>
      </c>
      <c r="B815" s="3" t="s">
        <v>29</v>
      </c>
      <c r="C815" s="3" t="s">
        <v>30</v>
      </c>
      <c r="D815" s="3" t="s">
        <v>42</v>
      </c>
      <c r="E815" s="3" t="s">
        <v>942</v>
      </c>
      <c r="F815" s="3" t="s">
        <v>943</v>
      </c>
      <c r="G815" s="3">
        <v>2025</v>
      </c>
      <c r="H815" s="3" t="str">
        <f>CONCATENATE("54240667987")</f>
        <v>54240667987</v>
      </c>
      <c r="I815" s="3" t="s">
        <v>34</v>
      </c>
      <c r="J815" s="3" t="s">
        <v>35</v>
      </c>
      <c r="K815" s="3"/>
      <c r="L815" s="3" t="s">
        <v>36</v>
      </c>
      <c r="M815" s="3" t="str">
        <f>CONCATENATE("PTRGNN69D15A462E")</f>
        <v>PTRGNN69D15A462E</v>
      </c>
      <c r="N815" s="3" t="s">
        <v>944</v>
      </c>
      <c r="O815" s="3" t="s">
        <v>38</v>
      </c>
      <c r="P815" s="3"/>
      <c r="Q815" s="4">
        <v>45968</v>
      </c>
      <c r="R815" s="3" t="s">
        <v>39</v>
      </c>
      <c r="S815" s="3" t="s">
        <v>38</v>
      </c>
      <c r="T815" s="3" t="s">
        <v>40</v>
      </c>
      <c r="U815" s="3"/>
      <c r="V815" s="3" t="s">
        <v>41</v>
      </c>
      <c r="W815" s="5">
        <v>1338.11</v>
      </c>
      <c r="X815" s="5">
        <v>1003.58</v>
      </c>
      <c r="Y815" s="3">
        <v>234.17</v>
      </c>
      <c r="Z815" s="3">
        <v>100.36</v>
      </c>
      <c r="AA815" s="3">
        <v>0</v>
      </c>
    </row>
    <row r="816" spans="1:27" ht="36.75" x14ac:dyDescent="0.25">
      <c r="A816" s="3" t="s">
        <v>28</v>
      </c>
      <c r="B816" s="3" t="s">
        <v>29</v>
      </c>
      <c r="C816" s="3" t="s">
        <v>30</v>
      </c>
      <c r="D816" s="3" t="s">
        <v>31</v>
      </c>
      <c r="E816" s="3" t="s">
        <v>32</v>
      </c>
      <c r="F816" s="3" t="s">
        <v>63</v>
      </c>
      <c r="G816" s="3">
        <v>2025</v>
      </c>
      <c r="H816" s="3" t="str">
        <f>CONCATENATE("54240512183")</f>
        <v>54240512183</v>
      </c>
      <c r="I816" s="3" t="s">
        <v>34</v>
      </c>
      <c r="J816" s="3" t="s">
        <v>35</v>
      </c>
      <c r="K816" s="3"/>
      <c r="L816" s="3" t="s">
        <v>36</v>
      </c>
      <c r="M816" s="3" t="str">
        <f>CONCATENATE("02427770421")</f>
        <v>02427770421</v>
      </c>
      <c r="N816" s="3" t="s">
        <v>945</v>
      </c>
      <c r="O816" s="3" t="s">
        <v>38</v>
      </c>
      <c r="P816" s="3"/>
      <c r="Q816" s="4">
        <v>45968</v>
      </c>
      <c r="R816" s="3" t="s">
        <v>39</v>
      </c>
      <c r="S816" s="3" t="s">
        <v>38</v>
      </c>
      <c r="T816" s="3" t="s">
        <v>40</v>
      </c>
      <c r="U816" s="3"/>
      <c r="V816" s="3" t="s">
        <v>41</v>
      </c>
      <c r="W816" s="5">
        <v>11933.51</v>
      </c>
      <c r="X816" s="5">
        <v>8950.1299999999992</v>
      </c>
      <c r="Y816" s="5">
        <v>2088.36</v>
      </c>
      <c r="Z816" s="3">
        <v>895.02</v>
      </c>
      <c r="AA816" s="3">
        <v>0</v>
      </c>
    </row>
    <row r="817" spans="1:27" ht="36.75" x14ac:dyDescent="0.25">
      <c r="A817" s="3" t="s">
        <v>28</v>
      </c>
      <c r="B817" s="3" t="s">
        <v>29</v>
      </c>
      <c r="C817" s="3" t="s">
        <v>30</v>
      </c>
      <c r="D817" s="3" t="s">
        <v>47</v>
      </c>
      <c r="E817" s="3" t="s">
        <v>51</v>
      </c>
      <c r="F817" s="3" t="s">
        <v>83</v>
      </c>
      <c r="G817" s="3">
        <v>2025</v>
      </c>
      <c r="H817" s="3" t="str">
        <f>CONCATENATE("54240652591")</f>
        <v>54240652591</v>
      </c>
      <c r="I817" s="3" t="s">
        <v>34</v>
      </c>
      <c r="J817" s="3" t="s">
        <v>35</v>
      </c>
      <c r="K817" s="3"/>
      <c r="L817" s="3" t="s">
        <v>36</v>
      </c>
      <c r="M817" s="3" t="str">
        <f>CONCATENATE("01915750432")</f>
        <v>01915750432</v>
      </c>
      <c r="N817" s="3" t="s">
        <v>946</v>
      </c>
      <c r="O817" s="3" t="s">
        <v>38</v>
      </c>
      <c r="P817" s="3"/>
      <c r="Q817" s="4">
        <v>45968</v>
      </c>
      <c r="R817" s="3" t="s">
        <v>39</v>
      </c>
      <c r="S817" s="3" t="s">
        <v>38</v>
      </c>
      <c r="T817" s="3" t="s">
        <v>40</v>
      </c>
      <c r="U817" s="3"/>
      <c r="V817" s="3" t="s">
        <v>41</v>
      </c>
      <c r="W817" s="5">
        <v>1645.5</v>
      </c>
      <c r="X817" s="5">
        <v>1234.1300000000001</v>
      </c>
      <c r="Y817" s="3">
        <v>287.95999999999998</v>
      </c>
      <c r="Z817" s="3">
        <v>123.41</v>
      </c>
      <c r="AA817" s="3">
        <v>0</v>
      </c>
    </row>
    <row r="818" spans="1:27" ht="72.75" x14ac:dyDescent="0.25">
      <c r="A818" s="3" t="s">
        <v>28</v>
      </c>
      <c r="B818" s="3" t="s">
        <v>29</v>
      </c>
      <c r="C818" s="3" t="s">
        <v>30</v>
      </c>
      <c r="D818" s="3" t="s">
        <v>65</v>
      </c>
      <c r="E818" s="3" t="s">
        <v>32</v>
      </c>
      <c r="F818" s="3" t="s">
        <v>135</v>
      </c>
      <c r="G818" s="3">
        <v>2025</v>
      </c>
      <c r="H818" s="3" t="str">
        <f>CONCATENATE("54240658390")</f>
        <v>54240658390</v>
      </c>
      <c r="I818" s="3" t="s">
        <v>34</v>
      </c>
      <c r="J818" s="3" t="s">
        <v>35</v>
      </c>
      <c r="K818" s="3"/>
      <c r="L818" s="3" t="s">
        <v>36</v>
      </c>
      <c r="M818" s="3" t="str">
        <f>CONCATENATE("SCHLNZ81A12D749D")</f>
        <v>SCHLNZ81A12D749D</v>
      </c>
      <c r="N818" s="3" t="s">
        <v>947</v>
      </c>
      <c r="O818" s="3" t="s">
        <v>38</v>
      </c>
      <c r="P818" s="3"/>
      <c r="Q818" s="4">
        <v>45968</v>
      </c>
      <c r="R818" s="3" t="s">
        <v>39</v>
      </c>
      <c r="S818" s="3" t="s">
        <v>38</v>
      </c>
      <c r="T818" s="3" t="s">
        <v>40</v>
      </c>
      <c r="U818" s="3"/>
      <c r="V818" s="3" t="s">
        <v>41</v>
      </c>
      <c r="W818" s="5">
        <v>1312.56</v>
      </c>
      <c r="X818" s="3">
        <v>984.42</v>
      </c>
      <c r="Y818" s="3">
        <v>229.7</v>
      </c>
      <c r="Z818" s="3">
        <v>98.44</v>
      </c>
      <c r="AA818" s="3">
        <v>0</v>
      </c>
    </row>
    <row r="819" spans="1:27" ht="72.75" x14ac:dyDescent="0.25">
      <c r="A819" s="3" t="s">
        <v>28</v>
      </c>
      <c r="B819" s="3" t="s">
        <v>29</v>
      </c>
      <c r="C819" s="3" t="s">
        <v>30</v>
      </c>
      <c r="D819" s="3" t="s">
        <v>65</v>
      </c>
      <c r="E819" s="3" t="s">
        <v>32</v>
      </c>
      <c r="F819" s="3" t="s">
        <v>270</v>
      </c>
      <c r="G819" s="3">
        <v>2025</v>
      </c>
      <c r="H819" s="3" t="str">
        <f>CONCATENATE("54240651841")</f>
        <v>54240651841</v>
      </c>
      <c r="I819" s="3" t="s">
        <v>34</v>
      </c>
      <c r="J819" s="3" t="s">
        <v>35</v>
      </c>
      <c r="K819" s="3"/>
      <c r="L819" s="3" t="s">
        <v>36</v>
      </c>
      <c r="M819" s="3" t="str">
        <f>CONCATENATE("RSSNRC66D15G479Q")</f>
        <v>RSSNRC66D15G479Q</v>
      </c>
      <c r="N819" s="3" t="s">
        <v>948</v>
      </c>
      <c r="O819" s="3" t="s">
        <v>38</v>
      </c>
      <c r="P819" s="3"/>
      <c r="Q819" s="4">
        <v>45968</v>
      </c>
      <c r="R819" s="3" t="s">
        <v>39</v>
      </c>
      <c r="S819" s="3" t="s">
        <v>38</v>
      </c>
      <c r="T819" s="3" t="s">
        <v>40</v>
      </c>
      <c r="U819" s="3"/>
      <c r="V819" s="3" t="s">
        <v>41</v>
      </c>
      <c r="W819" s="5">
        <v>1125.75</v>
      </c>
      <c r="X819" s="3">
        <v>844.31</v>
      </c>
      <c r="Y819" s="3">
        <v>197.01</v>
      </c>
      <c r="Z819" s="3">
        <v>84.43</v>
      </c>
      <c r="AA819" s="3">
        <v>0</v>
      </c>
    </row>
    <row r="820" spans="1:27" ht="36.75" x14ac:dyDescent="0.25">
      <c r="A820" s="3" t="s">
        <v>28</v>
      </c>
      <c r="B820" s="3" t="s">
        <v>29</v>
      </c>
      <c r="C820" s="3" t="s">
        <v>30</v>
      </c>
      <c r="D820" s="3" t="s">
        <v>31</v>
      </c>
      <c r="E820" s="3" t="s">
        <v>207</v>
      </c>
      <c r="F820" s="3" t="s">
        <v>215</v>
      </c>
      <c r="G820" s="3">
        <v>2025</v>
      </c>
      <c r="H820" s="3" t="str">
        <f>CONCATENATE("54240651858")</f>
        <v>54240651858</v>
      </c>
      <c r="I820" s="3" t="s">
        <v>34</v>
      </c>
      <c r="J820" s="3" t="s">
        <v>35</v>
      </c>
      <c r="K820" s="3"/>
      <c r="L820" s="3" t="s">
        <v>36</v>
      </c>
      <c r="M820" s="3" t="str">
        <f>CONCATENATE("02880800426")</f>
        <v>02880800426</v>
      </c>
      <c r="N820" s="3" t="s">
        <v>949</v>
      </c>
      <c r="O820" s="3" t="s">
        <v>38</v>
      </c>
      <c r="P820" s="3"/>
      <c r="Q820" s="4">
        <v>45968</v>
      </c>
      <c r="R820" s="3" t="s">
        <v>39</v>
      </c>
      <c r="S820" s="3" t="s">
        <v>38</v>
      </c>
      <c r="T820" s="3" t="s">
        <v>40</v>
      </c>
      <c r="U820" s="3"/>
      <c r="V820" s="3" t="s">
        <v>41</v>
      </c>
      <c r="W820" s="5">
        <v>2784.89</v>
      </c>
      <c r="X820" s="5">
        <v>2088.67</v>
      </c>
      <c r="Y820" s="3">
        <v>487.36</v>
      </c>
      <c r="Z820" s="3">
        <v>208.86</v>
      </c>
      <c r="AA820" s="3">
        <v>0</v>
      </c>
    </row>
    <row r="821" spans="1:27" ht="60.75" x14ac:dyDescent="0.25">
      <c r="A821" s="3" t="s">
        <v>28</v>
      </c>
      <c r="B821" s="3" t="s">
        <v>29</v>
      </c>
      <c r="C821" s="3" t="s">
        <v>30</v>
      </c>
      <c r="D821" s="3" t="s">
        <v>65</v>
      </c>
      <c r="E821" s="3" t="s">
        <v>767</v>
      </c>
      <c r="F821" s="3" t="s">
        <v>768</v>
      </c>
      <c r="G821" s="3">
        <v>2025</v>
      </c>
      <c r="H821" s="3" t="str">
        <f>CONCATENATE("54240654951")</f>
        <v>54240654951</v>
      </c>
      <c r="I821" s="3" t="s">
        <v>34</v>
      </c>
      <c r="J821" s="3" t="s">
        <v>35</v>
      </c>
      <c r="K821" s="3"/>
      <c r="L821" s="3" t="s">
        <v>36</v>
      </c>
      <c r="M821" s="3" t="str">
        <f>CONCATENATE("MRLCSR96R03L500H")</f>
        <v>MRLCSR96R03L500H</v>
      </c>
      <c r="N821" s="3" t="s">
        <v>950</v>
      </c>
      <c r="O821" s="3" t="s">
        <v>38</v>
      </c>
      <c r="P821" s="3"/>
      <c r="Q821" s="4">
        <v>45968</v>
      </c>
      <c r="R821" s="3" t="s">
        <v>39</v>
      </c>
      <c r="S821" s="3" t="s">
        <v>38</v>
      </c>
      <c r="T821" s="3" t="s">
        <v>40</v>
      </c>
      <c r="U821" s="3"/>
      <c r="V821" s="3" t="s">
        <v>41</v>
      </c>
      <c r="W821" s="5">
        <v>1088.02</v>
      </c>
      <c r="X821" s="3">
        <v>816.02</v>
      </c>
      <c r="Y821" s="3">
        <v>190.4</v>
      </c>
      <c r="Z821" s="3">
        <v>81.599999999999994</v>
      </c>
      <c r="AA821" s="3">
        <v>0</v>
      </c>
    </row>
    <row r="822" spans="1:27" ht="36.75" x14ac:dyDescent="0.25">
      <c r="A822" s="3" t="s">
        <v>28</v>
      </c>
      <c r="B822" s="3" t="s">
        <v>29</v>
      </c>
      <c r="C822" s="3" t="s">
        <v>30</v>
      </c>
      <c r="D822" s="3" t="s">
        <v>65</v>
      </c>
      <c r="E822" s="3" t="s">
        <v>51</v>
      </c>
      <c r="F822" s="3" t="s">
        <v>534</v>
      </c>
      <c r="G822" s="3">
        <v>2025</v>
      </c>
      <c r="H822" s="3" t="str">
        <f>CONCATENATE("54240654399")</f>
        <v>54240654399</v>
      </c>
      <c r="I822" s="3" t="s">
        <v>34</v>
      </c>
      <c r="J822" s="3" t="s">
        <v>35</v>
      </c>
      <c r="K822" s="3"/>
      <c r="L822" s="3" t="s">
        <v>36</v>
      </c>
      <c r="M822" s="3" t="str">
        <f>CONCATENATE("02276370414")</f>
        <v>02276370414</v>
      </c>
      <c r="N822" s="3" t="s">
        <v>951</v>
      </c>
      <c r="O822" s="3" t="s">
        <v>38</v>
      </c>
      <c r="P822" s="3"/>
      <c r="Q822" s="4">
        <v>45968</v>
      </c>
      <c r="R822" s="3" t="s">
        <v>39</v>
      </c>
      <c r="S822" s="3" t="s">
        <v>38</v>
      </c>
      <c r="T822" s="3" t="s">
        <v>40</v>
      </c>
      <c r="U822" s="3"/>
      <c r="V822" s="3" t="s">
        <v>41</v>
      </c>
      <c r="W822" s="5">
        <v>2223.09</v>
      </c>
      <c r="X822" s="5">
        <v>1667.32</v>
      </c>
      <c r="Y822" s="3">
        <v>389.04</v>
      </c>
      <c r="Z822" s="3">
        <v>166.73</v>
      </c>
      <c r="AA822" s="3">
        <v>0</v>
      </c>
    </row>
    <row r="823" spans="1:27" ht="36.75" x14ac:dyDescent="0.25">
      <c r="A823" s="3" t="s">
        <v>28</v>
      </c>
      <c r="B823" s="3" t="s">
        <v>29</v>
      </c>
      <c r="C823" s="3" t="s">
        <v>30</v>
      </c>
      <c r="D823" s="3" t="s">
        <v>65</v>
      </c>
      <c r="E823" s="3" t="s">
        <v>767</v>
      </c>
      <c r="F823" s="3" t="s">
        <v>768</v>
      </c>
      <c r="G823" s="3">
        <v>2025</v>
      </c>
      <c r="H823" s="3" t="str">
        <f>CONCATENATE("54240655727")</f>
        <v>54240655727</v>
      </c>
      <c r="I823" s="3" t="s">
        <v>34</v>
      </c>
      <c r="J823" s="3" t="s">
        <v>35</v>
      </c>
      <c r="K823" s="3"/>
      <c r="L823" s="3" t="s">
        <v>36</v>
      </c>
      <c r="M823" s="3" t="str">
        <f>CONCATENATE("02790390427")</f>
        <v>02790390427</v>
      </c>
      <c r="N823" s="3" t="s">
        <v>952</v>
      </c>
      <c r="O823" s="3" t="s">
        <v>38</v>
      </c>
      <c r="P823" s="3"/>
      <c r="Q823" s="4">
        <v>45968</v>
      </c>
      <c r="R823" s="3" t="s">
        <v>39</v>
      </c>
      <c r="S823" s="3" t="s">
        <v>38</v>
      </c>
      <c r="T823" s="3" t="s">
        <v>40</v>
      </c>
      <c r="U823" s="3"/>
      <c r="V823" s="3" t="s">
        <v>41</v>
      </c>
      <c r="W823" s="5">
        <v>3976.22</v>
      </c>
      <c r="X823" s="5">
        <v>2982.17</v>
      </c>
      <c r="Y823" s="3">
        <v>695.84</v>
      </c>
      <c r="Z823" s="3">
        <v>298.20999999999998</v>
      </c>
      <c r="AA823" s="3">
        <v>0</v>
      </c>
    </row>
    <row r="824" spans="1:27" ht="60.75" x14ac:dyDescent="0.25">
      <c r="A824" s="3" t="s">
        <v>28</v>
      </c>
      <c r="B824" s="3" t="s">
        <v>29</v>
      </c>
      <c r="C824" s="3" t="s">
        <v>30</v>
      </c>
      <c r="D824" s="3" t="s">
        <v>31</v>
      </c>
      <c r="E824" s="3" t="s">
        <v>51</v>
      </c>
      <c r="F824" s="3" t="s">
        <v>120</v>
      </c>
      <c r="G824" s="3">
        <v>2025</v>
      </c>
      <c r="H824" s="3" t="str">
        <f>CONCATENATE("54240655891")</f>
        <v>54240655891</v>
      </c>
      <c r="I824" s="3" t="s">
        <v>34</v>
      </c>
      <c r="J824" s="3" t="s">
        <v>35</v>
      </c>
      <c r="K824" s="3"/>
      <c r="L824" s="3" t="s">
        <v>36</v>
      </c>
      <c r="M824" s="3" t="str">
        <f>CONCATENATE("VLNLCN65M17I643E")</f>
        <v>VLNLCN65M17I643E</v>
      </c>
      <c r="N824" s="3" t="s">
        <v>953</v>
      </c>
      <c r="O824" s="3" t="s">
        <v>38</v>
      </c>
      <c r="P824" s="3"/>
      <c r="Q824" s="4">
        <v>45968</v>
      </c>
      <c r="R824" s="3" t="s">
        <v>39</v>
      </c>
      <c r="S824" s="3" t="s">
        <v>38</v>
      </c>
      <c r="T824" s="3" t="s">
        <v>40</v>
      </c>
      <c r="U824" s="3"/>
      <c r="V824" s="3" t="s">
        <v>41</v>
      </c>
      <c r="W824" s="5">
        <v>1676.44</v>
      </c>
      <c r="X824" s="5">
        <v>1257.33</v>
      </c>
      <c r="Y824" s="3">
        <v>293.38</v>
      </c>
      <c r="Z824" s="3">
        <v>125.73</v>
      </c>
      <c r="AA824" s="3">
        <v>0</v>
      </c>
    </row>
    <row r="825" spans="1:27" ht="72.75" x14ac:dyDescent="0.25">
      <c r="A825" s="3" t="s">
        <v>28</v>
      </c>
      <c r="B825" s="3" t="s">
        <v>29</v>
      </c>
      <c r="C825" s="3" t="s">
        <v>30</v>
      </c>
      <c r="D825" s="3" t="s">
        <v>47</v>
      </c>
      <c r="E825" s="3" t="s">
        <v>51</v>
      </c>
      <c r="F825" s="3" t="s">
        <v>151</v>
      </c>
      <c r="G825" s="3">
        <v>2025</v>
      </c>
      <c r="H825" s="3" t="str">
        <f>CONCATENATE("54240658812")</f>
        <v>54240658812</v>
      </c>
      <c r="I825" s="3" t="s">
        <v>34</v>
      </c>
      <c r="J825" s="3" t="s">
        <v>35</v>
      </c>
      <c r="K825" s="3"/>
      <c r="L825" s="3" t="s">
        <v>36</v>
      </c>
      <c r="M825" s="3" t="str">
        <f>CONCATENATE("PCCGNN75R08D211D")</f>
        <v>PCCGNN75R08D211D</v>
      </c>
      <c r="N825" s="3" t="s">
        <v>954</v>
      </c>
      <c r="O825" s="3" t="s">
        <v>38</v>
      </c>
      <c r="P825" s="3"/>
      <c r="Q825" s="4">
        <v>45968</v>
      </c>
      <c r="R825" s="3" t="s">
        <v>39</v>
      </c>
      <c r="S825" s="3" t="s">
        <v>38</v>
      </c>
      <c r="T825" s="3" t="s">
        <v>40</v>
      </c>
      <c r="U825" s="3"/>
      <c r="V825" s="3" t="s">
        <v>41</v>
      </c>
      <c r="W825" s="5">
        <v>15790.09</v>
      </c>
      <c r="X825" s="5">
        <v>11842.57</v>
      </c>
      <c r="Y825" s="5">
        <v>2763.27</v>
      </c>
      <c r="Z825" s="5">
        <v>1184.25</v>
      </c>
      <c r="AA825" s="3">
        <v>0</v>
      </c>
    </row>
    <row r="826" spans="1:27" ht="60.75" x14ac:dyDescent="0.25">
      <c r="A826" s="3" t="s">
        <v>28</v>
      </c>
      <c r="B826" s="3" t="s">
        <v>29</v>
      </c>
      <c r="C826" s="3" t="s">
        <v>30</v>
      </c>
      <c r="D826" s="3" t="s">
        <v>47</v>
      </c>
      <c r="E826" s="3" t="s">
        <v>51</v>
      </c>
      <c r="F826" s="3" t="s">
        <v>103</v>
      </c>
      <c r="G826" s="3">
        <v>2025</v>
      </c>
      <c r="H826" s="3" t="str">
        <f>CONCATENATE("54240655917")</f>
        <v>54240655917</v>
      </c>
      <c r="I826" s="3" t="s">
        <v>34</v>
      </c>
      <c r="J826" s="3" t="s">
        <v>35</v>
      </c>
      <c r="K826" s="3"/>
      <c r="L826" s="3" t="s">
        <v>36</v>
      </c>
      <c r="M826" s="3" t="str">
        <f>CONCATENATE("DNGLCU02B06E783V")</f>
        <v>DNGLCU02B06E783V</v>
      </c>
      <c r="N826" s="3" t="s">
        <v>955</v>
      </c>
      <c r="O826" s="3" t="s">
        <v>38</v>
      </c>
      <c r="P826" s="3"/>
      <c r="Q826" s="4">
        <v>45968</v>
      </c>
      <c r="R826" s="3" t="s">
        <v>39</v>
      </c>
      <c r="S826" s="3" t="s">
        <v>38</v>
      </c>
      <c r="T826" s="3" t="s">
        <v>40</v>
      </c>
      <c r="U826" s="3"/>
      <c r="V826" s="3" t="s">
        <v>41</v>
      </c>
      <c r="W826" s="5">
        <v>3232.22</v>
      </c>
      <c r="X826" s="5">
        <v>2424.17</v>
      </c>
      <c r="Y826" s="3">
        <v>565.64</v>
      </c>
      <c r="Z826" s="3">
        <v>242.41</v>
      </c>
      <c r="AA826" s="3">
        <v>0</v>
      </c>
    </row>
    <row r="827" spans="1:27" ht="60.75" x14ac:dyDescent="0.25">
      <c r="A827" s="3" t="s">
        <v>28</v>
      </c>
      <c r="B827" s="3" t="s">
        <v>29</v>
      </c>
      <c r="C827" s="3" t="s">
        <v>30</v>
      </c>
      <c r="D827" s="3" t="s">
        <v>42</v>
      </c>
      <c r="E827" s="3" t="s">
        <v>207</v>
      </c>
      <c r="F827" s="3" t="s">
        <v>764</v>
      </c>
      <c r="G827" s="3">
        <v>2025</v>
      </c>
      <c r="H827" s="3" t="str">
        <f>CONCATENATE("54240657020")</f>
        <v>54240657020</v>
      </c>
      <c r="I827" s="3" t="s">
        <v>34</v>
      </c>
      <c r="J827" s="3" t="s">
        <v>35</v>
      </c>
      <c r="K827" s="3"/>
      <c r="L827" s="3" t="s">
        <v>36</v>
      </c>
      <c r="M827" s="3" t="str">
        <f>CONCATENATE("ZPPPTR73E01A462G")</f>
        <v>ZPPPTR73E01A462G</v>
      </c>
      <c r="N827" s="3" t="s">
        <v>956</v>
      </c>
      <c r="O827" s="3" t="s">
        <v>38</v>
      </c>
      <c r="P827" s="3"/>
      <c r="Q827" s="4">
        <v>45968</v>
      </c>
      <c r="R827" s="3" t="s">
        <v>39</v>
      </c>
      <c r="S827" s="3" t="s">
        <v>38</v>
      </c>
      <c r="T827" s="3" t="s">
        <v>40</v>
      </c>
      <c r="U827" s="3"/>
      <c r="V827" s="3" t="s">
        <v>41</v>
      </c>
      <c r="W827" s="3">
        <v>371.21</v>
      </c>
      <c r="X827" s="3">
        <v>278.41000000000003</v>
      </c>
      <c r="Y827" s="3">
        <v>64.959999999999994</v>
      </c>
      <c r="Z827" s="3">
        <v>27.84</v>
      </c>
      <c r="AA827" s="3">
        <v>0</v>
      </c>
    </row>
    <row r="828" spans="1:27" ht="60.75" x14ac:dyDescent="0.25">
      <c r="A828" s="3" t="s">
        <v>28</v>
      </c>
      <c r="B828" s="3" t="s">
        <v>29</v>
      </c>
      <c r="C828" s="3" t="s">
        <v>30</v>
      </c>
      <c r="D828" s="3" t="s">
        <v>47</v>
      </c>
      <c r="E828" s="3" t="s">
        <v>51</v>
      </c>
      <c r="F828" s="3" t="s">
        <v>83</v>
      </c>
      <c r="G828" s="3">
        <v>2025</v>
      </c>
      <c r="H828" s="3" t="str">
        <f>CONCATENATE("54240661477")</f>
        <v>54240661477</v>
      </c>
      <c r="I828" s="3" t="s">
        <v>34</v>
      </c>
      <c r="J828" s="3" t="s">
        <v>35</v>
      </c>
      <c r="K828" s="3"/>
      <c r="L828" s="3" t="s">
        <v>36</v>
      </c>
      <c r="M828" s="3" t="str">
        <f>CONCATENATE("CHMMCR87C54B474F")</f>
        <v>CHMMCR87C54B474F</v>
      </c>
      <c r="N828" s="3" t="s">
        <v>957</v>
      </c>
      <c r="O828" s="3" t="s">
        <v>38</v>
      </c>
      <c r="P828" s="3"/>
      <c r="Q828" s="4">
        <v>45968</v>
      </c>
      <c r="R828" s="3" t="s">
        <v>39</v>
      </c>
      <c r="S828" s="3" t="s">
        <v>38</v>
      </c>
      <c r="T828" s="3" t="s">
        <v>40</v>
      </c>
      <c r="U828" s="3"/>
      <c r="V828" s="3" t="s">
        <v>41</v>
      </c>
      <c r="W828" s="5">
        <v>13621.22</v>
      </c>
      <c r="X828" s="5">
        <v>10215.92</v>
      </c>
      <c r="Y828" s="5">
        <v>2383.71</v>
      </c>
      <c r="Z828" s="5">
        <v>1021.59</v>
      </c>
      <c r="AA828" s="3">
        <v>0</v>
      </c>
    </row>
    <row r="829" spans="1:27" ht="72.75" x14ac:dyDescent="0.25">
      <c r="A829" s="3" t="s">
        <v>28</v>
      </c>
      <c r="B829" s="3" t="s">
        <v>29</v>
      </c>
      <c r="C829" s="3" t="s">
        <v>30</v>
      </c>
      <c r="D829" s="3" t="s">
        <v>47</v>
      </c>
      <c r="E829" s="3" t="s">
        <v>48</v>
      </c>
      <c r="F829" s="3" t="s">
        <v>249</v>
      </c>
      <c r="G829" s="3">
        <v>2025</v>
      </c>
      <c r="H829" s="3" t="str">
        <f>CONCATENATE("54240658507")</f>
        <v>54240658507</v>
      </c>
      <c r="I829" s="3" t="s">
        <v>34</v>
      </c>
      <c r="J829" s="3" t="s">
        <v>35</v>
      </c>
      <c r="K829" s="3"/>
      <c r="L829" s="3" t="s">
        <v>36</v>
      </c>
      <c r="M829" s="3" t="str">
        <f>CONCATENATE("VRDMSM96A08E783X")</f>
        <v>VRDMSM96A08E783X</v>
      </c>
      <c r="N829" s="3" t="s">
        <v>958</v>
      </c>
      <c r="O829" s="3" t="s">
        <v>38</v>
      </c>
      <c r="P829" s="3"/>
      <c r="Q829" s="4">
        <v>45968</v>
      </c>
      <c r="R829" s="3" t="s">
        <v>39</v>
      </c>
      <c r="S829" s="3" t="s">
        <v>38</v>
      </c>
      <c r="T829" s="3" t="s">
        <v>40</v>
      </c>
      <c r="U829" s="3"/>
      <c r="V829" s="3" t="s">
        <v>41</v>
      </c>
      <c r="W829" s="5">
        <v>1519.98</v>
      </c>
      <c r="X829" s="5">
        <v>1139.99</v>
      </c>
      <c r="Y829" s="3">
        <v>266</v>
      </c>
      <c r="Z829" s="3">
        <v>113.99</v>
      </c>
      <c r="AA829" s="3">
        <v>0</v>
      </c>
    </row>
    <row r="830" spans="1:27" ht="60.75" x14ac:dyDescent="0.25">
      <c r="A830" s="3" t="s">
        <v>28</v>
      </c>
      <c r="B830" s="3" t="s">
        <v>29</v>
      </c>
      <c r="C830" s="3" t="s">
        <v>30</v>
      </c>
      <c r="D830" s="3" t="s">
        <v>47</v>
      </c>
      <c r="E830" s="3" t="s">
        <v>51</v>
      </c>
      <c r="F830" s="3" t="s">
        <v>103</v>
      </c>
      <c r="G830" s="3">
        <v>2025</v>
      </c>
      <c r="H830" s="3" t="str">
        <f>CONCATENATE("54240658796")</f>
        <v>54240658796</v>
      </c>
      <c r="I830" s="3" t="s">
        <v>34</v>
      </c>
      <c r="J830" s="3" t="s">
        <v>35</v>
      </c>
      <c r="K830" s="3"/>
      <c r="L830" s="3" t="s">
        <v>36</v>
      </c>
      <c r="M830" s="3" t="str">
        <f>CONCATENATE("TSSMRT85P07A252M")</f>
        <v>TSSMRT85P07A252M</v>
      </c>
      <c r="N830" s="3" t="s">
        <v>959</v>
      </c>
      <c r="O830" s="3" t="s">
        <v>38</v>
      </c>
      <c r="P830" s="3"/>
      <c r="Q830" s="4">
        <v>45968</v>
      </c>
      <c r="R830" s="3" t="s">
        <v>39</v>
      </c>
      <c r="S830" s="3" t="s">
        <v>38</v>
      </c>
      <c r="T830" s="3" t="s">
        <v>40</v>
      </c>
      <c r="U830" s="3"/>
      <c r="V830" s="3" t="s">
        <v>41</v>
      </c>
      <c r="W830" s="5">
        <v>1265.18</v>
      </c>
      <c r="X830" s="3">
        <v>948.89</v>
      </c>
      <c r="Y830" s="3">
        <v>221.41</v>
      </c>
      <c r="Z830" s="3">
        <v>94.88</v>
      </c>
      <c r="AA830" s="3">
        <v>0</v>
      </c>
    </row>
    <row r="831" spans="1:27" ht="72.75" x14ac:dyDescent="0.25">
      <c r="A831" s="3" t="s">
        <v>28</v>
      </c>
      <c r="B831" s="3" t="s">
        <v>29</v>
      </c>
      <c r="C831" s="3" t="s">
        <v>30</v>
      </c>
      <c r="D831" s="3" t="s">
        <v>65</v>
      </c>
      <c r="E831" s="3" t="s">
        <v>60</v>
      </c>
      <c r="F831" s="3" t="s">
        <v>85</v>
      </c>
      <c r="G831" s="3">
        <v>2025</v>
      </c>
      <c r="H831" s="3" t="str">
        <f>CONCATENATE("54240659521")</f>
        <v>54240659521</v>
      </c>
      <c r="I831" s="3" t="s">
        <v>34</v>
      </c>
      <c r="J831" s="3" t="s">
        <v>35</v>
      </c>
      <c r="K831" s="3"/>
      <c r="L831" s="3" t="s">
        <v>36</v>
      </c>
      <c r="M831" s="3" t="str">
        <f>CONCATENATE("CCCMTR43A56H886H")</f>
        <v>CCCMTR43A56H886H</v>
      </c>
      <c r="N831" s="3" t="s">
        <v>960</v>
      </c>
      <c r="O831" s="3" t="s">
        <v>38</v>
      </c>
      <c r="P831" s="3"/>
      <c r="Q831" s="4">
        <v>45968</v>
      </c>
      <c r="R831" s="3" t="s">
        <v>39</v>
      </c>
      <c r="S831" s="3" t="s">
        <v>38</v>
      </c>
      <c r="T831" s="3" t="s">
        <v>40</v>
      </c>
      <c r="U831" s="3"/>
      <c r="V831" s="3" t="s">
        <v>41</v>
      </c>
      <c r="W831" s="3">
        <v>872.53</v>
      </c>
      <c r="X831" s="3">
        <v>654.4</v>
      </c>
      <c r="Y831" s="3">
        <v>152.69</v>
      </c>
      <c r="Z831" s="3">
        <v>65.44</v>
      </c>
      <c r="AA831" s="3">
        <v>0</v>
      </c>
    </row>
    <row r="832" spans="1:27" ht="36.75" x14ac:dyDescent="0.25">
      <c r="A832" s="3" t="s">
        <v>28</v>
      </c>
      <c r="B832" s="3" t="s">
        <v>29</v>
      </c>
      <c r="C832" s="3" t="s">
        <v>30</v>
      </c>
      <c r="D832" s="3" t="s">
        <v>65</v>
      </c>
      <c r="E832" s="3" t="s">
        <v>60</v>
      </c>
      <c r="F832" s="3" t="s">
        <v>85</v>
      </c>
      <c r="G832" s="3">
        <v>2025</v>
      </c>
      <c r="H832" s="3" t="str">
        <f>CONCATENATE("54240659877")</f>
        <v>54240659877</v>
      </c>
      <c r="I832" s="3" t="s">
        <v>34</v>
      </c>
      <c r="J832" s="3" t="s">
        <v>35</v>
      </c>
      <c r="K832" s="3"/>
      <c r="L832" s="3" t="s">
        <v>36</v>
      </c>
      <c r="M832" s="3" t="str">
        <f>CONCATENATE("02308910419")</f>
        <v>02308910419</v>
      </c>
      <c r="N832" s="3" t="s">
        <v>961</v>
      </c>
      <c r="O832" s="3" t="s">
        <v>38</v>
      </c>
      <c r="P832" s="3"/>
      <c r="Q832" s="4">
        <v>45968</v>
      </c>
      <c r="R832" s="3" t="s">
        <v>39</v>
      </c>
      <c r="S832" s="3" t="s">
        <v>38</v>
      </c>
      <c r="T832" s="3" t="s">
        <v>40</v>
      </c>
      <c r="U832" s="3"/>
      <c r="V832" s="3" t="s">
        <v>41</v>
      </c>
      <c r="W832" s="3">
        <v>681.56</v>
      </c>
      <c r="X832" s="3">
        <v>511.17</v>
      </c>
      <c r="Y832" s="3">
        <v>119.27</v>
      </c>
      <c r="Z832" s="3">
        <v>51.12</v>
      </c>
      <c r="AA832" s="3">
        <v>0</v>
      </c>
    </row>
    <row r="833" spans="1:27" ht="36.75" x14ac:dyDescent="0.25">
      <c r="A833" s="3" t="s">
        <v>28</v>
      </c>
      <c r="B833" s="3" t="s">
        <v>29</v>
      </c>
      <c r="C833" s="3" t="s">
        <v>30</v>
      </c>
      <c r="D833" s="3" t="s">
        <v>47</v>
      </c>
      <c r="E833" s="3" t="s">
        <v>48</v>
      </c>
      <c r="F833" s="3" t="s">
        <v>249</v>
      </c>
      <c r="G833" s="3">
        <v>2025</v>
      </c>
      <c r="H833" s="3" t="str">
        <f>CONCATENATE("54240516630")</f>
        <v>54240516630</v>
      </c>
      <c r="I833" s="3" t="s">
        <v>34</v>
      </c>
      <c r="J833" s="3" t="s">
        <v>35</v>
      </c>
      <c r="K833" s="3"/>
      <c r="L833" s="3" t="s">
        <v>36</v>
      </c>
      <c r="M833" s="3" t="str">
        <f>CONCATENATE("01002500435")</f>
        <v>01002500435</v>
      </c>
      <c r="N833" s="3" t="s">
        <v>962</v>
      </c>
      <c r="O833" s="3" t="s">
        <v>38</v>
      </c>
      <c r="P833" s="3"/>
      <c r="Q833" s="4">
        <v>45968</v>
      </c>
      <c r="R833" s="3" t="s">
        <v>39</v>
      </c>
      <c r="S833" s="3" t="s">
        <v>38</v>
      </c>
      <c r="T833" s="3" t="s">
        <v>40</v>
      </c>
      <c r="U833" s="3"/>
      <c r="V833" s="3" t="s">
        <v>41</v>
      </c>
      <c r="W833" s="3">
        <v>102.2</v>
      </c>
      <c r="X833" s="3">
        <v>76.650000000000006</v>
      </c>
      <c r="Y833" s="3">
        <v>17.89</v>
      </c>
      <c r="Z833" s="3">
        <v>7.66</v>
      </c>
      <c r="AA833" s="3">
        <v>0</v>
      </c>
    </row>
    <row r="834" spans="1:27" ht="60.75" x14ac:dyDescent="0.25">
      <c r="A834" s="3" t="s">
        <v>28</v>
      </c>
      <c r="B834" s="3" t="s">
        <v>29</v>
      </c>
      <c r="C834" s="3" t="s">
        <v>30</v>
      </c>
      <c r="D834" s="3" t="s">
        <v>47</v>
      </c>
      <c r="E834" s="3" t="s">
        <v>60</v>
      </c>
      <c r="F834" s="3" t="s">
        <v>81</v>
      </c>
      <c r="G834" s="3">
        <v>2025</v>
      </c>
      <c r="H834" s="3" t="str">
        <f>CONCATENATE("54240517042")</f>
        <v>54240517042</v>
      </c>
      <c r="I834" s="3" t="s">
        <v>34</v>
      </c>
      <c r="J834" s="3" t="s">
        <v>35</v>
      </c>
      <c r="K834" s="3"/>
      <c r="L834" s="3" t="s">
        <v>36</v>
      </c>
      <c r="M834" s="3" t="str">
        <f>CONCATENATE("GCMLCU66B28C111M")</f>
        <v>GCMLCU66B28C111M</v>
      </c>
      <c r="N834" s="3" t="s">
        <v>963</v>
      </c>
      <c r="O834" s="3" t="s">
        <v>38</v>
      </c>
      <c r="P834" s="3"/>
      <c r="Q834" s="4">
        <v>45968</v>
      </c>
      <c r="R834" s="3" t="s">
        <v>39</v>
      </c>
      <c r="S834" s="3" t="s">
        <v>38</v>
      </c>
      <c r="T834" s="3" t="s">
        <v>40</v>
      </c>
      <c r="U834" s="3"/>
      <c r="V834" s="3" t="s">
        <v>41</v>
      </c>
      <c r="W834" s="3">
        <v>791.39</v>
      </c>
      <c r="X834" s="3">
        <v>593.54</v>
      </c>
      <c r="Y834" s="3">
        <v>138.49</v>
      </c>
      <c r="Z834" s="3">
        <v>59.36</v>
      </c>
      <c r="AA834" s="3">
        <v>0</v>
      </c>
    </row>
    <row r="835" spans="1:27" ht="36.75" x14ac:dyDescent="0.25">
      <c r="A835" s="3" t="s">
        <v>28</v>
      </c>
      <c r="B835" s="3" t="s">
        <v>29</v>
      </c>
      <c r="C835" s="3" t="s">
        <v>30</v>
      </c>
      <c r="D835" s="3" t="s">
        <v>31</v>
      </c>
      <c r="E835" s="3" t="s">
        <v>207</v>
      </c>
      <c r="F835" s="3" t="s">
        <v>215</v>
      </c>
      <c r="G835" s="3">
        <v>2025</v>
      </c>
      <c r="H835" s="3" t="str">
        <f>CONCATENATE("54240610763")</f>
        <v>54240610763</v>
      </c>
      <c r="I835" s="3" t="s">
        <v>34</v>
      </c>
      <c r="J835" s="3" t="s">
        <v>35</v>
      </c>
      <c r="K835" s="3"/>
      <c r="L835" s="3" t="s">
        <v>36</v>
      </c>
      <c r="M835" s="3" t="str">
        <f>CONCATENATE("01640490437")</f>
        <v>01640490437</v>
      </c>
      <c r="N835" s="3" t="s">
        <v>964</v>
      </c>
      <c r="O835" s="3" t="s">
        <v>38</v>
      </c>
      <c r="P835" s="3"/>
      <c r="Q835" s="4">
        <v>45968</v>
      </c>
      <c r="R835" s="3" t="s">
        <v>39</v>
      </c>
      <c r="S835" s="3" t="s">
        <v>38</v>
      </c>
      <c r="T835" s="3" t="s">
        <v>40</v>
      </c>
      <c r="U835" s="3"/>
      <c r="V835" s="3" t="s">
        <v>41</v>
      </c>
      <c r="W835" s="5">
        <v>2682.21</v>
      </c>
      <c r="X835" s="5">
        <v>2011.66</v>
      </c>
      <c r="Y835" s="3">
        <v>469.39</v>
      </c>
      <c r="Z835" s="3">
        <v>201.16</v>
      </c>
      <c r="AA835" s="3">
        <v>0</v>
      </c>
    </row>
    <row r="836" spans="1:27" ht="36.75" x14ac:dyDescent="0.25">
      <c r="A836" s="3" t="s">
        <v>28</v>
      </c>
      <c r="B836" s="3" t="s">
        <v>29</v>
      </c>
      <c r="C836" s="3" t="s">
        <v>30</v>
      </c>
      <c r="D836" s="3" t="s">
        <v>42</v>
      </c>
      <c r="E836" s="3" t="s">
        <v>43</v>
      </c>
      <c r="F836" s="3" t="s">
        <v>43</v>
      </c>
      <c r="G836" s="3">
        <v>2025</v>
      </c>
      <c r="H836" s="3" t="str">
        <f>CONCATENATE("54240663960")</f>
        <v>54240663960</v>
      </c>
      <c r="I836" s="3" t="s">
        <v>34</v>
      </c>
      <c r="J836" s="3" t="s">
        <v>35</v>
      </c>
      <c r="K836" s="3"/>
      <c r="L836" s="3" t="s">
        <v>36</v>
      </c>
      <c r="M836" s="3" t="str">
        <f>CONCATENATE("02502590447")</f>
        <v>02502590447</v>
      </c>
      <c r="N836" s="3" t="s">
        <v>965</v>
      </c>
      <c r="O836" s="3" t="s">
        <v>38</v>
      </c>
      <c r="P836" s="3"/>
      <c r="Q836" s="4">
        <v>45968</v>
      </c>
      <c r="R836" s="3" t="s">
        <v>39</v>
      </c>
      <c r="S836" s="3" t="s">
        <v>38</v>
      </c>
      <c r="T836" s="3" t="s">
        <v>40</v>
      </c>
      <c r="U836" s="3"/>
      <c r="V836" s="3" t="s">
        <v>41</v>
      </c>
      <c r="W836" s="5">
        <v>2128.84</v>
      </c>
      <c r="X836" s="5">
        <v>1596.63</v>
      </c>
      <c r="Y836" s="3">
        <v>372.55</v>
      </c>
      <c r="Z836" s="3">
        <v>159.66</v>
      </c>
      <c r="AA836" s="3">
        <v>0</v>
      </c>
    </row>
    <row r="837" spans="1:27" ht="60.75" x14ac:dyDescent="0.25">
      <c r="A837" s="3" t="s">
        <v>28</v>
      </c>
      <c r="B837" s="3" t="s">
        <v>29</v>
      </c>
      <c r="C837" s="3" t="s">
        <v>30</v>
      </c>
      <c r="D837" s="3" t="s">
        <v>65</v>
      </c>
      <c r="E837" s="3" t="s">
        <v>48</v>
      </c>
      <c r="F837" s="3" t="s">
        <v>66</v>
      </c>
      <c r="G837" s="3">
        <v>2025</v>
      </c>
      <c r="H837" s="3" t="str">
        <f>CONCATENATE("54240517562")</f>
        <v>54240517562</v>
      </c>
      <c r="I837" s="3" t="s">
        <v>34</v>
      </c>
      <c r="J837" s="3" t="s">
        <v>35</v>
      </c>
      <c r="K837" s="3"/>
      <c r="L837" s="3" t="s">
        <v>36</v>
      </c>
      <c r="M837" s="3" t="str">
        <f>CONCATENATE("PLAGRG87C17I459X")</f>
        <v>PLAGRG87C17I459X</v>
      </c>
      <c r="N837" s="3" t="s">
        <v>966</v>
      </c>
      <c r="O837" s="3" t="s">
        <v>38</v>
      </c>
      <c r="P837" s="3"/>
      <c r="Q837" s="4">
        <v>45968</v>
      </c>
      <c r="R837" s="3" t="s">
        <v>39</v>
      </c>
      <c r="S837" s="3" t="s">
        <v>38</v>
      </c>
      <c r="T837" s="3" t="s">
        <v>40</v>
      </c>
      <c r="U837" s="3"/>
      <c r="V837" s="3" t="s">
        <v>41</v>
      </c>
      <c r="W837" s="5">
        <v>11814.91</v>
      </c>
      <c r="X837" s="5">
        <v>8861.18</v>
      </c>
      <c r="Y837" s="5">
        <v>2067.61</v>
      </c>
      <c r="Z837" s="3">
        <v>886.12</v>
      </c>
      <c r="AA837" s="3">
        <v>0</v>
      </c>
    </row>
    <row r="838" spans="1:27" ht="36.75" x14ac:dyDescent="0.25">
      <c r="A838" s="3" t="s">
        <v>28</v>
      </c>
      <c r="B838" s="3" t="s">
        <v>29</v>
      </c>
      <c r="C838" s="3" t="s">
        <v>30</v>
      </c>
      <c r="D838" s="3" t="s">
        <v>65</v>
      </c>
      <c r="E838" s="3" t="s">
        <v>48</v>
      </c>
      <c r="F838" s="3" t="s">
        <v>76</v>
      </c>
      <c r="G838" s="3">
        <v>2025</v>
      </c>
      <c r="H838" s="3" t="str">
        <f>CONCATENATE("54240540614")</f>
        <v>54240540614</v>
      </c>
      <c r="I838" s="3" t="s">
        <v>34</v>
      </c>
      <c r="J838" s="3" t="s">
        <v>35</v>
      </c>
      <c r="K838" s="3"/>
      <c r="L838" s="3" t="s">
        <v>36</v>
      </c>
      <c r="M838" s="3" t="str">
        <f>CONCATENATE("02468780412")</f>
        <v>02468780412</v>
      </c>
      <c r="N838" s="3" t="s">
        <v>967</v>
      </c>
      <c r="O838" s="3" t="s">
        <v>38</v>
      </c>
      <c r="P838" s="3"/>
      <c r="Q838" s="4">
        <v>45968</v>
      </c>
      <c r="R838" s="3" t="s">
        <v>39</v>
      </c>
      <c r="S838" s="3" t="s">
        <v>38</v>
      </c>
      <c r="T838" s="3" t="s">
        <v>40</v>
      </c>
      <c r="U838" s="3"/>
      <c r="V838" s="3" t="s">
        <v>41</v>
      </c>
      <c r="W838" s="5">
        <v>4789.1099999999997</v>
      </c>
      <c r="X838" s="5">
        <v>3591.83</v>
      </c>
      <c r="Y838" s="3">
        <v>838.09</v>
      </c>
      <c r="Z838" s="3">
        <v>359.19</v>
      </c>
      <c r="AA838" s="3">
        <v>0</v>
      </c>
    </row>
    <row r="839" spans="1:27" ht="60.75" x14ac:dyDescent="0.25">
      <c r="A839" s="3" t="s">
        <v>28</v>
      </c>
      <c r="B839" s="3" t="s">
        <v>29</v>
      </c>
      <c r="C839" s="3" t="s">
        <v>30</v>
      </c>
      <c r="D839" s="3" t="s">
        <v>42</v>
      </c>
      <c r="E839" s="3" t="s">
        <v>51</v>
      </c>
      <c r="F839" s="3" t="s">
        <v>375</v>
      </c>
      <c r="G839" s="3">
        <v>2025</v>
      </c>
      <c r="H839" s="3" t="str">
        <f>CONCATENATE("54240518578")</f>
        <v>54240518578</v>
      </c>
      <c r="I839" s="3" t="s">
        <v>34</v>
      </c>
      <c r="J839" s="3" t="s">
        <v>35</v>
      </c>
      <c r="K839" s="3"/>
      <c r="L839" s="3" t="s">
        <v>36</v>
      </c>
      <c r="M839" s="3" t="str">
        <f>CONCATENATE("RLADNL93L10H769F")</f>
        <v>RLADNL93L10H769F</v>
      </c>
      <c r="N839" s="3" t="s">
        <v>968</v>
      </c>
      <c r="O839" s="3" t="s">
        <v>38</v>
      </c>
      <c r="P839" s="3"/>
      <c r="Q839" s="4">
        <v>45968</v>
      </c>
      <c r="R839" s="3" t="s">
        <v>39</v>
      </c>
      <c r="S839" s="3" t="s">
        <v>38</v>
      </c>
      <c r="T839" s="3" t="s">
        <v>40</v>
      </c>
      <c r="U839" s="3"/>
      <c r="V839" s="3" t="s">
        <v>41</v>
      </c>
      <c r="W839" s="5">
        <v>6492.51</v>
      </c>
      <c r="X839" s="5">
        <v>4869.38</v>
      </c>
      <c r="Y839" s="5">
        <v>1136.19</v>
      </c>
      <c r="Z839" s="3">
        <v>486.94</v>
      </c>
      <c r="AA839" s="3">
        <v>0</v>
      </c>
    </row>
    <row r="840" spans="1:27" ht="60.75" x14ac:dyDescent="0.25">
      <c r="A840" s="3" t="s">
        <v>28</v>
      </c>
      <c r="B840" s="3" t="s">
        <v>29</v>
      </c>
      <c r="C840" s="3" t="s">
        <v>30</v>
      </c>
      <c r="D840" s="3" t="s">
        <v>42</v>
      </c>
      <c r="E840" s="3" t="s">
        <v>207</v>
      </c>
      <c r="F840" s="3" t="s">
        <v>217</v>
      </c>
      <c r="G840" s="3">
        <v>2025</v>
      </c>
      <c r="H840" s="3" t="str">
        <f>CONCATENATE("54240611100")</f>
        <v>54240611100</v>
      </c>
      <c r="I840" s="3" t="s">
        <v>34</v>
      </c>
      <c r="J840" s="3" t="s">
        <v>35</v>
      </c>
      <c r="K840" s="3"/>
      <c r="L840" s="3" t="s">
        <v>36</v>
      </c>
      <c r="M840" s="3" t="str">
        <f>CONCATENATE("SPNSLV85L63H501V")</f>
        <v>SPNSLV85L63H501V</v>
      </c>
      <c r="N840" s="3" t="s">
        <v>969</v>
      </c>
      <c r="O840" s="3" t="s">
        <v>38</v>
      </c>
      <c r="P840" s="3"/>
      <c r="Q840" s="4">
        <v>45968</v>
      </c>
      <c r="R840" s="3" t="s">
        <v>39</v>
      </c>
      <c r="S840" s="3" t="s">
        <v>38</v>
      </c>
      <c r="T840" s="3" t="s">
        <v>40</v>
      </c>
      <c r="U840" s="3"/>
      <c r="V840" s="3" t="s">
        <v>41</v>
      </c>
      <c r="W840" s="5">
        <v>1636.04</v>
      </c>
      <c r="X840" s="5">
        <v>1227.03</v>
      </c>
      <c r="Y840" s="3">
        <v>286.31</v>
      </c>
      <c r="Z840" s="3">
        <v>122.7</v>
      </c>
      <c r="AA840" s="3">
        <v>0</v>
      </c>
    </row>
    <row r="841" spans="1:27" ht="36.75" x14ac:dyDescent="0.25">
      <c r="A841" s="3" t="s">
        <v>28</v>
      </c>
      <c r="B841" s="3" t="s">
        <v>29</v>
      </c>
      <c r="C841" s="3" t="s">
        <v>30</v>
      </c>
      <c r="D841" s="3" t="s">
        <v>47</v>
      </c>
      <c r="E841" s="3" t="s">
        <v>48</v>
      </c>
      <c r="F841" s="3" t="s">
        <v>249</v>
      </c>
      <c r="G841" s="3">
        <v>2025</v>
      </c>
      <c r="H841" s="3" t="str">
        <f>CONCATENATE("54240518909")</f>
        <v>54240518909</v>
      </c>
      <c r="I841" s="3" t="s">
        <v>34</v>
      </c>
      <c r="J841" s="3" t="s">
        <v>35</v>
      </c>
      <c r="K841" s="3"/>
      <c r="L841" s="3" t="s">
        <v>36</v>
      </c>
      <c r="M841" s="3" t="str">
        <f>CONCATENATE("01913730436")</f>
        <v>01913730436</v>
      </c>
      <c r="N841" s="3" t="s">
        <v>970</v>
      </c>
      <c r="O841" s="3" t="s">
        <v>38</v>
      </c>
      <c r="P841" s="3"/>
      <c r="Q841" s="4">
        <v>45968</v>
      </c>
      <c r="R841" s="3" t="s">
        <v>39</v>
      </c>
      <c r="S841" s="3" t="s">
        <v>38</v>
      </c>
      <c r="T841" s="3" t="s">
        <v>40</v>
      </c>
      <c r="U841" s="3"/>
      <c r="V841" s="3" t="s">
        <v>41</v>
      </c>
      <c r="W841" s="5">
        <v>4000.53</v>
      </c>
      <c r="X841" s="5">
        <v>3000.4</v>
      </c>
      <c r="Y841" s="3">
        <v>700.09</v>
      </c>
      <c r="Z841" s="3">
        <v>300.04000000000002</v>
      </c>
      <c r="AA841" s="3">
        <v>0</v>
      </c>
    </row>
    <row r="842" spans="1:27" ht="60.75" x14ac:dyDescent="0.25">
      <c r="A842" s="3" t="s">
        <v>28</v>
      </c>
      <c r="B842" s="3" t="s">
        <v>29</v>
      </c>
      <c r="C842" s="3" t="s">
        <v>30</v>
      </c>
      <c r="D842" s="3" t="s">
        <v>42</v>
      </c>
      <c r="E842" s="3" t="s">
        <v>51</v>
      </c>
      <c r="F842" s="3" t="s">
        <v>375</v>
      </c>
      <c r="G842" s="3">
        <v>2025</v>
      </c>
      <c r="H842" s="3" t="str">
        <f>CONCATENATE("54240519345")</f>
        <v>54240519345</v>
      </c>
      <c r="I842" s="3" t="s">
        <v>44</v>
      </c>
      <c r="J842" s="3" t="s">
        <v>35</v>
      </c>
      <c r="K842" s="3"/>
      <c r="L842" s="3" t="s">
        <v>36</v>
      </c>
      <c r="M842" s="3" t="str">
        <f>CONCATENATE("DNGLNI57L41G005S")</f>
        <v>DNGLNI57L41G005S</v>
      </c>
      <c r="N842" s="3" t="s">
        <v>971</v>
      </c>
      <c r="O842" s="3" t="s">
        <v>38</v>
      </c>
      <c r="P842" s="3"/>
      <c r="Q842" s="4">
        <v>45968</v>
      </c>
      <c r="R842" s="3" t="s">
        <v>39</v>
      </c>
      <c r="S842" s="3" t="s">
        <v>38</v>
      </c>
      <c r="T842" s="3" t="s">
        <v>40</v>
      </c>
      <c r="U842" s="3"/>
      <c r="V842" s="3" t="s">
        <v>41</v>
      </c>
      <c r="W842" s="5">
        <v>11542.64</v>
      </c>
      <c r="X842" s="5">
        <v>8656.98</v>
      </c>
      <c r="Y842" s="5">
        <v>2019.96</v>
      </c>
      <c r="Z842" s="3">
        <v>865.7</v>
      </c>
      <c r="AA842" s="3">
        <v>0</v>
      </c>
    </row>
    <row r="843" spans="1:27" ht="36.75" x14ac:dyDescent="0.25">
      <c r="A843" s="3" t="s">
        <v>28</v>
      </c>
      <c r="B843" s="3" t="s">
        <v>29</v>
      </c>
      <c r="C843" s="3" t="s">
        <v>30</v>
      </c>
      <c r="D843" s="3" t="s">
        <v>65</v>
      </c>
      <c r="E843" s="3" t="s">
        <v>48</v>
      </c>
      <c r="F843" s="3" t="s">
        <v>76</v>
      </c>
      <c r="G843" s="3">
        <v>2025</v>
      </c>
      <c r="H843" s="3" t="str">
        <f>CONCATENATE("54240519469")</f>
        <v>54240519469</v>
      </c>
      <c r="I843" s="3" t="s">
        <v>44</v>
      </c>
      <c r="J843" s="3" t="s">
        <v>35</v>
      </c>
      <c r="K843" s="3"/>
      <c r="L843" s="3" t="s">
        <v>36</v>
      </c>
      <c r="M843" s="3" t="str">
        <f>CONCATENATE("02746840418")</f>
        <v>02746840418</v>
      </c>
      <c r="N843" s="3" t="s">
        <v>972</v>
      </c>
      <c r="O843" s="3" t="s">
        <v>38</v>
      </c>
      <c r="P843" s="3"/>
      <c r="Q843" s="4">
        <v>45968</v>
      </c>
      <c r="R843" s="3" t="s">
        <v>39</v>
      </c>
      <c r="S843" s="3" t="s">
        <v>38</v>
      </c>
      <c r="T843" s="3" t="s">
        <v>40</v>
      </c>
      <c r="U843" s="3"/>
      <c r="V843" s="3" t="s">
        <v>41</v>
      </c>
      <c r="W843" s="5">
        <v>6571.32</v>
      </c>
      <c r="X843" s="5">
        <v>4928.49</v>
      </c>
      <c r="Y843" s="5">
        <v>1149.98</v>
      </c>
      <c r="Z843" s="3">
        <v>492.85</v>
      </c>
      <c r="AA843" s="3">
        <v>0</v>
      </c>
    </row>
    <row r="844" spans="1:27" ht="36.75" x14ac:dyDescent="0.25">
      <c r="A844" s="3" t="s">
        <v>28</v>
      </c>
      <c r="B844" s="3" t="s">
        <v>29</v>
      </c>
      <c r="C844" s="3" t="s">
        <v>30</v>
      </c>
      <c r="D844" s="3" t="s">
        <v>47</v>
      </c>
      <c r="E844" s="3" t="s">
        <v>48</v>
      </c>
      <c r="F844" s="3" t="s">
        <v>249</v>
      </c>
      <c r="G844" s="3">
        <v>2025</v>
      </c>
      <c r="H844" s="3" t="str">
        <f>CONCATENATE("54240520038")</f>
        <v>54240520038</v>
      </c>
      <c r="I844" s="3" t="s">
        <v>44</v>
      </c>
      <c r="J844" s="3" t="s">
        <v>35</v>
      </c>
      <c r="K844" s="3"/>
      <c r="L844" s="3" t="s">
        <v>36</v>
      </c>
      <c r="M844" s="3" t="str">
        <f>CONCATENATE("01856130438")</f>
        <v>01856130438</v>
      </c>
      <c r="N844" s="3" t="s">
        <v>973</v>
      </c>
      <c r="O844" s="3" t="s">
        <v>38</v>
      </c>
      <c r="P844" s="3"/>
      <c r="Q844" s="4">
        <v>45968</v>
      </c>
      <c r="R844" s="3" t="s">
        <v>39</v>
      </c>
      <c r="S844" s="3" t="s">
        <v>38</v>
      </c>
      <c r="T844" s="3" t="s">
        <v>40</v>
      </c>
      <c r="U844" s="3"/>
      <c r="V844" s="3" t="s">
        <v>41</v>
      </c>
      <c r="W844" s="5">
        <v>1109.45</v>
      </c>
      <c r="X844" s="3">
        <v>832.09</v>
      </c>
      <c r="Y844" s="3">
        <v>194.15</v>
      </c>
      <c r="Z844" s="3">
        <v>83.21</v>
      </c>
      <c r="AA844" s="3">
        <v>0</v>
      </c>
    </row>
    <row r="845" spans="1:27" ht="72.75" x14ac:dyDescent="0.25">
      <c r="A845" s="3" t="s">
        <v>28</v>
      </c>
      <c r="B845" s="3" t="s">
        <v>29</v>
      </c>
      <c r="C845" s="3" t="s">
        <v>30</v>
      </c>
      <c r="D845" s="3" t="s">
        <v>31</v>
      </c>
      <c r="E845" s="3" t="s">
        <v>48</v>
      </c>
      <c r="F845" s="3" t="s">
        <v>76</v>
      </c>
      <c r="G845" s="3">
        <v>2025</v>
      </c>
      <c r="H845" s="3" t="str">
        <f>CONCATENATE("54240519691")</f>
        <v>54240519691</v>
      </c>
      <c r="I845" s="3" t="s">
        <v>34</v>
      </c>
      <c r="J845" s="3" t="s">
        <v>35</v>
      </c>
      <c r="K845" s="3"/>
      <c r="L845" s="3" t="s">
        <v>36</v>
      </c>
      <c r="M845" s="3" t="str">
        <f>CONCATENATE("DTTCRD72M28D211Q")</f>
        <v>DTTCRD72M28D211Q</v>
      </c>
      <c r="N845" s="3" t="s">
        <v>974</v>
      </c>
      <c r="O845" s="3" t="s">
        <v>38</v>
      </c>
      <c r="P845" s="3"/>
      <c r="Q845" s="4">
        <v>45968</v>
      </c>
      <c r="R845" s="3" t="s">
        <v>39</v>
      </c>
      <c r="S845" s="3" t="s">
        <v>38</v>
      </c>
      <c r="T845" s="3" t="s">
        <v>40</v>
      </c>
      <c r="U845" s="3"/>
      <c r="V845" s="3" t="s">
        <v>41</v>
      </c>
      <c r="W845" s="3">
        <v>559.16</v>
      </c>
      <c r="X845" s="3">
        <v>419.37</v>
      </c>
      <c r="Y845" s="3">
        <v>97.85</v>
      </c>
      <c r="Z845" s="3">
        <v>41.94</v>
      </c>
      <c r="AA845" s="3">
        <v>0</v>
      </c>
    </row>
    <row r="846" spans="1:27" ht="60.75" x14ac:dyDescent="0.25">
      <c r="A846" s="3" t="s">
        <v>28</v>
      </c>
      <c r="B846" s="3" t="s">
        <v>29</v>
      </c>
      <c r="C846" s="3" t="s">
        <v>30</v>
      </c>
      <c r="D846" s="3" t="s">
        <v>31</v>
      </c>
      <c r="E846" s="3" t="s">
        <v>32</v>
      </c>
      <c r="F846" s="3" t="s">
        <v>63</v>
      </c>
      <c r="G846" s="3">
        <v>2025</v>
      </c>
      <c r="H846" s="3" t="str">
        <f>CONCATENATE("54240651205")</f>
        <v>54240651205</v>
      </c>
      <c r="I846" s="3" t="s">
        <v>34</v>
      </c>
      <c r="J846" s="3" t="s">
        <v>35</v>
      </c>
      <c r="K846" s="3"/>
      <c r="L846" s="3" t="s">
        <v>36</v>
      </c>
      <c r="M846" s="3" t="str">
        <f>CONCATENATE("DTTDRD90S22E388C")</f>
        <v>DTTDRD90S22E388C</v>
      </c>
      <c r="N846" s="3" t="s">
        <v>975</v>
      </c>
      <c r="O846" s="3" t="s">
        <v>38</v>
      </c>
      <c r="P846" s="3"/>
      <c r="Q846" s="4">
        <v>45968</v>
      </c>
      <c r="R846" s="3" t="s">
        <v>39</v>
      </c>
      <c r="S846" s="3" t="s">
        <v>38</v>
      </c>
      <c r="T846" s="3" t="s">
        <v>40</v>
      </c>
      <c r="U846" s="3"/>
      <c r="V846" s="3" t="s">
        <v>41</v>
      </c>
      <c r="W846" s="5">
        <v>6616.12</v>
      </c>
      <c r="X846" s="5">
        <v>4962.09</v>
      </c>
      <c r="Y846" s="5">
        <v>1157.82</v>
      </c>
      <c r="Z846" s="3">
        <v>496.21</v>
      </c>
      <c r="AA846" s="3">
        <v>0</v>
      </c>
    </row>
    <row r="847" spans="1:27" ht="60.75" x14ac:dyDescent="0.25">
      <c r="A847" s="3" t="s">
        <v>28</v>
      </c>
      <c r="B847" s="3" t="s">
        <v>29</v>
      </c>
      <c r="C847" s="3" t="s">
        <v>30</v>
      </c>
      <c r="D847" s="3" t="s">
        <v>31</v>
      </c>
      <c r="E847" s="3" t="s">
        <v>207</v>
      </c>
      <c r="F847" s="3" t="s">
        <v>215</v>
      </c>
      <c r="G847" s="3">
        <v>2025</v>
      </c>
      <c r="H847" s="3" t="str">
        <f>CONCATENATE("54240651742")</f>
        <v>54240651742</v>
      </c>
      <c r="I847" s="3" t="s">
        <v>34</v>
      </c>
      <c r="J847" s="3" t="s">
        <v>35</v>
      </c>
      <c r="K847" s="3"/>
      <c r="L847" s="3" t="s">
        <v>36</v>
      </c>
      <c r="M847" s="3" t="str">
        <f>CONCATENATE("CNTSRA63A26D007L")</f>
        <v>CNTSRA63A26D007L</v>
      </c>
      <c r="N847" s="3" t="s">
        <v>976</v>
      </c>
      <c r="O847" s="3" t="s">
        <v>38</v>
      </c>
      <c r="P847" s="3"/>
      <c r="Q847" s="4">
        <v>45968</v>
      </c>
      <c r="R847" s="3" t="s">
        <v>39</v>
      </c>
      <c r="S847" s="3" t="s">
        <v>38</v>
      </c>
      <c r="T847" s="3" t="s">
        <v>40</v>
      </c>
      <c r="U847" s="3"/>
      <c r="V847" s="3" t="s">
        <v>41</v>
      </c>
      <c r="W847" s="5">
        <v>3227.52</v>
      </c>
      <c r="X847" s="5">
        <v>2420.64</v>
      </c>
      <c r="Y847" s="3">
        <v>564.82000000000005</v>
      </c>
      <c r="Z847" s="3">
        <v>242.06</v>
      </c>
      <c r="AA847" s="3">
        <v>0</v>
      </c>
    </row>
    <row r="848" spans="1:27" ht="36.75" x14ac:dyDescent="0.25">
      <c r="A848" s="3" t="s">
        <v>28</v>
      </c>
      <c r="B848" s="3" t="s">
        <v>29</v>
      </c>
      <c r="C848" s="3" t="s">
        <v>30</v>
      </c>
      <c r="D848" s="3" t="s">
        <v>31</v>
      </c>
      <c r="E848" s="3" t="s">
        <v>207</v>
      </c>
      <c r="F848" s="3" t="s">
        <v>215</v>
      </c>
      <c r="G848" s="3">
        <v>2025</v>
      </c>
      <c r="H848" s="3" t="str">
        <f>CONCATENATE("54240658853")</f>
        <v>54240658853</v>
      </c>
      <c r="I848" s="3" t="s">
        <v>34</v>
      </c>
      <c r="J848" s="3" t="s">
        <v>35</v>
      </c>
      <c r="K848" s="3"/>
      <c r="L848" s="3" t="s">
        <v>36</v>
      </c>
      <c r="M848" s="3" t="str">
        <f>CONCATENATE("02118990429")</f>
        <v>02118990429</v>
      </c>
      <c r="N848" s="3" t="s">
        <v>977</v>
      </c>
      <c r="O848" s="3" t="s">
        <v>38</v>
      </c>
      <c r="P848" s="3"/>
      <c r="Q848" s="4">
        <v>45968</v>
      </c>
      <c r="R848" s="3" t="s">
        <v>39</v>
      </c>
      <c r="S848" s="3" t="s">
        <v>38</v>
      </c>
      <c r="T848" s="3" t="s">
        <v>40</v>
      </c>
      <c r="U848" s="3"/>
      <c r="V848" s="3" t="s">
        <v>41</v>
      </c>
      <c r="W848" s="5">
        <v>12823.53</v>
      </c>
      <c r="X848" s="5">
        <v>9617.65</v>
      </c>
      <c r="Y848" s="5">
        <v>2244.12</v>
      </c>
      <c r="Z848" s="3">
        <v>961.76</v>
      </c>
      <c r="AA848" s="3">
        <v>0</v>
      </c>
    </row>
    <row r="849" spans="1:27" ht="60.75" x14ac:dyDescent="0.25">
      <c r="A849" s="3" t="s">
        <v>28</v>
      </c>
      <c r="B849" s="3" t="s">
        <v>29</v>
      </c>
      <c r="C849" s="3" t="s">
        <v>30</v>
      </c>
      <c r="D849" s="3" t="s">
        <v>47</v>
      </c>
      <c r="E849" s="3" t="s">
        <v>51</v>
      </c>
      <c r="F849" s="3" t="s">
        <v>161</v>
      </c>
      <c r="G849" s="3">
        <v>2025</v>
      </c>
      <c r="H849" s="3" t="str">
        <f>CONCATENATE("54240513413")</f>
        <v>54240513413</v>
      </c>
      <c r="I849" s="3" t="s">
        <v>34</v>
      </c>
      <c r="J849" s="3" t="s">
        <v>35</v>
      </c>
      <c r="K849" s="3"/>
      <c r="L849" s="3" t="s">
        <v>36</v>
      </c>
      <c r="M849" s="3" t="str">
        <f>CONCATENATE("MRNFNC81T03B041Z")</f>
        <v>MRNFNC81T03B041Z</v>
      </c>
      <c r="N849" s="3" t="s">
        <v>978</v>
      </c>
      <c r="O849" s="3" t="s">
        <v>38</v>
      </c>
      <c r="P849" s="3"/>
      <c r="Q849" s="4">
        <v>45968</v>
      </c>
      <c r="R849" s="3" t="s">
        <v>39</v>
      </c>
      <c r="S849" s="3" t="s">
        <v>38</v>
      </c>
      <c r="T849" s="3" t="s">
        <v>40</v>
      </c>
      <c r="U849" s="3"/>
      <c r="V849" s="3" t="s">
        <v>41</v>
      </c>
      <c r="W849" s="5">
        <v>8163.63</v>
      </c>
      <c r="X849" s="5">
        <v>6122.72</v>
      </c>
      <c r="Y849" s="5">
        <v>1428.64</v>
      </c>
      <c r="Z849" s="3">
        <v>612.27</v>
      </c>
      <c r="AA849" s="3">
        <v>0</v>
      </c>
    </row>
    <row r="850" spans="1:27" ht="60.75" x14ac:dyDescent="0.25">
      <c r="A850" s="3" t="s">
        <v>28</v>
      </c>
      <c r="B850" s="3" t="s">
        <v>29</v>
      </c>
      <c r="C850" s="3" t="s">
        <v>30</v>
      </c>
      <c r="D850" s="3" t="s">
        <v>31</v>
      </c>
      <c r="E850" s="3" t="s">
        <v>32</v>
      </c>
      <c r="F850" s="3" t="s">
        <v>621</v>
      </c>
      <c r="G850" s="3">
        <v>2025</v>
      </c>
      <c r="H850" s="3" t="str">
        <f>CONCATENATE("54240512522")</f>
        <v>54240512522</v>
      </c>
      <c r="I850" s="3" t="s">
        <v>34</v>
      </c>
      <c r="J850" s="3" t="s">
        <v>35</v>
      </c>
      <c r="K850" s="3"/>
      <c r="L850" s="3" t="s">
        <v>36</v>
      </c>
      <c r="M850" s="3" t="str">
        <f>CONCATENATE("MRNFST60C03H321E")</f>
        <v>MRNFST60C03H321E</v>
      </c>
      <c r="N850" s="3" t="s">
        <v>979</v>
      </c>
      <c r="O850" s="3" t="s">
        <v>38</v>
      </c>
      <c r="P850" s="3"/>
      <c r="Q850" s="4">
        <v>45968</v>
      </c>
      <c r="R850" s="3" t="s">
        <v>39</v>
      </c>
      <c r="S850" s="3" t="s">
        <v>38</v>
      </c>
      <c r="T850" s="3" t="s">
        <v>40</v>
      </c>
      <c r="U850" s="3"/>
      <c r="V850" s="3" t="s">
        <v>41</v>
      </c>
      <c r="W850" s="5">
        <v>1068.47</v>
      </c>
      <c r="X850" s="3">
        <v>801.35</v>
      </c>
      <c r="Y850" s="3">
        <v>186.98</v>
      </c>
      <c r="Z850" s="3">
        <v>80.14</v>
      </c>
      <c r="AA850" s="3">
        <v>0</v>
      </c>
    </row>
    <row r="851" spans="1:27" ht="60.75" x14ac:dyDescent="0.25">
      <c r="A851" s="3" t="s">
        <v>28</v>
      </c>
      <c r="B851" s="3" t="s">
        <v>29</v>
      </c>
      <c r="C851" s="3" t="s">
        <v>30</v>
      </c>
      <c r="D851" s="3" t="s">
        <v>42</v>
      </c>
      <c r="E851" s="3" t="s">
        <v>51</v>
      </c>
      <c r="F851" s="3" t="s">
        <v>524</v>
      </c>
      <c r="G851" s="3">
        <v>2025</v>
      </c>
      <c r="H851" s="3" t="str">
        <f>CONCATENATE("54240649894")</f>
        <v>54240649894</v>
      </c>
      <c r="I851" s="3" t="s">
        <v>34</v>
      </c>
      <c r="J851" s="3" t="s">
        <v>35</v>
      </c>
      <c r="K851" s="3"/>
      <c r="L851" s="3" t="s">
        <v>36</v>
      </c>
      <c r="M851" s="3" t="str">
        <f>CONCATENATE("VNGGPP67H61F626O")</f>
        <v>VNGGPP67H61F626O</v>
      </c>
      <c r="N851" s="3" t="s">
        <v>980</v>
      </c>
      <c r="O851" s="3" t="s">
        <v>38</v>
      </c>
      <c r="P851" s="3"/>
      <c r="Q851" s="4">
        <v>45968</v>
      </c>
      <c r="R851" s="3" t="s">
        <v>39</v>
      </c>
      <c r="S851" s="3" t="s">
        <v>38</v>
      </c>
      <c r="T851" s="3" t="s">
        <v>40</v>
      </c>
      <c r="U851" s="3"/>
      <c r="V851" s="3" t="s">
        <v>41</v>
      </c>
      <c r="W851" s="5">
        <v>21253.599999999999</v>
      </c>
      <c r="X851" s="5">
        <v>15940.2</v>
      </c>
      <c r="Y851" s="5">
        <v>3719.38</v>
      </c>
      <c r="Z851" s="5">
        <v>1594.02</v>
      </c>
      <c r="AA851" s="3">
        <v>0</v>
      </c>
    </row>
    <row r="852" spans="1:27" ht="36.75" x14ac:dyDescent="0.25">
      <c r="A852" s="3" t="s">
        <v>28</v>
      </c>
      <c r="B852" s="3" t="s">
        <v>29</v>
      </c>
      <c r="C852" s="3" t="s">
        <v>30</v>
      </c>
      <c r="D852" s="3" t="s">
        <v>31</v>
      </c>
      <c r="E852" s="3" t="s">
        <v>32</v>
      </c>
      <c r="F852" s="3" t="s">
        <v>63</v>
      </c>
      <c r="G852" s="3">
        <v>2025</v>
      </c>
      <c r="H852" s="3" t="str">
        <f>CONCATENATE("54240509841")</f>
        <v>54240509841</v>
      </c>
      <c r="I852" s="3" t="s">
        <v>34</v>
      </c>
      <c r="J852" s="3" t="s">
        <v>35</v>
      </c>
      <c r="K852" s="3"/>
      <c r="L852" s="3" t="s">
        <v>36</v>
      </c>
      <c r="M852" s="3" t="str">
        <f>CONCATENATE("02745870424")</f>
        <v>02745870424</v>
      </c>
      <c r="N852" s="3" t="s">
        <v>981</v>
      </c>
      <c r="O852" s="3" t="s">
        <v>38</v>
      </c>
      <c r="P852" s="3"/>
      <c r="Q852" s="4">
        <v>45968</v>
      </c>
      <c r="R852" s="3" t="s">
        <v>39</v>
      </c>
      <c r="S852" s="3" t="s">
        <v>38</v>
      </c>
      <c r="T852" s="3" t="s">
        <v>40</v>
      </c>
      <c r="U852" s="3"/>
      <c r="V852" s="3" t="s">
        <v>41</v>
      </c>
      <c r="W852" s="5">
        <v>3536.42</v>
      </c>
      <c r="X852" s="5">
        <v>2652.32</v>
      </c>
      <c r="Y852" s="3">
        <v>618.87</v>
      </c>
      <c r="Z852" s="3">
        <v>265.23</v>
      </c>
      <c r="AA852" s="3">
        <v>0</v>
      </c>
    </row>
    <row r="853" spans="1:27" ht="60.75" x14ac:dyDescent="0.25">
      <c r="A853" s="3" t="s">
        <v>28</v>
      </c>
      <c r="B853" s="3" t="s">
        <v>29</v>
      </c>
      <c r="C853" s="3" t="s">
        <v>30</v>
      </c>
      <c r="D853" s="3" t="s">
        <v>65</v>
      </c>
      <c r="E853" s="3" t="s">
        <v>48</v>
      </c>
      <c r="F853" s="3" t="s">
        <v>76</v>
      </c>
      <c r="G853" s="3">
        <v>2025</v>
      </c>
      <c r="H853" s="3" t="str">
        <f>CONCATENATE("54240509882")</f>
        <v>54240509882</v>
      </c>
      <c r="I853" s="3" t="s">
        <v>34</v>
      </c>
      <c r="J853" s="3" t="s">
        <v>35</v>
      </c>
      <c r="K853" s="3"/>
      <c r="L853" s="3" t="s">
        <v>36</v>
      </c>
      <c r="M853" s="3" t="str">
        <f>CONCATENATE("MRCMHL71L12G479V")</f>
        <v>MRCMHL71L12G479V</v>
      </c>
      <c r="N853" s="3" t="s">
        <v>982</v>
      </c>
      <c r="O853" s="3" t="s">
        <v>38</v>
      </c>
      <c r="P853" s="3"/>
      <c r="Q853" s="4">
        <v>45968</v>
      </c>
      <c r="R853" s="3" t="s">
        <v>39</v>
      </c>
      <c r="S853" s="3" t="s">
        <v>38</v>
      </c>
      <c r="T853" s="3" t="s">
        <v>40</v>
      </c>
      <c r="U853" s="3"/>
      <c r="V853" s="3" t="s">
        <v>41</v>
      </c>
      <c r="W853" s="5">
        <v>1012.58</v>
      </c>
      <c r="X853" s="3">
        <v>759.44</v>
      </c>
      <c r="Y853" s="3">
        <v>177.2</v>
      </c>
      <c r="Z853" s="3">
        <v>75.94</v>
      </c>
      <c r="AA853" s="3">
        <v>0</v>
      </c>
    </row>
    <row r="854" spans="1:27" ht="60.75" x14ac:dyDescent="0.25">
      <c r="A854" s="3" t="s">
        <v>28</v>
      </c>
      <c r="B854" s="3" t="s">
        <v>29</v>
      </c>
      <c r="C854" s="3" t="s">
        <v>30</v>
      </c>
      <c r="D854" s="3" t="s">
        <v>42</v>
      </c>
      <c r="E854" s="3" t="s">
        <v>32</v>
      </c>
      <c r="F854" s="3" t="s">
        <v>101</v>
      </c>
      <c r="G854" s="3">
        <v>2025</v>
      </c>
      <c r="H854" s="3" t="str">
        <f>CONCATENATE("54240510047")</f>
        <v>54240510047</v>
      </c>
      <c r="I854" s="3" t="s">
        <v>34</v>
      </c>
      <c r="J854" s="3" t="s">
        <v>35</v>
      </c>
      <c r="K854" s="3"/>
      <c r="L854" s="3" t="s">
        <v>36</v>
      </c>
      <c r="M854" s="3" t="str">
        <f>CONCATENATE("DLRLSN93A12A462J")</f>
        <v>DLRLSN93A12A462J</v>
      </c>
      <c r="N854" s="3" t="s">
        <v>983</v>
      </c>
      <c r="O854" s="3" t="s">
        <v>38</v>
      </c>
      <c r="P854" s="3"/>
      <c r="Q854" s="4">
        <v>45968</v>
      </c>
      <c r="R854" s="3" t="s">
        <v>39</v>
      </c>
      <c r="S854" s="3" t="s">
        <v>38</v>
      </c>
      <c r="T854" s="3" t="s">
        <v>40</v>
      </c>
      <c r="U854" s="3"/>
      <c r="V854" s="3" t="s">
        <v>41</v>
      </c>
      <c r="W854" s="5">
        <v>8008.73</v>
      </c>
      <c r="X854" s="5">
        <v>6006.55</v>
      </c>
      <c r="Y854" s="5">
        <v>1401.53</v>
      </c>
      <c r="Z854" s="3">
        <v>600.65</v>
      </c>
      <c r="AA854" s="3">
        <v>0</v>
      </c>
    </row>
    <row r="855" spans="1:27" ht="72.75" x14ac:dyDescent="0.25">
      <c r="A855" s="3" t="s">
        <v>28</v>
      </c>
      <c r="B855" s="3" t="s">
        <v>29</v>
      </c>
      <c r="C855" s="3" t="s">
        <v>30</v>
      </c>
      <c r="D855" s="3" t="s">
        <v>42</v>
      </c>
      <c r="E855" s="3" t="s">
        <v>207</v>
      </c>
      <c r="F855" s="3" t="s">
        <v>764</v>
      </c>
      <c r="G855" s="3">
        <v>2025</v>
      </c>
      <c r="H855" s="3" t="str">
        <f>CONCATENATE("54240642774")</f>
        <v>54240642774</v>
      </c>
      <c r="I855" s="3" t="s">
        <v>34</v>
      </c>
      <c r="J855" s="3" t="s">
        <v>35</v>
      </c>
      <c r="K855" s="3"/>
      <c r="L855" s="3" t="s">
        <v>36</v>
      </c>
      <c r="M855" s="3" t="str">
        <f>CONCATENATE("DRSGLC93D26H769R")</f>
        <v>DRSGLC93D26H769R</v>
      </c>
      <c r="N855" s="3" t="s">
        <v>984</v>
      </c>
      <c r="O855" s="3" t="s">
        <v>38</v>
      </c>
      <c r="P855" s="3"/>
      <c r="Q855" s="4">
        <v>45968</v>
      </c>
      <c r="R855" s="3" t="s">
        <v>39</v>
      </c>
      <c r="S855" s="3" t="s">
        <v>38</v>
      </c>
      <c r="T855" s="3" t="s">
        <v>40</v>
      </c>
      <c r="U855" s="3"/>
      <c r="V855" s="3" t="s">
        <v>41</v>
      </c>
      <c r="W855" s="5">
        <v>6064.76</v>
      </c>
      <c r="X855" s="5">
        <v>4548.57</v>
      </c>
      <c r="Y855" s="5">
        <v>1061.33</v>
      </c>
      <c r="Z855" s="3">
        <v>454.86</v>
      </c>
      <c r="AA855" s="3">
        <v>0</v>
      </c>
    </row>
    <row r="856" spans="1:27" ht="36.75" x14ac:dyDescent="0.25">
      <c r="A856" s="3" t="s">
        <v>28</v>
      </c>
      <c r="B856" s="3" t="s">
        <v>29</v>
      </c>
      <c r="C856" s="3" t="s">
        <v>30</v>
      </c>
      <c r="D856" s="3" t="s">
        <v>31</v>
      </c>
      <c r="E856" s="3" t="s">
        <v>60</v>
      </c>
      <c r="F856" s="3" t="s">
        <v>61</v>
      </c>
      <c r="G856" s="3">
        <v>2025</v>
      </c>
      <c r="H856" s="3" t="str">
        <f>CONCATENATE("54240510179")</f>
        <v>54240510179</v>
      </c>
      <c r="I856" s="3" t="s">
        <v>34</v>
      </c>
      <c r="J856" s="3" t="s">
        <v>35</v>
      </c>
      <c r="K856" s="3"/>
      <c r="L856" s="3" t="s">
        <v>36</v>
      </c>
      <c r="M856" s="3" t="str">
        <f>CONCATENATE("02305360428")</f>
        <v>02305360428</v>
      </c>
      <c r="N856" s="3" t="s">
        <v>985</v>
      </c>
      <c r="O856" s="3" t="s">
        <v>38</v>
      </c>
      <c r="P856" s="3"/>
      <c r="Q856" s="4">
        <v>45968</v>
      </c>
      <c r="R856" s="3" t="s">
        <v>39</v>
      </c>
      <c r="S856" s="3" t="s">
        <v>38</v>
      </c>
      <c r="T856" s="3" t="s">
        <v>40</v>
      </c>
      <c r="U856" s="3"/>
      <c r="V856" s="3" t="s">
        <v>41</v>
      </c>
      <c r="W856" s="5">
        <v>3857.73</v>
      </c>
      <c r="X856" s="5">
        <v>2893.3</v>
      </c>
      <c r="Y856" s="3">
        <v>675.1</v>
      </c>
      <c r="Z856" s="3">
        <v>289.33</v>
      </c>
      <c r="AA856" s="3">
        <v>0</v>
      </c>
    </row>
    <row r="857" spans="1:27" ht="60.75" x14ac:dyDescent="0.25">
      <c r="A857" s="3" t="s">
        <v>28</v>
      </c>
      <c r="B857" s="3" t="s">
        <v>29</v>
      </c>
      <c r="C857" s="3" t="s">
        <v>30</v>
      </c>
      <c r="D857" s="3" t="s">
        <v>65</v>
      </c>
      <c r="E857" s="3" t="s">
        <v>51</v>
      </c>
      <c r="F857" s="3" t="s">
        <v>460</v>
      </c>
      <c r="G857" s="3">
        <v>2025</v>
      </c>
      <c r="H857" s="3" t="str">
        <f>CONCATENATE("54240510302")</f>
        <v>54240510302</v>
      </c>
      <c r="I857" s="3" t="s">
        <v>34</v>
      </c>
      <c r="J857" s="3" t="s">
        <v>35</v>
      </c>
      <c r="K857" s="3"/>
      <c r="L857" s="3" t="s">
        <v>36</v>
      </c>
      <c r="M857" s="3" t="str">
        <f>CONCATENATE("BRTDNL76A26L500B")</f>
        <v>BRTDNL76A26L500B</v>
      </c>
      <c r="N857" s="3" t="s">
        <v>986</v>
      </c>
      <c r="O857" s="3" t="s">
        <v>38</v>
      </c>
      <c r="P857" s="3"/>
      <c r="Q857" s="4">
        <v>45968</v>
      </c>
      <c r="R857" s="3" t="s">
        <v>39</v>
      </c>
      <c r="S857" s="3" t="s">
        <v>38</v>
      </c>
      <c r="T857" s="3" t="s">
        <v>40</v>
      </c>
      <c r="U857" s="3"/>
      <c r="V857" s="3" t="s">
        <v>41</v>
      </c>
      <c r="W857" s="5">
        <v>14771.24</v>
      </c>
      <c r="X857" s="5">
        <v>11078.43</v>
      </c>
      <c r="Y857" s="5">
        <v>2584.9699999999998</v>
      </c>
      <c r="Z857" s="5">
        <v>1107.8399999999999</v>
      </c>
      <c r="AA857" s="3">
        <v>0</v>
      </c>
    </row>
    <row r="858" spans="1:27" ht="72.75" x14ac:dyDescent="0.25">
      <c r="A858" s="3" t="s">
        <v>28</v>
      </c>
      <c r="B858" s="3" t="s">
        <v>29</v>
      </c>
      <c r="C858" s="3" t="s">
        <v>30</v>
      </c>
      <c r="D858" s="3" t="s">
        <v>65</v>
      </c>
      <c r="E858" s="3" t="s">
        <v>51</v>
      </c>
      <c r="F858" s="3" t="s">
        <v>460</v>
      </c>
      <c r="G858" s="3">
        <v>2025</v>
      </c>
      <c r="H858" s="3" t="str">
        <f>CONCATENATE("54240514692")</f>
        <v>54240514692</v>
      </c>
      <c r="I858" s="3" t="s">
        <v>34</v>
      </c>
      <c r="J858" s="3" t="s">
        <v>35</v>
      </c>
      <c r="K858" s="3"/>
      <c r="L858" s="3" t="s">
        <v>36</v>
      </c>
      <c r="M858" s="3" t="str">
        <f>CONCATENATE("MGNSVN50E13G416Q")</f>
        <v>MGNSVN50E13G416Q</v>
      </c>
      <c r="N858" s="3" t="s">
        <v>987</v>
      </c>
      <c r="O858" s="3" t="s">
        <v>38</v>
      </c>
      <c r="P858" s="3"/>
      <c r="Q858" s="4">
        <v>45968</v>
      </c>
      <c r="R858" s="3" t="s">
        <v>39</v>
      </c>
      <c r="S858" s="3" t="s">
        <v>38</v>
      </c>
      <c r="T858" s="3" t="s">
        <v>40</v>
      </c>
      <c r="U858" s="3"/>
      <c r="V858" s="3" t="s">
        <v>41</v>
      </c>
      <c r="W858" s="5">
        <v>3514.18</v>
      </c>
      <c r="X858" s="5">
        <v>2635.64</v>
      </c>
      <c r="Y858" s="3">
        <v>614.98</v>
      </c>
      <c r="Z858" s="3">
        <v>263.56</v>
      </c>
      <c r="AA858" s="3">
        <v>0</v>
      </c>
    </row>
    <row r="859" spans="1:27" ht="36.75" x14ac:dyDescent="0.25">
      <c r="A859" s="3" t="s">
        <v>28</v>
      </c>
      <c r="B859" s="3" t="s">
        <v>29</v>
      </c>
      <c r="C859" s="3" t="s">
        <v>30</v>
      </c>
      <c r="D859" s="3" t="s">
        <v>42</v>
      </c>
      <c r="E859" s="3" t="s">
        <v>60</v>
      </c>
      <c r="F859" s="3" t="s">
        <v>245</v>
      </c>
      <c r="G859" s="3">
        <v>2025</v>
      </c>
      <c r="H859" s="3" t="str">
        <f>CONCATENATE("54240510427")</f>
        <v>54240510427</v>
      </c>
      <c r="I859" s="3" t="s">
        <v>34</v>
      </c>
      <c r="J859" s="3" t="s">
        <v>35</v>
      </c>
      <c r="K859" s="3"/>
      <c r="L859" s="3" t="s">
        <v>36</v>
      </c>
      <c r="M859" s="3" t="str">
        <f>CONCATENATE("02239800440")</f>
        <v>02239800440</v>
      </c>
      <c r="N859" s="3" t="s">
        <v>988</v>
      </c>
      <c r="O859" s="3" t="s">
        <v>38</v>
      </c>
      <c r="P859" s="3"/>
      <c r="Q859" s="4">
        <v>45968</v>
      </c>
      <c r="R859" s="3" t="s">
        <v>39</v>
      </c>
      <c r="S859" s="3" t="s">
        <v>38</v>
      </c>
      <c r="T859" s="3" t="s">
        <v>40</v>
      </c>
      <c r="U859" s="3"/>
      <c r="V859" s="3" t="s">
        <v>41</v>
      </c>
      <c r="W859" s="5">
        <v>36595.19</v>
      </c>
      <c r="X859" s="5">
        <v>27446.39</v>
      </c>
      <c r="Y859" s="5">
        <v>6404.16</v>
      </c>
      <c r="Z859" s="5">
        <v>2744.64</v>
      </c>
      <c r="AA859" s="3">
        <v>0</v>
      </c>
    </row>
    <row r="860" spans="1:27" ht="60.75" x14ac:dyDescent="0.25">
      <c r="A860" s="3" t="s">
        <v>28</v>
      </c>
      <c r="B860" s="3" t="s">
        <v>29</v>
      </c>
      <c r="C860" s="3" t="s">
        <v>30</v>
      </c>
      <c r="D860" s="3" t="s">
        <v>65</v>
      </c>
      <c r="E860" s="3" t="s">
        <v>32</v>
      </c>
      <c r="F860" s="3" t="s">
        <v>625</v>
      </c>
      <c r="G860" s="3">
        <v>2025</v>
      </c>
      <c r="H860" s="3" t="str">
        <f>CONCATENATE("54240510922")</f>
        <v>54240510922</v>
      </c>
      <c r="I860" s="3" t="s">
        <v>34</v>
      </c>
      <c r="J860" s="3" t="s">
        <v>35</v>
      </c>
      <c r="K860" s="3"/>
      <c r="L860" s="3" t="s">
        <v>36</v>
      </c>
      <c r="M860" s="3" t="str">
        <f>CONCATENATE("GRGMDR49L54I608F")</f>
        <v>GRGMDR49L54I608F</v>
      </c>
      <c r="N860" s="3" t="s">
        <v>989</v>
      </c>
      <c r="O860" s="3" t="s">
        <v>38</v>
      </c>
      <c r="P860" s="3"/>
      <c r="Q860" s="4">
        <v>45968</v>
      </c>
      <c r="R860" s="3" t="s">
        <v>39</v>
      </c>
      <c r="S860" s="3" t="s">
        <v>38</v>
      </c>
      <c r="T860" s="3" t="s">
        <v>40</v>
      </c>
      <c r="U860" s="3"/>
      <c r="V860" s="3" t="s">
        <v>41</v>
      </c>
      <c r="W860" s="3">
        <v>636.32000000000005</v>
      </c>
      <c r="X860" s="3">
        <v>477.24</v>
      </c>
      <c r="Y860" s="3">
        <v>111.36</v>
      </c>
      <c r="Z860" s="3">
        <v>47.72</v>
      </c>
      <c r="AA860" s="3">
        <v>0</v>
      </c>
    </row>
    <row r="861" spans="1:27" ht="60.75" x14ac:dyDescent="0.25">
      <c r="A861" s="3" t="s">
        <v>28</v>
      </c>
      <c r="B861" s="3" t="s">
        <v>29</v>
      </c>
      <c r="C861" s="3" t="s">
        <v>30</v>
      </c>
      <c r="D861" s="3" t="s">
        <v>42</v>
      </c>
      <c r="E861" s="3" t="s">
        <v>48</v>
      </c>
      <c r="F861" s="3" t="s">
        <v>249</v>
      </c>
      <c r="G861" s="3">
        <v>2025</v>
      </c>
      <c r="H861" s="3" t="str">
        <f>CONCATENATE("54240518628")</f>
        <v>54240518628</v>
      </c>
      <c r="I861" s="3" t="s">
        <v>34</v>
      </c>
      <c r="J861" s="3" t="s">
        <v>35</v>
      </c>
      <c r="K861" s="3"/>
      <c r="L861" s="3" t="s">
        <v>36</v>
      </c>
      <c r="M861" s="3" t="str">
        <f>CONCATENATE("CPRLNU73L69I324A")</f>
        <v>CPRLNU73L69I324A</v>
      </c>
      <c r="N861" s="3" t="s">
        <v>990</v>
      </c>
      <c r="O861" s="3" t="s">
        <v>38</v>
      </c>
      <c r="P861" s="3"/>
      <c r="Q861" s="4">
        <v>45968</v>
      </c>
      <c r="R861" s="3" t="s">
        <v>39</v>
      </c>
      <c r="S861" s="3" t="s">
        <v>38</v>
      </c>
      <c r="T861" s="3" t="s">
        <v>40</v>
      </c>
      <c r="U861" s="3"/>
      <c r="V861" s="3" t="s">
        <v>41</v>
      </c>
      <c r="W861" s="5">
        <v>6531.22</v>
      </c>
      <c r="X861" s="5">
        <v>4898.42</v>
      </c>
      <c r="Y861" s="5">
        <v>1142.96</v>
      </c>
      <c r="Z861" s="3">
        <v>489.84</v>
      </c>
      <c r="AA861" s="3">
        <v>0</v>
      </c>
    </row>
    <row r="862" spans="1:27" ht="60.75" x14ac:dyDescent="0.25">
      <c r="A862" s="3" t="s">
        <v>28</v>
      </c>
      <c r="B862" s="3" t="s">
        <v>29</v>
      </c>
      <c r="C862" s="3" t="s">
        <v>30</v>
      </c>
      <c r="D862" s="3" t="s">
        <v>31</v>
      </c>
      <c r="E862" s="3" t="s">
        <v>51</v>
      </c>
      <c r="F862" s="3" t="s">
        <v>74</v>
      </c>
      <c r="G862" s="3">
        <v>2025</v>
      </c>
      <c r="H862" s="3" t="str">
        <f>CONCATENATE("54240510930")</f>
        <v>54240510930</v>
      </c>
      <c r="I862" s="3" t="s">
        <v>34</v>
      </c>
      <c r="J862" s="3" t="s">
        <v>35</v>
      </c>
      <c r="K862" s="3"/>
      <c r="L862" s="3" t="s">
        <v>36</v>
      </c>
      <c r="M862" s="3" t="str">
        <f>CONCATENATE("LNRRRT74T47A271H")</f>
        <v>LNRRRT74T47A271H</v>
      </c>
      <c r="N862" s="3" t="s">
        <v>991</v>
      </c>
      <c r="O862" s="3" t="s">
        <v>38</v>
      </c>
      <c r="P862" s="3"/>
      <c r="Q862" s="4">
        <v>45968</v>
      </c>
      <c r="R862" s="3" t="s">
        <v>39</v>
      </c>
      <c r="S862" s="3" t="s">
        <v>38</v>
      </c>
      <c r="T862" s="3" t="s">
        <v>40</v>
      </c>
      <c r="U862" s="3"/>
      <c r="V862" s="3" t="s">
        <v>41</v>
      </c>
      <c r="W862" s="3">
        <v>853.1</v>
      </c>
      <c r="X862" s="3">
        <v>639.83000000000004</v>
      </c>
      <c r="Y862" s="3">
        <v>149.29</v>
      </c>
      <c r="Z862" s="3">
        <v>63.98</v>
      </c>
      <c r="AA862" s="3">
        <v>0</v>
      </c>
    </row>
    <row r="863" spans="1:27" ht="60.75" x14ac:dyDescent="0.25">
      <c r="A863" s="3" t="s">
        <v>28</v>
      </c>
      <c r="B863" s="3" t="s">
        <v>29</v>
      </c>
      <c r="C863" s="3" t="s">
        <v>30</v>
      </c>
      <c r="D863" s="3" t="s">
        <v>65</v>
      </c>
      <c r="E863" s="3" t="s">
        <v>48</v>
      </c>
      <c r="F863" s="3" t="s">
        <v>66</v>
      </c>
      <c r="G863" s="3">
        <v>2025</v>
      </c>
      <c r="H863" s="3" t="str">
        <f>CONCATENATE("54240510740")</f>
        <v>54240510740</v>
      </c>
      <c r="I863" s="3" t="s">
        <v>34</v>
      </c>
      <c r="J863" s="3" t="s">
        <v>35</v>
      </c>
      <c r="K863" s="3"/>
      <c r="L863" s="3" t="s">
        <v>36</v>
      </c>
      <c r="M863" s="3" t="str">
        <f>CONCATENATE("LNDMRC68H24L500S")</f>
        <v>LNDMRC68H24L500S</v>
      </c>
      <c r="N863" s="3" t="s">
        <v>992</v>
      </c>
      <c r="O863" s="3" t="s">
        <v>38</v>
      </c>
      <c r="P863" s="3"/>
      <c r="Q863" s="4">
        <v>45968</v>
      </c>
      <c r="R863" s="3" t="s">
        <v>39</v>
      </c>
      <c r="S863" s="3" t="s">
        <v>38</v>
      </c>
      <c r="T863" s="3" t="s">
        <v>40</v>
      </c>
      <c r="U863" s="3"/>
      <c r="V863" s="3" t="s">
        <v>41</v>
      </c>
      <c r="W863" s="3">
        <v>435.61</v>
      </c>
      <c r="X863" s="3">
        <v>326.70999999999998</v>
      </c>
      <c r="Y863" s="3">
        <v>76.23</v>
      </c>
      <c r="Z863" s="3">
        <v>32.67</v>
      </c>
      <c r="AA863" s="3">
        <v>0</v>
      </c>
    </row>
    <row r="864" spans="1:27" ht="36.75" x14ac:dyDescent="0.25">
      <c r="A864" s="3" t="s">
        <v>28</v>
      </c>
      <c r="B864" s="3" t="s">
        <v>29</v>
      </c>
      <c r="C864" s="3" t="s">
        <v>30</v>
      </c>
      <c r="D864" s="3" t="s">
        <v>31</v>
      </c>
      <c r="E864" s="3" t="s">
        <v>32</v>
      </c>
      <c r="F864" s="3" t="s">
        <v>33</v>
      </c>
      <c r="G864" s="3">
        <v>2025</v>
      </c>
      <c r="H864" s="3" t="str">
        <f>CONCATENATE("54240510849")</f>
        <v>54240510849</v>
      </c>
      <c r="I864" s="3" t="s">
        <v>34</v>
      </c>
      <c r="J864" s="3" t="s">
        <v>35</v>
      </c>
      <c r="K864" s="3"/>
      <c r="L864" s="3" t="s">
        <v>36</v>
      </c>
      <c r="M864" s="3" t="str">
        <f>CONCATENATE("01745850436")</f>
        <v>01745850436</v>
      </c>
      <c r="N864" s="3" t="s">
        <v>993</v>
      </c>
      <c r="O864" s="3" t="s">
        <v>38</v>
      </c>
      <c r="P864" s="3"/>
      <c r="Q864" s="4">
        <v>45968</v>
      </c>
      <c r="R864" s="3" t="s">
        <v>39</v>
      </c>
      <c r="S864" s="3" t="s">
        <v>38</v>
      </c>
      <c r="T864" s="3" t="s">
        <v>40</v>
      </c>
      <c r="U864" s="3"/>
      <c r="V864" s="3" t="s">
        <v>41</v>
      </c>
      <c r="W864" s="5">
        <v>2176.0100000000002</v>
      </c>
      <c r="X864" s="5">
        <v>1632.01</v>
      </c>
      <c r="Y864" s="3">
        <v>380.8</v>
      </c>
      <c r="Z864" s="3">
        <v>163.19999999999999</v>
      </c>
      <c r="AA864" s="3">
        <v>0</v>
      </c>
    </row>
    <row r="865" spans="1:27" ht="60.75" x14ac:dyDescent="0.25">
      <c r="A865" s="3" t="s">
        <v>28</v>
      </c>
      <c r="B865" s="3" t="s">
        <v>29</v>
      </c>
      <c r="C865" s="3" t="s">
        <v>30</v>
      </c>
      <c r="D865" s="3" t="s">
        <v>65</v>
      </c>
      <c r="E865" s="3" t="s">
        <v>51</v>
      </c>
      <c r="F865" s="3" t="s">
        <v>460</v>
      </c>
      <c r="G865" s="3">
        <v>2025</v>
      </c>
      <c r="H865" s="3" t="str">
        <f>CONCATENATE("54240510989")</f>
        <v>54240510989</v>
      </c>
      <c r="I865" s="3" t="s">
        <v>34</v>
      </c>
      <c r="J865" s="3" t="s">
        <v>35</v>
      </c>
      <c r="K865" s="3"/>
      <c r="L865" s="3" t="s">
        <v>36</v>
      </c>
      <c r="M865" s="3" t="str">
        <f>CONCATENATE("CNCGFR65A25D541L")</f>
        <v>CNCGFR65A25D541L</v>
      </c>
      <c r="N865" s="3" t="s">
        <v>994</v>
      </c>
      <c r="O865" s="3" t="s">
        <v>38</v>
      </c>
      <c r="P865" s="3"/>
      <c r="Q865" s="4">
        <v>45968</v>
      </c>
      <c r="R865" s="3" t="s">
        <v>39</v>
      </c>
      <c r="S865" s="3" t="s">
        <v>38</v>
      </c>
      <c r="T865" s="3" t="s">
        <v>40</v>
      </c>
      <c r="U865" s="3"/>
      <c r="V865" s="3" t="s">
        <v>41</v>
      </c>
      <c r="W865" s="5">
        <v>7709.77</v>
      </c>
      <c r="X865" s="5">
        <v>5782.33</v>
      </c>
      <c r="Y865" s="5">
        <v>1349.21</v>
      </c>
      <c r="Z865" s="3">
        <v>578.23</v>
      </c>
      <c r="AA865" s="3">
        <v>0</v>
      </c>
    </row>
    <row r="866" spans="1:27" ht="60.75" x14ac:dyDescent="0.25">
      <c r="A866" s="3" t="s">
        <v>28</v>
      </c>
      <c r="B866" s="3" t="s">
        <v>29</v>
      </c>
      <c r="C866" s="3" t="s">
        <v>30</v>
      </c>
      <c r="D866" s="3" t="s">
        <v>31</v>
      </c>
      <c r="E866" s="3" t="s">
        <v>32</v>
      </c>
      <c r="F866" s="3" t="s">
        <v>63</v>
      </c>
      <c r="G866" s="3">
        <v>2025</v>
      </c>
      <c r="H866" s="3" t="str">
        <f>CONCATENATE("54240511185")</f>
        <v>54240511185</v>
      </c>
      <c r="I866" s="3" t="s">
        <v>34</v>
      </c>
      <c r="J866" s="3" t="s">
        <v>35</v>
      </c>
      <c r="K866" s="3"/>
      <c r="L866" s="3" t="s">
        <v>36</v>
      </c>
      <c r="M866" s="3" t="str">
        <f>CONCATENATE("BNCBRC72C71D211R")</f>
        <v>BNCBRC72C71D211R</v>
      </c>
      <c r="N866" s="3" t="s">
        <v>995</v>
      </c>
      <c r="O866" s="3" t="s">
        <v>38</v>
      </c>
      <c r="P866" s="3"/>
      <c r="Q866" s="4">
        <v>45968</v>
      </c>
      <c r="R866" s="3" t="s">
        <v>39</v>
      </c>
      <c r="S866" s="3" t="s">
        <v>38</v>
      </c>
      <c r="T866" s="3" t="s">
        <v>40</v>
      </c>
      <c r="U866" s="3"/>
      <c r="V866" s="3" t="s">
        <v>41</v>
      </c>
      <c r="W866" s="3">
        <v>934.52</v>
      </c>
      <c r="X866" s="3">
        <v>700.89</v>
      </c>
      <c r="Y866" s="3">
        <v>163.54</v>
      </c>
      <c r="Z866" s="3">
        <v>70.09</v>
      </c>
      <c r="AA866" s="3">
        <v>0</v>
      </c>
    </row>
    <row r="867" spans="1:27" ht="60.75" x14ac:dyDescent="0.25">
      <c r="A867" s="3" t="s">
        <v>28</v>
      </c>
      <c r="B867" s="3" t="s">
        <v>29</v>
      </c>
      <c r="C867" s="3" t="s">
        <v>30</v>
      </c>
      <c r="D867" s="3" t="s">
        <v>47</v>
      </c>
      <c r="E867" s="3" t="s">
        <v>48</v>
      </c>
      <c r="F867" s="3" t="s">
        <v>249</v>
      </c>
      <c r="G867" s="3">
        <v>2025</v>
      </c>
      <c r="H867" s="3" t="str">
        <f>CONCATENATE("54240511417")</f>
        <v>54240511417</v>
      </c>
      <c r="I867" s="3" t="s">
        <v>34</v>
      </c>
      <c r="J867" s="3" t="s">
        <v>35</v>
      </c>
      <c r="K867" s="3"/>
      <c r="L867" s="3" t="s">
        <v>36</v>
      </c>
      <c r="M867" s="3" t="str">
        <f>CONCATENATE("TRNMRA91D04B474F")</f>
        <v>TRNMRA91D04B474F</v>
      </c>
      <c r="N867" s="3" t="s">
        <v>996</v>
      </c>
      <c r="O867" s="3" t="s">
        <v>38</v>
      </c>
      <c r="P867" s="3"/>
      <c r="Q867" s="4">
        <v>45968</v>
      </c>
      <c r="R867" s="3" t="s">
        <v>39</v>
      </c>
      <c r="S867" s="3" t="s">
        <v>38</v>
      </c>
      <c r="T867" s="3" t="s">
        <v>40</v>
      </c>
      <c r="U867" s="3"/>
      <c r="V867" s="3" t="s">
        <v>41</v>
      </c>
      <c r="W867" s="5">
        <v>27586.07</v>
      </c>
      <c r="X867" s="5">
        <v>20689.55</v>
      </c>
      <c r="Y867" s="5">
        <v>4827.5600000000004</v>
      </c>
      <c r="Z867" s="5">
        <v>2068.96</v>
      </c>
      <c r="AA867" s="3">
        <v>0</v>
      </c>
    </row>
    <row r="868" spans="1:27" ht="60.75" x14ac:dyDescent="0.25">
      <c r="A868" s="3" t="s">
        <v>28</v>
      </c>
      <c r="B868" s="3" t="s">
        <v>29</v>
      </c>
      <c r="C868" s="3" t="s">
        <v>30</v>
      </c>
      <c r="D868" s="3" t="s">
        <v>42</v>
      </c>
      <c r="E868" s="3" t="s">
        <v>51</v>
      </c>
      <c r="F868" s="3" t="s">
        <v>661</v>
      </c>
      <c r="G868" s="3">
        <v>2025</v>
      </c>
      <c r="H868" s="3" t="str">
        <f>CONCATENATE("54240511714")</f>
        <v>54240511714</v>
      </c>
      <c r="I868" s="3" t="s">
        <v>34</v>
      </c>
      <c r="J868" s="3" t="s">
        <v>35</v>
      </c>
      <c r="K868" s="3"/>
      <c r="L868" s="3" t="s">
        <v>36</v>
      </c>
      <c r="M868" s="3" t="str">
        <f>CONCATENATE("LZZLRD92E15H769P")</f>
        <v>LZZLRD92E15H769P</v>
      </c>
      <c r="N868" s="3" t="s">
        <v>997</v>
      </c>
      <c r="O868" s="3" t="s">
        <v>38</v>
      </c>
      <c r="P868" s="3"/>
      <c r="Q868" s="4">
        <v>45968</v>
      </c>
      <c r="R868" s="3" t="s">
        <v>39</v>
      </c>
      <c r="S868" s="3" t="s">
        <v>38</v>
      </c>
      <c r="T868" s="3" t="s">
        <v>40</v>
      </c>
      <c r="U868" s="3"/>
      <c r="V868" s="3" t="s">
        <v>41</v>
      </c>
      <c r="W868" s="5">
        <v>2276.2199999999998</v>
      </c>
      <c r="X868" s="5">
        <v>1707.17</v>
      </c>
      <c r="Y868" s="3">
        <v>398.34</v>
      </c>
      <c r="Z868" s="3">
        <v>170.71</v>
      </c>
      <c r="AA868" s="3">
        <v>0</v>
      </c>
    </row>
    <row r="869" spans="1:27" ht="60.75" x14ac:dyDescent="0.25">
      <c r="A869" s="3" t="s">
        <v>28</v>
      </c>
      <c r="B869" s="3" t="s">
        <v>29</v>
      </c>
      <c r="C869" s="3" t="s">
        <v>30</v>
      </c>
      <c r="D869" s="3" t="s">
        <v>31</v>
      </c>
      <c r="E869" s="3" t="s">
        <v>32</v>
      </c>
      <c r="F869" s="3" t="s">
        <v>63</v>
      </c>
      <c r="G869" s="3">
        <v>2025</v>
      </c>
      <c r="H869" s="3" t="str">
        <f>CONCATENATE("54240511797")</f>
        <v>54240511797</v>
      </c>
      <c r="I869" s="3" t="s">
        <v>34</v>
      </c>
      <c r="J869" s="3" t="s">
        <v>35</v>
      </c>
      <c r="K869" s="3"/>
      <c r="L869" s="3" t="s">
        <v>36</v>
      </c>
      <c r="M869" s="3" t="str">
        <f>CONCATENATE("BRNLSS84L07A271E")</f>
        <v>BRNLSS84L07A271E</v>
      </c>
      <c r="N869" s="3" t="s">
        <v>998</v>
      </c>
      <c r="O869" s="3" t="s">
        <v>38</v>
      </c>
      <c r="P869" s="3"/>
      <c r="Q869" s="4">
        <v>45968</v>
      </c>
      <c r="R869" s="3" t="s">
        <v>39</v>
      </c>
      <c r="S869" s="3" t="s">
        <v>38</v>
      </c>
      <c r="T869" s="3" t="s">
        <v>40</v>
      </c>
      <c r="U869" s="3"/>
      <c r="V869" s="3" t="s">
        <v>41</v>
      </c>
      <c r="W869" s="5">
        <v>3524.96</v>
      </c>
      <c r="X869" s="5">
        <v>2643.72</v>
      </c>
      <c r="Y869" s="3">
        <v>616.87</v>
      </c>
      <c r="Z869" s="3">
        <v>264.37</v>
      </c>
      <c r="AA869" s="3">
        <v>0</v>
      </c>
    </row>
    <row r="870" spans="1:27" ht="60.75" x14ac:dyDescent="0.25">
      <c r="A870" s="3" t="s">
        <v>28</v>
      </c>
      <c r="B870" s="3" t="s">
        <v>29</v>
      </c>
      <c r="C870" s="3" t="s">
        <v>30</v>
      </c>
      <c r="D870" s="3" t="s">
        <v>42</v>
      </c>
      <c r="E870" s="3" t="s">
        <v>207</v>
      </c>
      <c r="F870" s="3" t="s">
        <v>764</v>
      </c>
      <c r="G870" s="3">
        <v>2025</v>
      </c>
      <c r="H870" s="3" t="str">
        <f>CONCATENATE("54240650090")</f>
        <v>54240650090</v>
      </c>
      <c r="I870" s="3" t="s">
        <v>34</v>
      </c>
      <c r="J870" s="3" t="s">
        <v>35</v>
      </c>
      <c r="K870" s="3"/>
      <c r="L870" s="3" t="s">
        <v>36</v>
      </c>
      <c r="M870" s="3" t="str">
        <f>CONCATENATE("SLVMLD48T58Z336B")</f>
        <v>SLVMLD48T58Z336B</v>
      </c>
      <c r="N870" s="3" t="s">
        <v>999</v>
      </c>
      <c r="O870" s="3" t="s">
        <v>38</v>
      </c>
      <c r="P870" s="3"/>
      <c r="Q870" s="4">
        <v>45968</v>
      </c>
      <c r="R870" s="3" t="s">
        <v>39</v>
      </c>
      <c r="S870" s="3" t="s">
        <v>38</v>
      </c>
      <c r="T870" s="3" t="s">
        <v>40</v>
      </c>
      <c r="U870" s="3"/>
      <c r="V870" s="3" t="s">
        <v>41</v>
      </c>
      <c r="W870" s="5">
        <v>7805.55</v>
      </c>
      <c r="X870" s="5">
        <v>5854.16</v>
      </c>
      <c r="Y870" s="5">
        <v>1365.97</v>
      </c>
      <c r="Z870" s="3">
        <v>585.41999999999996</v>
      </c>
      <c r="AA870" s="3">
        <v>0</v>
      </c>
    </row>
    <row r="871" spans="1:27" ht="36.75" x14ac:dyDescent="0.25">
      <c r="A871" s="3" t="s">
        <v>28</v>
      </c>
      <c r="B871" s="3" t="s">
        <v>29</v>
      </c>
      <c r="C871" s="3" t="s">
        <v>30</v>
      </c>
      <c r="D871" s="3" t="s">
        <v>65</v>
      </c>
      <c r="E871" s="3" t="s">
        <v>48</v>
      </c>
      <c r="F871" s="3" t="s">
        <v>76</v>
      </c>
      <c r="G871" s="3">
        <v>2025</v>
      </c>
      <c r="H871" s="3" t="str">
        <f>CONCATENATE("54240511862")</f>
        <v>54240511862</v>
      </c>
      <c r="I871" s="3" t="s">
        <v>34</v>
      </c>
      <c r="J871" s="3" t="s">
        <v>35</v>
      </c>
      <c r="K871" s="3"/>
      <c r="L871" s="3" t="s">
        <v>36</v>
      </c>
      <c r="M871" s="3" t="str">
        <f>CONCATENATE("02588960415")</f>
        <v>02588960415</v>
      </c>
      <c r="N871" s="3" t="s">
        <v>1000</v>
      </c>
      <c r="O871" s="3" t="s">
        <v>38</v>
      </c>
      <c r="P871" s="3"/>
      <c r="Q871" s="4">
        <v>45968</v>
      </c>
      <c r="R871" s="3" t="s">
        <v>39</v>
      </c>
      <c r="S871" s="3" t="s">
        <v>38</v>
      </c>
      <c r="T871" s="3" t="s">
        <v>40</v>
      </c>
      <c r="U871" s="3"/>
      <c r="V871" s="3" t="s">
        <v>41</v>
      </c>
      <c r="W871" s="5">
        <v>7368.27</v>
      </c>
      <c r="X871" s="5">
        <v>5526.2</v>
      </c>
      <c r="Y871" s="5">
        <v>1289.45</v>
      </c>
      <c r="Z871" s="3">
        <v>552.62</v>
      </c>
      <c r="AA871" s="3">
        <v>0</v>
      </c>
    </row>
    <row r="872" spans="1:27" ht="60.75" x14ac:dyDescent="0.25">
      <c r="A872" s="3" t="s">
        <v>28</v>
      </c>
      <c r="B872" s="3" t="s">
        <v>29</v>
      </c>
      <c r="C872" s="3" t="s">
        <v>30</v>
      </c>
      <c r="D872" s="3" t="s">
        <v>65</v>
      </c>
      <c r="E872" s="3" t="s">
        <v>48</v>
      </c>
      <c r="F872" s="3" t="s">
        <v>76</v>
      </c>
      <c r="G872" s="3">
        <v>2025</v>
      </c>
      <c r="H872" s="3" t="str">
        <f>CONCATENATE("54240511938")</f>
        <v>54240511938</v>
      </c>
      <c r="I872" s="3" t="s">
        <v>34</v>
      </c>
      <c r="J872" s="3" t="s">
        <v>35</v>
      </c>
      <c r="K872" s="3"/>
      <c r="L872" s="3" t="s">
        <v>36</v>
      </c>
      <c r="M872" s="3" t="str">
        <f>CONCATENATE("RSSLCU71C01L498P")</f>
        <v>RSSLCU71C01L498P</v>
      </c>
      <c r="N872" s="3" t="s">
        <v>1001</v>
      </c>
      <c r="O872" s="3" t="s">
        <v>38</v>
      </c>
      <c r="P872" s="3"/>
      <c r="Q872" s="4">
        <v>45968</v>
      </c>
      <c r="R872" s="3" t="s">
        <v>39</v>
      </c>
      <c r="S872" s="3" t="s">
        <v>38</v>
      </c>
      <c r="T872" s="3" t="s">
        <v>40</v>
      </c>
      <c r="U872" s="3"/>
      <c r="V872" s="3" t="s">
        <v>41</v>
      </c>
      <c r="W872" s="5">
        <v>1440.81</v>
      </c>
      <c r="X872" s="5">
        <v>1080.6099999999999</v>
      </c>
      <c r="Y872" s="3">
        <v>252.14</v>
      </c>
      <c r="Z872" s="3">
        <v>108.06</v>
      </c>
      <c r="AA872" s="3">
        <v>0</v>
      </c>
    </row>
    <row r="873" spans="1:27" ht="60.75" x14ac:dyDescent="0.25">
      <c r="A873" s="3" t="s">
        <v>28</v>
      </c>
      <c r="B873" s="3" t="s">
        <v>29</v>
      </c>
      <c r="C873" s="3" t="s">
        <v>30</v>
      </c>
      <c r="D873" s="3" t="s">
        <v>65</v>
      </c>
      <c r="E873" s="3" t="s">
        <v>51</v>
      </c>
      <c r="F873" s="3" t="s">
        <v>460</v>
      </c>
      <c r="G873" s="3">
        <v>2025</v>
      </c>
      <c r="H873" s="3" t="str">
        <f>CONCATENATE("54240511847")</f>
        <v>54240511847</v>
      </c>
      <c r="I873" s="3" t="s">
        <v>44</v>
      </c>
      <c r="J873" s="3" t="s">
        <v>35</v>
      </c>
      <c r="K873" s="3"/>
      <c r="L873" s="3" t="s">
        <v>36</v>
      </c>
      <c r="M873" s="3" t="str">
        <f>CONCATENATE("GNSTLI53E11L500S")</f>
        <v>GNSTLI53E11L500S</v>
      </c>
      <c r="N873" s="3" t="s">
        <v>1002</v>
      </c>
      <c r="O873" s="3" t="s">
        <v>38</v>
      </c>
      <c r="P873" s="3"/>
      <c r="Q873" s="4">
        <v>45968</v>
      </c>
      <c r="R873" s="3" t="s">
        <v>39</v>
      </c>
      <c r="S873" s="3" t="s">
        <v>38</v>
      </c>
      <c r="T873" s="3" t="s">
        <v>40</v>
      </c>
      <c r="U873" s="3"/>
      <c r="V873" s="3" t="s">
        <v>41</v>
      </c>
      <c r="W873" s="3">
        <v>811.95</v>
      </c>
      <c r="X873" s="3">
        <v>608.96</v>
      </c>
      <c r="Y873" s="3">
        <v>142.09</v>
      </c>
      <c r="Z873" s="3">
        <v>60.9</v>
      </c>
      <c r="AA873" s="3">
        <v>0</v>
      </c>
    </row>
    <row r="874" spans="1:27" ht="60.75" x14ac:dyDescent="0.25">
      <c r="A874" s="3" t="s">
        <v>28</v>
      </c>
      <c r="B874" s="3" t="s">
        <v>29</v>
      </c>
      <c r="C874" s="3" t="s">
        <v>30</v>
      </c>
      <c r="D874" s="3" t="s">
        <v>65</v>
      </c>
      <c r="E874" s="3" t="s">
        <v>51</v>
      </c>
      <c r="F874" s="3" t="s">
        <v>460</v>
      </c>
      <c r="G874" s="3">
        <v>2025</v>
      </c>
      <c r="H874" s="3" t="str">
        <f>CONCATENATE("54240511904")</f>
        <v>54240511904</v>
      </c>
      <c r="I874" s="3" t="s">
        <v>44</v>
      </c>
      <c r="J874" s="3" t="s">
        <v>35</v>
      </c>
      <c r="K874" s="3"/>
      <c r="L874" s="3" t="s">
        <v>36</v>
      </c>
      <c r="M874" s="3" t="str">
        <f>CONCATENATE("GRLGNN46C13A035Q")</f>
        <v>GRLGNN46C13A035Q</v>
      </c>
      <c r="N874" s="3" t="s">
        <v>1003</v>
      </c>
      <c r="O874" s="3" t="s">
        <v>38</v>
      </c>
      <c r="P874" s="3"/>
      <c r="Q874" s="4">
        <v>45968</v>
      </c>
      <c r="R874" s="3" t="s">
        <v>39</v>
      </c>
      <c r="S874" s="3" t="s">
        <v>38</v>
      </c>
      <c r="T874" s="3" t="s">
        <v>40</v>
      </c>
      <c r="U874" s="3"/>
      <c r="V874" s="3" t="s">
        <v>41</v>
      </c>
      <c r="W874" s="5">
        <v>1180.19</v>
      </c>
      <c r="X874" s="3">
        <v>885.14</v>
      </c>
      <c r="Y874" s="3">
        <v>206.53</v>
      </c>
      <c r="Z874" s="3">
        <v>88.52</v>
      </c>
      <c r="AA874" s="3">
        <v>0</v>
      </c>
    </row>
    <row r="875" spans="1:27" ht="36.75" x14ac:dyDescent="0.25">
      <c r="A875" s="3" t="s">
        <v>28</v>
      </c>
      <c r="B875" s="3" t="s">
        <v>29</v>
      </c>
      <c r="C875" s="3" t="s">
        <v>30</v>
      </c>
      <c r="D875" s="3" t="s">
        <v>65</v>
      </c>
      <c r="E875" s="3" t="s">
        <v>48</v>
      </c>
      <c r="F875" s="3" t="s">
        <v>76</v>
      </c>
      <c r="G875" s="3">
        <v>2025</v>
      </c>
      <c r="H875" s="3" t="str">
        <f>CONCATENATE("54240512027")</f>
        <v>54240512027</v>
      </c>
      <c r="I875" s="3" t="s">
        <v>34</v>
      </c>
      <c r="J875" s="3" t="s">
        <v>35</v>
      </c>
      <c r="K875" s="3"/>
      <c r="L875" s="3" t="s">
        <v>36</v>
      </c>
      <c r="M875" s="3" t="str">
        <f>CONCATENATE("02573370414")</f>
        <v>02573370414</v>
      </c>
      <c r="N875" s="3" t="s">
        <v>1004</v>
      </c>
      <c r="O875" s="3" t="s">
        <v>38</v>
      </c>
      <c r="P875" s="3"/>
      <c r="Q875" s="4">
        <v>45968</v>
      </c>
      <c r="R875" s="3" t="s">
        <v>39</v>
      </c>
      <c r="S875" s="3" t="s">
        <v>38</v>
      </c>
      <c r="T875" s="3" t="s">
        <v>40</v>
      </c>
      <c r="U875" s="3"/>
      <c r="V875" s="3" t="s">
        <v>41</v>
      </c>
      <c r="W875" s="5">
        <v>1748.32</v>
      </c>
      <c r="X875" s="5">
        <v>1311.24</v>
      </c>
      <c r="Y875" s="3">
        <v>305.95999999999998</v>
      </c>
      <c r="Z875" s="3">
        <v>131.12</v>
      </c>
      <c r="AA875" s="3">
        <v>0</v>
      </c>
    </row>
    <row r="876" spans="1:27" ht="60.75" x14ac:dyDescent="0.25">
      <c r="A876" s="3" t="s">
        <v>28</v>
      </c>
      <c r="B876" s="3" t="s">
        <v>29</v>
      </c>
      <c r="C876" s="3" t="s">
        <v>30</v>
      </c>
      <c r="D876" s="3" t="s">
        <v>65</v>
      </c>
      <c r="E876" s="3" t="s">
        <v>32</v>
      </c>
      <c r="F876" s="3" t="s">
        <v>276</v>
      </c>
      <c r="G876" s="3">
        <v>2025</v>
      </c>
      <c r="H876" s="3" t="str">
        <f>CONCATENATE("54240512084")</f>
        <v>54240512084</v>
      </c>
      <c r="I876" s="3" t="s">
        <v>34</v>
      </c>
      <c r="J876" s="3" t="s">
        <v>35</v>
      </c>
      <c r="K876" s="3"/>
      <c r="L876" s="3" t="s">
        <v>36</v>
      </c>
      <c r="M876" s="3" t="str">
        <f>CONCATENATE("GRSRNI56P17F136W")</f>
        <v>GRSRNI56P17F136W</v>
      </c>
      <c r="N876" s="3" t="s">
        <v>1005</v>
      </c>
      <c r="O876" s="3" t="s">
        <v>38</v>
      </c>
      <c r="P876" s="3"/>
      <c r="Q876" s="4">
        <v>45968</v>
      </c>
      <c r="R876" s="3" t="s">
        <v>39</v>
      </c>
      <c r="S876" s="3" t="s">
        <v>38</v>
      </c>
      <c r="T876" s="3" t="s">
        <v>40</v>
      </c>
      <c r="U876" s="3"/>
      <c r="V876" s="3" t="s">
        <v>41</v>
      </c>
      <c r="W876" s="5">
        <v>7179.19</v>
      </c>
      <c r="X876" s="5">
        <v>5384.39</v>
      </c>
      <c r="Y876" s="5">
        <v>1256.3599999999999</v>
      </c>
      <c r="Z876" s="3">
        <v>538.44000000000005</v>
      </c>
      <c r="AA876" s="3">
        <v>0</v>
      </c>
    </row>
    <row r="877" spans="1:27" ht="60.75" x14ac:dyDescent="0.25">
      <c r="A877" s="3" t="s">
        <v>28</v>
      </c>
      <c r="B877" s="3" t="s">
        <v>29</v>
      </c>
      <c r="C877" s="3" t="s">
        <v>30</v>
      </c>
      <c r="D877" s="3" t="s">
        <v>31</v>
      </c>
      <c r="E877" s="3" t="s">
        <v>51</v>
      </c>
      <c r="F877" s="3" t="s">
        <v>300</v>
      </c>
      <c r="G877" s="3">
        <v>2025</v>
      </c>
      <c r="H877" s="3" t="str">
        <f>CONCATENATE("54240512324")</f>
        <v>54240512324</v>
      </c>
      <c r="I877" s="3" t="s">
        <v>34</v>
      </c>
      <c r="J877" s="3" t="s">
        <v>35</v>
      </c>
      <c r="K877" s="3"/>
      <c r="L877" s="3" t="s">
        <v>36</v>
      </c>
      <c r="M877" s="3" t="str">
        <f>CONCATENATE("CSVLNZ61M50G157B")</f>
        <v>CSVLNZ61M50G157B</v>
      </c>
      <c r="N877" s="3" t="s">
        <v>1006</v>
      </c>
      <c r="O877" s="3" t="s">
        <v>38</v>
      </c>
      <c r="P877" s="3"/>
      <c r="Q877" s="4">
        <v>45968</v>
      </c>
      <c r="R877" s="3" t="s">
        <v>39</v>
      </c>
      <c r="S877" s="3" t="s">
        <v>38</v>
      </c>
      <c r="T877" s="3" t="s">
        <v>40</v>
      </c>
      <c r="U877" s="3"/>
      <c r="V877" s="3" t="s">
        <v>41</v>
      </c>
      <c r="W877" s="5">
        <v>4218.47</v>
      </c>
      <c r="X877" s="5">
        <v>3163.85</v>
      </c>
      <c r="Y877" s="3">
        <v>738.23</v>
      </c>
      <c r="Z877" s="3">
        <v>316.39</v>
      </c>
      <c r="AA877" s="3">
        <v>0</v>
      </c>
    </row>
    <row r="878" spans="1:27" ht="60.75" x14ac:dyDescent="0.25">
      <c r="A878" s="3" t="s">
        <v>28</v>
      </c>
      <c r="B878" s="3" t="s">
        <v>29</v>
      </c>
      <c r="C878" s="3" t="s">
        <v>30</v>
      </c>
      <c r="D878" s="3" t="s">
        <v>47</v>
      </c>
      <c r="E878" s="3" t="s">
        <v>51</v>
      </c>
      <c r="F878" s="3" t="s">
        <v>107</v>
      </c>
      <c r="G878" s="3">
        <v>2025</v>
      </c>
      <c r="H878" s="3" t="str">
        <f>CONCATENATE("54240512951")</f>
        <v>54240512951</v>
      </c>
      <c r="I878" s="3" t="s">
        <v>34</v>
      </c>
      <c r="J878" s="3" t="s">
        <v>35</v>
      </c>
      <c r="K878" s="3"/>
      <c r="L878" s="3" t="s">
        <v>36</v>
      </c>
      <c r="M878" s="3" t="str">
        <f>CONCATENATE("CNCMRC86D27E690V")</f>
        <v>CNCMRC86D27E690V</v>
      </c>
      <c r="N878" s="3" t="s">
        <v>1007</v>
      </c>
      <c r="O878" s="3" t="s">
        <v>38</v>
      </c>
      <c r="P878" s="3"/>
      <c r="Q878" s="4">
        <v>45968</v>
      </c>
      <c r="R878" s="3" t="s">
        <v>39</v>
      </c>
      <c r="S878" s="3" t="s">
        <v>38</v>
      </c>
      <c r="T878" s="3" t="s">
        <v>40</v>
      </c>
      <c r="U878" s="3"/>
      <c r="V878" s="3" t="s">
        <v>41</v>
      </c>
      <c r="W878" s="5">
        <v>4646.76</v>
      </c>
      <c r="X878" s="5">
        <v>3485.07</v>
      </c>
      <c r="Y878" s="3">
        <v>813.18</v>
      </c>
      <c r="Z878" s="3">
        <v>348.51</v>
      </c>
      <c r="AA878" s="3">
        <v>0</v>
      </c>
    </row>
    <row r="879" spans="1:27" ht="60.75" x14ac:dyDescent="0.25">
      <c r="A879" s="3" t="s">
        <v>28</v>
      </c>
      <c r="B879" s="3" t="s">
        <v>29</v>
      </c>
      <c r="C879" s="3" t="s">
        <v>30</v>
      </c>
      <c r="D879" s="3" t="s">
        <v>47</v>
      </c>
      <c r="E879" s="3" t="s">
        <v>51</v>
      </c>
      <c r="F879" s="3" t="s">
        <v>107</v>
      </c>
      <c r="G879" s="3">
        <v>2025</v>
      </c>
      <c r="H879" s="3" t="str">
        <f>CONCATENATE("54240513272")</f>
        <v>54240513272</v>
      </c>
      <c r="I879" s="3" t="s">
        <v>34</v>
      </c>
      <c r="J879" s="3" t="s">
        <v>35</v>
      </c>
      <c r="K879" s="3"/>
      <c r="L879" s="3" t="s">
        <v>36</v>
      </c>
      <c r="M879" s="3" t="str">
        <f>CONCATENATE("MRZRRT77T04E783D")</f>
        <v>MRZRRT77T04E783D</v>
      </c>
      <c r="N879" s="3" t="s">
        <v>1008</v>
      </c>
      <c r="O879" s="3" t="s">
        <v>38</v>
      </c>
      <c r="P879" s="3"/>
      <c r="Q879" s="4">
        <v>45968</v>
      </c>
      <c r="R879" s="3" t="s">
        <v>39</v>
      </c>
      <c r="S879" s="3" t="s">
        <v>38</v>
      </c>
      <c r="T879" s="3" t="s">
        <v>40</v>
      </c>
      <c r="U879" s="3"/>
      <c r="V879" s="3" t="s">
        <v>41</v>
      </c>
      <c r="W879" s="3">
        <v>552.05999999999995</v>
      </c>
      <c r="X879" s="3">
        <v>414.05</v>
      </c>
      <c r="Y879" s="3">
        <v>96.61</v>
      </c>
      <c r="Z879" s="3">
        <v>41.4</v>
      </c>
      <c r="AA879" s="3">
        <v>0</v>
      </c>
    </row>
    <row r="880" spans="1:27" ht="60.75" x14ac:dyDescent="0.25">
      <c r="A880" s="3" t="s">
        <v>28</v>
      </c>
      <c r="B880" s="3" t="s">
        <v>29</v>
      </c>
      <c r="C880" s="3" t="s">
        <v>30</v>
      </c>
      <c r="D880" s="3" t="s">
        <v>31</v>
      </c>
      <c r="E880" s="3" t="s">
        <v>32</v>
      </c>
      <c r="F880" s="3" t="s">
        <v>63</v>
      </c>
      <c r="G880" s="3">
        <v>2025</v>
      </c>
      <c r="H880" s="3" t="str">
        <f>CONCATENATE("54240515103")</f>
        <v>54240515103</v>
      </c>
      <c r="I880" s="3" t="s">
        <v>34</v>
      </c>
      <c r="J880" s="3" t="s">
        <v>35</v>
      </c>
      <c r="K880" s="3"/>
      <c r="L880" s="3" t="s">
        <v>36</v>
      </c>
      <c r="M880" s="3" t="str">
        <f>CONCATENATE("CNGRNN47E65I156Z")</f>
        <v>CNGRNN47E65I156Z</v>
      </c>
      <c r="N880" s="3" t="s">
        <v>1009</v>
      </c>
      <c r="O880" s="3" t="s">
        <v>38</v>
      </c>
      <c r="P880" s="3"/>
      <c r="Q880" s="4">
        <v>45968</v>
      </c>
      <c r="R880" s="3" t="s">
        <v>39</v>
      </c>
      <c r="S880" s="3" t="s">
        <v>38</v>
      </c>
      <c r="T880" s="3" t="s">
        <v>40</v>
      </c>
      <c r="U880" s="3"/>
      <c r="V880" s="3" t="s">
        <v>41</v>
      </c>
      <c r="W880" s="3">
        <v>251</v>
      </c>
      <c r="X880" s="3">
        <v>188.25</v>
      </c>
      <c r="Y880" s="3">
        <v>43.93</v>
      </c>
      <c r="Z880" s="3">
        <v>18.82</v>
      </c>
      <c r="AA880" s="3">
        <v>0</v>
      </c>
    </row>
    <row r="881" spans="1:27" ht="60.75" x14ac:dyDescent="0.25">
      <c r="A881" s="3" t="s">
        <v>28</v>
      </c>
      <c r="B881" s="3" t="s">
        <v>29</v>
      </c>
      <c r="C881" s="3" t="s">
        <v>30</v>
      </c>
      <c r="D881" s="3" t="s">
        <v>65</v>
      </c>
      <c r="E881" s="3" t="s">
        <v>51</v>
      </c>
      <c r="F881" s="3" t="s">
        <v>460</v>
      </c>
      <c r="G881" s="3">
        <v>2025</v>
      </c>
      <c r="H881" s="3" t="str">
        <f>CONCATENATE("54240514114")</f>
        <v>54240514114</v>
      </c>
      <c r="I881" s="3" t="s">
        <v>44</v>
      </c>
      <c r="J881" s="3" t="s">
        <v>35</v>
      </c>
      <c r="K881" s="3"/>
      <c r="L881" s="3" t="s">
        <v>36</v>
      </c>
      <c r="M881" s="3" t="str">
        <f>CONCATENATE("FCCGZL53L67G514C")</f>
        <v>FCCGZL53L67G514C</v>
      </c>
      <c r="N881" s="3" t="s">
        <v>1010</v>
      </c>
      <c r="O881" s="3" t="s">
        <v>38</v>
      </c>
      <c r="P881" s="3"/>
      <c r="Q881" s="4">
        <v>45968</v>
      </c>
      <c r="R881" s="3" t="s">
        <v>39</v>
      </c>
      <c r="S881" s="3" t="s">
        <v>38</v>
      </c>
      <c r="T881" s="3" t="s">
        <v>40</v>
      </c>
      <c r="U881" s="3"/>
      <c r="V881" s="3" t="s">
        <v>41</v>
      </c>
      <c r="W881" s="5">
        <v>6692.02</v>
      </c>
      <c r="X881" s="5">
        <v>5019.0200000000004</v>
      </c>
      <c r="Y881" s="5">
        <v>1171.0999999999999</v>
      </c>
      <c r="Z881" s="3">
        <v>501.9</v>
      </c>
      <c r="AA881" s="3">
        <v>0</v>
      </c>
    </row>
    <row r="882" spans="1:27" ht="60.75" x14ac:dyDescent="0.25">
      <c r="A882" s="3" t="s">
        <v>28</v>
      </c>
      <c r="B882" s="3" t="s">
        <v>29</v>
      </c>
      <c r="C882" s="3" t="s">
        <v>30</v>
      </c>
      <c r="D882" s="3" t="s">
        <v>47</v>
      </c>
      <c r="E882" s="3" t="s">
        <v>51</v>
      </c>
      <c r="F882" s="3" t="s">
        <v>107</v>
      </c>
      <c r="G882" s="3">
        <v>2025</v>
      </c>
      <c r="H882" s="3" t="str">
        <f>CONCATENATE("54240513892")</f>
        <v>54240513892</v>
      </c>
      <c r="I882" s="3" t="s">
        <v>34</v>
      </c>
      <c r="J882" s="3" t="s">
        <v>35</v>
      </c>
      <c r="K882" s="3"/>
      <c r="L882" s="3" t="s">
        <v>36</v>
      </c>
      <c r="M882" s="3" t="str">
        <f>CONCATENATE("CPRMRS64T59F552X")</f>
        <v>CPRMRS64T59F552X</v>
      </c>
      <c r="N882" s="3" t="s">
        <v>1011</v>
      </c>
      <c r="O882" s="3" t="s">
        <v>38</v>
      </c>
      <c r="P882" s="3"/>
      <c r="Q882" s="4">
        <v>45968</v>
      </c>
      <c r="R882" s="3" t="s">
        <v>39</v>
      </c>
      <c r="S882" s="3" t="s">
        <v>38</v>
      </c>
      <c r="T882" s="3" t="s">
        <v>40</v>
      </c>
      <c r="U882" s="3"/>
      <c r="V882" s="3" t="s">
        <v>41</v>
      </c>
      <c r="W882" s="3">
        <v>788.09</v>
      </c>
      <c r="X882" s="3">
        <v>591.07000000000005</v>
      </c>
      <c r="Y882" s="3">
        <v>137.91999999999999</v>
      </c>
      <c r="Z882" s="3">
        <v>59.1</v>
      </c>
      <c r="AA882" s="3">
        <v>0</v>
      </c>
    </row>
    <row r="883" spans="1:27" ht="36.75" x14ac:dyDescent="0.25">
      <c r="A883" s="3" t="s">
        <v>28</v>
      </c>
      <c r="B883" s="3" t="s">
        <v>29</v>
      </c>
      <c r="C883" s="3" t="s">
        <v>30</v>
      </c>
      <c r="D883" s="3" t="s">
        <v>65</v>
      </c>
      <c r="E883" s="3" t="s">
        <v>48</v>
      </c>
      <c r="F883" s="3" t="s">
        <v>76</v>
      </c>
      <c r="G883" s="3">
        <v>2025</v>
      </c>
      <c r="H883" s="3" t="str">
        <f>CONCATENATE("54240514221")</f>
        <v>54240514221</v>
      </c>
      <c r="I883" s="3" t="s">
        <v>34</v>
      </c>
      <c r="J883" s="3" t="s">
        <v>35</v>
      </c>
      <c r="K883" s="3"/>
      <c r="L883" s="3" t="s">
        <v>36</v>
      </c>
      <c r="M883" s="3" t="str">
        <f>CONCATENATE("02658280413")</f>
        <v>02658280413</v>
      </c>
      <c r="N883" s="3" t="s">
        <v>1012</v>
      </c>
      <c r="O883" s="3" t="s">
        <v>38</v>
      </c>
      <c r="P883" s="3"/>
      <c r="Q883" s="4">
        <v>45968</v>
      </c>
      <c r="R883" s="3" t="s">
        <v>39</v>
      </c>
      <c r="S883" s="3" t="s">
        <v>38</v>
      </c>
      <c r="T883" s="3" t="s">
        <v>40</v>
      </c>
      <c r="U883" s="3"/>
      <c r="V883" s="3" t="s">
        <v>41</v>
      </c>
      <c r="W883" s="5">
        <v>19216.599999999999</v>
      </c>
      <c r="X883" s="5">
        <v>14412.45</v>
      </c>
      <c r="Y883" s="5">
        <v>3362.91</v>
      </c>
      <c r="Z883" s="5">
        <v>1441.24</v>
      </c>
      <c r="AA883" s="3">
        <v>0</v>
      </c>
    </row>
    <row r="884" spans="1:27" ht="60.75" x14ac:dyDescent="0.25">
      <c r="A884" s="3" t="s">
        <v>28</v>
      </c>
      <c r="B884" s="3" t="s">
        <v>29</v>
      </c>
      <c r="C884" s="3" t="s">
        <v>30</v>
      </c>
      <c r="D884" s="3" t="s">
        <v>65</v>
      </c>
      <c r="E884" s="3" t="s">
        <v>60</v>
      </c>
      <c r="F884" s="3" t="s">
        <v>85</v>
      </c>
      <c r="G884" s="3">
        <v>2025</v>
      </c>
      <c r="H884" s="3" t="str">
        <f>CONCATENATE("54240644382")</f>
        <v>54240644382</v>
      </c>
      <c r="I884" s="3" t="s">
        <v>34</v>
      </c>
      <c r="J884" s="3" t="s">
        <v>35</v>
      </c>
      <c r="K884" s="3"/>
      <c r="L884" s="3" t="s">
        <v>36</v>
      </c>
      <c r="M884" s="3" t="str">
        <f>CONCATENATE("SNSMLE65B41A366F")</f>
        <v>SNSMLE65B41A366F</v>
      </c>
      <c r="N884" s="3" t="s">
        <v>1013</v>
      </c>
      <c r="O884" s="3" t="s">
        <v>38</v>
      </c>
      <c r="P884" s="3"/>
      <c r="Q884" s="4">
        <v>45968</v>
      </c>
      <c r="R884" s="3" t="s">
        <v>39</v>
      </c>
      <c r="S884" s="3" t="s">
        <v>38</v>
      </c>
      <c r="T884" s="3" t="s">
        <v>40</v>
      </c>
      <c r="U884" s="3"/>
      <c r="V884" s="3" t="s">
        <v>41</v>
      </c>
      <c r="W884" s="5">
        <v>2321.25</v>
      </c>
      <c r="X884" s="5">
        <v>1740.94</v>
      </c>
      <c r="Y884" s="3">
        <v>406.22</v>
      </c>
      <c r="Z884" s="3">
        <v>174.09</v>
      </c>
      <c r="AA884" s="3">
        <v>0</v>
      </c>
    </row>
    <row r="885" spans="1:27" ht="60.75" x14ac:dyDescent="0.25">
      <c r="A885" s="3" t="s">
        <v>28</v>
      </c>
      <c r="B885" s="3" t="s">
        <v>29</v>
      </c>
      <c r="C885" s="3" t="s">
        <v>30</v>
      </c>
      <c r="D885" s="3" t="s">
        <v>47</v>
      </c>
      <c r="E885" s="3" t="s">
        <v>51</v>
      </c>
      <c r="F885" s="3" t="s">
        <v>147</v>
      </c>
      <c r="G885" s="3">
        <v>2025</v>
      </c>
      <c r="H885" s="3" t="str">
        <f>CONCATENATE("54240642907")</f>
        <v>54240642907</v>
      </c>
      <c r="I885" s="3" t="s">
        <v>34</v>
      </c>
      <c r="J885" s="3" t="s">
        <v>35</v>
      </c>
      <c r="K885" s="3"/>
      <c r="L885" s="3" t="s">
        <v>36</v>
      </c>
      <c r="M885" s="3" t="str">
        <f>CONCATENATE("VTLSNZ29E49F567D")</f>
        <v>VTLSNZ29E49F567D</v>
      </c>
      <c r="N885" s="3" t="s">
        <v>1014</v>
      </c>
      <c r="O885" s="3" t="s">
        <v>38</v>
      </c>
      <c r="P885" s="3"/>
      <c r="Q885" s="4">
        <v>45968</v>
      </c>
      <c r="R885" s="3" t="s">
        <v>39</v>
      </c>
      <c r="S885" s="3" t="s">
        <v>38</v>
      </c>
      <c r="T885" s="3" t="s">
        <v>40</v>
      </c>
      <c r="U885" s="3"/>
      <c r="V885" s="3" t="s">
        <v>41</v>
      </c>
      <c r="W885" s="3">
        <v>716.29</v>
      </c>
      <c r="X885" s="3">
        <v>537.22</v>
      </c>
      <c r="Y885" s="3">
        <v>125.35</v>
      </c>
      <c r="Z885" s="3">
        <v>53.72</v>
      </c>
      <c r="AA885" s="3">
        <v>0</v>
      </c>
    </row>
    <row r="886" spans="1:27" ht="72.75" x14ac:dyDescent="0.25">
      <c r="A886" s="3" t="s">
        <v>28</v>
      </c>
      <c r="B886" s="3" t="s">
        <v>29</v>
      </c>
      <c r="C886" s="3" t="s">
        <v>30</v>
      </c>
      <c r="D886" s="3" t="s">
        <v>31</v>
      </c>
      <c r="E886" s="3" t="s">
        <v>60</v>
      </c>
      <c r="F886" s="3" t="s">
        <v>61</v>
      </c>
      <c r="G886" s="3">
        <v>2025</v>
      </c>
      <c r="H886" s="3" t="str">
        <f>CONCATENATE("54240518099")</f>
        <v>54240518099</v>
      </c>
      <c r="I886" s="3" t="s">
        <v>34</v>
      </c>
      <c r="J886" s="3" t="s">
        <v>35</v>
      </c>
      <c r="K886" s="3"/>
      <c r="L886" s="3" t="s">
        <v>36</v>
      </c>
      <c r="M886" s="3" t="str">
        <f>CONCATENATE("MRDLSN51E15H501F")</f>
        <v>MRDLSN51E15H501F</v>
      </c>
      <c r="N886" s="3" t="s">
        <v>1015</v>
      </c>
      <c r="O886" s="3" t="s">
        <v>38</v>
      </c>
      <c r="P886" s="3"/>
      <c r="Q886" s="4">
        <v>45968</v>
      </c>
      <c r="R886" s="3" t="s">
        <v>39</v>
      </c>
      <c r="S886" s="3" t="s">
        <v>38</v>
      </c>
      <c r="T886" s="3" t="s">
        <v>40</v>
      </c>
      <c r="U886" s="3"/>
      <c r="V886" s="3" t="s">
        <v>41</v>
      </c>
      <c r="W886" s="5">
        <v>15785.71</v>
      </c>
      <c r="X886" s="5">
        <v>11839.28</v>
      </c>
      <c r="Y886" s="5">
        <v>2762.5</v>
      </c>
      <c r="Z886" s="5">
        <v>1183.93</v>
      </c>
      <c r="AA886" s="3">
        <v>0</v>
      </c>
    </row>
    <row r="887" spans="1:27" ht="36.75" x14ac:dyDescent="0.25">
      <c r="A887" s="3" t="s">
        <v>28</v>
      </c>
      <c r="B887" s="3" t="s">
        <v>29</v>
      </c>
      <c r="C887" s="3" t="s">
        <v>30</v>
      </c>
      <c r="D887" s="3" t="s">
        <v>65</v>
      </c>
      <c r="E887" s="3" t="s">
        <v>51</v>
      </c>
      <c r="F887" s="3" t="s">
        <v>534</v>
      </c>
      <c r="G887" s="3">
        <v>2025</v>
      </c>
      <c r="H887" s="3" t="str">
        <f>CONCATENATE("54240643681")</f>
        <v>54240643681</v>
      </c>
      <c r="I887" s="3" t="s">
        <v>34</v>
      </c>
      <c r="J887" s="3" t="s">
        <v>35</v>
      </c>
      <c r="K887" s="3"/>
      <c r="L887" s="3" t="s">
        <v>36</v>
      </c>
      <c r="M887" s="3" t="str">
        <f>CONCATENATE("02069470413")</f>
        <v>02069470413</v>
      </c>
      <c r="N887" s="3" t="s">
        <v>1016</v>
      </c>
      <c r="O887" s="3" t="s">
        <v>38</v>
      </c>
      <c r="P887" s="3"/>
      <c r="Q887" s="4">
        <v>45968</v>
      </c>
      <c r="R887" s="3" t="s">
        <v>39</v>
      </c>
      <c r="S887" s="3" t="s">
        <v>38</v>
      </c>
      <c r="T887" s="3" t="s">
        <v>40</v>
      </c>
      <c r="U887" s="3"/>
      <c r="V887" s="3" t="s">
        <v>41</v>
      </c>
      <c r="W887" s="5">
        <v>1292.4100000000001</v>
      </c>
      <c r="X887" s="3">
        <v>969.31</v>
      </c>
      <c r="Y887" s="3">
        <v>226.17</v>
      </c>
      <c r="Z887" s="3">
        <v>96.93</v>
      </c>
      <c r="AA887" s="3">
        <v>0</v>
      </c>
    </row>
    <row r="888" spans="1:27" ht="48.75" x14ac:dyDescent="0.25">
      <c r="A888" s="3" t="s">
        <v>28</v>
      </c>
      <c r="B888" s="3" t="s">
        <v>29</v>
      </c>
      <c r="C888" s="3" t="s">
        <v>30</v>
      </c>
      <c r="D888" s="3" t="s">
        <v>65</v>
      </c>
      <c r="E888" s="3" t="s">
        <v>51</v>
      </c>
      <c r="F888" s="3" t="s">
        <v>534</v>
      </c>
      <c r="G888" s="3">
        <v>2025</v>
      </c>
      <c r="H888" s="3" t="str">
        <f>CONCATENATE("54240643004")</f>
        <v>54240643004</v>
      </c>
      <c r="I888" s="3" t="s">
        <v>34</v>
      </c>
      <c r="J888" s="3" t="s">
        <v>35</v>
      </c>
      <c r="K888" s="3"/>
      <c r="L888" s="3" t="s">
        <v>36</v>
      </c>
      <c r="M888" s="3" t="str">
        <f>CONCATENATE("FZZPLA66C51Z110I")</f>
        <v>FZZPLA66C51Z110I</v>
      </c>
      <c r="N888" s="3" t="s">
        <v>1017</v>
      </c>
      <c r="O888" s="3" t="s">
        <v>38</v>
      </c>
      <c r="P888" s="3"/>
      <c r="Q888" s="4">
        <v>45968</v>
      </c>
      <c r="R888" s="3" t="s">
        <v>39</v>
      </c>
      <c r="S888" s="3" t="s">
        <v>38</v>
      </c>
      <c r="T888" s="3" t="s">
        <v>40</v>
      </c>
      <c r="U888" s="3"/>
      <c r="V888" s="3" t="s">
        <v>41</v>
      </c>
      <c r="W888" s="5">
        <v>1341.26</v>
      </c>
      <c r="X888" s="5">
        <v>1005.95</v>
      </c>
      <c r="Y888" s="3">
        <v>234.72</v>
      </c>
      <c r="Z888" s="3">
        <v>100.59</v>
      </c>
      <c r="AA888" s="3">
        <v>0</v>
      </c>
    </row>
    <row r="889" spans="1:27" ht="60.75" x14ac:dyDescent="0.25">
      <c r="A889" s="3" t="s">
        <v>28</v>
      </c>
      <c r="B889" s="3" t="s">
        <v>29</v>
      </c>
      <c r="C889" s="3" t="s">
        <v>30</v>
      </c>
      <c r="D889" s="3" t="s">
        <v>65</v>
      </c>
      <c r="E889" s="3" t="s">
        <v>51</v>
      </c>
      <c r="F889" s="3" t="s">
        <v>534</v>
      </c>
      <c r="G889" s="3">
        <v>2025</v>
      </c>
      <c r="H889" s="3" t="str">
        <f>CONCATENATE("54240644044")</f>
        <v>54240644044</v>
      </c>
      <c r="I889" s="3" t="s">
        <v>34</v>
      </c>
      <c r="J889" s="3" t="s">
        <v>35</v>
      </c>
      <c r="K889" s="3"/>
      <c r="L889" s="3" t="s">
        <v>36</v>
      </c>
      <c r="M889" s="3" t="str">
        <f>CONCATENATE("TBRFNC67L14Z133R")</f>
        <v>TBRFNC67L14Z133R</v>
      </c>
      <c r="N889" s="3" t="s">
        <v>1018</v>
      </c>
      <c r="O889" s="3" t="s">
        <v>38</v>
      </c>
      <c r="P889" s="3"/>
      <c r="Q889" s="4">
        <v>45968</v>
      </c>
      <c r="R889" s="3" t="s">
        <v>39</v>
      </c>
      <c r="S889" s="3" t="s">
        <v>38</v>
      </c>
      <c r="T889" s="3" t="s">
        <v>40</v>
      </c>
      <c r="U889" s="3"/>
      <c r="V889" s="3" t="s">
        <v>41</v>
      </c>
      <c r="W889" s="5">
        <v>6664.17</v>
      </c>
      <c r="X889" s="5">
        <v>4998.13</v>
      </c>
      <c r="Y889" s="5">
        <v>1166.23</v>
      </c>
      <c r="Z889" s="3">
        <v>499.81</v>
      </c>
      <c r="AA889" s="3">
        <v>0</v>
      </c>
    </row>
    <row r="890" spans="1:27" ht="36.75" x14ac:dyDescent="0.25">
      <c r="A890" s="3" t="s">
        <v>28</v>
      </c>
      <c r="B890" s="3" t="s">
        <v>29</v>
      </c>
      <c r="C890" s="3" t="s">
        <v>30</v>
      </c>
      <c r="D890" s="3" t="s">
        <v>65</v>
      </c>
      <c r="E890" s="3" t="s">
        <v>51</v>
      </c>
      <c r="F890" s="3" t="s">
        <v>534</v>
      </c>
      <c r="G890" s="3">
        <v>2025</v>
      </c>
      <c r="H890" s="3" t="str">
        <f>CONCATENATE("54240643921")</f>
        <v>54240643921</v>
      </c>
      <c r="I890" s="3" t="s">
        <v>34</v>
      </c>
      <c r="J890" s="3" t="s">
        <v>35</v>
      </c>
      <c r="K890" s="3"/>
      <c r="L890" s="3" t="s">
        <v>36</v>
      </c>
      <c r="M890" s="3" t="str">
        <f>CONCATENATE("02605800412")</f>
        <v>02605800412</v>
      </c>
      <c r="N890" s="3" t="s">
        <v>1019</v>
      </c>
      <c r="O890" s="3" t="s">
        <v>38</v>
      </c>
      <c r="P890" s="3"/>
      <c r="Q890" s="4">
        <v>45968</v>
      </c>
      <c r="R890" s="3" t="s">
        <v>39</v>
      </c>
      <c r="S890" s="3" t="s">
        <v>38</v>
      </c>
      <c r="T890" s="3" t="s">
        <v>40</v>
      </c>
      <c r="U890" s="3"/>
      <c r="V890" s="3" t="s">
        <v>41</v>
      </c>
      <c r="W890" s="5">
        <v>22696.79</v>
      </c>
      <c r="X890" s="5">
        <v>17022.59</v>
      </c>
      <c r="Y890" s="5">
        <v>3971.94</v>
      </c>
      <c r="Z890" s="5">
        <v>1702.26</v>
      </c>
      <c r="AA890" s="3">
        <v>0</v>
      </c>
    </row>
    <row r="891" spans="1:27" ht="72.75" x14ac:dyDescent="0.25">
      <c r="A891" s="3" t="s">
        <v>28</v>
      </c>
      <c r="B891" s="3" t="s">
        <v>29</v>
      </c>
      <c r="C891" s="3" t="s">
        <v>30</v>
      </c>
      <c r="D891" s="3" t="s">
        <v>42</v>
      </c>
      <c r="E891" s="3" t="s">
        <v>51</v>
      </c>
      <c r="F891" s="3" t="s">
        <v>524</v>
      </c>
      <c r="G891" s="3">
        <v>2025</v>
      </c>
      <c r="H891" s="3" t="str">
        <f>CONCATENATE("54240643905")</f>
        <v>54240643905</v>
      </c>
      <c r="I891" s="3" t="s">
        <v>34</v>
      </c>
      <c r="J891" s="3" t="s">
        <v>35</v>
      </c>
      <c r="K891" s="3"/>
      <c r="L891" s="3" t="s">
        <v>36</v>
      </c>
      <c r="M891" s="3" t="str">
        <f>CONCATENATE("MZZGNN67R10D542G")</f>
        <v>MZZGNN67R10D542G</v>
      </c>
      <c r="N891" s="3" t="s">
        <v>1020</v>
      </c>
      <c r="O891" s="3" t="s">
        <v>38</v>
      </c>
      <c r="P891" s="3"/>
      <c r="Q891" s="4">
        <v>45968</v>
      </c>
      <c r="R891" s="3" t="s">
        <v>39</v>
      </c>
      <c r="S891" s="3" t="s">
        <v>38</v>
      </c>
      <c r="T891" s="3" t="s">
        <v>40</v>
      </c>
      <c r="U891" s="3"/>
      <c r="V891" s="3" t="s">
        <v>41</v>
      </c>
      <c r="W891" s="5">
        <v>6132.5</v>
      </c>
      <c r="X891" s="5">
        <v>4599.38</v>
      </c>
      <c r="Y891" s="5">
        <v>1073.19</v>
      </c>
      <c r="Z891" s="3">
        <v>459.93</v>
      </c>
      <c r="AA891" s="3">
        <v>0</v>
      </c>
    </row>
    <row r="892" spans="1:27" ht="60.75" x14ac:dyDescent="0.25">
      <c r="A892" s="3" t="s">
        <v>28</v>
      </c>
      <c r="B892" s="3" t="s">
        <v>29</v>
      </c>
      <c r="C892" s="3" t="s">
        <v>30</v>
      </c>
      <c r="D892" s="3" t="s">
        <v>31</v>
      </c>
      <c r="E892" s="3" t="s">
        <v>51</v>
      </c>
      <c r="F892" s="3" t="s">
        <v>192</v>
      </c>
      <c r="G892" s="3">
        <v>2025</v>
      </c>
      <c r="H892" s="3" t="str">
        <f>CONCATENATE("54240643996")</f>
        <v>54240643996</v>
      </c>
      <c r="I892" s="3" t="s">
        <v>34</v>
      </c>
      <c r="J892" s="3" t="s">
        <v>35</v>
      </c>
      <c r="K892" s="3"/>
      <c r="L892" s="3" t="s">
        <v>36</v>
      </c>
      <c r="M892" s="3" t="str">
        <f>CONCATENATE("SBBGDE87T02D488K")</f>
        <v>SBBGDE87T02D488K</v>
      </c>
      <c r="N892" s="3" t="s">
        <v>1021</v>
      </c>
      <c r="O892" s="3" t="s">
        <v>38</v>
      </c>
      <c r="P892" s="3"/>
      <c r="Q892" s="4">
        <v>45968</v>
      </c>
      <c r="R892" s="3" t="s">
        <v>39</v>
      </c>
      <c r="S892" s="3" t="s">
        <v>38</v>
      </c>
      <c r="T892" s="3" t="s">
        <v>40</v>
      </c>
      <c r="U892" s="3"/>
      <c r="V892" s="3" t="s">
        <v>41</v>
      </c>
      <c r="W892" s="5">
        <v>1921.09</v>
      </c>
      <c r="X892" s="5">
        <v>1440.82</v>
      </c>
      <c r="Y892" s="3">
        <v>336.19</v>
      </c>
      <c r="Z892" s="3">
        <v>144.08000000000001</v>
      </c>
      <c r="AA892" s="3">
        <v>0</v>
      </c>
    </row>
    <row r="893" spans="1:27" ht="48.75" x14ac:dyDescent="0.25">
      <c r="A893" s="3" t="s">
        <v>28</v>
      </c>
      <c r="B893" s="3" t="s">
        <v>29</v>
      </c>
      <c r="C893" s="3" t="s">
        <v>30</v>
      </c>
      <c r="D893" s="3" t="s">
        <v>47</v>
      </c>
      <c r="E893" s="3" t="s">
        <v>48</v>
      </c>
      <c r="F893" s="3" t="s">
        <v>90</v>
      </c>
      <c r="G893" s="3">
        <v>2025</v>
      </c>
      <c r="H893" s="3" t="str">
        <f>CONCATENATE("54240518792")</f>
        <v>54240518792</v>
      </c>
      <c r="I893" s="3" t="s">
        <v>34</v>
      </c>
      <c r="J893" s="3" t="s">
        <v>35</v>
      </c>
      <c r="K893" s="3"/>
      <c r="L893" s="3" t="s">
        <v>36</v>
      </c>
      <c r="M893" s="3" t="str">
        <f>CONCATENATE("NCLLSS89A26I156L")</f>
        <v>NCLLSS89A26I156L</v>
      </c>
      <c r="N893" s="3" t="s">
        <v>1022</v>
      </c>
      <c r="O893" s="3" t="s">
        <v>38</v>
      </c>
      <c r="P893" s="3"/>
      <c r="Q893" s="4">
        <v>45968</v>
      </c>
      <c r="R893" s="3" t="s">
        <v>39</v>
      </c>
      <c r="S893" s="3" t="s">
        <v>38</v>
      </c>
      <c r="T893" s="3" t="s">
        <v>40</v>
      </c>
      <c r="U893" s="3"/>
      <c r="V893" s="3" t="s">
        <v>41</v>
      </c>
      <c r="W893" s="3">
        <v>837.21</v>
      </c>
      <c r="X893" s="3">
        <v>627.91</v>
      </c>
      <c r="Y893" s="3">
        <v>146.51</v>
      </c>
      <c r="Z893" s="3">
        <v>62.79</v>
      </c>
      <c r="AA893" s="3">
        <v>0</v>
      </c>
    </row>
    <row r="894" spans="1:27" ht="60.75" x14ac:dyDescent="0.25">
      <c r="A894" s="3" t="s">
        <v>28</v>
      </c>
      <c r="B894" s="3" t="s">
        <v>29</v>
      </c>
      <c r="C894" s="3" t="s">
        <v>30</v>
      </c>
      <c r="D894" s="3" t="s">
        <v>42</v>
      </c>
      <c r="E894" s="3" t="s">
        <v>51</v>
      </c>
      <c r="F894" s="3" t="s">
        <v>524</v>
      </c>
      <c r="G894" s="3">
        <v>2025</v>
      </c>
      <c r="H894" s="3" t="str">
        <f>CONCATENATE("54240644085")</f>
        <v>54240644085</v>
      </c>
      <c r="I894" s="3" t="s">
        <v>34</v>
      </c>
      <c r="J894" s="3" t="s">
        <v>35</v>
      </c>
      <c r="K894" s="3"/>
      <c r="L894" s="3" t="s">
        <v>36</v>
      </c>
      <c r="M894" s="3" t="str">
        <f>CONCATENATE("MCHMCL61L12D691O")</f>
        <v>MCHMCL61L12D691O</v>
      </c>
      <c r="N894" s="3" t="s">
        <v>1023</v>
      </c>
      <c r="O894" s="3" t="s">
        <v>38</v>
      </c>
      <c r="P894" s="3"/>
      <c r="Q894" s="4">
        <v>45968</v>
      </c>
      <c r="R894" s="3" t="s">
        <v>39</v>
      </c>
      <c r="S894" s="3" t="s">
        <v>38</v>
      </c>
      <c r="T894" s="3" t="s">
        <v>40</v>
      </c>
      <c r="U894" s="3"/>
      <c r="V894" s="3" t="s">
        <v>41</v>
      </c>
      <c r="W894" s="5">
        <v>10370.9</v>
      </c>
      <c r="X894" s="5">
        <v>7778.18</v>
      </c>
      <c r="Y894" s="5">
        <v>1814.91</v>
      </c>
      <c r="Z894" s="3">
        <v>777.81</v>
      </c>
      <c r="AA894" s="3">
        <v>0</v>
      </c>
    </row>
    <row r="895" spans="1:27" ht="72.75" x14ac:dyDescent="0.25">
      <c r="A895" s="3" t="s">
        <v>28</v>
      </c>
      <c r="B895" s="3" t="s">
        <v>29</v>
      </c>
      <c r="C895" s="3" t="s">
        <v>30</v>
      </c>
      <c r="D895" s="3" t="s">
        <v>65</v>
      </c>
      <c r="E895" s="3" t="s">
        <v>32</v>
      </c>
      <c r="F895" s="3" t="s">
        <v>270</v>
      </c>
      <c r="G895" s="3">
        <v>2025</v>
      </c>
      <c r="H895" s="3" t="str">
        <f>CONCATENATE("54240644721")</f>
        <v>54240644721</v>
      </c>
      <c r="I895" s="3" t="s">
        <v>34</v>
      </c>
      <c r="J895" s="3" t="s">
        <v>35</v>
      </c>
      <c r="K895" s="3"/>
      <c r="L895" s="3" t="s">
        <v>36</v>
      </c>
      <c r="M895" s="3" t="str">
        <f>CONCATENATE("MLTNMD73C47G479K")</f>
        <v>MLTNMD73C47G479K</v>
      </c>
      <c r="N895" s="3" t="s">
        <v>1024</v>
      </c>
      <c r="O895" s="3" t="s">
        <v>38</v>
      </c>
      <c r="P895" s="3"/>
      <c r="Q895" s="4">
        <v>45968</v>
      </c>
      <c r="R895" s="3" t="s">
        <v>39</v>
      </c>
      <c r="S895" s="3" t="s">
        <v>38</v>
      </c>
      <c r="T895" s="3" t="s">
        <v>40</v>
      </c>
      <c r="U895" s="3"/>
      <c r="V895" s="3" t="s">
        <v>41</v>
      </c>
      <c r="W895" s="5">
        <v>1842.47</v>
      </c>
      <c r="X895" s="5">
        <v>1381.85</v>
      </c>
      <c r="Y895" s="3">
        <v>322.43</v>
      </c>
      <c r="Z895" s="3">
        <v>138.19</v>
      </c>
      <c r="AA895" s="3">
        <v>0</v>
      </c>
    </row>
    <row r="896" spans="1:27" ht="60.75" x14ac:dyDescent="0.25">
      <c r="A896" s="3" t="s">
        <v>28</v>
      </c>
      <c r="B896" s="3" t="s">
        <v>29</v>
      </c>
      <c r="C896" s="3" t="s">
        <v>30</v>
      </c>
      <c r="D896" s="3" t="s">
        <v>42</v>
      </c>
      <c r="E896" s="3" t="s">
        <v>43</v>
      </c>
      <c r="F896" s="3" t="s">
        <v>43</v>
      </c>
      <c r="G896" s="3">
        <v>2025</v>
      </c>
      <c r="H896" s="3" t="str">
        <f>CONCATENATE("54240644887")</f>
        <v>54240644887</v>
      </c>
      <c r="I896" s="3" t="s">
        <v>34</v>
      </c>
      <c r="J896" s="3" t="s">
        <v>35</v>
      </c>
      <c r="K896" s="3"/>
      <c r="L896" s="3" t="s">
        <v>36</v>
      </c>
      <c r="M896" s="3" t="str">
        <f>CONCATENATE("FLCSFN67C54F520F")</f>
        <v>FLCSFN67C54F520F</v>
      </c>
      <c r="N896" s="3" t="s">
        <v>1025</v>
      </c>
      <c r="O896" s="3" t="s">
        <v>38</v>
      </c>
      <c r="P896" s="3"/>
      <c r="Q896" s="4">
        <v>45968</v>
      </c>
      <c r="R896" s="3" t="s">
        <v>39</v>
      </c>
      <c r="S896" s="3" t="s">
        <v>38</v>
      </c>
      <c r="T896" s="3" t="s">
        <v>40</v>
      </c>
      <c r="U896" s="3"/>
      <c r="V896" s="3" t="s">
        <v>41</v>
      </c>
      <c r="W896" s="5">
        <v>4254.2</v>
      </c>
      <c r="X896" s="5">
        <v>3190.65</v>
      </c>
      <c r="Y896" s="3">
        <v>744.49</v>
      </c>
      <c r="Z896" s="3">
        <v>319.06</v>
      </c>
      <c r="AA896" s="3">
        <v>0</v>
      </c>
    </row>
    <row r="897" spans="1:27" ht="60.75" x14ac:dyDescent="0.25">
      <c r="A897" s="3" t="s">
        <v>28</v>
      </c>
      <c r="B897" s="3" t="s">
        <v>29</v>
      </c>
      <c r="C897" s="3" t="s">
        <v>30</v>
      </c>
      <c r="D897" s="3" t="s">
        <v>42</v>
      </c>
      <c r="E897" s="3" t="s">
        <v>43</v>
      </c>
      <c r="F897" s="3" t="s">
        <v>43</v>
      </c>
      <c r="G897" s="3">
        <v>2025</v>
      </c>
      <c r="H897" s="3" t="str">
        <f>CONCATENATE("54240632932")</f>
        <v>54240632932</v>
      </c>
      <c r="I897" s="3" t="s">
        <v>44</v>
      </c>
      <c r="J897" s="3" t="s">
        <v>35</v>
      </c>
      <c r="K897" s="3"/>
      <c r="L897" s="3" t="s">
        <v>36</v>
      </c>
      <c r="M897" s="3" t="str">
        <f>CONCATENATE("CTLNTN48T25G005E")</f>
        <v>CTLNTN48T25G005E</v>
      </c>
      <c r="N897" s="3" t="s">
        <v>1026</v>
      </c>
      <c r="O897" s="3" t="s">
        <v>38</v>
      </c>
      <c r="P897" s="3"/>
      <c r="Q897" s="4">
        <v>45968</v>
      </c>
      <c r="R897" s="3" t="s">
        <v>39</v>
      </c>
      <c r="S897" s="3" t="s">
        <v>38</v>
      </c>
      <c r="T897" s="3" t="s">
        <v>40</v>
      </c>
      <c r="U897" s="3"/>
      <c r="V897" s="3" t="s">
        <v>41</v>
      </c>
      <c r="W897" s="3">
        <v>932.17</v>
      </c>
      <c r="X897" s="3">
        <v>699.13</v>
      </c>
      <c r="Y897" s="3">
        <v>163.13</v>
      </c>
      <c r="Z897" s="3">
        <v>69.91</v>
      </c>
      <c r="AA897" s="3">
        <v>0</v>
      </c>
    </row>
    <row r="898" spans="1:27" ht="72.75" x14ac:dyDescent="0.25">
      <c r="A898" s="3" t="s">
        <v>28</v>
      </c>
      <c r="B898" s="3" t="s">
        <v>29</v>
      </c>
      <c r="C898" s="3" t="s">
        <v>30</v>
      </c>
      <c r="D898" s="3" t="s">
        <v>42</v>
      </c>
      <c r="E898" s="3" t="s">
        <v>43</v>
      </c>
      <c r="F898" s="3" t="s">
        <v>43</v>
      </c>
      <c r="G898" s="3">
        <v>2025</v>
      </c>
      <c r="H898" s="3" t="str">
        <f>CONCATENATE("54240656071")</f>
        <v>54240656071</v>
      </c>
      <c r="I898" s="3" t="s">
        <v>44</v>
      </c>
      <c r="J898" s="3" t="s">
        <v>35</v>
      </c>
      <c r="K898" s="3"/>
      <c r="L898" s="3" t="s">
        <v>36</v>
      </c>
      <c r="M898" s="3" t="str">
        <f>CONCATENATE("TLMGRM44A18G005T")</f>
        <v>TLMGRM44A18G005T</v>
      </c>
      <c r="N898" s="3" t="s">
        <v>1027</v>
      </c>
      <c r="O898" s="3" t="s">
        <v>38</v>
      </c>
      <c r="P898" s="3"/>
      <c r="Q898" s="4">
        <v>45968</v>
      </c>
      <c r="R898" s="3" t="s">
        <v>39</v>
      </c>
      <c r="S898" s="3" t="s">
        <v>38</v>
      </c>
      <c r="T898" s="3" t="s">
        <v>40</v>
      </c>
      <c r="U898" s="3"/>
      <c r="V898" s="3" t="s">
        <v>41</v>
      </c>
      <c r="W898" s="3">
        <v>705.41</v>
      </c>
      <c r="X898" s="3">
        <v>529.05999999999995</v>
      </c>
      <c r="Y898" s="3">
        <v>123.45</v>
      </c>
      <c r="Z898" s="3">
        <v>52.9</v>
      </c>
      <c r="AA898" s="3">
        <v>0</v>
      </c>
    </row>
    <row r="899" spans="1:27" ht="72.75" x14ac:dyDescent="0.25">
      <c r="A899" s="3" t="s">
        <v>28</v>
      </c>
      <c r="B899" s="3" t="s">
        <v>29</v>
      </c>
      <c r="C899" s="3" t="s">
        <v>30</v>
      </c>
      <c r="D899" s="3" t="s">
        <v>31</v>
      </c>
      <c r="E899" s="3" t="s">
        <v>60</v>
      </c>
      <c r="F899" s="3" t="s">
        <v>85</v>
      </c>
      <c r="G899" s="3">
        <v>2025</v>
      </c>
      <c r="H899" s="3" t="str">
        <f>CONCATENATE("54240628625")</f>
        <v>54240628625</v>
      </c>
      <c r="I899" s="3" t="s">
        <v>34</v>
      </c>
      <c r="J899" s="3" t="s">
        <v>35</v>
      </c>
      <c r="K899" s="3"/>
      <c r="L899" s="3" t="s">
        <v>36</v>
      </c>
      <c r="M899" s="3" t="str">
        <f>CONCATENATE("DMRLCN50T52D488C")</f>
        <v>DMRLCN50T52D488C</v>
      </c>
      <c r="N899" s="3" t="s">
        <v>1028</v>
      </c>
      <c r="O899" s="3" t="s">
        <v>38</v>
      </c>
      <c r="P899" s="3"/>
      <c r="Q899" s="4">
        <v>45968</v>
      </c>
      <c r="R899" s="3" t="s">
        <v>39</v>
      </c>
      <c r="S899" s="3" t="s">
        <v>38</v>
      </c>
      <c r="T899" s="3" t="s">
        <v>40</v>
      </c>
      <c r="U899" s="3"/>
      <c r="V899" s="3" t="s">
        <v>41</v>
      </c>
      <c r="W899" s="5">
        <v>3290.5</v>
      </c>
      <c r="X899" s="5">
        <v>2467.88</v>
      </c>
      <c r="Y899" s="3">
        <v>575.84</v>
      </c>
      <c r="Z899" s="3">
        <v>246.78</v>
      </c>
      <c r="AA899" s="3">
        <v>0</v>
      </c>
    </row>
    <row r="900" spans="1:27" ht="60.75" x14ac:dyDescent="0.25">
      <c r="A900" s="3" t="s">
        <v>28</v>
      </c>
      <c r="B900" s="3" t="s">
        <v>29</v>
      </c>
      <c r="C900" s="3" t="s">
        <v>30</v>
      </c>
      <c r="D900" s="3" t="s">
        <v>42</v>
      </c>
      <c r="E900" s="3" t="s">
        <v>43</v>
      </c>
      <c r="F900" s="3" t="s">
        <v>43</v>
      </c>
      <c r="G900" s="3">
        <v>2025</v>
      </c>
      <c r="H900" s="3" t="str">
        <f>CONCATENATE("54240628534")</f>
        <v>54240628534</v>
      </c>
      <c r="I900" s="3" t="s">
        <v>34</v>
      </c>
      <c r="J900" s="3" t="s">
        <v>35</v>
      </c>
      <c r="K900" s="3"/>
      <c r="L900" s="3" t="s">
        <v>36</v>
      </c>
      <c r="M900" s="3" t="str">
        <f>CONCATENATE("VGNFBA93D29A462L")</f>
        <v>VGNFBA93D29A462L</v>
      </c>
      <c r="N900" s="3" t="s">
        <v>1029</v>
      </c>
      <c r="O900" s="3" t="s">
        <v>38</v>
      </c>
      <c r="P900" s="3"/>
      <c r="Q900" s="4">
        <v>45968</v>
      </c>
      <c r="R900" s="3" t="s">
        <v>39</v>
      </c>
      <c r="S900" s="3" t="s">
        <v>38</v>
      </c>
      <c r="T900" s="3" t="s">
        <v>40</v>
      </c>
      <c r="U900" s="3"/>
      <c r="V900" s="3" t="s">
        <v>41</v>
      </c>
      <c r="W900" s="5">
        <v>2154.5700000000002</v>
      </c>
      <c r="X900" s="5">
        <v>1615.93</v>
      </c>
      <c r="Y900" s="3">
        <v>377.05</v>
      </c>
      <c r="Z900" s="3">
        <v>161.59</v>
      </c>
      <c r="AA900" s="3">
        <v>0</v>
      </c>
    </row>
    <row r="901" spans="1:27" ht="60.75" x14ac:dyDescent="0.25">
      <c r="A901" s="3" t="s">
        <v>28</v>
      </c>
      <c r="B901" s="3" t="s">
        <v>29</v>
      </c>
      <c r="C901" s="3" t="s">
        <v>30</v>
      </c>
      <c r="D901" s="3" t="s">
        <v>42</v>
      </c>
      <c r="E901" s="3" t="s">
        <v>51</v>
      </c>
      <c r="F901" s="3" t="s">
        <v>52</v>
      </c>
      <c r="G901" s="3">
        <v>2025</v>
      </c>
      <c r="H901" s="3" t="str">
        <f>CONCATENATE("54240505625")</f>
        <v>54240505625</v>
      </c>
      <c r="I901" s="3" t="s">
        <v>34</v>
      </c>
      <c r="J901" s="3" t="s">
        <v>35</v>
      </c>
      <c r="K901" s="3"/>
      <c r="L901" s="3" t="s">
        <v>36</v>
      </c>
      <c r="M901" s="3" t="str">
        <f>CONCATENATE("GHMMRL68S49Z129X")</f>
        <v>GHMMRL68S49Z129X</v>
      </c>
      <c r="N901" s="3" t="s">
        <v>1030</v>
      </c>
      <c r="O901" s="3" t="s">
        <v>38</v>
      </c>
      <c r="P901" s="3"/>
      <c r="Q901" s="4">
        <v>45968</v>
      </c>
      <c r="R901" s="3" t="s">
        <v>39</v>
      </c>
      <c r="S901" s="3" t="s">
        <v>38</v>
      </c>
      <c r="T901" s="3" t="s">
        <v>40</v>
      </c>
      <c r="U901" s="3"/>
      <c r="V901" s="3" t="s">
        <v>41</v>
      </c>
      <c r="W901" s="5">
        <v>1723.77</v>
      </c>
      <c r="X901" s="5">
        <v>1292.83</v>
      </c>
      <c r="Y901" s="3">
        <v>301.66000000000003</v>
      </c>
      <c r="Z901" s="3">
        <v>129.28</v>
      </c>
      <c r="AA901" s="3">
        <v>0</v>
      </c>
    </row>
    <row r="902" spans="1:27" ht="60.75" x14ac:dyDescent="0.25">
      <c r="A902" s="3" t="s">
        <v>28</v>
      </c>
      <c r="B902" s="3" t="s">
        <v>29</v>
      </c>
      <c r="C902" s="3" t="s">
        <v>30</v>
      </c>
      <c r="D902" s="3" t="s">
        <v>65</v>
      </c>
      <c r="E902" s="3" t="s">
        <v>51</v>
      </c>
      <c r="F902" s="3" t="s">
        <v>105</v>
      </c>
      <c r="G902" s="3">
        <v>2025</v>
      </c>
      <c r="H902" s="3" t="str">
        <f>CONCATENATE("54240505781")</f>
        <v>54240505781</v>
      </c>
      <c r="I902" s="3" t="s">
        <v>34</v>
      </c>
      <c r="J902" s="3" t="s">
        <v>35</v>
      </c>
      <c r="K902" s="3"/>
      <c r="L902" s="3" t="s">
        <v>36</v>
      </c>
      <c r="M902" s="3" t="str">
        <f>CONCATENATE("CRNNGR47P70D488X")</f>
        <v>CRNNGR47P70D488X</v>
      </c>
      <c r="N902" s="3" t="s">
        <v>1031</v>
      </c>
      <c r="O902" s="3" t="s">
        <v>38</v>
      </c>
      <c r="P902" s="3"/>
      <c r="Q902" s="4">
        <v>45968</v>
      </c>
      <c r="R902" s="3" t="s">
        <v>39</v>
      </c>
      <c r="S902" s="3" t="s">
        <v>38</v>
      </c>
      <c r="T902" s="3" t="s">
        <v>40</v>
      </c>
      <c r="U902" s="3"/>
      <c r="V902" s="3" t="s">
        <v>41</v>
      </c>
      <c r="W902" s="5">
        <v>2295.0700000000002</v>
      </c>
      <c r="X902" s="5">
        <v>1721.3</v>
      </c>
      <c r="Y902" s="3">
        <v>401.64</v>
      </c>
      <c r="Z902" s="3">
        <v>172.13</v>
      </c>
      <c r="AA902" s="3">
        <v>0</v>
      </c>
    </row>
    <row r="903" spans="1:27" ht="36.75" x14ac:dyDescent="0.25">
      <c r="A903" s="3" t="s">
        <v>28</v>
      </c>
      <c r="B903" s="3" t="s">
        <v>29</v>
      </c>
      <c r="C903" s="3" t="s">
        <v>30</v>
      </c>
      <c r="D903" s="3" t="s">
        <v>47</v>
      </c>
      <c r="E903" s="3" t="s">
        <v>60</v>
      </c>
      <c r="F903" s="3" t="s">
        <v>245</v>
      </c>
      <c r="G903" s="3">
        <v>2025</v>
      </c>
      <c r="H903" s="3" t="str">
        <f>CONCATENATE("54240506383")</f>
        <v>54240506383</v>
      </c>
      <c r="I903" s="3" t="s">
        <v>34</v>
      </c>
      <c r="J903" s="3" t="s">
        <v>35</v>
      </c>
      <c r="K903" s="3"/>
      <c r="L903" s="3" t="s">
        <v>36</v>
      </c>
      <c r="M903" s="3" t="str">
        <f>CONCATENATE("01954890438")</f>
        <v>01954890438</v>
      </c>
      <c r="N903" s="3" t="s">
        <v>1032</v>
      </c>
      <c r="O903" s="3" t="s">
        <v>38</v>
      </c>
      <c r="P903" s="3"/>
      <c r="Q903" s="4">
        <v>45968</v>
      </c>
      <c r="R903" s="3" t="s">
        <v>39</v>
      </c>
      <c r="S903" s="3" t="s">
        <v>38</v>
      </c>
      <c r="T903" s="3" t="s">
        <v>40</v>
      </c>
      <c r="U903" s="3"/>
      <c r="V903" s="3" t="s">
        <v>41</v>
      </c>
      <c r="W903" s="5">
        <v>2928.61</v>
      </c>
      <c r="X903" s="5">
        <v>2196.46</v>
      </c>
      <c r="Y903" s="3">
        <v>512.51</v>
      </c>
      <c r="Z903" s="3">
        <v>219.64</v>
      </c>
      <c r="AA903" s="3">
        <v>0</v>
      </c>
    </row>
    <row r="904" spans="1:27" ht="72.75" x14ac:dyDescent="0.25">
      <c r="A904" s="3" t="s">
        <v>28</v>
      </c>
      <c r="B904" s="3" t="s">
        <v>29</v>
      </c>
      <c r="C904" s="3" t="s">
        <v>30</v>
      </c>
      <c r="D904" s="3" t="s">
        <v>47</v>
      </c>
      <c r="E904" s="3" t="s">
        <v>51</v>
      </c>
      <c r="F904" s="3" t="s">
        <v>83</v>
      </c>
      <c r="G904" s="3">
        <v>2025</v>
      </c>
      <c r="H904" s="3" t="str">
        <f>CONCATENATE("54240506508")</f>
        <v>54240506508</v>
      </c>
      <c r="I904" s="3" t="s">
        <v>34</v>
      </c>
      <c r="J904" s="3" t="s">
        <v>35</v>
      </c>
      <c r="K904" s="3"/>
      <c r="L904" s="3" t="s">
        <v>36</v>
      </c>
      <c r="M904" s="3" t="str">
        <f>CONCATENATE("BRVPRZ59B48B474Q")</f>
        <v>BRVPRZ59B48B474Q</v>
      </c>
      <c r="N904" s="3" t="s">
        <v>1033</v>
      </c>
      <c r="O904" s="3" t="s">
        <v>38</v>
      </c>
      <c r="P904" s="3"/>
      <c r="Q904" s="4">
        <v>45968</v>
      </c>
      <c r="R904" s="3" t="s">
        <v>39</v>
      </c>
      <c r="S904" s="3" t="s">
        <v>38</v>
      </c>
      <c r="T904" s="3" t="s">
        <v>40</v>
      </c>
      <c r="U904" s="3"/>
      <c r="V904" s="3" t="s">
        <v>41</v>
      </c>
      <c r="W904" s="3">
        <v>784.82</v>
      </c>
      <c r="X904" s="3">
        <v>588.62</v>
      </c>
      <c r="Y904" s="3">
        <v>137.34</v>
      </c>
      <c r="Z904" s="3">
        <v>58.86</v>
      </c>
      <c r="AA904" s="3">
        <v>0</v>
      </c>
    </row>
    <row r="905" spans="1:27" ht="60.75" x14ac:dyDescent="0.25">
      <c r="A905" s="3" t="s">
        <v>28</v>
      </c>
      <c r="B905" s="3" t="s">
        <v>29</v>
      </c>
      <c r="C905" s="3" t="s">
        <v>30</v>
      </c>
      <c r="D905" s="3" t="s">
        <v>47</v>
      </c>
      <c r="E905" s="3" t="s">
        <v>51</v>
      </c>
      <c r="F905" s="3" t="s">
        <v>83</v>
      </c>
      <c r="G905" s="3">
        <v>2025</v>
      </c>
      <c r="H905" s="3" t="str">
        <f>CONCATENATE("54240506540")</f>
        <v>54240506540</v>
      </c>
      <c r="I905" s="3" t="s">
        <v>34</v>
      </c>
      <c r="J905" s="3" t="s">
        <v>35</v>
      </c>
      <c r="K905" s="3"/>
      <c r="L905" s="3" t="s">
        <v>36</v>
      </c>
      <c r="M905" s="3" t="str">
        <f>CONCATENATE("CSTSRG67D21D564B")</f>
        <v>CSTSRG67D21D564B</v>
      </c>
      <c r="N905" s="3" t="s">
        <v>1034</v>
      </c>
      <c r="O905" s="3" t="s">
        <v>38</v>
      </c>
      <c r="P905" s="3"/>
      <c r="Q905" s="4">
        <v>45968</v>
      </c>
      <c r="R905" s="3" t="s">
        <v>39</v>
      </c>
      <c r="S905" s="3" t="s">
        <v>38</v>
      </c>
      <c r="T905" s="3" t="s">
        <v>40</v>
      </c>
      <c r="U905" s="3"/>
      <c r="V905" s="3" t="s">
        <v>41</v>
      </c>
      <c r="W905" s="5">
        <v>1531.81</v>
      </c>
      <c r="X905" s="5">
        <v>1148.8599999999999</v>
      </c>
      <c r="Y905" s="3">
        <v>268.07</v>
      </c>
      <c r="Z905" s="3">
        <v>114.88</v>
      </c>
      <c r="AA905" s="3">
        <v>0</v>
      </c>
    </row>
    <row r="906" spans="1:27" ht="60.75" x14ac:dyDescent="0.25">
      <c r="A906" s="3" t="s">
        <v>28</v>
      </c>
      <c r="B906" s="3" t="s">
        <v>29</v>
      </c>
      <c r="C906" s="3" t="s">
        <v>30</v>
      </c>
      <c r="D906" s="3" t="s">
        <v>47</v>
      </c>
      <c r="E906" s="3" t="s">
        <v>48</v>
      </c>
      <c r="F906" s="3" t="s">
        <v>249</v>
      </c>
      <c r="G906" s="3">
        <v>2025</v>
      </c>
      <c r="H906" s="3" t="str">
        <f>CONCATENATE("54240508389")</f>
        <v>54240508389</v>
      </c>
      <c r="I906" s="3" t="s">
        <v>34</v>
      </c>
      <c r="J906" s="3" t="s">
        <v>35</v>
      </c>
      <c r="K906" s="3"/>
      <c r="L906" s="3" t="s">
        <v>36</v>
      </c>
      <c r="M906" s="3" t="str">
        <f>CONCATENATE("DNGPLA74L02I156I")</f>
        <v>DNGPLA74L02I156I</v>
      </c>
      <c r="N906" s="3" t="s">
        <v>1035</v>
      </c>
      <c r="O906" s="3" t="s">
        <v>38</v>
      </c>
      <c r="P906" s="3"/>
      <c r="Q906" s="4">
        <v>45968</v>
      </c>
      <c r="R906" s="3" t="s">
        <v>39</v>
      </c>
      <c r="S906" s="3" t="s">
        <v>38</v>
      </c>
      <c r="T906" s="3" t="s">
        <v>40</v>
      </c>
      <c r="U906" s="3"/>
      <c r="V906" s="3" t="s">
        <v>41</v>
      </c>
      <c r="W906" s="5">
        <v>3101.31</v>
      </c>
      <c r="X906" s="5">
        <v>2325.98</v>
      </c>
      <c r="Y906" s="3">
        <v>542.73</v>
      </c>
      <c r="Z906" s="3">
        <v>232.6</v>
      </c>
      <c r="AA906" s="3">
        <v>0</v>
      </c>
    </row>
    <row r="907" spans="1:27" ht="60.75" x14ac:dyDescent="0.25">
      <c r="A907" s="3" t="s">
        <v>28</v>
      </c>
      <c r="B907" s="3" t="s">
        <v>29</v>
      </c>
      <c r="C907" s="3" t="s">
        <v>30</v>
      </c>
      <c r="D907" s="3" t="s">
        <v>47</v>
      </c>
      <c r="E907" s="3" t="s">
        <v>51</v>
      </c>
      <c r="F907" s="3" t="s">
        <v>83</v>
      </c>
      <c r="G907" s="3">
        <v>2025</v>
      </c>
      <c r="H907" s="3" t="str">
        <f>CONCATENATE("54240506557")</f>
        <v>54240506557</v>
      </c>
      <c r="I907" s="3" t="s">
        <v>34</v>
      </c>
      <c r="J907" s="3" t="s">
        <v>35</v>
      </c>
      <c r="K907" s="3"/>
      <c r="L907" s="3" t="s">
        <v>36</v>
      </c>
      <c r="M907" s="3" t="str">
        <f>CONCATENATE("CNSNLS76E56D451E")</f>
        <v>CNSNLS76E56D451E</v>
      </c>
      <c r="N907" s="3" t="s">
        <v>1036</v>
      </c>
      <c r="O907" s="3" t="s">
        <v>38</v>
      </c>
      <c r="P907" s="3"/>
      <c r="Q907" s="4">
        <v>45968</v>
      </c>
      <c r="R907" s="3" t="s">
        <v>39</v>
      </c>
      <c r="S907" s="3" t="s">
        <v>38</v>
      </c>
      <c r="T907" s="3" t="s">
        <v>40</v>
      </c>
      <c r="U907" s="3"/>
      <c r="V907" s="3" t="s">
        <v>41</v>
      </c>
      <c r="W907" s="3">
        <v>535.26</v>
      </c>
      <c r="X907" s="3">
        <v>401.45</v>
      </c>
      <c r="Y907" s="3">
        <v>93.67</v>
      </c>
      <c r="Z907" s="3">
        <v>40.14</v>
      </c>
      <c r="AA907" s="3">
        <v>0</v>
      </c>
    </row>
    <row r="908" spans="1:27" ht="60.75" x14ac:dyDescent="0.25">
      <c r="A908" s="3" t="s">
        <v>28</v>
      </c>
      <c r="B908" s="3" t="s">
        <v>29</v>
      </c>
      <c r="C908" s="3" t="s">
        <v>30</v>
      </c>
      <c r="D908" s="3" t="s">
        <v>65</v>
      </c>
      <c r="E908" s="3" t="s">
        <v>60</v>
      </c>
      <c r="F908" s="3" t="s">
        <v>85</v>
      </c>
      <c r="G908" s="3">
        <v>2025</v>
      </c>
      <c r="H908" s="3" t="str">
        <f>CONCATENATE("54240634672")</f>
        <v>54240634672</v>
      </c>
      <c r="I908" s="3" t="s">
        <v>34</v>
      </c>
      <c r="J908" s="3" t="s">
        <v>35</v>
      </c>
      <c r="K908" s="3"/>
      <c r="L908" s="3" t="s">
        <v>36</v>
      </c>
      <c r="M908" s="3" t="str">
        <f>CONCATENATE("MRCNGL30M28I285D")</f>
        <v>MRCNGL30M28I285D</v>
      </c>
      <c r="N908" s="3" t="s">
        <v>1037</v>
      </c>
      <c r="O908" s="3" t="s">
        <v>38</v>
      </c>
      <c r="P908" s="3"/>
      <c r="Q908" s="4">
        <v>45968</v>
      </c>
      <c r="R908" s="3" t="s">
        <v>39</v>
      </c>
      <c r="S908" s="3" t="s">
        <v>38</v>
      </c>
      <c r="T908" s="3" t="s">
        <v>40</v>
      </c>
      <c r="U908" s="3"/>
      <c r="V908" s="3" t="s">
        <v>41</v>
      </c>
      <c r="W908" s="5">
        <v>4275.59</v>
      </c>
      <c r="X908" s="5">
        <v>3206.69</v>
      </c>
      <c r="Y908" s="3">
        <v>748.23</v>
      </c>
      <c r="Z908" s="3">
        <v>320.67</v>
      </c>
      <c r="AA908" s="3">
        <v>0</v>
      </c>
    </row>
    <row r="909" spans="1:27" ht="36.75" x14ac:dyDescent="0.25">
      <c r="A909" s="3" t="s">
        <v>28</v>
      </c>
      <c r="B909" s="3" t="s">
        <v>29</v>
      </c>
      <c r="C909" s="3" t="s">
        <v>30</v>
      </c>
      <c r="D909" s="3" t="s">
        <v>42</v>
      </c>
      <c r="E909" s="3" t="s">
        <v>60</v>
      </c>
      <c r="F909" s="3" t="s">
        <v>245</v>
      </c>
      <c r="G909" s="3">
        <v>2025</v>
      </c>
      <c r="H909" s="3" t="str">
        <f>CONCATENATE("54240507696")</f>
        <v>54240507696</v>
      </c>
      <c r="I909" s="3" t="s">
        <v>34</v>
      </c>
      <c r="J909" s="3" t="s">
        <v>35</v>
      </c>
      <c r="K909" s="3"/>
      <c r="L909" s="3" t="s">
        <v>36</v>
      </c>
      <c r="M909" s="3" t="str">
        <f>CONCATENATE("00700420441")</f>
        <v>00700420441</v>
      </c>
      <c r="N909" s="3" t="s">
        <v>1038</v>
      </c>
      <c r="O909" s="3" t="s">
        <v>38</v>
      </c>
      <c r="P909" s="3"/>
      <c r="Q909" s="4">
        <v>45968</v>
      </c>
      <c r="R909" s="3" t="s">
        <v>39</v>
      </c>
      <c r="S909" s="3" t="s">
        <v>38</v>
      </c>
      <c r="T909" s="3" t="s">
        <v>40</v>
      </c>
      <c r="U909" s="3"/>
      <c r="V909" s="3" t="s">
        <v>41</v>
      </c>
      <c r="W909" s="5">
        <v>4868.92</v>
      </c>
      <c r="X909" s="5">
        <v>3651.69</v>
      </c>
      <c r="Y909" s="3">
        <v>852.06</v>
      </c>
      <c r="Z909" s="3">
        <v>365.17</v>
      </c>
      <c r="AA909" s="3">
        <v>0</v>
      </c>
    </row>
    <row r="910" spans="1:27" ht="72.75" x14ac:dyDescent="0.25">
      <c r="A910" s="3" t="s">
        <v>28</v>
      </c>
      <c r="B910" s="3" t="s">
        <v>29</v>
      </c>
      <c r="C910" s="3" t="s">
        <v>30</v>
      </c>
      <c r="D910" s="3" t="s">
        <v>47</v>
      </c>
      <c r="E910" s="3" t="s">
        <v>207</v>
      </c>
      <c r="F910" s="3" t="s">
        <v>217</v>
      </c>
      <c r="G910" s="3">
        <v>2025</v>
      </c>
      <c r="H910" s="3" t="str">
        <f>CONCATENATE("54240542446")</f>
        <v>54240542446</v>
      </c>
      <c r="I910" s="3" t="s">
        <v>34</v>
      </c>
      <c r="J910" s="3" t="s">
        <v>35</v>
      </c>
      <c r="K910" s="3"/>
      <c r="L910" s="3" t="s">
        <v>36</v>
      </c>
      <c r="M910" s="3" t="str">
        <f>CONCATENATE("RPNMLM97T05D451N")</f>
        <v>RPNMLM97T05D451N</v>
      </c>
      <c r="N910" s="3" t="s">
        <v>1039</v>
      </c>
      <c r="O910" s="3" t="s">
        <v>38</v>
      </c>
      <c r="P910" s="3"/>
      <c r="Q910" s="4">
        <v>45968</v>
      </c>
      <c r="R910" s="3" t="s">
        <v>39</v>
      </c>
      <c r="S910" s="3" t="s">
        <v>38</v>
      </c>
      <c r="T910" s="3" t="s">
        <v>40</v>
      </c>
      <c r="U910" s="3"/>
      <c r="V910" s="3" t="s">
        <v>41</v>
      </c>
      <c r="W910" s="5">
        <v>2764.51</v>
      </c>
      <c r="X910" s="5">
        <v>2073.38</v>
      </c>
      <c r="Y910" s="3">
        <v>483.79</v>
      </c>
      <c r="Z910" s="3">
        <v>207.34</v>
      </c>
      <c r="AA910" s="3">
        <v>0</v>
      </c>
    </row>
    <row r="911" spans="1:27" ht="60.75" x14ac:dyDescent="0.25">
      <c r="A911" s="3" t="s">
        <v>28</v>
      </c>
      <c r="B911" s="3" t="s">
        <v>29</v>
      </c>
      <c r="C911" s="3" t="s">
        <v>30</v>
      </c>
      <c r="D911" s="3" t="s">
        <v>65</v>
      </c>
      <c r="E911" s="3" t="s">
        <v>51</v>
      </c>
      <c r="F911" s="3" t="s">
        <v>278</v>
      </c>
      <c r="G911" s="3">
        <v>2025</v>
      </c>
      <c r="H911" s="3" t="str">
        <f>CONCATENATE("54240630902")</f>
        <v>54240630902</v>
      </c>
      <c r="I911" s="3" t="s">
        <v>34</v>
      </c>
      <c r="J911" s="3" t="s">
        <v>35</v>
      </c>
      <c r="K911" s="3"/>
      <c r="L911" s="3" t="s">
        <v>36</v>
      </c>
      <c r="M911" s="3" t="str">
        <f>CONCATENATE("TGNDNL89B27B352J")</f>
        <v>TGNDNL89B27B352J</v>
      </c>
      <c r="N911" s="3" t="s">
        <v>1040</v>
      </c>
      <c r="O911" s="3" t="s">
        <v>38</v>
      </c>
      <c r="P911" s="3"/>
      <c r="Q911" s="4">
        <v>45968</v>
      </c>
      <c r="R911" s="3" t="s">
        <v>39</v>
      </c>
      <c r="S911" s="3" t="s">
        <v>38</v>
      </c>
      <c r="T911" s="3" t="s">
        <v>40</v>
      </c>
      <c r="U911" s="3"/>
      <c r="V911" s="3" t="s">
        <v>41</v>
      </c>
      <c r="W911" s="5">
        <v>1915.68</v>
      </c>
      <c r="X911" s="5">
        <v>1436.76</v>
      </c>
      <c r="Y911" s="3">
        <v>335.24</v>
      </c>
      <c r="Z911" s="3">
        <v>143.68</v>
      </c>
      <c r="AA911" s="3">
        <v>0</v>
      </c>
    </row>
    <row r="912" spans="1:27" ht="60.75" x14ac:dyDescent="0.25">
      <c r="A912" s="3" t="s">
        <v>28</v>
      </c>
      <c r="B912" s="3" t="s">
        <v>29</v>
      </c>
      <c r="C912" s="3" t="s">
        <v>30</v>
      </c>
      <c r="D912" s="3" t="s">
        <v>65</v>
      </c>
      <c r="E912" s="3" t="s">
        <v>48</v>
      </c>
      <c r="F912" s="3" t="s">
        <v>76</v>
      </c>
      <c r="G912" s="3">
        <v>2025</v>
      </c>
      <c r="H912" s="3" t="str">
        <f>CONCATENATE("54240508710")</f>
        <v>54240508710</v>
      </c>
      <c r="I912" s="3" t="s">
        <v>34</v>
      </c>
      <c r="J912" s="3" t="s">
        <v>35</v>
      </c>
      <c r="K912" s="3"/>
      <c r="L912" s="3" t="s">
        <v>36</v>
      </c>
      <c r="M912" s="3" t="str">
        <f>CONCATENATE("PSCLCU86D10D488F")</f>
        <v>PSCLCU86D10D488F</v>
      </c>
      <c r="N912" s="3" t="s">
        <v>1041</v>
      </c>
      <c r="O912" s="3" t="s">
        <v>38</v>
      </c>
      <c r="P912" s="3"/>
      <c r="Q912" s="4">
        <v>45968</v>
      </c>
      <c r="R912" s="3" t="s">
        <v>39</v>
      </c>
      <c r="S912" s="3" t="s">
        <v>38</v>
      </c>
      <c r="T912" s="3" t="s">
        <v>40</v>
      </c>
      <c r="U912" s="3"/>
      <c r="V912" s="3" t="s">
        <v>41</v>
      </c>
      <c r="W912" s="5">
        <v>1065.31</v>
      </c>
      <c r="X912" s="3">
        <v>798.98</v>
      </c>
      <c r="Y912" s="3">
        <v>186.43</v>
      </c>
      <c r="Z912" s="3">
        <v>79.900000000000006</v>
      </c>
      <c r="AA912" s="3">
        <v>0</v>
      </c>
    </row>
    <row r="913" spans="1:27" ht="60.75" x14ac:dyDescent="0.25">
      <c r="A913" s="3" t="s">
        <v>28</v>
      </c>
      <c r="B913" s="3" t="s">
        <v>29</v>
      </c>
      <c r="C913" s="3" t="s">
        <v>30</v>
      </c>
      <c r="D913" s="3" t="s">
        <v>42</v>
      </c>
      <c r="E913" s="3" t="s">
        <v>154</v>
      </c>
      <c r="F913" s="3" t="s">
        <v>155</v>
      </c>
      <c r="G913" s="3">
        <v>2025</v>
      </c>
      <c r="H913" s="3" t="str">
        <f>CONCATENATE("54240666013")</f>
        <v>54240666013</v>
      </c>
      <c r="I913" s="3" t="s">
        <v>34</v>
      </c>
      <c r="J913" s="3" t="s">
        <v>35</v>
      </c>
      <c r="K913" s="3"/>
      <c r="L913" s="3" t="s">
        <v>36</v>
      </c>
      <c r="M913" s="3" t="str">
        <f>CONCATENATE("SCRMRC99S22A462J")</f>
        <v>SCRMRC99S22A462J</v>
      </c>
      <c r="N913" s="3" t="s">
        <v>1042</v>
      </c>
      <c r="O913" s="3" t="s">
        <v>38</v>
      </c>
      <c r="P913" s="3"/>
      <c r="Q913" s="4">
        <v>45968</v>
      </c>
      <c r="R913" s="3" t="s">
        <v>39</v>
      </c>
      <c r="S913" s="3" t="s">
        <v>38</v>
      </c>
      <c r="T913" s="3" t="s">
        <v>40</v>
      </c>
      <c r="U913" s="3"/>
      <c r="V913" s="3" t="s">
        <v>41</v>
      </c>
      <c r="W913" s="3">
        <v>725.14</v>
      </c>
      <c r="X913" s="3">
        <v>543.86</v>
      </c>
      <c r="Y913" s="3">
        <v>126.9</v>
      </c>
      <c r="Z913" s="3">
        <v>54.38</v>
      </c>
      <c r="AA913" s="3">
        <v>0</v>
      </c>
    </row>
    <row r="914" spans="1:27" ht="60.75" x14ac:dyDescent="0.25">
      <c r="A914" s="3" t="s">
        <v>28</v>
      </c>
      <c r="B914" s="3" t="s">
        <v>29</v>
      </c>
      <c r="C914" s="3" t="s">
        <v>30</v>
      </c>
      <c r="D914" s="3" t="s">
        <v>65</v>
      </c>
      <c r="E914" s="3" t="s">
        <v>48</v>
      </c>
      <c r="F914" s="3" t="s">
        <v>66</v>
      </c>
      <c r="G914" s="3">
        <v>2025</v>
      </c>
      <c r="H914" s="3" t="str">
        <f>CONCATENATE("54240509056")</f>
        <v>54240509056</v>
      </c>
      <c r="I914" s="3" t="s">
        <v>34</v>
      </c>
      <c r="J914" s="3" t="s">
        <v>35</v>
      </c>
      <c r="K914" s="3"/>
      <c r="L914" s="3" t="s">
        <v>36</v>
      </c>
      <c r="M914" s="3" t="str">
        <f>CONCATENATE("GMBGRT92L70L500Q")</f>
        <v>GMBGRT92L70L500Q</v>
      </c>
      <c r="N914" s="3" t="s">
        <v>1043</v>
      </c>
      <c r="O914" s="3" t="s">
        <v>38</v>
      </c>
      <c r="P914" s="3"/>
      <c r="Q914" s="4">
        <v>45968</v>
      </c>
      <c r="R914" s="3" t="s">
        <v>39</v>
      </c>
      <c r="S914" s="3" t="s">
        <v>38</v>
      </c>
      <c r="T914" s="3" t="s">
        <v>40</v>
      </c>
      <c r="U914" s="3"/>
      <c r="V914" s="3" t="s">
        <v>41</v>
      </c>
      <c r="W914" s="5">
        <v>80303.990000000005</v>
      </c>
      <c r="X914" s="5">
        <v>60227.99</v>
      </c>
      <c r="Y914" s="5">
        <v>14053.2</v>
      </c>
      <c r="Z914" s="5">
        <v>6022.8</v>
      </c>
      <c r="AA914" s="3">
        <v>0</v>
      </c>
    </row>
    <row r="915" spans="1:27" ht="60.75" x14ac:dyDescent="0.25">
      <c r="A915" s="3" t="s">
        <v>28</v>
      </c>
      <c r="B915" s="3" t="s">
        <v>29</v>
      </c>
      <c r="C915" s="3" t="s">
        <v>30</v>
      </c>
      <c r="D915" s="3" t="s">
        <v>65</v>
      </c>
      <c r="E915" s="3" t="s">
        <v>32</v>
      </c>
      <c r="F915" s="3" t="s">
        <v>95</v>
      </c>
      <c r="G915" s="3">
        <v>2025</v>
      </c>
      <c r="H915" s="3" t="str">
        <f>CONCATENATE("54240635828")</f>
        <v>54240635828</v>
      </c>
      <c r="I915" s="3" t="s">
        <v>34</v>
      </c>
      <c r="J915" s="3" t="s">
        <v>35</v>
      </c>
      <c r="K915" s="3"/>
      <c r="L915" s="3" t="s">
        <v>36</v>
      </c>
      <c r="M915" s="3" t="str">
        <f>CONCATENATE("MCHNNT64P53H501N")</f>
        <v>MCHNNT64P53H501N</v>
      </c>
      <c r="N915" s="3" t="s">
        <v>1044</v>
      </c>
      <c r="O915" s="3" t="s">
        <v>38</v>
      </c>
      <c r="P915" s="3"/>
      <c r="Q915" s="4">
        <v>45968</v>
      </c>
      <c r="R915" s="3" t="s">
        <v>39</v>
      </c>
      <c r="S915" s="3" t="s">
        <v>38</v>
      </c>
      <c r="T915" s="3" t="s">
        <v>40</v>
      </c>
      <c r="U915" s="3"/>
      <c r="V915" s="3" t="s">
        <v>41</v>
      </c>
      <c r="W915" s="5">
        <v>1800.26</v>
      </c>
      <c r="X915" s="5">
        <v>1350.2</v>
      </c>
      <c r="Y915" s="3">
        <v>315.05</v>
      </c>
      <c r="Z915" s="3">
        <v>135.01</v>
      </c>
      <c r="AA915" s="3">
        <v>0</v>
      </c>
    </row>
    <row r="916" spans="1:27" ht="72.75" x14ac:dyDescent="0.25">
      <c r="A916" s="3" t="s">
        <v>28</v>
      </c>
      <c r="B916" s="3" t="s">
        <v>29</v>
      </c>
      <c r="C916" s="3" t="s">
        <v>30</v>
      </c>
      <c r="D916" s="3" t="s">
        <v>42</v>
      </c>
      <c r="E916" s="3" t="s">
        <v>32</v>
      </c>
      <c r="F916" s="3" t="s">
        <v>340</v>
      </c>
      <c r="G916" s="3">
        <v>2025</v>
      </c>
      <c r="H916" s="3" t="str">
        <f>CONCATENATE("54240635166")</f>
        <v>54240635166</v>
      </c>
      <c r="I916" s="3" t="s">
        <v>34</v>
      </c>
      <c r="J916" s="3" t="s">
        <v>35</v>
      </c>
      <c r="K916" s="3"/>
      <c r="L916" s="3" t="s">
        <v>36</v>
      </c>
      <c r="M916" s="3" t="str">
        <f>CONCATENATE("MLGMRZ68M19D542V")</f>
        <v>MLGMRZ68M19D542V</v>
      </c>
      <c r="N916" s="3" t="s">
        <v>1045</v>
      </c>
      <c r="O916" s="3" t="s">
        <v>38</v>
      </c>
      <c r="P916" s="3"/>
      <c r="Q916" s="4">
        <v>45968</v>
      </c>
      <c r="R916" s="3" t="s">
        <v>39</v>
      </c>
      <c r="S916" s="3" t="s">
        <v>38</v>
      </c>
      <c r="T916" s="3" t="s">
        <v>40</v>
      </c>
      <c r="U916" s="3"/>
      <c r="V916" s="3" t="s">
        <v>41</v>
      </c>
      <c r="W916" s="5">
        <v>2273.16</v>
      </c>
      <c r="X916" s="5">
        <v>1704.87</v>
      </c>
      <c r="Y916" s="3">
        <v>397.8</v>
      </c>
      <c r="Z916" s="3">
        <v>170.49</v>
      </c>
      <c r="AA916" s="3">
        <v>0</v>
      </c>
    </row>
    <row r="917" spans="1:27" ht="60.75" x14ac:dyDescent="0.25">
      <c r="A917" s="3" t="s">
        <v>28</v>
      </c>
      <c r="B917" s="3" t="s">
        <v>29</v>
      </c>
      <c r="C917" s="3" t="s">
        <v>30</v>
      </c>
      <c r="D917" s="3" t="s">
        <v>65</v>
      </c>
      <c r="E917" s="3" t="s">
        <v>60</v>
      </c>
      <c r="F917" s="3" t="s">
        <v>85</v>
      </c>
      <c r="G917" s="3">
        <v>2025</v>
      </c>
      <c r="H917" s="3" t="str">
        <f>CONCATENATE("54240636636")</f>
        <v>54240636636</v>
      </c>
      <c r="I917" s="3" t="s">
        <v>34</v>
      </c>
      <c r="J917" s="3" t="s">
        <v>35</v>
      </c>
      <c r="K917" s="3"/>
      <c r="L917" s="3" t="s">
        <v>36</v>
      </c>
      <c r="M917" s="3" t="str">
        <f>CONCATENATE("VGNLFR61A12B846J")</f>
        <v>VGNLFR61A12B846J</v>
      </c>
      <c r="N917" s="3" t="s">
        <v>1046</v>
      </c>
      <c r="O917" s="3" t="s">
        <v>38</v>
      </c>
      <c r="P917" s="3"/>
      <c r="Q917" s="4">
        <v>45968</v>
      </c>
      <c r="R917" s="3" t="s">
        <v>39</v>
      </c>
      <c r="S917" s="3" t="s">
        <v>38</v>
      </c>
      <c r="T917" s="3" t="s">
        <v>40</v>
      </c>
      <c r="U917" s="3"/>
      <c r="V917" s="3" t="s">
        <v>41</v>
      </c>
      <c r="W917" s="5">
        <v>14778.63</v>
      </c>
      <c r="X917" s="5">
        <v>11083.97</v>
      </c>
      <c r="Y917" s="5">
        <v>2586.2600000000002</v>
      </c>
      <c r="Z917" s="5">
        <v>1108.4000000000001</v>
      </c>
      <c r="AA917" s="3">
        <v>0</v>
      </c>
    </row>
    <row r="918" spans="1:27" ht="36.75" x14ac:dyDescent="0.25">
      <c r="A918" s="3" t="s">
        <v>28</v>
      </c>
      <c r="B918" s="3" t="s">
        <v>29</v>
      </c>
      <c r="C918" s="3" t="s">
        <v>30</v>
      </c>
      <c r="D918" s="3" t="s">
        <v>47</v>
      </c>
      <c r="E918" s="3" t="s">
        <v>51</v>
      </c>
      <c r="F918" s="3" t="s">
        <v>83</v>
      </c>
      <c r="G918" s="3">
        <v>2025</v>
      </c>
      <c r="H918" s="3" t="str">
        <f>CONCATENATE("54240640125")</f>
        <v>54240640125</v>
      </c>
      <c r="I918" s="3" t="s">
        <v>34</v>
      </c>
      <c r="J918" s="3" t="s">
        <v>35</v>
      </c>
      <c r="K918" s="3"/>
      <c r="L918" s="3" t="s">
        <v>36</v>
      </c>
      <c r="M918" s="3" t="str">
        <f>CONCATENATE("00395910433")</f>
        <v>00395910433</v>
      </c>
      <c r="N918" s="3" t="s">
        <v>1047</v>
      </c>
      <c r="O918" s="3" t="s">
        <v>38</v>
      </c>
      <c r="P918" s="3"/>
      <c r="Q918" s="4">
        <v>45968</v>
      </c>
      <c r="R918" s="3" t="s">
        <v>39</v>
      </c>
      <c r="S918" s="3" t="s">
        <v>38</v>
      </c>
      <c r="T918" s="3" t="s">
        <v>40</v>
      </c>
      <c r="U918" s="3"/>
      <c r="V918" s="3" t="s">
        <v>41</v>
      </c>
      <c r="W918" s="5">
        <v>27211.27</v>
      </c>
      <c r="X918" s="5">
        <v>20408.45</v>
      </c>
      <c r="Y918" s="5">
        <v>4761.97</v>
      </c>
      <c r="Z918" s="5">
        <v>2040.85</v>
      </c>
      <c r="AA918" s="3">
        <v>0</v>
      </c>
    </row>
    <row r="919" spans="1:27" ht="36.75" x14ac:dyDescent="0.25">
      <c r="A919" s="3" t="s">
        <v>28</v>
      </c>
      <c r="B919" s="3" t="s">
        <v>29</v>
      </c>
      <c r="C919" s="3" t="s">
        <v>30</v>
      </c>
      <c r="D919" s="3" t="s">
        <v>47</v>
      </c>
      <c r="E919" s="3" t="s">
        <v>51</v>
      </c>
      <c r="F919" s="3" t="s">
        <v>83</v>
      </c>
      <c r="G919" s="3">
        <v>2025</v>
      </c>
      <c r="H919" s="3" t="str">
        <f>CONCATENATE("54240641479")</f>
        <v>54240641479</v>
      </c>
      <c r="I919" s="3" t="s">
        <v>34</v>
      </c>
      <c r="J919" s="3" t="s">
        <v>35</v>
      </c>
      <c r="K919" s="3"/>
      <c r="L919" s="3" t="s">
        <v>36</v>
      </c>
      <c r="M919" s="3" t="str">
        <f>CONCATENATE("01046830434")</f>
        <v>01046830434</v>
      </c>
      <c r="N919" s="3" t="s">
        <v>1048</v>
      </c>
      <c r="O919" s="3" t="s">
        <v>38</v>
      </c>
      <c r="P919" s="3"/>
      <c r="Q919" s="4">
        <v>45968</v>
      </c>
      <c r="R919" s="3" t="s">
        <v>39</v>
      </c>
      <c r="S919" s="3" t="s">
        <v>38</v>
      </c>
      <c r="T919" s="3" t="s">
        <v>40</v>
      </c>
      <c r="U919" s="3"/>
      <c r="V919" s="3" t="s">
        <v>41</v>
      </c>
      <c r="W919" s="5">
        <v>5508.85</v>
      </c>
      <c r="X919" s="5">
        <v>4131.6400000000003</v>
      </c>
      <c r="Y919" s="3">
        <v>964.05</v>
      </c>
      <c r="Z919" s="3">
        <v>413.16</v>
      </c>
      <c r="AA919" s="3">
        <v>0</v>
      </c>
    </row>
    <row r="920" spans="1:27" ht="60.75" x14ac:dyDescent="0.25">
      <c r="A920" s="3" t="s">
        <v>28</v>
      </c>
      <c r="B920" s="3" t="s">
        <v>29</v>
      </c>
      <c r="C920" s="3" t="s">
        <v>30</v>
      </c>
      <c r="D920" s="3" t="s">
        <v>42</v>
      </c>
      <c r="E920" s="3" t="s">
        <v>207</v>
      </c>
      <c r="F920" s="3" t="s">
        <v>764</v>
      </c>
      <c r="G920" s="3">
        <v>2025</v>
      </c>
      <c r="H920" s="3" t="str">
        <f>CONCATENATE("54240641933")</f>
        <v>54240641933</v>
      </c>
      <c r="I920" s="3" t="s">
        <v>34</v>
      </c>
      <c r="J920" s="3" t="s">
        <v>35</v>
      </c>
      <c r="K920" s="3"/>
      <c r="L920" s="3" t="s">
        <v>36</v>
      </c>
      <c r="M920" s="3" t="str">
        <f>CONCATENATE("BLLTBR56P24B534G")</f>
        <v>BLLTBR56P24B534G</v>
      </c>
      <c r="N920" s="3" t="s">
        <v>1049</v>
      </c>
      <c r="O920" s="3" t="s">
        <v>38</v>
      </c>
      <c r="P920" s="3"/>
      <c r="Q920" s="4">
        <v>45968</v>
      </c>
      <c r="R920" s="3" t="s">
        <v>39</v>
      </c>
      <c r="S920" s="3" t="s">
        <v>38</v>
      </c>
      <c r="T920" s="3" t="s">
        <v>40</v>
      </c>
      <c r="U920" s="3"/>
      <c r="V920" s="3" t="s">
        <v>41</v>
      </c>
      <c r="W920" s="5">
        <v>1305.6400000000001</v>
      </c>
      <c r="X920" s="3">
        <v>979.23</v>
      </c>
      <c r="Y920" s="3">
        <v>228.49</v>
      </c>
      <c r="Z920" s="3">
        <v>97.92</v>
      </c>
      <c r="AA920" s="3">
        <v>0</v>
      </c>
    </row>
    <row r="921" spans="1:27" ht="60.75" x14ac:dyDescent="0.25">
      <c r="A921" s="3" t="s">
        <v>28</v>
      </c>
      <c r="B921" s="3" t="s">
        <v>29</v>
      </c>
      <c r="C921" s="3" t="s">
        <v>30</v>
      </c>
      <c r="D921" s="3" t="s">
        <v>42</v>
      </c>
      <c r="E921" s="3" t="s">
        <v>207</v>
      </c>
      <c r="F921" s="3" t="s">
        <v>764</v>
      </c>
      <c r="G921" s="3">
        <v>2025</v>
      </c>
      <c r="H921" s="3" t="str">
        <f>CONCATENATE("54240642014")</f>
        <v>54240642014</v>
      </c>
      <c r="I921" s="3" t="s">
        <v>34</v>
      </c>
      <c r="J921" s="3" t="s">
        <v>35</v>
      </c>
      <c r="K921" s="3"/>
      <c r="L921" s="3" t="s">
        <v>36</v>
      </c>
      <c r="M921" s="3" t="str">
        <f>CONCATENATE("BRTGNI66L18H769F")</f>
        <v>BRTGNI66L18H769F</v>
      </c>
      <c r="N921" s="3" t="s">
        <v>1050</v>
      </c>
      <c r="O921" s="3" t="s">
        <v>38</v>
      </c>
      <c r="P921" s="3"/>
      <c r="Q921" s="4">
        <v>45968</v>
      </c>
      <c r="R921" s="3" t="s">
        <v>39</v>
      </c>
      <c r="S921" s="3" t="s">
        <v>38</v>
      </c>
      <c r="T921" s="3" t="s">
        <v>40</v>
      </c>
      <c r="U921" s="3"/>
      <c r="V921" s="3" t="s">
        <v>41</v>
      </c>
      <c r="W921" s="5">
        <v>1351.81</v>
      </c>
      <c r="X921" s="5">
        <v>1013.86</v>
      </c>
      <c r="Y921" s="3">
        <v>236.57</v>
      </c>
      <c r="Z921" s="3">
        <v>101.38</v>
      </c>
      <c r="AA921" s="3">
        <v>0</v>
      </c>
    </row>
    <row r="922" spans="1:27" ht="60.75" x14ac:dyDescent="0.25">
      <c r="A922" s="3" t="s">
        <v>28</v>
      </c>
      <c r="B922" s="3" t="s">
        <v>29</v>
      </c>
      <c r="C922" s="3" t="s">
        <v>30</v>
      </c>
      <c r="D922" s="3" t="s">
        <v>42</v>
      </c>
      <c r="E922" s="3" t="s">
        <v>132</v>
      </c>
      <c r="F922" s="3" t="s">
        <v>1051</v>
      </c>
      <c r="G922" s="3">
        <v>2025</v>
      </c>
      <c r="H922" s="3" t="str">
        <f>CONCATENATE("54240509700")</f>
        <v>54240509700</v>
      </c>
      <c r="I922" s="3" t="s">
        <v>34</v>
      </c>
      <c r="J922" s="3" t="s">
        <v>35</v>
      </c>
      <c r="K922" s="3"/>
      <c r="L922" s="3" t="s">
        <v>36</v>
      </c>
      <c r="M922" s="3" t="str">
        <f>CONCATENATE("LCNNSC77R46D542Z")</f>
        <v>LCNNSC77R46D542Z</v>
      </c>
      <c r="N922" s="3" t="s">
        <v>1052</v>
      </c>
      <c r="O922" s="3" t="s">
        <v>38</v>
      </c>
      <c r="P922" s="3"/>
      <c r="Q922" s="4">
        <v>45968</v>
      </c>
      <c r="R922" s="3" t="s">
        <v>39</v>
      </c>
      <c r="S922" s="3" t="s">
        <v>38</v>
      </c>
      <c r="T922" s="3" t="s">
        <v>40</v>
      </c>
      <c r="U922" s="3"/>
      <c r="V922" s="3" t="s">
        <v>41</v>
      </c>
      <c r="W922" s="5">
        <v>1235.79</v>
      </c>
      <c r="X922" s="3">
        <v>926.84</v>
      </c>
      <c r="Y922" s="3">
        <v>216.26</v>
      </c>
      <c r="Z922" s="3">
        <v>92.69</v>
      </c>
      <c r="AA922" s="3">
        <v>0</v>
      </c>
    </row>
    <row r="923" spans="1:27" ht="60.75" x14ac:dyDescent="0.25">
      <c r="A923" s="3" t="s">
        <v>28</v>
      </c>
      <c r="B923" s="3" t="s">
        <v>29</v>
      </c>
      <c r="C923" s="3" t="s">
        <v>30</v>
      </c>
      <c r="D923" s="3" t="s">
        <v>47</v>
      </c>
      <c r="E923" s="3" t="s">
        <v>60</v>
      </c>
      <c r="F923" s="3" t="s">
        <v>245</v>
      </c>
      <c r="G923" s="3">
        <v>2025</v>
      </c>
      <c r="H923" s="3" t="str">
        <f>CONCATENATE("54240509486")</f>
        <v>54240509486</v>
      </c>
      <c r="I923" s="3" t="s">
        <v>34</v>
      </c>
      <c r="J923" s="3" t="s">
        <v>35</v>
      </c>
      <c r="K923" s="3"/>
      <c r="L923" s="3" t="s">
        <v>36</v>
      </c>
      <c r="M923" s="3" t="str">
        <f>CONCATENATE("RSSVNT79E45F520P")</f>
        <v>RSSVNT79E45F520P</v>
      </c>
      <c r="N923" s="3" t="s">
        <v>1053</v>
      </c>
      <c r="O923" s="3" t="s">
        <v>38</v>
      </c>
      <c r="P923" s="3"/>
      <c r="Q923" s="4">
        <v>45968</v>
      </c>
      <c r="R923" s="3" t="s">
        <v>39</v>
      </c>
      <c r="S923" s="3" t="s">
        <v>38</v>
      </c>
      <c r="T923" s="3" t="s">
        <v>40</v>
      </c>
      <c r="U923" s="3"/>
      <c r="V923" s="3" t="s">
        <v>41</v>
      </c>
      <c r="W923" s="5">
        <v>4123.28</v>
      </c>
      <c r="X923" s="5">
        <v>3092.46</v>
      </c>
      <c r="Y923" s="3">
        <v>721.57</v>
      </c>
      <c r="Z923" s="3">
        <v>309.25</v>
      </c>
      <c r="AA923" s="3">
        <v>0</v>
      </c>
    </row>
    <row r="924" spans="1:27" ht="60.75" x14ac:dyDescent="0.25">
      <c r="A924" s="3" t="s">
        <v>28</v>
      </c>
      <c r="B924" s="3" t="s">
        <v>29</v>
      </c>
      <c r="C924" s="3" t="s">
        <v>30</v>
      </c>
      <c r="D924" s="3" t="s">
        <v>42</v>
      </c>
      <c r="E924" s="3" t="s">
        <v>60</v>
      </c>
      <c r="F924" s="3" t="s">
        <v>245</v>
      </c>
      <c r="G924" s="3">
        <v>2025</v>
      </c>
      <c r="H924" s="3" t="str">
        <f>CONCATENATE("54240509718")</f>
        <v>54240509718</v>
      </c>
      <c r="I924" s="3" t="s">
        <v>34</v>
      </c>
      <c r="J924" s="3" t="s">
        <v>35</v>
      </c>
      <c r="K924" s="3"/>
      <c r="L924" s="3" t="s">
        <v>36</v>
      </c>
      <c r="M924" s="3" t="str">
        <f>CONCATENATE("MZZCLT89E60F522E")</f>
        <v>MZZCLT89E60F522E</v>
      </c>
      <c r="N924" s="3" t="s">
        <v>1054</v>
      </c>
      <c r="O924" s="3" t="s">
        <v>38</v>
      </c>
      <c r="P924" s="3"/>
      <c r="Q924" s="4">
        <v>45968</v>
      </c>
      <c r="R924" s="3" t="s">
        <v>39</v>
      </c>
      <c r="S924" s="3" t="s">
        <v>38</v>
      </c>
      <c r="T924" s="3" t="s">
        <v>40</v>
      </c>
      <c r="U924" s="3"/>
      <c r="V924" s="3" t="s">
        <v>41</v>
      </c>
      <c r="W924" s="5">
        <v>6516.93</v>
      </c>
      <c r="X924" s="5">
        <v>4887.7</v>
      </c>
      <c r="Y924" s="5">
        <v>1140.46</v>
      </c>
      <c r="Z924" s="3">
        <v>488.77</v>
      </c>
      <c r="AA924" s="3">
        <v>0</v>
      </c>
    </row>
    <row r="925" spans="1:27" ht="60.75" x14ac:dyDescent="0.25">
      <c r="A925" s="3" t="s">
        <v>28</v>
      </c>
      <c r="B925" s="3" t="s">
        <v>29</v>
      </c>
      <c r="C925" s="3" t="s">
        <v>30</v>
      </c>
      <c r="D925" s="3" t="s">
        <v>65</v>
      </c>
      <c r="E925" s="3" t="s">
        <v>48</v>
      </c>
      <c r="F925" s="3" t="s">
        <v>76</v>
      </c>
      <c r="G925" s="3">
        <v>2025</v>
      </c>
      <c r="H925" s="3" t="str">
        <f>CONCATENATE("54240510096")</f>
        <v>54240510096</v>
      </c>
      <c r="I925" s="3" t="s">
        <v>44</v>
      </c>
      <c r="J925" s="3" t="s">
        <v>35</v>
      </c>
      <c r="K925" s="3"/>
      <c r="L925" s="3" t="s">
        <v>36</v>
      </c>
      <c r="M925" s="3" t="str">
        <f>CONCATENATE("BSTNDR60L01H501E")</f>
        <v>BSTNDR60L01H501E</v>
      </c>
      <c r="N925" s="3" t="s">
        <v>1055</v>
      </c>
      <c r="O925" s="3" t="s">
        <v>38</v>
      </c>
      <c r="P925" s="3"/>
      <c r="Q925" s="4">
        <v>45968</v>
      </c>
      <c r="R925" s="3" t="s">
        <v>39</v>
      </c>
      <c r="S925" s="3" t="s">
        <v>38</v>
      </c>
      <c r="T925" s="3" t="s">
        <v>40</v>
      </c>
      <c r="U925" s="3"/>
      <c r="V925" s="3" t="s">
        <v>41</v>
      </c>
      <c r="W925" s="5">
        <v>8915.73</v>
      </c>
      <c r="X925" s="5">
        <v>6686.8</v>
      </c>
      <c r="Y925" s="5">
        <v>1560.25</v>
      </c>
      <c r="Z925" s="3">
        <v>668.68</v>
      </c>
      <c r="AA925" s="3">
        <v>0</v>
      </c>
    </row>
    <row r="926" spans="1:27" ht="60.75" x14ac:dyDescent="0.25">
      <c r="A926" s="3" t="s">
        <v>28</v>
      </c>
      <c r="B926" s="3" t="s">
        <v>29</v>
      </c>
      <c r="C926" s="3" t="s">
        <v>30</v>
      </c>
      <c r="D926" s="3" t="s">
        <v>65</v>
      </c>
      <c r="E926" s="3" t="s">
        <v>51</v>
      </c>
      <c r="F926" s="3" t="s">
        <v>460</v>
      </c>
      <c r="G926" s="3">
        <v>2025</v>
      </c>
      <c r="H926" s="3" t="str">
        <f>CONCATENATE("54240510260")</f>
        <v>54240510260</v>
      </c>
      <c r="I926" s="3" t="s">
        <v>44</v>
      </c>
      <c r="J926" s="3" t="s">
        <v>35</v>
      </c>
      <c r="K926" s="3"/>
      <c r="L926" s="3" t="s">
        <v>36</v>
      </c>
      <c r="M926" s="3" t="str">
        <f>CONCATENATE("BRTMRC85D11L500G")</f>
        <v>BRTMRC85D11L500G</v>
      </c>
      <c r="N926" s="3" t="s">
        <v>1056</v>
      </c>
      <c r="O926" s="3" t="s">
        <v>38</v>
      </c>
      <c r="P926" s="3"/>
      <c r="Q926" s="4">
        <v>45968</v>
      </c>
      <c r="R926" s="3" t="s">
        <v>39</v>
      </c>
      <c r="S926" s="3" t="s">
        <v>38</v>
      </c>
      <c r="T926" s="3" t="s">
        <v>40</v>
      </c>
      <c r="U926" s="3"/>
      <c r="V926" s="3" t="s">
        <v>41</v>
      </c>
      <c r="W926" s="5">
        <v>3673.39</v>
      </c>
      <c r="X926" s="5">
        <v>2755.04</v>
      </c>
      <c r="Y926" s="3">
        <v>642.84</v>
      </c>
      <c r="Z926" s="3">
        <v>275.51</v>
      </c>
      <c r="AA926" s="3">
        <v>0</v>
      </c>
    </row>
    <row r="927" spans="1:27" ht="60.75" x14ac:dyDescent="0.25">
      <c r="A927" s="3" t="s">
        <v>28</v>
      </c>
      <c r="B927" s="3" t="s">
        <v>29</v>
      </c>
      <c r="C927" s="3" t="s">
        <v>30</v>
      </c>
      <c r="D927" s="3" t="s">
        <v>47</v>
      </c>
      <c r="E927" s="3" t="s">
        <v>48</v>
      </c>
      <c r="F927" s="3" t="s">
        <v>79</v>
      </c>
      <c r="G927" s="3">
        <v>2025</v>
      </c>
      <c r="H927" s="3" t="str">
        <f>CONCATENATE("54240510153")</f>
        <v>54240510153</v>
      </c>
      <c r="I927" s="3" t="s">
        <v>34</v>
      </c>
      <c r="J927" s="3" t="s">
        <v>35</v>
      </c>
      <c r="K927" s="3"/>
      <c r="L927" s="3" t="s">
        <v>36</v>
      </c>
      <c r="M927" s="3" t="str">
        <f>CONCATENATE("MRTLSN83D13E783C")</f>
        <v>MRTLSN83D13E783C</v>
      </c>
      <c r="N927" s="3" t="s">
        <v>1057</v>
      </c>
      <c r="O927" s="3" t="s">
        <v>38</v>
      </c>
      <c r="P927" s="3"/>
      <c r="Q927" s="4">
        <v>45968</v>
      </c>
      <c r="R927" s="3" t="s">
        <v>39</v>
      </c>
      <c r="S927" s="3" t="s">
        <v>38</v>
      </c>
      <c r="T927" s="3" t="s">
        <v>40</v>
      </c>
      <c r="U927" s="3"/>
      <c r="V927" s="3" t="s">
        <v>41</v>
      </c>
      <c r="W927" s="5">
        <v>2311.8000000000002</v>
      </c>
      <c r="X927" s="5">
        <v>1733.85</v>
      </c>
      <c r="Y927" s="3">
        <v>404.57</v>
      </c>
      <c r="Z927" s="3">
        <v>173.38</v>
      </c>
      <c r="AA927" s="3">
        <v>0</v>
      </c>
    </row>
    <row r="928" spans="1:27" ht="60.75" x14ac:dyDescent="0.25">
      <c r="A928" s="3" t="s">
        <v>28</v>
      </c>
      <c r="B928" s="3" t="s">
        <v>29</v>
      </c>
      <c r="C928" s="3" t="s">
        <v>30</v>
      </c>
      <c r="D928" s="3" t="s">
        <v>31</v>
      </c>
      <c r="E928" s="3" t="s">
        <v>60</v>
      </c>
      <c r="F928" s="3" t="s">
        <v>61</v>
      </c>
      <c r="G928" s="3">
        <v>2025</v>
      </c>
      <c r="H928" s="3" t="str">
        <f>CONCATENATE("54240510450")</f>
        <v>54240510450</v>
      </c>
      <c r="I928" s="3" t="s">
        <v>34</v>
      </c>
      <c r="J928" s="3" t="s">
        <v>35</v>
      </c>
      <c r="K928" s="3"/>
      <c r="L928" s="3" t="s">
        <v>36</v>
      </c>
      <c r="M928" s="3" t="str">
        <f>CONCATENATE("CFNGLC88P19D451H")</f>
        <v>CFNGLC88P19D451H</v>
      </c>
      <c r="N928" s="3" t="s">
        <v>1058</v>
      </c>
      <c r="O928" s="3" t="s">
        <v>38</v>
      </c>
      <c r="P928" s="3"/>
      <c r="Q928" s="4">
        <v>45968</v>
      </c>
      <c r="R928" s="3" t="s">
        <v>39</v>
      </c>
      <c r="S928" s="3" t="s">
        <v>38</v>
      </c>
      <c r="T928" s="3" t="s">
        <v>40</v>
      </c>
      <c r="U928" s="3"/>
      <c r="V928" s="3" t="s">
        <v>41</v>
      </c>
      <c r="W928" s="5">
        <v>2290.4</v>
      </c>
      <c r="X928" s="5">
        <v>1717.8</v>
      </c>
      <c r="Y928" s="3">
        <v>400.82</v>
      </c>
      <c r="Z928" s="3">
        <v>171.78</v>
      </c>
      <c r="AA928" s="3">
        <v>0</v>
      </c>
    </row>
    <row r="929" spans="1:27" ht="60.75" x14ac:dyDescent="0.25">
      <c r="A929" s="3" t="s">
        <v>28</v>
      </c>
      <c r="B929" s="3" t="s">
        <v>29</v>
      </c>
      <c r="C929" s="3" t="s">
        <v>30</v>
      </c>
      <c r="D929" s="3" t="s">
        <v>31</v>
      </c>
      <c r="E929" s="3" t="s">
        <v>32</v>
      </c>
      <c r="F929" s="3" t="s">
        <v>63</v>
      </c>
      <c r="G929" s="3">
        <v>2025</v>
      </c>
      <c r="H929" s="3" t="str">
        <f>CONCATENATE("54240510534")</f>
        <v>54240510534</v>
      </c>
      <c r="I929" s="3" t="s">
        <v>44</v>
      </c>
      <c r="J929" s="3" t="s">
        <v>35</v>
      </c>
      <c r="K929" s="3"/>
      <c r="L929" s="3" t="s">
        <v>36</v>
      </c>
      <c r="M929" s="3" t="str">
        <f>CONCATENATE("BTTLNR78M48E388D")</f>
        <v>BTTLNR78M48E388D</v>
      </c>
      <c r="N929" s="3" t="s">
        <v>1059</v>
      </c>
      <c r="O929" s="3" t="s">
        <v>38</v>
      </c>
      <c r="P929" s="3"/>
      <c r="Q929" s="4">
        <v>45968</v>
      </c>
      <c r="R929" s="3" t="s">
        <v>39</v>
      </c>
      <c r="S929" s="3" t="s">
        <v>38</v>
      </c>
      <c r="T929" s="3" t="s">
        <v>40</v>
      </c>
      <c r="U929" s="3"/>
      <c r="V929" s="3" t="s">
        <v>41</v>
      </c>
      <c r="W929" s="3">
        <v>445.23</v>
      </c>
      <c r="X929" s="3">
        <v>333.92</v>
      </c>
      <c r="Y929" s="3">
        <v>77.92</v>
      </c>
      <c r="Z929" s="3">
        <v>33.39</v>
      </c>
      <c r="AA929" s="3">
        <v>0</v>
      </c>
    </row>
    <row r="930" spans="1:27" ht="60.75" x14ac:dyDescent="0.25">
      <c r="A930" s="3" t="s">
        <v>28</v>
      </c>
      <c r="B930" s="3" t="s">
        <v>29</v>
      </c>
      <c r="C930" s="3" t="s">
        <v>30</v>
      </c>
      <c r="D930" s="3" t="s">
        <v>65</v>
      </c>
      <c r="E930" s="3" t="s">
        <v>51</v>
      </c>
      <c r="F930" s="3" t="s">
        <v>126</v>
      </c>
      <c r="G930" s="3">
        <v>2025</v>
      </c>
      <c r="H930" s="3" t="str">
        <f>CONCATENATE("54240510864")</f>
        <v>54240510864</v>
      </c>
      <c r="I930" s="3" t="s">
        <v>44</v>
      </c>
      <c r="J930" s="3" t="s">
        <v>35</v>
      </c>
      <c r="K930" s="3"/>
      <c r="L930" s="3" t="s">
        <v>36</v>
      </c>
      <c r="M930" s="3" t="str">
        <f>CONCATENATE("LTNDRN54S15G453H")</f>
        <v>LTNDRN54S15G453H</v>
      </c>
      <c r="N930" s="3" t="s">
        <v>1060</v>
      </c>
      <c r="O930" s="3" t="s">
        <v>38</v>
      </c>
      <c r="P930" s="3"/>
      <c r="Q930" s="4">
        <v>45968</v>
      </c>
      <c r="R930" s="3" t="s">
        <v>39</v>
      </c>
      <c r="S930" s="3" t="s">
        <v>38</v>
      </c>
      <c r="T930" s="3" t="s">
        <v>40</v>
      </c>
      <c r="U930" s="3"/>
      <c r="V930" s="3" t="s">
        <v>41</v>
      </c>
      <c r="W930" s="3">
        <v>206.98</v>
      </c>
      <c r="X930" s="3">
        <v>155.24</v>
      </c>
      <c r="Y930" s="3">
        <v>36.22</v>
      </c>
      <c r="Z930" s="3">
        <v>15.52</v>
      </c>
      <c r="AA930" s="3">
        <v>0</v>
      </c>
    </row>
    <row r="931" spans="1:27" ht="60.75" x14ac:dyDescent="0.25">
      <c r="A931" s="3" t="s">
        <v>28</v>
      </c>
      <c r="B931" s="3" t="s">
        <v>29</v>
      </c>
      <c r="C931" s="3" t="s">
        <v>30</v>
      </c>
      <c r="D931" s="3" t="s">
        <v>65</v>
      </c>
      <c r="E931" s="3" t="s">
        <v>48</v>
      </c>
      <c r="F931" s="3" t="s">
        <v>66</v>
      </c>
      <c r="G931" s="3">
        <v>2025</v>
      </c>
      <c r="H931" s="3" t="str">
        <f>CONCATENATE("54240510765")</f>
        <v>54240510765</v>
      </c>
      <c r="I931" s="3" t="s">
        <v>34</v>
      </c>
      <c r="J931" s="3" t="s">
        <v>35</v>
      </c>
      <c r="K931" s="3"/>
      <c r="L931" s="3" t="s">
        <v>36</v>
      </c>
      <c r="M931" s="3" t="str">
        <f>CONCATENATE("BRSNDA48A47Z103Q")</f>
        <v>BRSNDA48A47Z103Q</v>
      </c>
      <c r="N931" s="3" t="s">
        <v>1061</v>
      </c>
      <c r="O931" s="3" t="s">
        <v>38</v>
      </c>
      <c r="P931" s="3"/>
      <c r="Q931" s="4">
        <v>45968</v>
      </c>
      <c r="R931" s="3" t="s">
        <v>39</v>
      </c>
      <c r="S931" s="3" t="s">
        <v>38</v>
      </c>
      <c r="T931" s="3" t="s">
        <v>40</v>
      </c>
      <c r="U931" s="3"/>
      <c r="V931" s="3" t="s">
        <v>41</v>
      </c>
      <c r="W931" s="5">
        <v>1283.67</v>
      </c>
      <c r="X931" s="3">
        <v>962.75</v>
      </c>
      <c r="Y931" s="3">
        <v>224.64</v>
      </c>
      <c r="Z931" s="3">
        <v>96.28</v>
      </c>
      <c r="AA931" s="3">
        <v>0</v>
      </c>
    </row>
    <row r="932" spans="1:27" ht="36.75" x14ac:dyDescent="0.25">
      <c r="A932" s="3" t="s">
        <v>28</v>
      </c>
      <c r="B932" s="3" t="s">
        <v>29</v>
      </c>
      <c r="C932" s="3" t="s">
        <v>30</v>
      </c>
      <c r="D932" s="3" t="s">
        <v>31</v>
      </c>
      <c r="E932" s="3" t="s">
        <v>32</v>
      </c>
      <c r="F932" s="3" t="s">
        <v>33</v>
      </c>
      <c r="G932" s="3">
        <v>2025</v>
      </c>
      <c r="H932" s="3" t="str">
        <f>CONCATENATE("54240511748")</f>
        <v>54240511748</v>
      </c>
      <c r="I932" s="3" t="s">
        <v>34</v>
      </c>
      <c r="J932" s="3" t="s">
        <v>35</v>
      </c>
      <c r="K932" s="3"/>
      <c r="L932" s="3" t="s">
        <v>36</v>
      </c>
      <c r="M932" s="3" t="str">
        <f>CONCATENATE("02781250424")</f>
        <v>02781250424</v>
      </c>
      <c r="N932" s="3" t="s">
        <v>1062</v>
      </c>
      <c r="O932" s="3" t="s">
        <v>38</v>
      </c>
      <c r="P932" s="3"/>
      <c r="Q932" s="4">
        <v>45968</v>
      </c>
      <c r="R932" s="3" t="s">
        <v>39</v>
      </c>
      <c r="S932" s="3" t="s">
        <v>38</v>
      </c>
      <c r="T932" s="3" t="s">
        <v>40</v>
      </c>
      <c r="U932" s="3"/>
      <c r="V932" s="3" t="s">
        <v>41</v>
      </c>
      <c r="W932" s="5">
        <v>1433.24</v>
      </c>
      <c r="X932" s="5">
        <v>1074.93</v>
      </c>
      <c r="Y932" s="3">
        <v>250.82</v>
      </c>
      <c r="Z932" s="3">
        <v>107.49</v>
      </c>
      <c r="AA932" s="3">
        <v>0</v>
      </c>
    </row>
    <row r="933" spans="1:27" ht="60.75" x14ac:dyDescent="0.25">
      <c r="A933" s="3" t="s">
        <v>28</v>
      </c>
      <c r="B933" s="3" t="s">
        <v>29</v>
      </c>
      <c r="C933" s="3" t="s">
        <v>30</v>
      </c>
      <c r="D933" s="3" t="s">
        <v>65</v>
      </c>
      <c r="E933" s="3" t="s">
        <v>32</v>
      </c>
      <c r="F933" s="3" t="s">
        <v>625</v>
      </c>
      <c r="G933" s="3">
        <v>2025</v>
      </c>
      <c r="H933" s="3" t="str">
        <f>CONCATENATE("54240510997")</f>
        <v>54240510997</v>
      </c>
      <c r="I933" s="3" t="s">
        <v>34</v>
      </c>
      <c r="J933" s="3" t="s">
        <v>35</v>
      </c>
      <c r="K933" s="3"/>
      <c r="L933" s="3" t="s">
        <v>36</v>
      </c>
      <c r="M933" s="3" t="str">
        <f>CONCATENATE("HFFKLT53L19Z112L")</f>
        <v>HFFKLT53L19Z112L</v>
      </c>
      <c r="N933" s="3" t="s">
        <v>1063</v>
      </c>
      <c r="O933" s="3" t="s">
        <v>38</v>
      </c>
      <c r="P933" s="3"/>
      <c r="Q933" s="4">
        <v>45968</v>
      </c>
      <c r="R933" s="3" t="s">
        <v>39</v>
      </c>
      <c r="S933" s="3" t="s">
        <v>38</v>
      </c>
      <c r="T933" s="3" t="s">
        <v>40</v>
      </c>
      <c r="U933" s="3"/>
      <c r="V933" s="3" t="s">
        <v>41</v>
      </c>
      <c r="W933" s="5">
        <v>1648.36</v>
      </c>
      <c r="X933" s="5">
        <v>1236.27</v>
      </c>
      <c r="Y933" s="3">
        <v>288.45999999999998</v>
      </c>
      <c r="Z933" s="3">
        <v>123.63</v>
      </c>
      <c r="AA933" s="3">
        <v>0</v>
      </c>
    </row>
    <row r="934" spans="1:27" ht="36.75" x14ac:dyDescent="0.25">
      <c r="A934" s="3" t="s">
        <v>28</v>
      </c>
      <c r="B934" s="3" t="s">
        <v>29</v>
      </c>
      <c r="C934" s="3" t="s">
        <v>30</v>
      </c>
      <c r="D934" s="3" t="s">
        <v>42</v>
      </c>
      <c r="E934" s="3" t="s">
        <v>51</v>
      </c>
      <c r="F934" s="3" t="s">
        <v>52</v>
      </c>
      <c r="G934" s="3">
        <v>2025</v>
      </c>
      <c r="H934" s="3" t="str">
        <f>CONCATENATE("54240510971")</f>
        <v>54240510971</v>
      </c>
      <c r="I934" s="3" t="s">
        <v>44</v>
      </c>
      <c r="J934" s="3" t="s">
        <v>35</v>
      </c>
      <c r="K934" s="3"/>
      <c r="L934" s="3" t="s">
        <v>36</v>
      </c>
      <c r="M934" s="3" t="str">
        <f>CONCATENATE("00938480449")</f>
        <v>00938480449</v>
      </c>
      <c r="N934" s="3" t="s">
        <v>1064</v>
      </c>
      <c r="O934" s="3" t="s">
        <v>38</v>
      </c>
      <c r="P934" s="3"/>
      <c r="Q934" s="4">
        <v>45968</v>
      </c>
      <c r="R934" s="3" t="s">
        <v>39</v>
      </c>
      <c r="S934" s="3" t="s">
        <v>38</v>
      </c>
      <c r="T934" s="3" t="s">
        <v>40</v>
      </c>
      <c r="U934" s="3"/>
      <c r="V934" s="3" t="s">
        <v>41</v>
      </c>
      <c r="W934" s="5">
        <v>2456.83</v>
      </c>
      <c r="X934" s="5">
        <v>1842.62</v>
      </c>
      <c r="Y934" s="3">
        <v>429.95</v>
      </c>
      <c r="Z934" s="3">
        <v>184.26</v>
      </c>
      <c r="AA934" s="3">
        <v>0</v>
      </c>
    </row>
    <row r="935" spans="1:27" ht="60.75" x14ac:dyDescent="0.25">
      <c r="A935" s="3" t="s">
        <v>28</v>
      </c>
      <c r="B935" s="3" t="s">
        <v>29</v>
      </c>
      <c r="C935" s="3" t="s">
        <v>30</v>
      </c>
      <c r="D935" s="3" t="s">
        <v>65</v>
      </c>
      <c r="E935" s="3" t="s">
        <v>32</v>
      </c>
      <c r="F935" s="3" t="s">
        <v>276</v>
      </c>
      <c r="G935" s="3">
        <v>2025</v>
      </c>
      <c r="H935" s="3" t="str">
        <f>CONCATENATE("54240511920")</f>
        <v>54240511920</v>
      </c>
      <c r="I935" s="3" t="s">
        <v>34</v>
      </c>
      <c r="J935" s="3" t="s">
        <v>35</v>
      </c>
      <c r="K935" s="3"/>
      <c r="L935" s="3" t="s">
        <v>36</v>
      </c>
      <c r="M935" s="3" t="str">
        <f>CONCATENATE("BRGMTN00L69G479Q")</f>
        <v>BRGMTN00L69G479Q</v>
      </c>
      <c r="N935" s="3" t="s">
        <v>1065</v>
      </c>
      <c r="O935" s="3" t="s">
        <v>38</v>
      </c>
      <c r="P935" s="3"/>
      <c r="Q935" s="4">
        <v>45968</v>
      </c>
      <c r="R935" s="3" t="s">
        <v>39</v>
      </c>
      <c r="S935" s="3" t="s">
        <v>38</v>
      </c>
      <c r="T935" s="3" t="s">
        <v>40</v>
      </c>
      <c r="U935" s="3"/>
      <c r="V935" s="3" t="s">
        <v>41</v>
      </c>
      <c r="W935" s="5">
        <v>5762.09</v>
      </c>
      <c r="X935" s="5">
        <v>4321.57</v>
      </c>
      <c r="Y935" s="5">
        <v>1008.37</v>
      </c>
      <c r="Z935" s="3">
        <v>432.15</v>
      </c>
      <c r="AA935" s="3">
        <v>0</v>
      </c>
    </row>
    <row r="936" spans="1:27" ht="36.75" x14ac:dyDescent="0.25">
      <c r="A936" s="3" t="s">
        <v>28</v>
      </c>
      <c r="B936" s="3" t="s">
        <v>29</v>
      </c>
      <c r="C936" s="3" t="s">
        <v>30</v>
      </c>
      <c r="D936" s="3" t="s">
        <v>42</v>
      </c>
      <c r="E936" s="3" t="s">
        <v>132</v>
      </c>
      <c r="F936" s="3" t="s">
        <v>263</v>
      </c>
      <c r="G936" s="3">
        <v>2025</v>
      </c>
      <c r="H936" s="3" t="str">
        <f>CONCATENATE("54240561594")</f>
        <v>54240561594</v>
      </c>
      <c r="I936" s="3" t="s">
        <v>34</v>
      </c>
      <c r="J936" s="3" t="s">
        <v>35</v>
      </c>
      <c r="K936" s="3"/>
      <c r="L936" s="3" t="s">
        <v>36</v>
      </c>
      <c r="M936" s="3" t="str">
        <f>CONCATENATE("01944640448")</f>
        <v>01944640448</v>
      </c>
      <c r="N936" s="3" t="s">
        <v>1066</v>
      </c>
      <c r="O936" s="3" t="s">
        <v>38</v>
      </c>
      <c r="P936" s="3"/>
      <c r="Q936" s="4">
        <v>45968</v>
      </c>
      <c r="R936" s="3" t="s">
        <v>39</v>
      </c>
      <c r="S936" s="3" t="s">
        <v>38</v>
      </c>
      <c r="T936" s="3" t="s">
        <v>40</v>
      </c>
      <c r="U936" s="3"/>
      <c r="V936" s="3" t="s">
        <v>41</v>
      </c>
      <c r="W936" s="5">
        <v>22093.86</v>
      </c>
      <c r="X936" s="5">
        <v>16570.400000000001</v>
      </c>
      <c r="Y936" s="5">
        <v>3866.43</v>
      </c>
      <c r="Z936" s="5">
        <v>1657.03</v>
      </c>
      <c r="AA936" s="3">
        <v>0</v>
      </c>
    </row>
    <row r="937" spans="1:27" ht="60.75" x14ac:dyDescent="0.25">
      <c r="A937" s="3" t="s">
        <v>28</v>
      </c>
      <c r="B937" s="3" t="s">
        <v>29</v>
      </c>
      <c r="C937" s="3" t="s">
        <v>30</v>
      </c>
      <c r="D937" s="3" t="s">
        <v>42</v>
      </c>
      <c r="E937" s="3" t="s">
        <v>51</v>
      </c>
      <c r="F937" s="3" t="s">
        <v>661</v>
      </c>
      <c r="G937" s="3">
        <v>2025</v>
      </c>
      <c r="H937" s="3" t="str">
        <f>CONCATENATE("54240512845")</f>
        <v>54240512845</v>
      </c>
      <c r="I937" s="3" t="s">
        <v>34</v>
      </c>
      <c r="J937" s="3" t="s">
        <v>35</v>
      </c>
      <c r="K937" s="3"/>
      <c r="L937" s="3" t="s">
        <v>36</v>
      </c>
      <c r="M937" s="3" t="str">
        <f>CONCATENATE("MRZMRA42P11A462J")</f>
        <v>MRZMRA42P11A462J</v>
      </c>
      <c r="N937" s="3" t="s">
        <v>1067</v>
      </c>
      <c r="O937" s="3" t="s">
        <v>38</v>
      </c>
      <c r="P937" s="3"/>
      <c r="Q937" s="4">
        <v>45968</v>
      </c>
      <c r="R937" s="3" t="s">
        <v>39</v>
      </c>
      <c r="S937" s="3" t="s">
        <v>38</v>
      </c>
      <c r="T937" s="3" t="s">
        <v>40</v>
      </c>
      <c r="U937" s="3"/>
      <c r="V937" s="3" t="s">
        <v>41</v>
      </c>
      <c r="W937" s="5">
        <v>1299.24</v>
      </c>
      <c r="X937" s="3">
        <v>974.43</v>
      </c>
      <c r="Y937" s="3">
        <v>227.37</v>
      </c>
      <c r="Z937" s="3">
        <v>97.44</v>
      </c>
      <c r="AA937" s="3">
        <v>0</v>
      </c>
    </row>
    <row r="938" spans="1:27" ht="60.75" x14ac:dyDescent="0.25">
      <c r="A938" s="3" t="s">
        <v>28</v>
      </c>
      <c r="B938" s="3" t="s">
        <v>29</v>
      </c>
      <c r="C938" s="3" t="s">
        <v>30</v>
      </c>
      <c r="D938" s="3" t="s">
        <v>65</v>
      </c>
      <c r="E938" s="3" t="s">
        <v>48</v>
      </c>
      <c r="F938" s="3" t="s">
        <v>76</v>
      </c>
      <c r="G938" s="3">
        <v>2025</v>
      </c>
      <c r="H938" s="3" t="str">
        <f>CONCATENATE("54240540648")</f>
        <v>54240540648</v>
      </c>
      <c r="I938" s="3" t="s">
        <v>34</v>
      </c>
      <c r="J938" s="3" t="s">
        <v>35</v>
      </c>
      <c r="K938" s="3"/>
      <c r="L938" s="3" t="s">
        <v>36</v>
      </c>
      <c r="M938" s="3" t="str">
        <f>CONCATENATE("BCCGRL70E28I459S")</f>
        <v>BCCGRL70E28I459S</v>
      </c>
      <c r="N938" s="3" t="s">
        <v>1068</v>
      </c>
      <c r="O938" s="3" t="s">
        <v>38</v>
      </c>
      <c r="P938" s="3"/>
      <c r="Q938" s="4">
        <v>45968</v>
      </c>
      <c r="R938" s="3" t="s">
        <v>39</v>
      </c>
      <c r="S938" s="3" t="s">
        <v>38</v>
      </c>
      <c r="T938" s="3" t="s">
        <v>40</v>
      </c>
      <c r="U938" s="3"/>
      <c r="V938" s="3" t="s">
        <v>41</v>
      </c>
      <c r="W938" s="5">
        <v>10420.86</v>
      </c>
      <c r="X938" s="5">
        <v>7815.65</v>
      </c>
      <c r="Y938" s="5">
        <v>1823.65</v>
      </c>
      <c r="Z938" s="3">
        <v>781.56</v>
      </c>
      <c r="AA938" s="3">
        <v>0</v>
      </c>
    </row>
    <row r="939" spans="1:27" ht="60.75" x14ac:dyDescent="0.25">
      <c r="A939" s="3" t="s">
        <v>28</v>
      </c>
      <c r="B939" s="3" t="s">
        <v>29</v>
      </c>
      <c r="C939" s="3" t="s">
        <v>30</v>
      </c>
      <c r="D939" s="3" t="s">
        <v>42</v>
      </c>
      <c r="E939" s="3" t="s">
        <v>207</v>
      </c>
      <c r="F939" s="3" t="s">
        <v>764</v>
      </c>
      <c r="G939" s="3">
        <v>2025</v>
      </c>
      <c r="H939" s="3" t="str">
        <f>CONCATENATE("54240642519")</f>
        <v>54240642519</v>
      </c>
      <c r="I939" s="3" t="s">
        <v>44</v>
      </c>
      <c r="J939" s="3" t="s">
        <v>35</v>
      </c>
      <c r="K939" s="3"/>
      <c r="L939" s="3" t="s">
        <v>36</v>
      </c>
      <c r="M939" s="3" t="str">
        <f>CONCATENATE("CRTVNC88M51H769Y")</f>
        <v>CRTVNC88M51H769Y</v>
      </c>
      <c r="N939" s="3" t="s">
        <v>1069</v>
      </c>
      <c r="O939" s="3" t="s">
        <v>38</v>
      </c>
      <c r="P939" s="3"/>
      <c r="Q939" s="4">
        <v>45968</v>
      </c>
      <c r="R939" s="3" t="s">
        <v>39</v>
      </c>
      <c r="S939" s="3" t="s">
        <v>38</v>
      </c>
      <c r="T939" s="3" t="s">
        <v>40</v>
      </c>
      <c r="U939" s="3"/>
      <c r="V939" s="3" t="s">
        <v>41</v>
      </c>
      <c r="W939" s="5">
        <v>2031.7</v>
      </c>
      <c r="X939" s="5">
        <v>1523.78</v>
      </c>
      <c r="Y939" s="3">
        <v>355.55</v>
      </c>
      <c r="Z939" s="3">
        <v>152.37</v>
      </c>
      <c r="AA939" s="3">
        <v>0</v>
      </c>
    </row>
    <row r="940" spans="1:27" ht="36.75" x14ac:dyDescent="0.25">
      <c r="A940" s="3" t="s">
        <v>28</v>
      </c>
      <c r="B940" s="3" t="s">
        <v>29</v>
      </c>
      <c r="C940" s="3" t="s">
        <v>30</v>
      </c>
      <c r="D940" s="3" t="s">
        <v>31</v>
      </c>
      <c r="E940" s="3" t="s">
        <v>51</v>
      </c>
      <c r="F940" s="3" t="s">
        <v>93</v>
      </c>
      <c r="G940" s="3">
        <v>2025</v>
      </c>
      <c r="H940" s="3" t="str">
        <f>CONCATENATE("54240642857")</f>
        <v>54240642857</v>
      </c>
      <c r="I940" s="3" t="s">
        <v>34</v>
      </c>
      <c r="J940" s="3" t="s">
        <v>35</v>
      </c>
      <c r="K940" s="3"/>
      <c r="L940" s="3" t="s">
        <v>36</v>
      </c>
      <c r="M940" s="3" t="str">
        <f>CONCATENATE("02723880429")</f>
        <v>02723880429</v>
      </c>
      <c r="N940" s="3" t="s">
        <v>1070</v>
      </c>
      <c r="O940" s="3" t="s">
        <v>38</v>
      </c>
      <c r="P940" s="3"/>
      <c r="Q940" s="4">
        <v>45968</v>
      </c>
      <c r="R940" s="3" t="s">
        <v>39</v>
      </c>
      <c r="S940" s="3" t="s">
        <v>38</v>
      </c>
      <c r="T940" s="3" t="s">
        <v>40</v>
      </c>
      <c r="U940" s="3"/>
      <c r="V940" s="3" t="s">
        <v>41</v>
      </c>
      <c r="W940" s="5">
        <v>32156.53</v>
      </c>
      <c r="X940" s="5">
        <v>24117.4</v>
      </c>
      <c r="Y940" s="5">
        <v>5627.39</v>
      </c>
      <c r="Z940" s="5">
        <v>2411.7399999999998</v>
      </c>
      <c r="AA940" s="3">
        <v>0</v>
      </c>
    </row>
    <row r="941" spans="1:27" ht="60.75" x14ac:dyDescent="0.25">
      <c r="A941" s="3" t="s">
        <v>28</v>
      </c>
      <c r="B941" s="3" t="s">
        <v>29</v>
      </c>
      <c r="C941" s="3" t="s">
        <v>30</v>
      </c>
      <c r="D941" s="3" t="s">
        <v>65</v>
      </c>
      <c r="E941" s="3" t="s">
        <v>32</v>
      </c>
      <c r="F941" s="3" t="s">
        <v>270</v>
      </c>
      <c r="G941" s="3">
        <v>2025</v>
      </c>
      <c r="H941" s="3" t="str">
        <f>CONCATENATE("54240642832")</f>
        <v>54240642832</v>
      </c>
      <c r="I941" s="3" t="s">
        <v>34</v>
      </c>
      <c r="J941" s="3" t="s">
        <v>35</v>
      </c>
      <c r="K941" s="3"/>
      <c r="L941" s="3" t="s">
        <v>36</v>
      </c>
      <c r="M941" s="3" t="str">
        <f>CONCATENATE("RNCLCU95P22G479L")</f>
        <v>RNCLCU95P22G479L</v>
      </c>
      <c r="N941" s="3" t="s">
        <v>1071</v>
      </c>
      <c r="O941" s="3" t="s">
        <v>38</v>
      </c>
      <c r="P941" s="3"/>
      <c r="Q941" s="4">
        <v>45968</v>
      </c>
      <c r="R941" s="3" t="s">
        <v>39</v>
      </c>
      <c r="S941" s="3" t="s">
        <v>38</v>
      </c>
      <c r="T941" s="3" t="s">
        <v>40</v>
      </c>
      <c r="U941" s="3"/>
      <c r="V941" s="3" t="s">
        <v>41</v>
      </c>
      <c r="W941" s="5">
        <v>5476.41</v>
      </c>
      <c r="X941" s="5">
        <v>4107.3100000000004</v>
      </c>
      <c r="Y941" s="3">
        <v>958.37</v>
      </c>
      <c r="Z941" s="3">
        <v>410.73</v>
      </c>
      <c r="AA941" s="3">
        <v>0</v>
      </c>
    </row>
    <row r="942" spans="1:27" ht="60.75" x14ac:dyDescent="0.25">
      <c r="A942" s="3" t="s">
        <v>28</v>
      </c>
      <c r="B942" s="3" t="s">
        <v>29</v>
      </c>
      <c r="C942" s="3" t="s">
        <v>30</v>
      </c>
      <c r="D942" s="3" t="s">
        <v>42</v>
      </c>
      <c r="E942" s="3" t="s">
        <v>51</v>
      </c>
      <c r="F942" s="3" t="s">
        <v>524</v>
      </c>
      <c r="G942" s="3">
        <v>2025</v>
      </c>
      <c r="H942" s="3" t="str">
        <f>CONCATENATE("54240645009")</f>
        <v>54240645009</v>
      </c>
      <c r="I942" s="3" t="s">
        <v>34</v>
      </c>
      <c r="J942" s="3" t="s">
        <v>35</v>
      </c>
      <c r="K942" s="3"/>
      <c r="L942" s="3" t="s">
        <v>36</v>
      </c>
      <c r="M942" s="3" t="str">
        <f>CONCATENATE("RSCBRN50B10F697K")</f>
        <v>RSCBRN50B10F697K</v>
      </c>
      <c r="N942" s="3" t="s">
        <v>1072</v>
      </c>
      <c r="O942" s="3" t="s">
        <v>38</v>
      </c>
      <c r="P942" s="3"/>
      <c r="Q942" s="4">
        <v>45968</v>
      </c>
      <c r="R942" s="3" t="s">
        <v>39</v>
      </c>
      <c r="S942" s="3" t="s">
        <v>38</v>
      </c>
      <c r="T942" s="3" t="s">
        <v>40</v>
      </c>
      <c r="U942" s="3"/>
      <c r="V942" s="3" t="s">
        <v>41</v>
      </c>
      <c r="W942" s="5">
        <v>5117.8100000000004</v>
      </c>
      <c r="X942" s="5">
        <v>3838.36</v>
      </c>
      <c r="Y942" s="3">
        <v>895.62</v>
      </c>
      <c r="Z942" s="3">
        <v>383.83</v>
      </c>
      <c r="AA942" s="3">
        <v>0</v>
      </c>
    </row>
    <row r="943" spans="1:27" ht="60.75" x14ac:dyDescent="0.25">
      <c r="A943" s="3" t="s">
        <v>28</v>
      </c>
      <c r="B943" s="3" t="s">
        <v>29</v>
      </c>
      <c r="C943" s="3" t="s">
        <v>30</v>
      </c>
      <c r="D943" s="3" t="s">
        <v>65</v>
      </c>
      <c r="E943" s="3" t="s">
        <v>32</v>
      </c>
      <c r="F943" s="3" t="s">
        <v>270</v>
      </c>
      <c r="G943" s="3">
        <v>2025</v>
      </c>
      <c r="H943" s="3" t="str">
        <f>CONCATENATE("54240645124")</f>
        <v>54240645124</v>
      </c>
      <c r="I943" s="3" t="s">
        <v>34</v>
      </c>
      <c r="J943" s="3" t="s">
        <v>35</v>
      </c>
      <c r="K943" s="3"/>
      <c r="L943" s="3" t="s">
        <v>36</v>
      </c>
      <c r="M943" s="3" t="str">
        <f>CONCATENATE("GSPRNN63T55G479X")</f>
        <v>GSPRNN63T55G479X</v>
      </c>
      <c r="N943" s="3" t="s">
        <v>1073</v>
      </c>
      <c r="O943" s="3" t="s">
        <v>38</v>
      </c>
      <c r="P943" s="3"/>
      <c r="Q943" s="4">
        <v>45968</v>
      </c>
      <c r="R943" s="3" t="s">
        <v>39</v>
      </c>
      <c r="S943" s="3" t="s">
        <v>38</v>
      </c>
      <c r="T943" s="3" t="s">
        <v>40</v>
      </c>
      <c r="U943" s="3"/>
      <c r="V943" s="3" t="s">
        <v>41</v>
      </c>
      <c r="W943" s="5">
        <v>1503.87</v>
      </c>
      <c r="X943" s="5">
        <v>1127.9000000000001</v>
      </c>
      <c r="Y943" s="3">
        <v>263.18</v>
      </c>
      <c r="Z943" s="3">
        <v>112.79</v>
      </c>
      <c r="AA943" s="3">
        <v>0</v>
      </c>
    </row>
    <row r="944" spans="1:27" ht="60.75" x14ac:dyDescent="0.25">
      <c r="A944" s="3" t="s">
        <v>28</v>
      </c>
      <c r="B944" s="3" t="s">
        <v>29</v>
      </c>
      <c r="C944" s="3" t="s">
        <v>30</v>
      </c>
      <c r="D944" s="3" t="s">
        <v>42</v>
      </c>
      <c r="E944" s="3" t="s">
        <v>207</v>
      </c>
      <c r="F944" s="3" t="s">
        <v>764</v>
      </c>
      <c r="G944" s="3">
        <v>2025</v>
      </c>
      <c r="H944" s="3" t="str">
        <f>CONCATENATE("54240645397")</f>
        <v>54240645397</v>
      </c>
      <c r="I944" s="3" t="s">
        <v>34</v>
      </c>
      <c r="J944" s="3" t="s">
        <v>35</v>
      </c>
      <c r="K944" s="3"/>
      <c r="L944" s="3" t="s">
        <v>36</v>
      </c>
      <c r="M944" s="3" t="str">
        <f>CONCATENATE("MBLGLC83B25H769T")</f>
        <v>MBLGLC83B25H769T</v>
      </c>
      <c r="N944" s="3" t="s">
        <v>1074</v>
      </c>
      <c r="O944" s="3" t="s">
        <v>38</v>
      </c>
      <c r="P944" s="3"/>
      <c r="Q944" s="4">
        <v>45968</v>
      </c>
      <c r="R944" s="3" t="s">
        <v>39</v>
      </c>
      <c r="S944" s="3" t="s">
        <v>38</v>
      </c>
      <c r="T944" s="3" t="s">
        <v>40</v>
      </c>
      <c r="U944" s="3"/>
      <c r="V944" s="3" t="s">
        <v>41</v>
      </c>
      <c r="W944" s="5">
        <v>8938.44</v>
      </c>
      <c r="X944" s="5">
        <v>6703.83</v>
      </c>
      <c r="Y944" s="5">
        <v>1564.23</v>
      </c>
      <c r="Z944" s="3">
        <v>670.38</v>
      </c>
      <c r="AA944" s="3">
        <v>0</v>
      </c>
    </row>
    <row r="945" spans="1:27" ht="60.75" x14ac:dyDescent="0.25">
      <c r="A945" s="3" t="s">
        <v>28</v>
      </c>
      <c r="B945" s="3" t="s">
        <v>29</v>
      </c>
      <c r="C945" s="3" t="s">
        <v>30</v>
      </c>
      <c r="D945" s="3" t="s">
        <v>42</v>
      </c>
      <c r="E945" s="3" t="s">
        <v>207</v>
      </c>
      <c r="F945" s="3" t="s">
        <v>764</v>
      </c>
      <c r="G945" s="3">
        <v>2025</v>
      </c>
      <c r="H945" s="3" t="str">
        <f>CONCATENATE("54240645447")</f>
        <v>54240645447</v>
      </c>
      <c r="I945" s="3" t="s">
        <v>34</v>
      </c>
      <c r="J945" s="3" t="s">
        <v>35</v>
      </c>
      <c r="K945" s="3"/>
      <c r="L945" s="3" t="s">
        <v>36</v>
      </c>
      <c r="M945" s="3" t="str">
        <f>CONCATENATE("FSTLSE80E59H769V")</f>
        <v>FSTLSE80E59H769V</v>
      </c>
      <c r="N945" s="3" t="s">
        <v>1075</v>
      </c>
      <c r="O945" s="3" t="s">
        <v>38</v>
      </c>
      <c r="P945" s="3"/>
      <c r="Q945" s="4">
        <v>45968</v>
      </c>
      <c r="R945" s="3" t="s">
        <v>39</v>
      </c>
      <c r="S945" s="3" t="s">
        <v>38</v>
      </c>
      <c r="T945" s="3" t="s">
        <v>40</v>
      </c>
      <c r="U945" s="3"/>
      <c r="V945" s="3" t="s">
        <v>41</v>
      </c>
      <c r="W945" s="5">
        <v>16815.07</v>
      </c>
      <c r="X945" s="5">
        <v>12611.3</v>
      </c>
      <c r="Y945" s="5">
        <v>2942.64</v>
      </c>
      <c r="Z945" s="5">
        <v>1261.1300000000001</v>
      </c>
      <c r="AA945" s="3">
        <v>0</v>
      </c>
    </row>
    <row r="946" spans="1:27" ht="36.75" x14ac:dyDescent="0.25">
      <c r="A946" s="3" t="s">
        <v>28</v>
      </c>
      <c r="B946" s="3" t="s">
        <v>29</v>
      </c>
      <c r="C946" s="3" t="s">
        <v>30</v>
      </c>
      <c r="D946" s="3" t="s">
        <v>42</v>
      </c>
      <c r="E946" s="3" t="s">
        <v>207</v>
      </c>
      <c r="F946" s="3" t="s">
        <v>764</v>
      </c>
      <c r="G946" s="3">
        <v>2025</v>
      </c>
      <c r="H946" s="3" t="str">
        <f>CONCATENATE("54240645454")</f>
        <v>54240645454</v>
      </c>
      <c r="I946" s="3" t="s">
        <v>34</v>
      </c>
      <c r="J946" s="3" t="s">
        <v>35</v>
      </c>
      <c r="K946" s="3"/>
      <c r="L946" s="3" t="s">
        <v>36</v>
      </c>
      <c r="M946" s="3" t="str">
        <f>CONCATENATE("13157191001")</f>
        <v>13157191001</v>
      </c>
      <c r="N946" s="3" t="s">
        <v>1076</v>
      </c>
      <c r="O946" s="3" t="s">
        <v>38</v>
      </c>
      <c r="P946" s="3"/>
      <c r="Q946" s="4">
        <v>45968</v>
      </c>
      <c r="R946" s="3" t="s">
        <v>39</v>
      </c>
      <c r="S946" s="3" t="s">
        <v>38</v>
      </c>
      <c r="T946" s="3" t="s">
        <v>40</v>
      </c>
      <c r="U946" s="3"/>
      <c r="V946" s="3" t="s">
        <v>41</v>
      </c>
      <c r="W946" s="5">
        <v>8423.7099999999991</v>
      </c>
      <c r="X946" s="5">
        <v>6317.78</v>
      </c>
      <c r="Y946" s="5">
        <v>1474.15</v>
      </c>
      <c r="Z946" s="3">
        <v>631.78</v>
      </c>
      <c r="AA946" s="3">
        <v>0</v>
      </c>
    </row>
    <row r="947" spans="1:27" ht="72.75" x14ac:dyDescent="0.25">
      <c r="A947" s="3" t="s">
        <v>28</v>
      </c>
      <c r="B947" s="3" t="s">
        <v>29</v>
      </c>
      <c r="C947" s="3" t="s">
        <v>30</v>
      </c>
      <c r="D947" s="3" t="s">
        <v>65</v>
      </c>
      <c r="E947" s="3" t="s">
        <v>51</v>
      </c>
      <c r="F947" s="3" t="s">
        <v>534</v>
      </c>
      <c r="G947" s="3">
        <v>2025</v>
      </c>
      <c r="H947" s="3" t="str">
        <f>CONCATENATE("54240646130")</f>
        <v>54240646130</v>
      </c>
      <c r="I947" s="3" t="s">
        <v>34</v>
      </c>
      <c r="J947" s="3" t="s">
        <v>35</v>
      </c>
      <c r="K947" s="3"/>
      <c r="L947" s="3" t="s">
        <v>36</v>
      </c>
      <c r="M947" s="3" t="str">
        <f>CONCATENATE("PLNGFR56B28D541A")</f>
        <v>PLNGFR56B28D541A</v>
      </c>
      <c r="N947" s="3" t="s">
        <v>1077</v>
      </c>
      <c r="O947" s="3" t="s">
        <v>38</v>
      </c>
      <c r="P947" s="3"/>
      <c r="Q947" s="4">
        <v>45968</v>
      </c>
      <c r="R947" s="3" t="s">
        <v>39</v>
      </c>
      <c r="S947" s="3" t="s">
        <v>38</v>
      </c>
      <c r="T947" s="3" t="s">
        <v>40</v>
      </c>
      <c r="U947" s="3"/>
      <c r="V947" s="3" t="s">
        <v>41</v>
      </c>
      <c r="W947" s="5">
        <v>1373.1</v>
      </c>
      <c r="X947" s="5">
        <v>1029.83</v>
      </c>
      <c r="Y947" s="3">
        <v>240.29</v>
      </c>
      <c r="Z947" s="3">
        <v>102.98</v>
      </c>
      <c r="AA947" s="3">
        <v>0</v>
      </c>
    </row>
    <row r="948" spans="1:27" ht="60.75" x14ac:dyDescent="0.25">
      <c r="A948" s="3" t="s">
        <v>28</v>
      </c>
      <c r="B948" s="3" t="s">
        <v>29</v>
      </c>
      <c r="C948" s="3" t="s">
        <v>30</v>
      </c>
      <c r="D948" s="3" t="s">
        <v>65</v>
      </c>
      <c r="E948" s="3" t="s">
        <v>51</v>
      </c>
      <c r="F948" s="3" t="s">
        <v>534</v>
      </c>
      <c r="G948" s="3">
        <v>2025</v>
      </c>
      <c r="H948" s="3" t="str">
        <f>CONCATENATE("54240646254")</f>
        <v>54240646254</v>
      </c>
      <c r="I948" s="3" t="s">
        <v>34</v>
      </c>
      <c r="J948" s="3" t="s">
        <v>35</v>
      </c>
      <c r="K948" s="3"/>
      <c r="L948" s="3" t="s">
        <v>36</v>
      </c>
      <c r="M948" s="3" t="str">
        <f>CONCATENATE("PZZGPP56R29F135Q")</f>
        <v>PZZGPP56R29F135Q</v>
      </c>
      <c r="N948" s="3" t="s">
        <v>1078</v>
      </c>
      <c r="O948" s="3" t="s">
        <v>38</v>
      </c>
      <c r="P948" s="3"/>
      <c r="Q948" s="4">
        <v>45968</v>
      </c>
      <c r="R948" s="3" t="s">
        <v>39</v>
      </c>
      <c r="S948" s="3" t="s">
        <v>38</v>
      </c>
      <c r="T948" s="3" t="s">
        <v>40</v>
      </c>
      <c r="U948" s="3"/>
      <c r="V948" s="3" t="s">
        <v>41</v>
      </c>
      <c r="W948" s="5">
        <v>2137.9</v>
      </c>
      <c r="X948" s="5">
        <v>1603.43</v>
      </c>
      <c r="Y948" s="3">
        <v>374.13</v>
      </c>
      <c r="Z948" s="3">
        <v>160.34</v>
      </c>
      <c r="AA948" s="3">
        <v>0</v>
      </c>
    </row>
    <row r="949" spans="1:27" ht="60.75" x14ac:dyDescent="0.25">
      <c r="A949" s="3" t="s">
        <v>28</v>
      </c>
      <c r="B949" s="3" t="s">
        <v>29</v>
      </c>
      <c r="C949" s="3" t="s">
        <v>30</v>
      </c>
      <c r="D949" s="3" t="s">
        <v>31</v>
      </c>
      <c r="E949" s="3" t="s">
        <v>207</v>
      </c>
      <c r="F949" s="3" t="s">
        <v>215</v>
      </c>
      <c r="G949" s="3">
        <v>2025</v>
      </c>
      <c r="H949" s="3" t="str">
        <f>CONCATENATE("54240647302")</f>
        <v>54240647302</v>
      </c>
      <c r="I949" s="3" t="s">
        <v>34</v>
      </c>
      <c r="J949" s="3" t="s">
        <v>35</v>
      </c>
      <c r="K949" s="3"/>
      <c r="L949" s="3" t="s">
        <v>36</v>
      </c>
      <c r="M949" s="3" t="str">
        <f>CONCATENATE("CNTMHL75S11E388P")</f>
        <v>CNTMHL75S11E388P</v>
      </c>
      <c r="N949" s="3" t="s">
        <v>1079</v>
      </c>
      <c r="O949" s="3" t="s">
        <v>38</v>
      </c>
      <c r="P949" s="3"/>
      <c r="Q949" s="4">
        <v>45968</v>
      </c>
      <c r="R949" s="3" t="s">
        <v>39</v>
      </c>
      <c r="S949" s="3" t="s">
        <v>38</v>
      </c>
      <c r="T949" s="3" t="s">
        <v>40</v>
      </c>
      <c r="U949" s="3"/>
      <c r="V949" s="3" t="s">
        <v>41</v>
      </c>
      <c r="W949" s="3">
        <v>939.65</v>
      </c>
      <c r="X949" s="3">
        <v>704.74</v>
      </c>
      <c r="Y949" s="3">
        <v>164.44</v>
      </c>
      <c r="Z949" s="3">
        <v>70.47</v>
      </c>
      <c r="AA949" s="3">
        <v>0</v>
      </c>
    </row>
    <row r="950" spans="1:27" ht="36.75" x14ac:dyDescent="0.25">
      <c r="A950" s="3" t="s">
        <v>28</v>
      </c>
      <c r="B950" s="3" t="s">
        <v>29</v>
      </c>
      <c r="C950" s="3" t="s">
        <v>30</v>
      </c>
      <c r="D950" s="3" t="s">
        <v>65</v>
      </c>
      <c r="E950" s="3" t="s">
        <v>207</v>
      </c>
      <c r="F950" s="3" t="s">
        <v>215</v>
      </c>
      <c r="G950" s="3">
        <v>2025</v>
      </c>
      <c r="H950" s="3" t="str">
        <f>CONCATENATE("54240647450")</f>
        <v>54240647450</v>
      </c>
      <c r="I950" s="3" t="s">
        <v>34</v>
      </c>
      <c r="J950" s="3" t="s">
        <v>35</v>
      </c>
      <c r="K950" s="3"/>
      <c r="L950" s="3" t="s">
        <v>36</v>
      </c>
      <c r="M950" s="3" t="str">
        <f>CONCATENATE("02703890414")</f>
        <v>02703890414</v>
      </c>
      <c r="N950" s="3" t="s">
        <v>1080</v>
      </c>
      <c r="O950" s="3" t="s">
        <v>38</v>
      </c>
      <c r="P950" s="3"/>
      <c r="Q950" s="4">
        <v>45968</v>
      </c>
      <c r="R950" s="3" t="s">
        <v>39</v>
      </c>
      <c r="S950" s="3" t="s">
        <v>38</v>
      </c>
      <c r="T950" s="3" t="s">
        <v>40</v>
      </c>
      <c r="U950" s="3"/>
      <c r="V950" s="3" t="s">
        <v>41</v>
      </c>
      <c r="W950" s="5">
        <v>3818.43</v>
      </c>
      <c r="X950" s="5">
        <v>2863.82</v>
      </c>
      <c r="Y950" s="3">
        <v>668.23</v>
      </c>
      <c r="Z950" s="3">
        <v>286.38</v>
      </c>
      <c r="AA950" s="3">
        <v>0</v>
      </c>
    </row>
    <row r="951" spans="1:27" ht="72.75" x14ac:dyDescent="0.25">
      <c r="A951" s="3" t="s">
        <v>28</v>
      </c>
      <c r="B951" s="3" t="s">
        <v>29</v>
      </c>
      <c r="C951" s="3" t="s">
        <v>30</v>
      </c>
      <c r="D951" s="3" t="s">
        <v>42</v>
      </c>
      <c r="E951" s="3" t="s">
        <v>51</v>
      </c>
      <c r="F951" s="3" t="s">
        <v>524</v>
      </c>
      <c r="G951" s="3">
        <v>2025</v>
      </c>
      <c r="H951" s="3" t="str">
        <f>CONCATENATE("54240647690")</f>
        <v>54240647690</v>
      </c>
      <c r="I951" s="3" t="s">
        <v>34</v>
      </c>
      <c r="J951" s="3" t="s">
        <v>35</v>
      </c>
      <c r="K951" s="3"/>
      <c r="L951" s="3" t="s">
        <v>36</v>
      </c>
      <c r="M951" s="3" t="str">
        <f>CONCATENATE("CNVCHR92B66A475H")</f>
        <v>CNVCHR92B66A475H</v>
      </c>
      <c r="N951" s="3" t="s">
        <v>1081</v>
      </c>
      <c r="O951" s="3" t="s">
        <v>38</v>
      </c>
      <c r="P951" s="3"/>
      <c r="Q951" s="4">
        <v>45968</v>
      </c>
      <c r="R951" s="3" t="s">
        <v>39</v>
      </c>
      <c r="S951" s="3" t="s">
        <v>38</v>
      </c>
      <c r="T951" s="3" t="s">
        <v>40</v>
      </c>
      <c r="U951" s="3"/>
      <c r="V951" s="3" t="s">
        <v>41</v>
      </c>
      <c r="W951" s="5">
        <v>7510.25</v>
      </c>
      <c r="X951" s="5">
        <v>5632.69</v>
      </c>
      <c r="Y951" s="5">
        <v>1314.29</v>
      </c>
      <c r="Z951" s="3">
        <v>563.27</v>
      </c>
      <c r="AA951" s="3">
        <v>0</v>
      </c>
    </row>
    <row r="952" spans="1:27" ht="60.75" x14ac:dyDescent="0.25">
      <c r="A952" s="3" t="s">
        <v>28</v>
      </c>
      <c r="B952" s="3" t="s">
        <v>29</v>
      </c>
      <c r="C952" s="3" t="s">
        <v>30</v>
      </c>
      <c r="D952" s="3" t="s">
        <v>42</v>
      </c>
      <c r="E952" s="3" t="s">
        <v>43</v>
      </c>
      <c r="F952" s="3" t="s">
        <v>43</v>
      </c>
      <c r="G952" s="3">
        <v>2025</v>
      </c>
      <c r="H952" s="3" t="str">
        <f>CONCATENATE("54240656014")</f>
        <v>54240656014</v>
      </c>
      <c r="I952" s="3" t="s">
        <v>44</v>
      </c>
      <c r="J952" s="3" t="s">
        <v>35</v>
      </c>
      <c r="K952" s="3"/>
      <c r="L952" s="3" t="s">
        <v>36</v>
      </c>
      <c r="M952" s="3" t="str">
        <f>CONCATENATE("TRNLSN98P30F137S")</f>
        <v>TRNLSN98P30F137S</v>
      </c>
      <c r="N952" s="3" t="s">
        <v>1082</v>
      </c>
      <c r="O952" s="3" t="s">
        <v>38</v>
      </c>
      <c r="P952" s="3"/>
      <c r="Q952" s="4">
        <v>45968</v>
      </c>
      <c r="R952" s="3" t="s">
        <v>39</v>
      </c>
      <c r="S952" s="3" t="s">
        <v>38</v>
      </c>
      <c r="T952" s="3" t="s">
        <v>40</v>
      </c>
      <c r="U952" s="3"/>
      <c r="V952" s="3" t="s">
        <v>41</v>
      </c>
      <c r="W952" s="5">
        <v>1583.36</v>
      </c>
      <c r="X952" s="5">
        <v>1187.52</v>
      </c>
      <c r="Y952" s="3">
        <v>277.08999999999997</v>
      </c>
      <c r="Z952" s="3">
        <v>118.75</v>
      </c>
      <c r="AA952" s="3">
        <v>0</v>
      </c>
    </row>
    <row r="953" spans="1:27" ht="60.75" x14ac:dyDescent="0.25">
      <c r="A953" s="3" t="s">
        <v>28</v>
      </c>
      <c r="B953" s="3" t="s">
        <v>29</v>
      </c>
      <c r="C953" s="3" t="s">
        <v>30</v>
      </c>
      <c r="D953" s="3" t="s">
        <v>31</v>
      </c>
      <c r="E953" s="3" t="s">
        <v>51</v>
      </c>
      <c r="F953" s="3" t="s">
        <v>192</v>
      </c>
      <c r="G953" s="3">
        <v>2025</v>
      </c>
      <c r="H953" s="3" t="str">
        <f>CONCATENATE("54240653169")</f>
        <v>54240653169</v>
      </c>
      <c r="I953" s="3" t="s">
        <v>34</v>
      </c>
      <c r="J953" s="3" t="s">
        <v>35</v>
      </c>
      <c r="K953" s="3"/>
      <c r="L953" s="3" t="s">
        <v>36</v>
      </c>
      <c r="M953" s="3" t="str">
        <f>CONCATENATE("SCHSMN83L12I608Y")</f>
        <v>SCHSMN83L12I608Y</v>
      </c>
      <c r="N953" s="3" t="s">
        <v>1083</v>
      </c>
      <c r="O953" s="3" t="s">
        <v>38</v>
      </c>
      <c r="P953" s="3"/>
      <c r="Q953" s="4">
        <v>45968</v>
      </c>
      <c r="R953" s="3" t="s">
        <v>39</v>
      </c>
      <c r="S953" s="3" t="s">
        <v>38</v>
      </c>
      <c r="T953" s="3" t="s">
        <v>40</v>
      </c>
      <c r="U953" s="3"/>
      <c r="V953" s="3" t="s">
        <v>41</v>
      </c>
      <c r="W953" s="5">
        <v>43406.41</v>
      </c>
      <c r="X953" s="5">
        <v>32554.81</v>
      </c>
      <c r="Y953" s="5">
        <v>7596.12</v>
      </c>
      <c r="Z953" s="5">
        <v>3255.48</v>
      </c>
      <c r="AA953" s="3">
        <v>0</v>
      </c>
    </row>
    <row r="954" spans="1:27" ht="60.75" x14ac:dyDescent="0.25">
      <c r="A954" s="3" t="s">
        <v>28</v>
      </c>
      <c r="B954" s="3" t="s">
        <v>29</v>
      </c>
      <c r="C954" s="3" t="s">
        <v>30</v>
      </c>
      <c r="D954" s="3" t="s">
        <v>42</v>
      </c>
      <c r="E954" s="3" t="s">
        <v>207</v>
      </c>
      <c r="F954" s="3" t="s">
        <v>764</v>
      </c>
      <c r="G954" s="3">
        <v>2025</v>
      </c>
      <c r="H954" s="3" t="str">
        <f>CONCATENATE("54240650058")</f>
        <v>54240650058</v>
      </c>
      <c r="I954" s="3" t="s">
        <v>34</v>
      </c>
      <c r="J954" s="3" t="s">
        <v>35</v>
      </c>
      <c r="K954" s="3"/>
      <c r="L954" s="3" t="s">
        <v>36</v>
      </c>
      <c r="M954" s="3" t="str">
        <f>CONCATENATE("PNNGPP52C13F415M")</f>
        <v>PNNGPP52C13F415M</v>
      </c>
      <c r="N954" s="3" t="s">
        <v>1084</v>
      </c>
      <c r="O954" s="3" t="s">
        <v>38</v>
      </c>
      <c r="P954" s="3"/>
      <c r="Q954" s="4">
        <v>45968</v>
      </c>
      <c r="R954" s="3" t="s">
        <v>39</v>
      </c>
      <c r="S954" s="3" t="s">
        <v>38</v>
      </c>
      <c r="T954" s="3" t="s">
        <v>40</v>
      </c>
      <c r="U954" s="3"/>
      <c r="V954" s="3" t="s">
        <v>41</v>
      </c>
      <c r="W954" s="5">
        <v>1502.4</v>
      </c>
      <c r="X954" s="5">
        <v>1126.8</v>
      </c>
      <c r="Y954" s="3">
        <v>262.92</v>
      </c>
      <c r="Z954" s="3">
        <v>112.68</v>
      </c>
      <c r="AA954" s="3">
        <v>0</v>
      </c>
    </row>
    <row r="955" spans="1:27" ht="72.75" x14ac:dyDescent="0.25">
      <c r="A955" s="3" t="s">
        <v>28</v>
      </c>
      <c r="B955" s="3" t="s">
        <v>29</v>
      </c>
      <c r="C955" s="3" t="s">
        <v>30</v>
      </c>
      <c r="D955" s="3" t="s">
        <v>47</v>
      </c>
      <c r="E955" s="3" t="s">
        <v>207</v>
      </c>
      <c r="F955" s="3" t="s">
        <v>764</v>
      </c>
      <c r="G955" s="3">
        <v>2025</v>
      </c>
      <c r="H955" s="3" t="str">
        <f>CONCATENATE("54240650082")</f>
        <v>54240650082</v>
      </c>
      <c r="I955" s="3" t="s">
        <v>34</v>
      </c>
      <c r="J955" s="3" t="s">
        <v>35</v>
      </c>
      <c r="K955" s="3"/>
      <c r="L955" s="3" t="s">
        <v>36</v>
      </c>
      <c r="M955" s="3" t="str">
        <f>CONCATENATE("RLNSRN69D48M172A")</f>
        <v>RLNSRN69D48M172A</v>
      </c>
      <c r="N955" s="3" t="s">
        <v>1085</v>
      </c>
      <c r="O955" s="3" t="s">
        <v>38</v>
      </c>
      <c r="P955" s="3"/>
      <c r="Q955" s="4">
        <v>45968</v>
      </c>
      <c r="R955" s="3" t="s">
        <v>39</v>
      </c>
      <c r="S955" s="3" t="s">
        <v>38</v>
      </c>
      <c r="T955" s="3" t="s">
        <v>40</v>
      </c>
      <c r="U955" s="3"/>
      <c r="V955" s="3" t="s">
        <v>41</v>
      </c>
      <c r="W955" s="5">
        <v>7785.54</v>
      </c>
      <c r="X955" s="5">
        <v>5839.16</v>
      </c>
      <c r="Y955" s="5">
        <v>1362.47</v>
      </c>
      <c r="Z955" s="3">
        <v>583.91</v>
      </c>
      <c r="AA955" s="3">
        <v>0</v>
      </c>
    </row>
    <row r="956" spans="1:27" ht="60.75" x14ac:dyDescent="0.25">
      <c r="A956" s="3" t="s">
        <v>28</v>
      </c>
      <c r="B956" s="3" t="s">
        <v>29</v>
      </c>
      <c r="C956" s="3" t="s">
        <v>30</v>
      </c>
      <c r="D956" s="3" t="s">
        <v>42</v>
      </c>
      <c r="E956" s="3" t="s">
        <v>32</v>
      </c>
      <c r="F956" s="3" t="s">
        <v>110</v>
      </c>
      <c r="G956" s="3">
        <v>2025</v>
      </c>
      <c r="H956" s="3" t="str">
        <f>CONCATENATE("54240515483")</f>
        <v>54240515483</v>
      </c>
      <c r="I956" s="3" t="s">
        <v>34</v>
      </c>
      <c r="J956" s="3" t="s">
        <v>35</v>
      </c>
      <c r="K956" s="3"/>
      <c r="L956" s="3" t="s">
        <v>36</v>
      </c>
      <c r="M956" s="3" t="str">
        <f>CONCATENATE("CMPVTR81H56H769Y")</f>
        <v>CMPVTR81H56H769Y</v>
      </c>
      <c r="N956" s="3" t="s">
        <v>1086</v>
      </c>
      <c r="O956" s="3" t="s">
        <v>38</v>
      </c>
      <c r="P956" s="3"/>
      <c r="Q956" s="4">
        <v>45968</v>
      </c>
      <c r="R956" s="3" t="s">
        <v>39</v>
      </c>
      <c r="S956" s="3" t="s">
        <v>38</v>
      </c>
      <c r="T956" s="3" t="s">
        <v>40</v>
      </c>
      <c r="U956" s="3"/>
      <c r="V956" s="3" t="s">
        <v>41</v>
      </c>
      <c r="W956" s="5">
        <v>2028.04</v>
      </c>
      <c r="X956" s="5">
        <v>1521.03</v>
      </c>
      <c r="Y956" s="3">
        <v>354.91</v>
      </c>
      <c r="Z956" s="3">
        <v>152.1</v>
      </c>
      <c r="AA956" s="3">
        <v>0</v>
      </c>
    </row>
    <row r="957" spans="1:27" ht="60.75" x14ac:dyDescent="0.25">
      <c r="A957" s="3" t="s">
        <v>28</v>
      </c>
      <c r="B957" s="3" t="s">
        <v>29</v>
      </c>
      <c r="C957" s="3" t="s">
        <v>30</v>
      </c>
      <c r="D957" s="3" t="s">
        <v>47</v>
      </c>
      <c r="E957" s="3" t="s">
        <v>60</v>
      </c>
      <c r="F957" s="3" t="s">
        <v>81</v>
      </c>
      <c r="G957" s="3">
        <v>2025</v>
      </c>
      <c r="H957" s="3" t="str">
        <f>CONCATENATE("54240514593")</f>
        <v>54240514593</v>
      </c>
      <c r="I957" s="3" t="s">
        <v>34</v>
      </c>
      <c r="J957" s="3" t="s">
        <v>35</v>
      </c>
      <c r="K957" s="3"/>
      <c r="L957" s="3" t="s">
        <v>36</v>
      </c>
      <c r="M957" s="3" t="str">
        <f>CONCATENATE("TZZLGS67D30F205G")</f>
        <v>TZZLGS67D30F205G</v>
      </c>
      <c r="N957" s="3" t="s">
        <v>1087</v>
      </c>
      <c r="O957" s="3" t="s">
        <v>38</v>
      </c>
      <c r="P957" s="3"/>
      <c r="Q957" s="4">
        <v>45968</v>
      </c>
      <c r="R957" s="3" t="s">
        <v>39</v>
      </c>
      <c r="S957" s="3" t="s">
        <v>38</v>
      </c>
      <c r="T957" s="3" t="s">
        <v>40</v>
      </c>
      <c r="U957" s="3"/>
      <c r="V957" s="3" t="s">
        <v>41</v>
      </c>
      <c r="W957" s="5">
        <v>3961.62</v>
      </c>
      <c r="X957" s="5">
        <v>2971.22</v>
      </c>
      <c r="Y957" s="3">
        <v>693.28</v>
      </c>
      <c r="Z957" s="3">
        <v>297.12</v>
      </c>
      <c r="AA957" s="3">
        <v>0</v>
      </c>
    </row>
    <row r="958" spans="1:27" ht="60.75" x14ac:dyDescent="0.25">
      <c r="A958" s="3" t="s">
        <v>28</v>
      </c>
      <c r="B958" s="3" t="s">
        <v>29</v>
      </c>
      <c r="C958" s="3" t="s">
        <v>30</v>
      </c>
      <c r="D958" s="3" t="s">
        <v>31</v>
      </c>
      <c r="E958" s="3" t="s">
        <v>32</v>
      </c>
      <c r="F958" s="3" t="s">
        <v>63</v>
      </c>
      <c r="G958" s="3">
        <v>2025</v>
      </c>
      <c r="H958" s="3" t="str">
        <f>CONCATENATE("54240515053")</f>
        <v>54240515053</v>
      </c>
      <c r="I958" s="3" t="s">
        <v>34</v>
      </c>
      <c r="J958" s="3" t="s">
        <v>35</v>
      </c>
      <c r="K958" s="3"/>
      <c r="L958" s="3" t="s">
        <v>36</v>
      </c>
      <c r="M958" s="3" t="str">
        <f>CONCATENATE("FRTLRT54E03C248P")</f>
        <v>FRTLRT54E03C248P</v>
      </c>
      <c r="N958" s="3" t="s">
        <v>1088</v>
      </c>
      <c r="O958" s="3" t="s">
        <v>38</v>
      </c>
      <c r="P958" s="3"/>
      <c r="Q958" s="4">
        <v>45968</v>
      </c>
      <c r="R958" s="3" t="s">
        <v>39</v>
      </c>
      <c r="S958" s="3" t="s">
        <v>38</v>
      </c>
      <c r="T958" s="3" t="s">
        <v>40</v>
      </c>
      <c r="U958" s="3"/>
      <c r="V958" s="3" t="s">
        <v>41</v>
      </c>
      <c r="W958" s="5">
        <v>1157.56</v>
      </c>
      <c r="X958" s="3">
        <v>868.17</v>
      </c>
      <c r="Y958" s="3">
        <v>202.57</v>
      </c>
      <c r="Z958" s="3">
        <v>86.82</v>
      </c>
      <c r="AA958" s="3">
        <v>0</v>
      </c>
    </row>
    <row r="959" spans="1:27" ht="60.75" x14ac:dyDescent="0.25">
      <c r="A959" s="3" t="s">
        <v>28</v>
      </c>
      <c r="B959" s="3" t="s">
        <v>29</v>
      </c>
      <c r="C959" s="3" t="s">
        <v>30</v>
      </c>
      <c r="D959" s="3" t="s">
        <v>31</v>
      </c>
      <c r="E959" s="3" t="s">
        <v>32</v>
      </c>
      <c r="F959" s="3" t="s">
        <v>63</v>
      </c>
      <c r="G959" s="3">
        <v>2025</v>
      </c>
      <c r="H959" s="3" t="str">
        <f>CONCATENATE("54240515608")</f>
        <v>54240515608</v>
      </c>
      <c r="I959" s="3" t="s">
        <v>34</v>
      </c>
      <c r="J959" s="3" t="s">
        <v>35</v>
      </c>
      <c r="K959" s="3"/>
      <c r="L959" s="3" t="s">
        <v>36</v>
      </c>
      <c r="M959" s="3" t="str">
        <f>CONCATENATE("FRRSRG50E22H223Q")</f>
        <v>FRRSRG50E22H223Q</v>
      </c>
      <c r="N959" s="3" t="s">
        <v>1089</v>
      </c>
      <c r="O959" s="3" t="s">
        <v>38</v>
      </c>
      <c r="P959" s="3"/>
      <c r="Q959" s="4">
        <v>45968</v>
      </c>
      <c r="R959" s="3" t="s">
        <v>39</v>
      </c>
      <c r="S959" s="3" t="s">
        <v>38</v>
      </c>
      <c r="T959" s="3" t="s">
        <v>40</v>
      </c>
      <c r="U959" s="3"/>
      <c r="V959" s="3" t="s">
        <v>41</v>
      </c>
      <c r="W959" s="3">
        <v>375.99</v>
      </c>
      <c r="X959" s="3">
        <v>281.99</v>
      </c>
      <c r="Y959" s="3">
        <v>65.8</v>
      </c>
      <c r="Z959" s="3">
        <v>28.2</v>
      </c>
      <c r="AA959" s="3">
        <v>0</v>
      </c>
    </row>
    <row r="960" spans="1:27" ht="36.75" x14ac:dyDescent="0.25">
      <c r="A960" s="3" t="s">
        <v>28</v>
      </c>
      <c r="B960" s="3" t="s">
        <v>29</v>
      </c>
      <c r="C960" s="3" t="s">
        <v>30</v>
      </c>
      <c r="D960" s="3" t="s">
        <v>47</v>
      </c>
      <c r="E960" s="3" t="s">
        <v>48</v>
      </c>
      <c r="F960" s="3" t="s">
        <v>49</v>
      </c>
      <c r="G960" s="3">
        <v>2025</v>
      </c>
      <c r="H960" s="3" t="str">
        <f>CONCATENATE("54240517323")</f>
        <v>54240517323</v>
      </c>
      <c r="I960" s="3" t="s">
        <v>34</v>
      </c>
      <c r="J960" s="3" t="s">
        <v>35</v>
      </c>
      <c r="K960" s="3"/>
      <c r="L960" s="3" t="s">
        <v>36</v>
      </c>
      <c r="M960" s="3" t="str">
        <f>CONCATENATE("01697690434")</f>
        <v>01697690434</v>
      </c>
      <c r="N960" s="3" t="s">
        <v>1090</v>
      </c>
      <c r="O960" s="3" t="s">
        <v>38</v>
      </c>
      <c r="P960" s="3"/>
      <c r="Q960" s="4">
        <v>45968</v>
      </c>
      <c r="R960" s="3" t="s">
        <v>39</v>
      </c>
      <c r="S960" s="3" t="s">
        <v>38</v>
      </c>
      <c r="T960" s="3" t="s">
        <v>40</v>
      </c>
      <c r="U960" s="3"/>
      <c r="V960" s="3" t="s">
        <v>41</v>
      </c>
      <c r="W960" s="5">
        <v>13544.6</v>
      </c>
      <c r="X960" s="5">
        <v>10158.450000000001</v>
      </c>
      <c r="Y960" s="5">
        <v>2370.31</v>
      </c>
      <c r="Z960" s="5">
        <v>1015.84</v>
      </c>
      <c r="AA960" s="3">
        <v>0</v>
      </c>
    </row>
    <row r="961" spans="1:27" ht="60.75" x14ac:dyDescent="0.25">
      <c r="A961" s="3" t="s">
        <v>28</v>
      </c>
      <c r="B961" s="3" t="s">
        <v>29</v>
      </c>
      <c r="C961" s="3" t="s">
        <v>30</v>
      </c>
      <c r="D961" s="3" t="s">
        <v>42</v>
      </c>
      <c r="E961" s="3" t="s">
        <v>32</v>
      </c>
      <c r="F961" s="3" t="s">
        <v>101</v>
      </c>
      <c r="G961" s="3">
        <v>2025</v>
      </c>
      <c r="H961" s="3" t="str">
        <f>CONCATENATE("54240508041")</f>
        <v>54240508041</v>
      </c>
      <c r="I961" s="3" t="s">
        <v>34</v>
      </c>
      <c r="J961" s="3" t="s">
        <v>35</v>
      </c>
      <c r="K961" s="3"/>
      <c r="L961" s="3" t="s">
        <v>36</v>
      </c>
      <c r="M961" s="3" t="str">
        <f>CONCATENATE("FNSFPP49D25C331J")</f>
        <v>FNSFPP49D25C331J</v>
      </c>
      <c r="N961" s="3" t="s">
        <v>1091</v>
      </c>
      <c r="O961" s="3" t="s">
        <v>38</v>
      </c>
      <c r="P961" s="3"/>
      <c r="Q961" s="4">
        <v>45968</v>
      </c>
      <c r="R961" s="3" t="s">
        <v>39</v>
      </c>
      <c r="S961" s="3" t="s">
        <v>38</v>
      </c>
      <c r="T961" s="3" t="s">
        <v>40</v>
      </c>
      <c r="U961" s="3"/>
      <c r="V961" s="3" t="s">
        <v>41</v>
      </c>
      <c r="W961" s="5">
        <v>1858.29</v>
      </c>
      <c r="X961" s="5">
        <v>1393.72</v>
      </c>
      <c r="Y961" s="3">
        <v>325.2</v>
      </c>
      <c r="Z961" s="3">
        <v>139.37</v>
      </c>
      <c r="AA961" s="3">
        <v>0</v>
      </c>
    </row>
    <row r="962" spans="1:27" ht="60.75" x14ac:dyDescent="0.25">
      <c r="A962" s="3" t="s">
        <v>28</v>
      </c>
      <c r="B962" s="3" t="s">
        <v>29</v>
      </c>
      <c r="C962" s="3" t="s">
        <v>30</v>
      </c>
      <c r="D962" s="3" t="s">
        <v>42</v>
      </c>
      <c r="E962" s="3" t="s">
        <v>51</v>
      </c>
      <c r="F962" s="3" t="s">
        <v>661</v>
      </c>
      <c r="G962" s="3">
        <v>2025</v>
      </c>
      <c r="H962" s="3" t="str">
        <f>CONCATENATE("54240504131")</f>
        <v>54240504131</v>
      </c>
      <c r="I962" s="3" t="s">
        <v>34</v>
      </c>
      <c r="J962" s="3" t="s">
        <v>35</v>
      </c>
      <c r="K962" s="3"/>
      <c r="L962" s="3" t="s">
        <v>36</v>
      </c>
      <c r="M962" s="3" t="str">
        <f>CONCATENATE("BRTLSN66E25L378A")</f>
        <v>BRTLSN66E25L378A</v>
      </c>
      <c r="N962" s="3" t="s">
        <v>1092</v>
      </c>
      <c r="O962" s="3" t="s">
        <v>38</v>
      </c>
      <c r="P962" s="3"/>
      <c r="Q962" s="4">
        <v>45968</v>
      </c>
      <c r="R962" s="3" t="s">
        <v>39</v>
      </c>
      <c r="S962" s="3" t="s">
        <v>38</v>
      </c>
      <c r="T962" s="3" t="s">
        <v>40</v>
      </c>
      <c r="U962" s="3"/>
      <c r="V962" s="3" t="s">
        <v>41</v>
      </c>
      <c r="W962" s="3">
        <v>433.62</v>
      </c>
      <c r="X962" s="3">
        <v>325.22000000000003</v>
      </c>
      <c r="Y962" s="3">
        <v>75.88</v>
      </c>
      <c r="Z962" s="3">
        <v>32.520000000000003</v>
      </c>
      <c r="AA962" s="3">
        <v>0</v>
      </c>
    </row>
    <row r="963" spans="1:27" ht="36.75" x14ac:dyDescent="0.25">
      <c r="A963" s="3" t="s">
        <v>28</v>
      </c>
      <c r="B963" s="3" t="s">
        <v>29</v>
      </c>
      <c r="C963" s="3" t="s">
        <v>30</v>
      </c>
      <c r="D963" s="3" t="s">
        <v>42</v>
      </c>
      <c r="E963" s="3" t="s">
        <v>60</v>
      </c>
      <c r="F963" s="3" t="s">
        <v>245</v>
      </c>
      <c r="G963" s="3">
        <v>2025</v>
      </c>
      <c r="H963" s="3" t="str">
        <f>CONCATENATE("54240506284")</f>
        <v>54240506284</v>
      </c>
      <c r="I963" s="3" t="s">
        <v>34</v>
      </c>
      <c r="J963" s="3" t="s">
        <v>35</v>
      </c>
      <c r="K963" s="3"/>
      <c r="L963" s="3" t="s">
        <v>36</v>
      </c>
      <c r="M963" s="3" t="str">
        <f>CONCATENATE("01980350449")</f>
        <v>01980350449</v>
      </c>
      <c r="N963" s="3" t="s">
        <v>1093</v>
      </c>
      <c r="O963" s="3" t="s">
        <v>38</v>
      </c>
      <c r="P963" s="3"/>
      <c r="Q963" s="4">
        <v>45968</v>
      </c>
      <c r="R963" s="3" t="s">
        <v>39</v>
      </c>
      <c r="S963" s="3" t="s">
        <v>38</v>
      </c>
      <c r="T963" s="3" t="s">
        <v>40</v>
      </c>
      <c r="U963" s="3"/>
      <c r="V963" s="3" t="s">
        <v>41</v>
      </c>
      <c r="W963" s="5">
        <v>2399.4299999999998</v>
      </c>
      <c r="X963" s="5">
        <v>1799.57</v>
      </c>
      <c r="Y963" s="3">
        <v>419.9</v>
      </c>
      <c r="Z963" s="3">
        <v>179.96</v>
      </c>
      <c r="AA963" s="3">
        <v>0</v>
      </c>
    </row>
    <row r="964" spans="1:27" ht="60.75" x14ac:dyDescent="0.25">
      <c r="A964" s="3" t="s">
        <v>28</v>
      </c>
      <c r="B964" s="3" t="s">
        <v>29</v>
      </c>
      <c r="C964" s="3" t="s">
        <v>30</v>
      </c>
      <c r="D964" s="3" t="s">
        <v>42</v>
      </c>
      <c r="E964" s="3" t="s">
        <v>60</v>
      </c>
      <c r="F964" s="3" t="s">
        <v>245</v>
      </c>
      <c r="G964" s="3">
        <v>2025</v>
      </c>
      <c r="H964" s="3" t="str">
        <f>CONCATENATE("54240507787")</f>
        <v>54240507787</v>
      </c>
      <c r="I964" s="3" t="s">
        <v>34</v>
      </c>
      <c r="J964" s="3" t="s">
        <v>35</v>
      </c>
      <c r="K964" s="3"/>
      <c r="L964" s="3" t="s">
        <v>36</v>
      </c>
      <c r="M964" s="3" t="str">
        <f>CONCATENATE("MRLHLG79H64A462E")</f>
        <v>MRLHLG79H64A462E</v>
      </c>
      <c r="N964" s="3" t="s">
        <v>1094</v>
      </c>
      <c r="O964" s="3" t="s">
        <v>38</v>
      </c>
      <c r="P964" s="3"/>
      <c r="Q964" s="4">
        <v>45968</v>
      </c>
      <c r="R964" s="3" t="s">
        <v>39</v>
      </c>
      <c r="S964" s="3" t="s">
        <v>38</v>
      </c>
      <c r="T964" s="3" t="s">
        <v>40</v>
      </c>
      <c r="U964" s="3"/>
      <c r="V964" s="3" t="s">
        <v>41</v>
      </c>
      <c r="W964" s="5">
        <v>7947.96</v>
      </c>
      <c r="X964" s="5">
        <v>5960.97</v>
      </c>
      <c r="Y964" s="5">
        <v>1390.89</v>
      </c>
      <c r="Z964" s="3">
        <v>596.1</v>
      </c>
      <c r="AA964" s="3">
        <v>0</v>
      </c>
    </row>
    <row r="965" spans="1:27" ht="72.75" x14ac:dyDescent="0.25">
      <c r="A965" s="3" t="s">
        <v>28</v>
      </c>
      <c r="B965" s="3" t="s">
        <v>29</v>
      </c>
      <c r="C965" s="3" t="s">
        <v>30</v>
      </c>
      <c r="D965" s="3" t="s">
        <v>31</v>
      </c>
      <c r="E965" s="3" t="s">
        <v>60</v>
      </c>
      <c r="F965" s="3" t="s">
        <v>61</v>
      </c>
      <c r="G965" s="3">
        <v>2025</v>
      </c>
      <c r="H965" s="3" t="str">
        <f>CONCATENATE("54240501053")</f>
        <v>54240501053</v>
      </c>
      <c r="I965" s="3" t="s">
        <v>34</v>
      </c>
      <c r="J965" s="3" t="s">
        <v>35</v>
      </c>
      <c r="K965" s="3"/>
      <c r="L965" s="3" t="s">
        <v>36</v>
      </c>
      <c r="M965" s="3" t="str">
        <f>CONCATENATE("FRRMHL99D20H211B")</f>
        <v>FRRMHL99D20H211B</v>
      </c>
      <c r="N965" s="3" t="s">
        <v>1095</v>
      </c>
      <c r="O965" s="3" t="s">
        <v>38</v>
      </c>
      <c r="P965" s="3"/>
      <c r="Q965" s="4">
        <v>45968</v>
      </c>
      <c r="R965" s="3" t="s">
        <v>39</v>
      </c>
      <c r="S965" s="3" t="s">
        <v>38</v>
      </c>
      <c r="T965" s="3" t="s">
        <v>40</v>
      </c>
      <c r="U965" s="3"/>
      <c r="V965" s="3" t="s">
        <v>41</v>
      </c>
      <c r="W965" s="5">
        <v>4796.03</v>
      </c>
      <c r="X965" s="5">
        <v>3597.02</v>
      </c>
      <c r="Y965" s="3">
        <v>839.31</v>
      </c>
      <c r="Z965" s="3">
        <v>359.7</v>
      </c>
      <c r="AA965" s="3">
        <v>0</v>
      </c>
    </row>
    <row r="966" spans="1:27" ht="60.75" x14ac:dyDescent="0.25">
      <c r="A966" s="3" t="s">
        <v>28</v>
      </c>
      <c r="B966" s="3" t="s">
        <v>29</v>
      </c>
      <c r="C966" s="3" t="s">
        <v>30</v>
      </c>
      <c r="D966" s="3" t="s">
        <v>31</v>
      </c>
      <c r="E966" s="3" t="s">
        <v>60</v>
      </c>
      <c r="F966" s="3" t="s">
        <v>61</v>
      </c>
      <c r="G966" s="3">
        <v>2025</v>
      </c>
      <c r="H966" s="3" t="str">
        <f>CONCATENATE("54240501145")</f>
        <v>54240501145</v>
      </c>
      <c r="I966" s="3" t="s">
        <v>34</v>
      </c>
      <c r="J966" s="3" t="s">
        <v>35</v>
      </c>
      <c r="K966" s="3"/>
      <c r="L966" s="3" t="s">
        <v>36</v>
      </c>
      <c r="M966" s="3" t="str">
        <f>CONCATENATE("GRGSFN70S12A271I")</f>
        <v>GRGSFN70S12A271I</v>
      </c>
      <c r="N966" s="3" t="s">
        <v>1096</v>
      </c>
      <c r="O966" s="3" t="s">
        <v>38</v>
      </c>
      <c r="P966" s="3"/>
      <c r="Q966" s="4">
        <v>45968</v>
      </c>
      <c r="R966" s="3" t="s">
        <v>39</v>
      </c>
      <c r="S966" s="3" t="s">
        <v>38</v>
      </c>
      <c r="T966" s="3" t="s">
        <v>40</v>
      </c>
      <c r="U966" s="3"/>
      <c r="V966" s="3" t="s">
        <v>41</v>
      </c>
      <c r="W966" s="5">
        <v>6423.83</v>
      </c>
      <c r="X966" s="5">
        <v>4817.87</v>
      </c>
      <c r="Y966" s="5">
        <v>1124.17</v>
      </c>
      <c r="Z966" s="3">
        <v>481.79</v>
      </c>
      <c r="AA966" s="3">
        <v>0</v>
      </c>
    </row>
    <row r="967" spans="1:27" ht="60.75" x14ac:dyDescent="0.25">
      <c r="A967" s="3" t="s">
        <v>28</v>
      </c>
      <c r="B967" s="3" t="s">
        <v>29</v>
      </c>
      <c r="C967" s="3" t="s">
        <v>30</v>
      </c>
      <c r="D967" s="3" t="s">
        <v>31</v>
      </c>
      <c r="E967" s="3" t="s">
        <v>60</v>
      </c>
      <c r="F967" s="3" t="s">
        <v>61</v>
      </c>
      <c r="G967" s="3">
        <v>2025</v>
      </c>
      <c r="H967" s="3" t="str">
        <f>CONCATENATE("54240504339")</f>
        <v>54240504339</v>
      </c>
      <c r="I967" s="3" t="s">
        <v>34</v>
      </c>
      <c r="J967" s="3" t="s">
        <v>35</v>
      </c>
      <c r="K967" s="3"/>
      <c r="L967" s="3" t="s">
        <v>36</v>
      </c>
      <c r="M967" s="3" t="str">
        <f>CONCATENATE("TNFGRL70T14D007X")</f>
        <v>TNFGRL70T14D007X</v>
      </c>
      <c r="N967" s="3" t="s">
        <v>1097</v>
      </c>
      <c r="O967" s="3" t="s">
        <v>38</v>
      </c>
      <c r="P967" s="3"/>
      <c r="Q967" s="4">
        <v>45968</v>
      </c>
      <c r="R967" s="3" t="s">
        <v>39</v>
      </c>
      <c r="S967" s="3" t="s">
        <v>38</v>
      </c>
      <c r="T967" s="3" t="s">
        <v>40</v>
      </c>
      <c r="U967" s="3"/>
      <c r="V967" s="3" t="s">
        <v>41</v>
      </c>
      <c r="W967" s="5">
        <v>3601.93</v>
      </c>
      <c r="X967" s="5">
        <v>2701.45</v>
      </c>
      <c r="Y967" s="3">
        <v>630.34</v>
      </c>
      <c r="Z967" s="3">
        <v>270.14</v>
      </c>
      <c r="AA967" s="3">
        <v>0</v>
      </c>
    </row>
    <row r="968" spans="1:27" ht="60.75" x14ac:dyDescent="0.25">
      <c r="A968" s="3" t="s">
        <v>28</v>
      </c>
      <c r="B968" s="3" t="s">
        <v>29</v>
      </c>
      <c r="C968" s="3" t="s">
        <v>30</v>
      </c>
      <c r="D968" s="3" t="s">
        <v>42</v>
      </c>
      <c r="E968" s="3" t="s">
        <v>51</v>
      </c>
      <c r="F968" s="3" t="s">
        <v>52</v>
      </c>
      <c r="G968" s="3">
        <v>2025</v>
      </c>
      <c r="H968" s="3" t="str">
        <f>CONCATENATE("54240505559")</f>
        <v>54240505559</v>
      </c>
      <c r="I968" s="3" t="s">
        <v>34</v>
      </c>
      <c r="J968" s="3" t="s">
        <v>35</v>
      </c>
      <c r="K968" s="3"/>
      <c r="L968" s="3" t="s">
        <v>36</v>
      </c>
      <c r="M968" s="3" t="str">
        <f>CONCATENATE("DNGGPP59H12D096C")</f>
        <v>DNGGPP59H12D096C</v>
      </c>
      <c r="N968" s="3" t="s">
        <v>1098</v>
      </c>
      <c r="O968" s="3" t="s">
        <v>38</v>
      </c>
      <c r="P968" s="3"/>
      <c r="Q968" s="4">
        <v>45968</v>
      </c>
      <c r="R968" s="3" t="s">
        <v>39</v>
      </c>
      <c r="S968" s="3" t="s">
        <v>38</v>
      </c>
      <c r="T968" s="3" t="s">
        <v>40</v>
      </c>
      <c r="U968" s="3"/>
      <c r="V968" s="3" t="s">
        <v>41</v>
      </c>
      <c r="W968" s="5">
        <v>2111.5300000000002</v>
      </c>
      <c r="X968" s="5">
        <v>1583.65</v>
      </c>
      <c r="Y968" s="3">
        <v>369.52</v>
      </c>
      <c r="Z968" s="3">
        <v>158.36000000000001</v>
      </c>
      <c r="AA968" s="3">
        <v>0</v>
      </c>
    </row>
    <row r="969" spans="1:27" ht="60.75" x14ac:dyDescent="0.25">
      <c r="A969" s="3" t="s">
        <v>28</v>
      </c>
      <c r="B969" s="3" t="s">
        <v>29</v>
      </c>
      <c r="C969" s="3" t="s">
        <v>30</v>
      </c>
      <c r="D969" s="3" t="s">
        <v>31</v>
      </c>
      <c r="E969" s="3" t="s">
        <v>51</v>
      </c>
      <c r="F969" s="3" t="s">
        <v>69</v>
      </c>
      <c r="G969" s="3">
        <v>2025</v>
      </c>
      <c r="H969" s="3" t="str">
        <f>CONCATENATE("54240504925")</f>
        <v>54240504925</v>
      </c>
      <c r="I969" s="3" t="s">
        <v>34</v>
      </c>
      <c r="J969" s="3" t="s">
        <v>35</v>
      </c>
      <c r="K969" s="3"/>
      <c r="L969" s="3" t="s">
        <v>36</v>
      </c>
      <c r="M969" s="3" t="str">
        <f>CONCATENATE("GLLFNC64E29D007Z")</f>
        <v>GLLFNC64E29D007Z</v>
      </c>
      <c r="N969" s="3" t="s">
        <v>1099</v>
      </c>
      <c r="O969" s="3" t="s">
        <v>38</v>
      </c>
      <c r="P969" s="3"/>
      <c r="Q969" s="4">
        <v>45968</v>
      </c>
      <c r="R969" s="3" t="s">
        <v>39</v>
      </c>
      <c r="S969" s="3" t="s">
        <v>38</v>
      </c>
      <c r="T969" s="3" t="s">
        <v>40</v>
      </c>
      <c r="U969" s="3"/>
      <c r="V969" s="3" t="s">
        <v>41</v>
      </c>
      <c r="W969" s="5">
        <v>4634.34</v>
      </c>
      <c r="X969" s="5">
        <v>3475.76</v>
      </c>
      <c r="Y969" s="3">
        <v>811.01</v>
      </c>
      <c r="Z969" s="3">
        <v>347.57</v>
      </c>
      <c r="AA969" s="3">
        <v>0</v>
      </c>
    </row>
    <row r="970" spans="1:27" ht="36.75" x14ac:dyDescent="0.25">
      <c r="A970" s="3" t="s">
        <v>28</v>
      </c>
      <c r="B970" s="3" t="s">
        <v>29</v>
      </c>
      <c r="C970" s="3" t="s">
        <v>30</v>
      </c>
      <c r="D970" s="3" t="s">
        <v>42</v>
      </c>
      <c r="E970" s="3" t="s">
        <v>207</v>
      </c>
      <c r="F970" s="3" t="s">
        <v>764</v>
      </c>
      <c r="G970" s="3">
        <v>2025</v>
      </c>
      <c r="H970" s="3" t="str">
        <f>CONCATENATE("54240654423")</f>
        <v>54240654423</v>
      </c>
      <c r="I970" s="3" t="s">
        <v>34</v>
      </c>
      <c r="J970" s="3" t="s">
        <v>35</v>
      </c>
      <c r="K970" s="3"/>
      <c r="L970" s="3" t="s">
        <v>36</v>
      </c>
      <c r="M970" s="3" t="str">
        <f>CONCATENATE("02274800446")</f>
        <v>02274800446</v>
      </c>
      <c r="N970" s="3" t="s">
        <v>1100</v>
      </c>
      <c r="O970" s="3" t="s">
        <v>38</v>
      </c>
      <c r="P970" s="3"/>
      <c r="Q970" s="4">
        <v>45968</v>
      </c>
      <c r="R970" s="3" t="s">
        <v>39</v>
      </c>
      <c r="S970" s="3" t="s">
        <v>38</v>
      </c>
      <c r="T970" s="3" t="s">
        <v>40</v>
      </c>
      <c r="U970" s="3"/>
      <c r="V970" s="3" t="s">
        <v>41</v>
      </c>
      <c r="W970" s="5">
        <v>6423.37</v>
      </c>
      <c r="X970" s="5">
        <v>4817.53</v>
      </c>
      <c r="Y970" s="5">
        <v>1124.0899999999999</v>
      </c>
      <c r="Z970" s="3">
        <v>481.75</v>
      </c>
      <c r="AA970" s="3">
        <v>0</v>
      </c>
    </row>
    <row r="971" spans="1:27" ht="36.75" x14ac:dyDescent="0.25">
      <c r="A971" s="3" t="s">
        <v>28</v>
      </c>
      <c r="B971" s="3" t="s">
        <v>29</v>
      </c>
      <c r="C971" s="3" t="s">
        <v>30</v>
      </c>
      <c r="D971" s="3" t="s">
        <v>47</v>
      </c>
      <c r="E971" s="3" t="s">
        <v>48</v>
      </c>
      <c r="F971" s="3" t="s">
        <v>249</v>
      </c>
      <c r="G971" s="3">
        <v>2025</v>
      </c>
      <c r="H971" s="3" t="str">
        <f>CONCATENATE("54240641826")</f>
        <v>54240641826</v>
      </c>
      <c r="I971" s="3" t="s">
        <v>34</v>
      </c>
      <c r="J971" s="3" t="s">
        <v>35</v>
      </c>
      <c r="K971" s="3"/>
      <c r="L971" s="3" t="s">
        <v>36</v>
      </c>
      <c r="M971" s="3" t="str">
        <f>CONCATENATE("01913720437")</f>
        <v>01913720437</v>
      </c>
      <c r="N971" s="3" t="s">
        <v>1101</v>
      </c>
      <c r="O971" s="3" t="s">
        <v>38</v>
      </c>
      <c r="P971" s="3"/>
      <c r="Q971" s="4">
        <v>45968</v>
      </c>
      <c r="R971" s="3" t="s">
        <v>39</v>
      </c>
      <c r="S971" s="3" t="s">
        <v>38</v>
      </c>
      <c r="T971" s="3" t="s">
        <v>40</v>
      </c>
      <c r="U971" s="3"/>
      <c r="V971" s="3" t="s">
        <v>41</v>
      </c>
      <c r="W971" s="5">
        <v>13273.76</v>
      </c>
      <c r="X971" s="5">
        <v>9955.32</v>
      </c>
      <c r="Y971" s="5">
        <v>2322.91</v>
      </c>
      <c r="Z971" s="3">
        <v>995.53</v>
      </c>
      <c r="AA971" s="3">
        <v>0</v>
      </c>
    </row>
    <row r="972" spans="1:27" ht="60.75" x14ac:dyDescent="0.25">
      <c r="A972" s="3" t="s">
        <v>28</v>
      </c>
      <c r="B972" s="3" t="s">
        <v>29</v>
      </c>
      <c r="C972" s="3" t="s">
        <v>30</v>
      </c>
      <c r="D972" s="3" t="s">
        <v>31</v>
      </c>
      <c r="E972" s="3" t="s">
        <v>60</v>
      </c>
      <c r="F972" s="3" t="s">
        <v>61</v>
      </c>
      <c r="G972" s="3">
        <v>2025</v>
      </c>
      <c r="H972" s="3" t="str">
        <f>CONCATENATE("54240501079")</f>
        <v>54240501079</v>
      </c>
      <c r="I972" s="3" t="s">
        <v>34</v>
      </c>
      <c r="J972" s="3" t="s">
        <v>35</v>
      </c>
      <c r="K972" s="3"/>
      <c r="L972" s="3" t="s">
        <v>36</v>
      </c>
      <c r="M972" s="3" t="str">
        <f>CONCATENATE("FMSCHR66H62F205P")</f>
        <v>FMSCHR66H62F205P</v>
      </c>
      <c r="N972" s="3" t="s">
        <v>1102</v>
      </c>
      <c r="O972" s="3" t="s">
        <v>38</v>
      </c>
      <c r="P972" s="3"/>
      <c r="Q972" s="4">
        <v>45968</v>
      </c>
      <c r="R972" s="3" t="s">
        <v>39</v>
      </c>
      <c r="S972" s="3" t="s">
        <v>38</v>
      </c>
      <c r="T972" s="3" t="s">
        <v>40</v>
      </c>
      <c r="U972" s="3"/>
      <c r="V972" s="3" t="s">
        <v>41</v>
      </c>
      <c r="W972" s="5">
        <v>26517.45</v>
      </c>
      <c r="X972" s="5">
        <v>19888.09</v>
      </c>
      <c r="Y972" s="5">
        <v>4640.55</v>
      </c>
      <c r="Z972" s="5">
        <v>1988.81</v>
      </c>
      <c r="AA972" s="3">
        <v>0</v>
      </c>
    </row>
    <row r="973" spans="1:27" ht="36.75" x14ac:dyDescent="0.25">
      <c r="A973" s="3" t="s">
        <v>28</v>
      </c>
      <c r="B973" s="3" t="s">
        <v>29</v>
      </c>
      <c r="C973" s="3" t="s">
        <v>30</v>
      </c>
      <c r="D973" s="3" t="s">
        <v>65</v>
      </c>
      <c r="E973" s="3" t="s">
        <v>32</v>
      </c>
      <c r="F973" s="3" t="s">
        <v>95</v>
      </c>
      <c r="G973" s="3">
        <v>2025</v>
      </c>
      <c r="H973" s="3" t="str">
        <f>CONCATENATE("54240624137")</f>
        <v>54240624137</v>
      </c>
      <c r="I973" s="3" t="s">
        <v>34</v>
      </c>
      <c r="J973" s="3" t="s">
        <v>35</v>
      </c>
      <c r="K973" s="3"/>
      <c r="L973" s="3" t="s">
        <v>36</v>
      </c>
      <c r="M973" s="3" t="str">
        <f>CONCATENATE("01425100417")</f>
        <v>01425100417</v>
      </c>
      <c r="N973" s="3" t="s">
        <v>1103</v>
      </c>
      <c r="O973" s="3" t="s">
        <v>38</v>
      </c>
      <c r="P973" s="3"/>
      <c r="Q973" s="4">
        <v>45968</v>
      </c>
      <c r="R973" s="3" t="s">
        <v>39</v>
      </c>
      <c r="S973" s="3" t="s">
        <v>38</v>
      </c>
      <c r="T973" s="3" t="s">
        <v>40</v>
      </c>
      <c r="U973" s="3"/>
      <c r="V973" s="3" t="s">
        <v>41</v>
      </c>
      <c r="W973" s="5">
        <v>2607.9899999999998</v>
      </c>
      <c r="X973" s="5">
        <v>1955.99</v>
      </c>
      <c r="Y973" s="3">
        <v>456.4</v>
      </c>
      <c r="Z973" s="3">
        <v>195.6</v>
      </c>
      <c r="AA973" s="3">
        <v>0</v>
      </c>
    </row>
    <row r="974" spans="1:27" ht="60.75" x14ac:dyDescent="0.25">
      <c r="A974" s="3" t="s">
        <v>28</v>
      </c>
      <c r="B974" s="3" t="s">
        <v>29</v>
      </c>
      <c r="C974" s="3" t="s">
        <v>30</v>
      </c>
      <c r="D974" s="3" t="s">
        <v>65</v>
      </c>
      <c r="E974" s="3" t="s">
        <v>51</v>
      </c>
      <c r="F974" s="3" t="s">
        <v>460</v>
      </c>
      <c r="G974" s="3">
        <v>2025</v>
      </c>
      <c r="H974" s="3" t="str">
        <f>CONCATENATE("54240636214")</f>
        <v>54240636214</v>
      </c>
      <c r="I974" s="3" t="s">
        <v>44</v>
      </c>
      <c r="J974" s="3" t="s">
        <v>35</v>
      </c>
      <c r="K974" s="3"/>
      <c r="L974" s="3" t="s">
        <v>36</v>
      </c>
      <c r="M974" s="3" t="str">
        <f>CONCATENATE("MNGRGL55P02L500K")</f>
        <v>MNGRGL55P02L500K</v>
      </c>
      <c r="N974" s="3" t="s">
        <v>1104</v>
      </c>
      <c r="O974" s="3" t="s">
        <v>38</v>
      </c>
      <c r="P974" s="3"/>
      <c r="Q974" s="4">
        <v>45968</v>
      </c>
      <c r="R974" s="3" t="s">
        <v>39</v>
      </c>
      <c r="S974" s="3" t="s">
        <v>38</v>
      </c>
      <c r="T974" s="3" t="s">
        <v>40</v>
      </c>
      <c r="U974" s="3"/>
      <c r="V974" s="3" t="s">
        <v>41</v>
      </c>
      <c r="W974" s="5">
        <v>7340.78</v>
      </c>
      <c r="X974" s="5">
        <v>5505.59</v>
      </c>
      <c r="Y974" s="5">
        <v>1284.6400000000001</v>
      </c>
      <c r="Z974" s="3">
        <v>550.54999999999995</v>
      </c>
      <c r="AA974" s="3">
        <v>0</v>
      </c>
    </row>
    <row r="975" spans="1:27" ht="36.75" x14ac:dyDescent="0.25">
      <c r="A975" s="3" t="s">
        <v>28</v>
      </c>
      <c r="B975" s="3" t="s">
        <v>29</v>
      </c>
      <c r="C975" s="3" t="s">
        <v>30</v>
      </c>
      <c r="D975" s="3" t="s">
        <v>31</v>
      </c>
      <c r="E975" s="3" t="s">
        <v>51</v>
      </c>
      <c r="F975" s="3" t="s">
        <v>74</v>
      </c>
      <c r="G975" s="3">
        <v>2025</v>
      </c>
      <c r="H975" s="3" t="str">
        <f>CONCATENATE("54240501160")</f>
        <v>54240501160</v>
      </c>
      <c r="I975" s="3" t="s">
        <v>34</v>
      </c>
      <c r="J975" s="3" t="s">
        <v>35</v>
      </c>
      <c r="K975" s="3"/>
      <c r="L975" s="3" t="s">
        <v>36</v>
      </c>
      <c r="M975" s="3" t="str">
        <f>CONCATENATE("01154610420")</f>
        <v>01154610420</v>
      </c>
      <c r="N975" s="3" t="s">
        <v>1105</v>
      </c>
      <c r="O975" s="3" t="s">
        <v>38</v>
      </c>
      <c r="P975" s="3"/>
      <c r="Q975" s="4">
        <v>45968</v>
      </c>
      <c r="R975" s="3" t="s">
        <v>39</v>
      </c>
      <c r="S975" s="3" t="s">
        <v>38</v>
      </c>
      <c r="T975" s="3" t="s">
        <v>40</v>
      </c>
      <c r="U975" s="3"/>
      <c r="V975" s="3" t="s">
        <v>41</v>
      </c>
      <c r="W975" s="3">
        <v>965.8</v>
      </c>
      <c r="X975" s="3">
        <v>724.35</v>
      </c>
      <c r="Y975" s="3">
        <v>169.02</v>
      </c>
      <c r="Z975" s="3">
        <v>72.430000000000007</v>
      </c>
      <c r="AA975" s="3">
        <v>0</v>
      </c>
    </row>
    <row r="976" spans="1:27" ht="60.75" x14ac:dyDescent="0.25">
      <c r="A976" s="3" t="s">
        <v>28</v>
      </c>
      <c r="B976" s="3" t="s">
        <v>29</v>
      </c>
      <c r="C976" s="3" t="s">
        <v>30</v>
      </c>
      <c r="D976" s="3" t="s">
        <v>31</v>
      </c>
      <c r="E976" s="3" t="s">
        <v>51</v>
      </c>
      <c r="F976" s="3" t="s">
        <v>69</v>
      </c>
      <c r="G976" s="3">
        <v>2025</v>
      </c>
      <c r="H976" s="3" t="str">
        <f>CONCATENATE("54240504990")</f>
        <v>54240504990</v>
      </c>
      <c r="I976" s="3" t="s">
        <v>34</v>
      </c>
      <c r="J976" s="3" t="s">
        <v>35</v>
      </c>
      <c r="K976" s="3"/>
      <c r="L976" s="3" t="s">
        <v>36</v>
      </c>
      <c r="M976" s="3" t="str">
        <f>CONCATENATE("SBBCST75H17F581Z")</f>
        <v>SBBCST75H17F581Z</v>
      </c>
      <c r="N976" s="3" t="s">
        <v>1106</v>
      </c>
      <c r="O976" s="3" t="s">
        <v>38</v>
      </c>
      <c r="P976" s="3"/>
      <c r="Q976" s="4">
        <v>45968</v>
      </c>
      <c r="R976" s="3" t="s">
        <v>39</v>
      </c>
      <c r="S976" s="3" t="s">
        <v>38</v>
      </c>
      <c r="T976" s="3" t="s">
        <v>40</v>
      </c>
      <c r="U976" s="3"/>
      <c r="V976" s="3" t="s">
        <v>41</v>
      </c>
      <c r="W976" s="5">
        <v>3729.82</v>
      </c>
      <c r="X976" s="5">
        <v>2797.37</v>
      </c>
      <c r="Y976" s="3">
        <v>652.72</v>
      </c>
      <c r="Z976" s="3">
        <v>279.73</v>
      </c>
      <c r="AA976" s="3">
        <v>0</v>
      </c>
    </row>
    <row r="977" spans="1:27" ht="60.75" x14ac:dyDescent="0.25">
      <c r="A977" s="3" t="s">
        <v>28</v>
      </c>
      <c r="B977" s="3" t="s">
        <v>29</v>
      </c>
      <c r="C977" s="3" t="s">
        <v>30</v>
      </c>
      <c r="D977" s="3" t="s">
        <v>65</v>
      </c>
      <c r="E977" s="3" t="s">
        <v>207</v>
      </c>
      <c r="F977" s="3" t="s">
        <v>208</v>
      </c>
      <c r="G977" s="3">
        <v>2025</v>
      </c>
      <c r="H977" s="3" t="str">
        <f>CONCATENATE("54240505203")</f>
        <v>54240505203</v>
      </c>
      <c r="I977" s="3" t="s">
        <v>34</v>
      </c>
      <c r="J977" s="3" t="s">
        <v>35</v>
      </c>
      <c r="K977" s="3"/>
      <c r="L977" s="3" t="s">
        <v>36</v>
      </c>
      <c r="M977" s="3" t="str">
        <f>CONCATENATE("CRLMRZ45M11F348J")</f>
        <v>CRLMRZ45M11F348J</v>
      </c>
      <c r="N977" s="3" t="s">
        <v>1107</v>
      </c>
      <c r="O977" s="3" t="s">
        <v>38</v>
      </c>
      <c r="P977" s="3"/>
      <c r="Q977" s="4">
        <v>45968</v>
      </c>
      <c r="R977" s="3" t="s">
        <v>39</v>
      </c>
      <c r="S977" s="3" t="s">
        <v>38</v>
      </c>
      <c r="T977" s="3" t="s">
        <v>40</v>
      </c>
      <c r="U977" s="3"/>
      <c r="V977" s="3" t="s">
        <v>41</v>
      </c>
      <c r="W977" s="5">
        <v>1365.17</v>
      </c>
      <c r="X977" s="5">
        <v>1023.88</v>
      </c>
      <c r="Y977" s="3">
        <v>238.9</v>
      </c>
      <c r="Z977" s="3">
        <v>102.39</v>
      </c>
      <c r="AA977" s="3">
        <v>0</v>
      </c>
    </row>
    <row r="978" spans="1:27" ht="36.75" x14ac:dyDescent="0.25">
      <c r="A978" s="3" t="s">
        <v>28</v>
      </c>
      <c r="B978" s="3" t="s">
        <v>29</v>
      </c>
      <c r="C978" s="3" t="s">
        <v>30</v>
      </c>
      <c r="D978" s="3" t="s">
        <v>65</v>
      </c>
      <c r="E978" s="3" t="s">
        <v>51</v>
      </c>
      <c r="F978" s="3" t="s">
        <v>240</v>
      </c>
      <c r="G978" s="3">
        <v>2025</v>
      </c>
      <c r="H978" s="3" t="str">
        <f>CONCATENATE("54240623659")</f>
        <v>54240623659</v>
      </c>
      <c r="I978" s="3" t="s">
        <v>34</v>
      </c>
      <c r="J978" s="3" t="s">
        <v>35</v>
      </c>
      <c r="K978" s="3"/>
      <c r="L978" s="3" t="s">
        <v>36</v>
      </c>
      <c r="M978" s="3" t="str">
        <f>CONCATENATE("02623320419")</f>
        <v>02623320419</v>
      </c>
      <c r="N978" s="3" t="s">
        <v>1108</v>
      </c>
      <c r="O978" s="3" t="s">
        <v>38</v>
      </c>
      <c r="P978" s="3"/>
      <c r="Q978" s="4">
        <v>45968</v>
      </c>
      <c r="R978" s="3" t="s">
        <v>39</v>
      </c>
      <c r="S978" s="3" t="s">
        <v>38</v>
      </c>
      <c r="T978" s="3" t="s">
        <v>40</v>
      </c>
      <c r="U978" s="3"/>
      <c r="V978" s="3" t="s">
        <v>41</v>
      </c>
      <c r="W978" s="5">
        <v>1687.68</v>
      </c>
      <c r="X978" s="5">
        <v>1265.76</v>
      </c>
      <c r="Y978" s="3">
        <v>295.33999999999997</v>
      </c>
      <c r="Z978" s="3">
        <v>126.58</v>
      </c>
      <c r="AA978" s="3">
        <v>0</v>
      </c>
    </row>
    <row r="979" spans="1:27" ht="60.75" x14ac:dyDescent="0.25">
      <c r="A979" s="3" t="s">
        <v>28</v>
      </c>
      <c r="B979" s="3" t="s">
        <v>29</v>
      </c>
      <c r="C979" s="3" t="s">
        <v>30</v>
      </c>
      <c r="D979" s="3" t="s">
        <v>42</v>
      </c>
      <c r="E979" s="3" t="s">
        <v>60</v>
      </c>
      <c r="F979" s="3" t="s">
        <v>245</v>
      </c>
      <c r="G979" s="3">
        <v>2025</v>
      </c>
      <c r="H979" s="3" t="str">
        <f>CONCATENATE("54240506698")</f>
        <v>54240506698</v>
      </c>
      <c r="I979" s="3" t="s">
        <v>34</v>
      </c>
      <c r="J979" s="3" t="s">
        <v>35</v>
      </c>
      <c r="K979" s="3"/>
      <c r="L979" s="3" t="s">
        <v>36</v>
      </c>
      <c r="M979" s="3" t="str">
        <f>CONCATENATE("SCRFRA49L66F415C")</f>
        <v>SCRFRA49L66F415C</v>
      </c>
      <c r="N979" s="3" t="s">
        <v>1109</v>
      </c>
      <c r="O979" s="3" t="s">
        <v>38</v>
      </c>
      <c r="P979" s="3"/>
      <c r="Q979" s="4">
        <v>45968</v>
      </c>
      <c r="R979" s="3" t="s">
        <v>39</v>
      </c>
      <c r="S979" s="3" t="s">
        <v>38</v>
      </c>
      <c r="T979" s="3" t="s">
        <v>40</v>
      </c>
      <c r="U979" s="3"/>
      <c r="V979" s="3" t="s">
        <v>41</v>
      </c>
      <c r="W979" s="5">
        <v>1646.83</v>
      </c>
      <c r="X979" s="5">
        <v>1235.1199999999999</v>
      </c>
      <c r="Y979" s="3">
        <v>288.2</v>
      </c>
      <c r="Z979" s="3">
        <v>123.51</v>
      </c>
      <c r="AA979" s="3">
        <v>0</v>
      </c>
    </row>
    <row r="980" spans="1:27" ht="60.75" x14ac:dyDescent="0.25">
      <c r="A980" s="3" t="s">
        <v>28</v>
      </c>
      <c r="B980" s="3" t="s">
        <v>29</v>
      </c>
      <c r="C980" s="3" t="s">
        <v>30</v>
      </c>
      <c r="D980" s="3" t="s">
        <v>31</v>
      </c>
      <c r="E980" s="3" t="s">
        <v>51</v>
      </c>
      <c r="F980" s="3" t="s">
        <v>120</v>
      </c>
      <c r="G980" s="3">
        <v>2025</v>
      </c>
      <c r="H980" s="3" t="str">
        <f>CONCATENATE("54240507365")</f>
        <v>54240507365</v>
      </c>
      <c r="I980" s="3" t="s">
        <v>34</v>
      </c>
      <c r="J980" s="3" t="s">
        <v>35</v>
      </c>
      <c r="K980" s="3"/>
      <c r="L980" s="3" t="s">
        <v>36</v>
      </c>
      <c r="M980" s="3" t="str">
        <f>CONCATENATE("CCCLCA86C49E388R")</f>
        <v>CCCLCA86C49E388R</v>
      </c>
      <c r="N980" s="3" t="s">
        <v>1110</v>
      </c>
      <c r="O980" s="3" t="s">
        <v>38</v>
      </c>
      <c r="P980" s="3"/>
      <c r="Q980" s="4">
        <v>45968</v>
      </c>
      <c r="R980" s="3" t="s">
        <v>39</v>
      </c>
      <c r="S980" s="3" t="s">
        <v>38</v>
      </c>
      <c r="T980" s="3" t="s">
        <v>40</v>
      </c>
      <c r="U980" s="3"/>
      <c r="V980" s="3" t="s">
        <v>41</v>
      </c>
      <c r="W980" s="3">
        <v>996.45</v>
      </c>
      <c r="X980" s="3">
        <v>747.34</v>
      </c>
      <c r="Y980" s="3">
        <v>174.38</v>
      </c>
      <c r="Z980" s="3">
        <v>74.73</v>
      </c>
      <c r="AA980" s="3">
        <v>0</v>
      </c>
    </row>
    <row r="981" spans="1:27" ht="60.75" x14ac:dyDescent="0.25">
      <c r="A981" s="3" t="s">
        <v>28</v>
      </c>
      <c r="B981" s="3" t="s">
        <v>29</v>
      </c>
      <c r="C981" s="3" t="s">
        <v>30</v>
      </c>
      <c r="D981" s="3" t="s">
        <v>65</v>
      </c>
      <c r="E981" s="3" t="s">
        <v>60</v>
      </c>
      <c r="F981" s="3" t="s">
        <v>85</v>
      </c>
      <c r="G981" s="3">
        <v>2025</v>
      </c>
      <c r="H981" s="3" t="str">
        <f>CONCATENATE("54240634144")</f>
        <v>54240634144</v>
      </c>
      <c r="I981" s="3" t="s">
        <v>34</v>
      </c>
      <c r="J981" s="3" t="s">
        <v>35</v>
      </c>
      <c r="K981" s="3"/>
      <c r="L981" s="3" t="s">
        <v>36</v>
      </c>
      <c r="M981" s="3" t="str">
        <f>CONCATENATE("GLZRRT68M16F533W")</f>
        <v>GLZRRT68M16F533W</v>
      </c>
      <c r="N981" s="3" t="s">
        <v>1111</v>
      </c>
      <c r="O981" s="3" t="s">
        <v>38</v>
      </c>
      <c r="P981" s="3"/>
      <c r="Q981" s="4">
        <v>45968</v>
      </c>
      <c r="R981" s="3" t="s">
        <v>39</v>
      </c>
      <c r="S981" s="3" t="s">
        <v>38</v>
      </c>
      <c r="T981" s="3" t="s">
        <v>40</v>
      </c>
      <c r="U981" s="3"/>
      <c r="V981" s="3" t="s">
        <v>41</v>
      </c>
      <c r="W981" s="5">
        <v>1971.75</v>
      </c>
      <c r="X981" s="5">
        <v>1478.81</v>
      </c>
      <c r="Y981" s="3">
        <v>345.06</v>
      </c>
      <c r="Z981" s="3">
        <v>147.88</v>
      </c>
      <c r="AA981" s="3">
        <v>0</v>
      </c>
    </row>
    <row r="982" spans="1:27" ht="36.75" x14ac:dyDescent="0.25">
      <c r="A982" s="3" t="s">
        <v>28</v>
      </c>
      <c r="B982" s="3" t="s">
        <v>29</v>
      </c>
      <c r="C982" s="3" t="s">
        <v>30</v>
      </c>
      <c r="D982" s="3" t="s">
        <v>65</v>
      </c>
      <c r="E982" s="3" t="s">
        <v>60</v>
      </c>
      <c r="F982" s="3" t="s">
        <v>85</v>
      </c>
      <c r="G982" s="3">
        <v>2025</v>
      </c>
      <c r="H982" s="3" t="str">
        <f>CONCATENATE("54240634292")</f>
        <v>54240634292</v>
      </c>
      <c r="I982" s="3" t="s">
        <v>34</v>
      </c>
      <c r="J982" s="3" t="s">
        <v>35</v>
      </c>
      <c r="K982" s="3"/>
      <c r="L982" s="3" t="s">
        <v>36</v>
      </c>
      <c r="M982" s="3" t="str">
        <f>CONCATENATE("02715560419")</f>
        <v>02715560419</v>
      </c>
      <c r="N982" s="3" t="s">
        <v>1112</v>
      </c>
      <c r="O982" s="3" t="s">
        <v>38</v>
      </c>
      <c r="P982" s="3"/>
      <c r="Q982" s="4">
        <v>45968</v>
      </c>
      <c r="R982" s="3" t="s">
        <v>39</v>
      </c>
      <c r="S982" s="3" t="s">
        <v>38</v>
      </c>
      <c r="T982" s="3" t="s">
        <v>40</v>
      </c>
      <c r="U982" s="3"/>
      <c r="V982" s="3" t="s">
        <v>41</v>
      </c>
      <c r="W982" s="3">
        <v>885.95</v>
      </c>
      <c r="X982" s="3">
        <v>664.46</v>
      </c>
      <c r="Y982" s="3">
        <v>155.04</v>
      </c>
      <c r="Z982" s="3">
        <v>66.45</v>
      </c>
      <c r="AA982" s="3">
        <v>0</v>
      </c>
    </row>
    <row r="983" spans="1:27" ht="36.75" x14ac:dyDescent="0.25">
      <c r="A983" s="3" t="s">
        <v>28</v>
      </c>
      <c r="B983" s="3" t="s">
        <v>29</v>
      </c>
      <c r="C983" s="3" t="s">
        <v>30</v>
      </c>
      <c r="D983" s="3" t="s">
        <v>65</v>
      </c>
      <c r="E983" s="3" t="s">
        <v>48</v>
      </c>
      <c r="F983" s="3" t="s">
        <v>66</v>
      </c>
      <c r="G983" s="3">
        <v>2025</v>
      </c>
      <c r="H983" s="3" t="str">
        <f>CONCATENATE("54240501277")</f>
        <v>54240501277</v>
      </c>
      <c r="I983" s="3" t="s">
        <v>34</v>
      </c>
      <c r="J983" s="3" t="s">
        <v>35</v>
      </c>
      <c r="K983" s="3"/>
      <c r="L983" s="3" t="s">
        <v>36</v>
      </c>
      <c r="M983" s="3" t="str">
        <f>CONCATENATE("02224210415")</f>
        <v>02224210415</v>
      </c>
      <c r="N983" s="3" t="s">
        <v>1113</v>
      </c>
      <c r="O983" s="3" t="s">
        <v>38</v>
      </c>
      <c r="P983" s="3"/>
      <c r="Q983" s="4">
        <v>45968</v>
      </c>
      <c r="R983" s="3" t="s">
        <v>39</v>
      </c>
      <c r="S983" s="3" t="s">
        <v>38</v>
      </c>
      <c r="T983" s="3" t="s">
        <v>40</v>
      </c>
      <c r="U983" s="3"/>
      <c r="V983" s="3" t="s">
        <v>41</v>
      </c>
      <c r="W983" s="5">
        <v>15036.42</v>
      </c>
      <c r="X983" s="5">
        <v>11277.32</v>
      </c>
      <c r="Y983" s="5">
        <v>2631.37</v>
      </c>
      <c r="Z983" s="5">
        <v>1127.73</v>
      </c>
      <c r="AA983" s="3">
        <v>0</v>
      </c>
    </row>
    <row r="984" spans="1:27" ht="60.75" x14ac:dyDescent="0.25">
      <c r="A984" s="3" t="s">
        <v>28</v>
      </c>
      <c r="B984" s="3" t="s">
        <v>29</v>
      </c>
      <c r="C984" s="3" t="s">
        <v>30</v>
      </c>
      <c r="D984" s="3" t="s">
        <v>47</v>
      </c>
      <c r="E984" s="3" t="s">
        <v>48</v>
      </c>
      <c r="F984" s="3" t="s">
        <v>49</v>
      </c>
      <c r="G984" s="3">
        <v>2025</v>
      </c>
      <c r="H984" s="3" t="str">
        <f>CONCATENATE("54240504453")</f>
        <v>54240504453</v>
      </c>
      <c r="I984" s="3" t="s">
        <v>34</v>
      </c>
      <c r="J984" s="3" t="s">
        <v>35</v>
      </c>
      <c r="K984" s="3"/>
      <c r="L984" s="3" t="s">
        <v>36</v>
      </c>
      <c r="M984" s="3" t="str">
        <f>CONCATENATE("SCRMRA30B56C203F")</f>
        <v>SCRMRA30B56C203F</v>
      </c>
      <c r="N984" s="3" t="s">
        <v>1114</v>
      </c>
      <c r="O984" s="3" t="s">
        <v>38</v>
      </c>
      <c r="P984" s="3"/>
      <c r="Q984" s="4">
        <v>45968</v>
      </c>
      <c r="R984" s="3" t="s">
        <v>39</v>
      </c>
      <c r="S984" s="3" t="s">
        <v>38</v>
      </c>
      <c r="T984" s="3" t="s">
        <v>40</v>
      </c>
      <c r="U984" s="3"/>
      <c r="V984" s="3" t="s">
        <v>41</v>
      </c>
      <c r="W984" s="5">
        <v>31062.95</v>
      </c>
      <c r="X984" s="5">
        <v>23297.21</v>
      </c>
      <c r="Y984" s="5">
        <v>5436.02</v>
      </c>
      <c r="Z984" s="5">
        <v>2329.7199999999998</v>
      </c>
      <c r="AA984" s="3">
        <v>0</v>
      </c>
    </row>
    <row r="985" spans="1:27" ht="72.75" x14ac:dyDescent="0.25">
      <c r="A985" s="3" t="s">
        <v>28</v>
      </c>
      <c r="B985" s="3" t="s">
        <v>29</v>
      </c>
      <c r="C985" s="3" t="s">
        <v>30</v>
      </c>
      <c r="D985" s="3" t="s">
        <v>65</v>
      </c>
      <c r="E985" s="3" t="s">
        <v>207</v>
      </c>
      <c r="F985" s="3" t="s">
        <v>208</v>
      </c>
      <c r="G985" s="3">
        <v>2025</v>
      </c>
      <c r="H985" s="3" t="str">
        <f>CONCATENATE("54240504909")</f>
        <v>54240504909</v>
      </c>
      <c r="I985" s="3" t="s">
        <v>34</v>
      </c>
      <c r="J985" s="3" t="s">
        <v>35</v>
      </c>
      <c r="K985" s="3"/>
      <c r="L985" s="3" t="s">
        <v>36</v>
      </c>
      <c r="M985" s="3" t="str">
        <f>CONCATENATE("BRGMTM75R04G702H")</f>
        <v>BRGMTM75R04G702H</v>
      </c>
      <c r="N985" s="3" t="s">
        <v>1115</v>
      </c>
      <c r="O985" s="3" t="s">
        <v>38</v>
      </c>
      <c r="P985" s="3"/>
      <c r="Q985" s="4">
        <v>45968</v>
      </c>
      <c r="R985" s="3" t="s">
        <v>39</v>
      </c>
      <c r="S985" s="3" t="s">
        <v>38</v>
      </c>
      <c r="T985" s="3" t="s">
        <v>40</v>
      </c>
      <c r="U985" s="3"/>
      <c r="V985" s="3" t="s">
        <v>41</v>
      </c>
      <c r="W985" s="3">
        <v>239.06</v>
      </c>
      <c r="X985" s="3">
        <v>179.3</v>
      </c>
      <c r="Y985" s="3">
        <v>41.84</v>
      </c>
      <c r="Z985" s="3">
        <v>17.920000000000002</v>
      </c>
      <c r="AA985" s="3">
        <v>0</v>
      </c>
    </row>
    <row r="986" spans="1:27" ht="60.75" x14ac:dyDescent="0.25">
      <c r="A986" s="3" t="s">
        <v>28</v>
      </c>
      <c r="B986" s="3" t="s">
        <v>29</v>
      </c>
      <c r="C986" s="3" t="s">
        <v>30</v>
      </c>
      <c r="D986" s="3" t="s">
        <v>65</v>
      </c>
      <c r="E986" s="3" t="s">
        <v>48</v>
      </c>
      <c r="F986" s="3" t="s">
        <v>66</v>
      </c>
      <c r="G986" s="3">
        <v>2025</v>
      </c>
      <c r="H986" s="3" t="str">
        <f>CONCATENATE("54240505161")</f>
        <v>54240505161</v>
      </c>
      <c r="I986" s="3" t="s">
        <v>34</v>
      </c>
      <c r="J986" s="3" t="s">
        <v>35</v>
      </c>
      <c r="K986" s="3"/>
      <c r="L986" s="3" t="s">
        <v>36</v>
      </c>
      <c r="M986" s="3" t="str">
        <f>CONCATENATE("BLDNDR80S18I287O")</f>
        <v>BLDNDR80S18I287O</v>
      </c>
      <c r="N986" s="3" t="s">
        <v>1116</v>
      </c>
      <c r="O986" s="3" t="s">
        <v>38</v>
      </c>
      <c r="P986" s="3"/>
      <c r="Q986" s="4">
        <v>45968</v>
      </c>
      <c r="R986" s="3" t="s">
        <v>39</v>
      </c>
      <c r="S986" s="3" t="s">
        <v>38</v>
      </c>
      <c r="T986" s="3" t="s">
        <v>40</v>
      </c>
      <c r="U986" s="3"/>
      <c r="V986" s="3" t="s">
        <v>41</v>
      </c>
      <c r="W986" s="5">
        <v>1062.6400000000001</v>
      </c>
      <c r="X986" s="3">
        <v>796.98</v>
      </c>
      <c r="Y986" s="3">
        <v>185.96</v>
      </c>
      <c r="Z986" s="3">
        <v>79.7</v>
      </c>
      <c r="AA986" s="3">
        <v>0</v>
      </c>
    </row>
    <row r="987" spans="1:27" ht="72.75" x14ac:dyDescent="0.25">
      <c r="A987" s="3" t="s">
        <v>28</v>
      </c>
      <c r="B987" s="3" t="s">
        <v>29</v>
      </c>
      <c r="C987" s="3" t="s">
        <v>30</v>
      </c>
      <c r="D987" s="3" t="s">
        <v>65</v>
      </c>
      <c r="E987" s="3" t="s">
        <v>51</v>
      </c>
      <c r="F987" s="3" t="s">
        <v>278</v>
      </c>
      <c r="G987" s="3">
        <v>2025</v>
      </c>
      <c r="H987" s="3" t="str">
        <f>CONCATENATE("54240622446")</f>
        <v>54240622446</v>
      </c>
      <c r="I987" s="3" t="s">
        <v>34</v>
      </c>
      <c r="J987" s="3" t="s">
        <v>35</v>
      </c>
      <c r="K987" s="3"/>
      <c r="L987" s="3" t="s">
        <v>36</v>
      </c>
      <c r="M987" s="3" t="str">
        <f>CONCATENATE("CTNSNO63R48G479G")</f>
        <v>CTNSNO63R48G479G</v>
      </c>
      <c r="N987" s="3" t="s">
        <v>1117</v>
      </c>
      <c r="O987" s="3" t="s">
        <v>38</v>
      </c>
      <c r="P987" s="3"/>
      <c r="Q987" s="4">
        <v>45968</v>
      </c>
      <c r="R987" s="3" t="s">
        <v>39</v>
      </c>
      <c r="S987" s="3" t="s">
        <v>38</v>
      </c>
      <c r="T987" s="3" t="s">
        <v>40</v>
      </c>
      <c r="U987" s="3"/>
      <c r="V987" s="3" t="s">
        <v>41</v>
      </c>
      <c r="W987" s="5">
        <v>1662.37</v>
      </c>
      <c r="X987" s="5">
        <v>1246.78</v>
      </c>
      <c r="Y987" s="3">
        <v>290.91000000000003</v>
      </c>
      <c r="Z987" s="3">
        <v>124.68</v>
      </c>
      <c r="AA987" s="3">
        <v>0</v>
      </c>
    </row>
    <row r="988" spans="1:27" ht="36.75" x14ac:dyDescent="0.25">
      <c r="A988" s="3" t="s">
        <v>28</v>
      </c>
      <c r="B988" s="3" t="s">
        <v>29</v>
      </c>
      <c r="C988" s="3" t="s">
        <v>30</v>
      </c>
      <c r="D988" s="3" t="s">
        <v>65</v>
      </c>
      <c r="E988" s="3" t="s">
        <v>60</v>
      </c>
      <c r="F988" s="3" t="s">
        <v>85</v>
      </c>
      <c r="G988" s="3">
        <v>2025</v>
      </c>
      <c r="H988" s="3" t="str">
        <f>CONCATENATE("54240629342")</f>
        <v>54240629342</v>
      </c>
      <c r="I988" s="3" t="s">
        <v>34</v>
      </c>
      <c r="J988" s="3" t="s">
        <v>35</v>
      </c>
      <c r="K988" s="3"/>
      <c r="L988" s="3" t="s">
        <v>36</v>
      </c>
      <c r="M988" s="3" t="str">
        <f>CONCATENATE("02230300416")</f>
        <v>02230300416</v>
      </c>
      <c r="N988" s="3" t="s">
        <v>1118</v>
      </c>
      <c r="O988" s="3" t="s">
        <v>38</v>
      </c>
      <c r="P988" s="3"/>
      <c r="Q988" s="4">
        <v>45968</v>
      </c>
      <c r="R988" s="3" t="s">
        <v>39</v>
      </c>
      <c r="S988" s="3" t="s">
        <v>38</v>
      </c>
      <c r="T988" s="3" t="s">
        <v>40</v>
      </c>
      <c r="U988" s="3"/>
      <c r="V988" s="3" t="s">
        <v>41</v>
      </c>
      <c r="W988" s="5">
        <v>5495.41</v>
      </c>
      <c r="X988" s="5">
        <v>4121.5600000000004</v>
      </c>
      <c r="Y988" s="3">
        <v>961.7</v>
      </c>
      <c r="Z988" s="3">
        <v>412.15</v>
      </c>
      <c r="AA988" s="3">
        <v>0</v>
      </c>
    </row>
    <row r="989" spans="1:27" ht="36.75" x14ac:dyDescent="0.25">
      <c r="A989" s="3" t="s">
        <v>28</v>
      </c>
      <c r="B989" s="3" t="s">
        <v>29</v>
      </c>
      <c r="C989" s="3" t="s">
        <v>30</v>
      </c>
      <c r="D989" s="3" t="s">
        <v>65</v>
      </c>
      <c r="E989" s="3" t="s">
        <v>60</v>
      </c>
      <c r="F989" s="3" t="s">
        <v>85</v>
      </c>
      <c r="G989" s="3">
        <v>2025</v>
      </c>
      <c r="H989" s="3" t="str">
        <f>CONCATENATE("54240644812")</f>
        <v>54240644812</v>
      </c>
      <c r="I989" s="3" t="s">
        <v>44</v>
      </c>
      <c r="J989" s="3" t="s">
        <v>35</v>
      </c>
      <c r="K989" s="3"/>
      <c r="L989" s="3" t="s">
        <v>36</v>
      </c>
      <c r="M989" s="3" t="str">
        <f>CONCATENATE("82002150413")</f>
        <v>82002150413</v>
      </c>
      <c r="N989" s="3" t="s">
        <v>1119</v>
      </c>
      <c r="O989" s="3" t="s">
        <v>38</v>
      </c>
      <c r="P989" s="3"/>
      <c r="Q989" s="4">
        <v>45968</v>
      </c>
      <c r="R989" s="3" t="s">
        <v>39</v>
      </c>
      <c r="S989" s="3" t="s">
        <v>38</v>
      </c>
      <c r="T989" s="3" t="s">
        <v>40</v>
      </c>
      <c r="U989" s="3"/>
      <c r="V989" s="3" t="s">
        <v>41</v>
      </c>
      <c r="W989" s="5">
        <v>24301.64</v>
      </c>
      <c r="X989" s="5">
        <v>18226.23</v>
      </c>
      <c r="Y989" s="5">
        <v>4252.79</v>
      </c>
      <c r="Z989" s="5">
        <v>1822.62</v>
      </c>
      <c r="AA989" s="3">
        <v>0</v>
      </c>
    </row>
    <row r="990" spans="1:27" ht="60.75" x14ac:dyDescent="0.25">
      <c r="A990" s="3" t="s">
        <v>28</v>
      </c>
      <c r="B990" s="3" t="s">
        <v>29</v>
      </c>
      <c r="C990" s="3" t="s">
        <v>30</v>
      </c>
      <c r="D990" s="3" t="s">
        <v>47</v>
      </c>
      <c r="E990" s="3" t="s">
        <v>51</v>
      </c>
      <c r="F990" s="3" t="s">
        <v>83</v>
      </c>
      <c r="G990" s="3">
        <v>2025</v>
      </c>
      <c r="H990" s="3" t="str">
        <f>CONCATENATE("54240639341")</f>
        <v>54240639341</v>
      </c>
      <c r="I990" s="3" t="s">
        <v>34</v>
      </c>
      <c r="J990" s="3" t="s">
        <v>35</v>
      </c>
      <c r="K990" s="3"/>
      <c r="L990" s="3" t="s">
        <v>36</v>
      </c>
      <c r="M990" s="3" t="str">
        <f>CONCATENATE("STRPLA73L17B474W")</f>
        <v>STRPLA73L17B474W</v>
      </c>
      <c r="N990" s="3" t="s">
        <v>1120</v>
      </c>
      <c r="O990" s="3" t="s">
        <v>38</v>
      </c>
      <c r="P990" s="3"/>
      <c r="Q990" s="4">
        <v>45968</v>
      </c>
      <c r="R990" s="3" t="s">
        <v>39</v>
      </c>
      <c r="S990" s="3" t="s">
        <v>38</v>
      </c>
      <c r="T990" s="3" t="s">
        <v>40</v>
      </c>
      <c r="U990" s="3"/>
      <c r="V990" s="3" t="s">
        <v>41</v>
      </c>
      <c r="W990" s="5">
        <v>14767.23</v>
      </c>
      <c r="X990" s="5">
        <v>11075.42</v>
      </c>
      <c r="Y990" s="5">
        <v>2584.27</v>
      </c>
      <c r="Z990" s="5">
        <v>1107.54</v>
      </c>
      <c r="AA990" s="3">
        <v>0</v>
      </c>
    </row>
    <row r="991" spans="1:27" ht="60.75" x14ac:dyDescent="0.25">
      <c r="A991" s="3" t="s">
        <v>28</v>
      </c>
      <c r="B991" s="3" t="s">
        <v>29</v>
      </c>
      <c r="C991" s="3" t="s">
        <v>30</v>
      </c>
      <c r="D991" s="3" t="s">
        <v>65</v>
      </c>
      <c r="E991" s="3" t="s">
        <v>48</v>
      </c>
      <c r="F991" s="3" t="s">
        <v>66</v>
      </c>
      <c r="G991" s="3">
        <v>2025</v>
      </c>
      <c r="H991" s="3" t="str">
        <f>CONCATENATE("54240504164")</f>
        <v>54240504164</v>
      </c>
      <c r="I991" s="3" t="s">
        <v>44</v>
      </c>
      <c r="J991" s="3" t="s">
        <v>35</v>
      </c>
      <c r="K991" s="3"/>
      <c r="L991" s="3" t="s">
        <v>36</v>
      </c>
      <c r="M991" s="3" t="str">
        <f>CONCATENATE("VGNPGR41H05L500S")</f>
        <v>VGNPGR41H05L500S</v>
      </c>
      <c r="N991" s="3" t="s">
        <v>1121</v>
      </c>
      <c r="O991" s="3" t="s">
        <v>38</v>
      </c>
      <c r="P991" s="3"/>
      <c r="Q991" s="4">
        <v>45968</v>
      </c>
      <c r="R991" s="3" t="s">
        <v>39</v>
      </c>
      <c r="S991" s="3" t="s">
        <v>38</v>
      </c>
      <c r="T991" s="3" t="s">
        <v>40</v>
      </c>
      <c r="U991" s="3"/>
      <c r="V991" s="3" t="s">
        <v>41</v>
      </c>
      <c r="W991" s="5">
        <v>2145.37</v>
      </c>
      <c r="X991" s="5">
        <v>1609.03</v>
      </c>
      <c r="Y991" s="3">
        <v>375.44</v>
      </c>
      <c r="Z991" s="3">
        <v>160.9</v>
      </c>
      <c r="AA991" s="3">
        <v>0</v>
      </c>
    </row>
    <row r="992" spans="1:27" ht="36.75" x14ac:dyDescent="0.25">
      <c r="A992" s="3" t="s">
        <v>28</v>
      </c>
      <c r="B992" s="3" t="s">
        <v>29</v>
      </c>
      <c r="C992" s="3" t="s">
        <v>30</v>
      </c>
      <c r="D992" s="3" t="s">
        <v>65</v>
      </c>
      <c r="E992" s="3" t="s">
        <v>48</v>
      </c>
      <c r="F992" s="3" t="s">
        <v>76</v>
      </c>
      <c r="G992" s="3">
        <v>2025</v>
      </c>
      <c r="H992" s="3" t="str">
        <f>CONCATENATE("54240551801")</f>
        <v>54240551801</v>
      </c>
      <c r="I992" s="3" t="s">
        <v>34</v>
      </c>
      <c r="J992" s="3" t="s">
        <v>35</v>
      </c>
      <c r="K992" s="3"/>
      <c r="L992" s="3" t="s">
        <v>36</v>
      </c>
      <c r="M992" s="3" t="str">
        <f>CONCATENATE("01343830418")</f>
        <v>01343830418</v>
      </c>
      <c r="N992" s="3" t="s">
        <v>1122</v>
      </c>
      <c r="O992" s="3" t="s">
        <v>38</v>
      </c>
      <c r="P992" s="3"/>
      <c r="Q992" s="4">
        <v>45968</v>
      </c>
      <c r="R992" s="3" t="s">
        <v>39</v>
      </c>
      <c r="S992" s="3" t="s">
        <v>38</v>
      </c>
      <c r="T992" s="3" t="s">
        <v>40</v>
      </c>
      <c r="U992" s="3"/>
      <c r="V992" s="3" t="s">
        <v>41</v>
      </c>
      <c r="W992" s="5">
        <v>3939.72</v>
      </c>
      <c r="X992" s="5">
        <v>2954.79</v>
      </c>
      <c r="Y992" s="3">
        <v>689.45</v>
      </c>
      <c r="Z992" s="3">
        <v>295.48</v>
      </c>
      <c r="AA992" s="3">
        <v>0</v>
      </c>
    </row>
    <row r="993" spans="1:27" ht="36.75" x14ac:dyDescent="0.25">
      <c r="A993" s="3" t="s">
        <v>28</v>
      </c>
      <c r="B993" s="3" t="s">
        <v>29</v>
      </c>
      <c r="C993" s="3" t="s">
        <v>30</v>
      </c>
      <c r="D993" s="3" t="s">
        <v>31</v>
      </c>
      <c r="E993" s="3" t="s">
        <v>51</v>
      </c>
      <c r="F993" s="3" t="s">
        <v>192</v>
      </c>
      <c r="G993" s="3">
        <v>2025</v>
      </c>
      <c r="H993" s="3" t="str">
        <f>CONCATENATE("54240622743")</f>
        <v>54240622743</v>
      </c>
      <c r="I993" s="3" t="s">
        <v>34</v>
      </c>
      <c r="J993" s="3" t="s">
        <v>35</v>
      </c>
      <c r="K993" s="3"/>
      <c r="L993" s="3" t="s">
        <v>36</v>
      </c>
      <c r="M993" s="3" t="str">
        <f>CONCATENATE("02942780426")</f>
        <v>02942780426</v>
      </c>
      <c r="N993" s="3" t="s">
        <v>1123</v>
      </c>
      <c r="O993" s="3" t="s">
        <v>38</v>
      </c>
      <c r="P993" s="3"/>
      <c r="Q993" s="4">
        <v>45968</v>
      </c>
      <c r="R993" s="3" t="s">
        <v>39</v>
      </c>
      <c r="S993" s="3" t="s">
        <v>38</v>
      </c>
      <c r="T993" s="3" t="s">
        <v>40</v>
      </c>
      <c r="U993" s="3"/>
      <c r="V993" s="3" t="s">
        <v>41</v>
      </c>
      <c r="W993" s="5">
        <v>4213.08</v>
      </c>
      <c r="X993" s="5">
        <v>3159.81</v>
      </c>
      <c r="Y993" s="3">
        <v>737.29</v>
      </c>
      <c r="Z993" s="3">
        <v>315.98</v>
      </c>
      <c r="AA993" s="3">
        <v>0</v>
      </c>
    </row>
    <row r="994" spans="1:27" ht="60.75" x14ac:dyDescent="0.25">
      <c r="A994" s="3" t="s">
        <v>28</v>
      </c>
      <c r="B994" s="3" t="s">
        <v>29</v>
      </c>
      <c r="C994" s="3" t="s">
        <v>30</v>
      </c>
      <c r="D994" s="3" t="s">
        <v>31</v>
      </c>
      <c r="E994" s="3" t="s">
        <v>51</v>
      </c>
      <c r="F994" s="3" t="s">
        <v>99</v>
      </c>
      <c r="G994" s="3">
        <v>2025</v>
      </c>
      <c r="H994" s="3" t="str">
        <f>CONCATENATE("54240629565")</f>
        <v>54240629565</v>
      </c>
      <c r="I994" s="3" t="s">
        <v>34</v>
      </c>
      <c r="J994" s="3" t="s">
        <v>35</v>
      </c>
      <c r="K994" s="3"/>
      <c r="L994" s="3" t="s">
        <v>36</v>
      </c>
      <c r="M994" s="3" t="str">
        <f>CONCATENATE("CPPSNT59L46D451M")</f>
        <v>CPPSNT59L46D451M</v>
      </c>
      <c r="N994" s="3" t="s">
        <v>1124</v>
      </c>
      <c r="O994" s="3" t="s">
        <v>38</v>
      </c>
      <c r="P994" s="3"/>
      <c r="Q994" s="4">
        <v>45968</v>
      </c>
      <c r="R994" s="3" t="s">
        <v>39</v>
      </c>
      <c r="S994" s="3" t="s">
        <v>38</v>
      </c>
      <c r="T994" s="3" t="s">
        <v>40</v>
      </c>
      <c r="U994" s="3"/>
      <c r="V994" s="3" t="s">
        <v>41</v>
      </c>
      <c r="W994" s="5">
        <v>2652.47</v>
      </c>
      <c r="X994" s="5">
        <v>1989.35</v>
      </c>
      <c r="Y994" s="3">
        <v>464.18</v>
      </c>
      <c r="Z994" s="3">
        <v>198.94</v>
      </c>
      <c r="AA994" s="3">
        <v>0</v>
      </c>
    </row>
    <row r="995" spans="1:27" ht="36.75" x14ac:dyDescent="0.25">
      <c r="A995" s="3" t="s">
        <v>28</v>
      </c>
      <c r="B995" s="3" t="s">
        <v>29</v>
      </c>
      <c r="C995" s="3" t="s">
        <v>30</v>
      </c>
      <c r="D995" s="3" t="s">
        <v>65</v>
      </c>
      <c r="E995" s="3" t="s">
        <v>51</v>
      </c>
      <c r="F995" s="3" t="s">
        <v>460</v>
      </c>
      <c r="G995" s="3">
        <v>2025</v>
      </c>
      <c r="H995" s="3" t="str">
        <f>CONCATENATE("54240623329")</f>
        <v>54240623329</v>
      </c>
      <c r="I995" s="3" t="s">
        <v>34</v>
      </c>
      <c r="J995" s="3" t="s">
        <v>35</v>
      </c>
      <c r="K995" s="3"/>
      <c r="L995" s="3" t="s">
        <v>36</v>
      </c>
      <c r="M995" s="3" t="str">
        <f>CONCATENATE("02000320388")</f>
        <v>02000320388</v>
      </c>
      <c r="N995" s="3" t="s">
        <v>1125</v>
      </c>
      <c r="O995" s="3" t="s">
        <v>38</v>
      </c>
      <c r="P995" s="3"/>
      <c r="Q995" s="4">
        <v>45968</v>
      </c>
      <c r="R995" s="3" t="s">
        <v>39</v>
      </c>
      <c r="S995" s="3" t="s">
        <v>38</v>
      </c>
      <c r="T995" s="3" t="s">
        <v>40</v>
      </c>
      <c r="U995" s="3"/>
      <c r="V995" s="3" t="s">
        <v>41</v>
      </c>
      <c r="W995" s="5">
        <v>12848.74</v>
      </c>
      <c r="X995" s="5">
        <v>9636.56</v>
      </c>
      <c r="Y995" s="5">
        <v>2248.5300000000002</v>
      </c>
      <c r="Z995" s="3">
        <v>963.65</v>
      </c>
      <c r="AA995" s="3">
        <v>0</v>
      </c>
    </row>
    <row r="996" spans="1:27" ht="72.75" x14ac:dyDescent="0.25">
      <c r="A996" s="3" t="s">
        <v>28</v>
      </c>
      <c r="B996" s="3" t="s">
        <v>29</v>
      </c>
      <c r="C996" s="3" t="s">
        <v>30</v>
      </c>
      <c r="D996" s="3" t="s">
        <v>65</v>
      </c>
      <c r="E996" s="3" t="s">
        <v>32</v>
      </c>
      <c r="F996" s="3" t="s">
        <v>95</v>
      </c>
      <c r="G996" s="3">
        <v>2025</v>
      </c>
      <c r="H996" s="3" t="str">
        <f>CONCATENATE("54240631371")</f>
        <v>54240631371</v>
      </c>
      <c r="I996" s="3" t="s">
        <v>34</v>
      </c>
      <c r="J996" s="3" t="s">
        <v>35</v>
      </c>
      <c r="K996" s="3"/>
      <c r="L996" s="3" t="s">
        <v>36</v>
      </c>
      <c r="M996" s="3" t="str">
        <f>CONCATENATE("SPRGNS62R13B352A")</f>
        <v>SPRGNS62R13B352A</v>
      </c>
      <c r="N996" s="3" t="s">
        <v>1126</v>
      </c>
      <c r="O996" s="3" t="s">
        <v>38</v>
      </c>
      <c r="P996" s="3"/>
      <c r="Q996" s="4">
        <v>45968</v>
      </c>
      <c r="R996" s="3" t="s">
        <v>39</v>
      </c>
      <c r="S996" s="3" t="s">
        <v>38</v>
      </c>
      <c r="T996" s="3" t="s">
        <v>40</v>
      </c>
      <c r="U996" s="3"/>
      <c r="V996" s="3" t="s">
        <v>41</v>
      </c>
      <c r="W996" s="5">
        <v>9113.0300000000007</v>
      </c>
      <c r="X996" s="5">
        <v>6834.77</v>
      </c>
      <c r="Y996" s="5">
        <v>1594.78</v>
      </c>
      <c r="Z996" s="3">
        <v>683.48</v>
      </c>
      <c r="AA996" s="3">
        <v>0</v>
      </c>
    </row>
    <row r="997" spans="1:27" ht="60.75" x14ac:dyDescent="0.25">
      <c r="A997" s="3" t="s">
        <v>28</v>
      </c>
      <c r="B997" s="3" t="s">
        <v>29</v>
      </c>
      <c r="C997" s="3" t="s">
        <v>30</v>
      </c>
      <c r="D997" s="3" t="s">
        <v>42</v>
      </c>
      <c r="E997" s="3" t="s">
        <v>51</v>
      </c>
      <c r="F997" s="3" t="s">
        <v>52</v>
      </c>
      <c r="G997" s="3">
        <v>2025</v>
      </c>
      <c r="H997" s="3" t="str">
        <f>CONCATENATE("54240504222")</f>
        <v>54240504222</v>
      </c>
      <c r="I997" s="3" t="s">
        <v>34</v>
      </c>
      <c r="J997" s="3" t="s">
        <v>35</v>
      </c>
      <c r="K997" s="3"/>
      <c r="L997" s="3" t="s">
        <v>36</v>
      </c>
      <c r="M997" s="3" t="str">
        <f>CONCATENATE("ZZIGNN71S20I774Y")</f>
        <v>ZZIGNN71S20I774Y</v>
      </c>
      <c r="N997" s="3" t="s">
        <v>1127</v>
      </c>
      <c r="O997" s="3" t="s">
        <v>38</v>
      </c>
      <c r="P997" s="3"/>
      <c r="Q997" s="4">
        <v>45968</v>
      </c>
      <c r="R997" s="3" t="s">
        <v>39</v>
      </c>
      <c r="S997" s="3" t="s">
        <v>38</v>
      </c>
      <c r="T997" s="3" t="s">
        <v>40</v>
      </c>
      <c r="U997" s="3"/>
      <c r="V997" s="3" t="s">
        <v>41</v>
      </c>
      <c r="W997" s="5">
        <v>1278.6500000000001</v>
      </c>
      <c r="X997" s="3">
        <v>958.99</v>
      </c>
      <c r="Y997" s="3">
        <v>223.76</v>
      </c>
      <c r="Z997" s="3">
        <v>95.9</v>
      </c>
      <c r="AA997" s="3">
        <v>0</v>
      </c>
    </row>
    <row r="998" spans="1:27" ht="60.75" x14ac:dyDescent="0.25">
      <c r="A998" s="3" t="s">
        <v>28</v>
      </c>
      <c r="B998" s="3" t="s">
        <v>29</v>
      </c>
      <c r="C998" s="3" t="s">
        <v>30</v>
      </c>
      <c r="D998" s="3" t="s">
        <v>65</v>
      </c>
      <c r="E998" s="3" t="s">
        <v>32</v>
      </c>
      <c r="F998" s="3" t="s">
        <v>95</v>
      </c>
      <c r="G998" s="3">
        <v>2025</v>
      </c>
      <c r="H998" s="3" t="str">
        <f>CONCATENATE("54240627171")</f>
        <v>54240627171</v>
      </c>
      <c r="I998" s="3" t="s">
        <v>34</v>
      </c>
      <c r="J998" s="3" t="s">
        <v>35</v>
      </c>
      <c r="K998" s="3"/>
      <c r="L998" s="3" t="s">
        <v>36</v>
      </c>
      <c r="M998" s="3" t="str">
        <f>CONCATENATE("LPRFRN57A65I522R")</f>
        <v>LPRFRN57A65I522R</v>
      </c>
      <c r="N998" s="3" t="s">
        <v>1128</v>
      </c>
      <c r="O998" s="3" t="s">
        <v>38</v>
      </c>
      <c r="P998" s="3"/>
      <c r="Q998" s="4">
        <v>45968</v>
      </c>
      <c r="R998" s="3" t="s">
        <v>39</v>
      </c>
      <c r="S998" s="3" t="s">
        <v>38</v>
      </c>
      <c r="T998" s="3" t="s">
        <v>40</v>
      </c>
      <c r="U998" s="3"/>
      <c r="V998" s="3" t="s">
        <v>41</v>
      </c>
      <c r="W998" s="3">
        <v>339.76</v>
      </c>
      <c r="X998" s="3">
        <v>254.82</v>
      </c>
      <c r="Y998" s="3">
        <v>59.46</v>
      </c>
      <c r="Z998" s="3">
        <v>25.48</v>
      </c>
      <c r="AA998" s="3">
        <v>0</v>
      </c>
    </row>
    <row r="999" spans="1:27" ht="72.75" x14ac:dyDescent="0.25">
      <c r="A999" s="3" t="s">
        <v>28</v>
      </c>
      <c r="B999" s="3" t="s">
        <v>29</v>
      </c>
      <c r="C999" s="3" t="s">
        <v>30</v>
      </c>
      <c r="D999" s="3" t="s">
        <v>65</v>
      </c>
      <c r="E999" s="3" t="s">
        <v>51</v>
      </c>
      <c r="F999" s="3" t="s">
        <v>105</v>
      </c>
      <c r="G999" s="3">
        <v>2025</v>
      </c>
      <c r="H999" s="3" t="str">
        <f>CONCATENATE("54240505567")</f>
        <v>54240505567</v>
      </c>
      <c r="I999" s="3" t="s">
        <v>34</v>
      </c>
      <c r="J999" s="3" t="s">
        <v>35</v>
      </c>
      <c r="K999" s="3"/>
      <c r="L999" s="3" t="s">
        <v>36</v>
      </c>
      <c r="M999" s="3" t="str">
        <f>CONCATENATE("BTTMSM66L02D749O")</f>
        <v>BTTMSM66L02D749O</v>
      </c>
      <c r="N999" s="3" t="s">
        <v>1129</v>
      </c>
      <c r="O999" s="3" t="s">
        <v>38</v>
      </c>
      <c r="P999" s="3"/>
      <c r="Q999" s="4">
        <v>45968</v>
      </c>
      <c r="R999" s="3" t="s">
        <v>39</v>
      </c>
      <c r="S999" s="3" t="s">
        <v>38</v>
      </c>
      <c r="T999" s="3" t="s">
        <v>40</v>
      </c>
      <c r="U999" s="3"/>
      <c r="V999" s="3" t="s">
        <v>41</v>
      </c>
      <c r="W999" s="5">
        <v>3192.43</v>
      </c>
      <c r="X999" s="5">
        <v>2394.3200000000002</v>
      </c>
      <c r="Y999" s="3">
        <v>558.67999999999995</v>
      </c>
      <c r="Z999" s="3">
        <v>239.43</v>
      </c>
      <c r="AA999" s="3">
        <v>0</v>
      </c>
    </row>
    <row r="1000" spans="1:27" ht="60.75" x14ac:dyDescent="0.25">
      <c r="A1000" s="3" t="s">
        <v>28</v>
      </c>
      <c r="B1000" s="3" t="s">
        <v>29</v>
      </c>
      <c r="C1000" s="3" t="s">
        <v>30</v>
      </c>
      <c r="D1000" s="3" t="s">
        <v>47</v>
      </c>
      <c r="E1000" s="3" t="s">
        <v>132</v>
      </c>
      <c r="F1000" s="3" t="s">
        <v>710</v>
      </c>
      <c r="G1000" s="3">
        <v>2025</v>
      </c>
      <c r="H1000" s="3" t="str">
        <f>CONCATENATE("54240504156")</f>
        <v>54240504156</v>
      </c>
      <c r="I1000" s="3" t="s">
        <v>34</v>
      </c>
      <c r="J1000" s="3" t="s">
        <v>35</v>
      </c>
      <c r="K1000" s="3"/>
      <c r="L1000" s="3" t="s">
        <v>36</v>
      </c>
      <c r="M1000" s="3" t="str">
        <f>CONCATENATE("MRCLNS71P11F632J")</f>
        <v>MRCLNS71P11F632J</v>
      </c>
      <c r="N1000" s="3" t="s">
        <v>1130</v>
      </c>
      <c r="O1000" s="3" t="s">
        <v>38</v>
      </c>
      <c r="P1000" s="3"/>
      <c r="Q1000" s="4">
        <v>45968</v>
      </c>
      <c r="R1000" s="3" t="s">
        <v>39</v>
      </c>
      <c r="S1000" s="3" t="s">
        <v>38</v>
      </c>
      <c r="T1000" s="3" t="s">
        <v>40</v>
      </c>
      <c r="U1000" s="3"/>
      <c r="V1000" s="3" t="s">
        <v>41</v>
      </c>
      <c r="W1000" s="5">
        <v>2385.19</v>
      </c>
      <c r="X1000" s="5">
        <v>1788.89</v>
      </c>
      <c r="Y1000" s="3">
        <v>417.41</v>
      </c>
      <c r="Z1000" s="3">
        <v>178.89</v>
      </c>
      <c r="AA1000" s="3">
        <v>0</v>
      </c>
    </row>
    <row r="1001" spans="1:27" ht="72.75" x14ac:dyDescent="0.25">
      <c r="A1001" s="3" t="s">
        <v>28</v>
      </c>
      <c r="B1001" s="3" t="s">
        <v>29</v>
      </c>
      <c r="C1001" s="3" t="s">
        <v>30</v>
      </c>
      <c r="D1001" s="3" t="s">
        <v>47</v>
      </c>
      <c r="E1001" s="3" t="s">
        <v>48</v>
      </c>
      <c r="F1001" s="3" t="s">
        <v>249</v>
      </c>
      <c r="G1001" s="3">
        <v>2025</v>
      </c>
      <c r="H1001" s="3" t="str">
        <f>CONCATENATE("54240504552")</f>
        <v>54240504552</v>
      </c>
      <c r="I1001" s="3" t="s">
        <v>34</v>
      </c>
      <c r="J1001" s="3" t="s">
        <v>35</v>
      </c>
      <c r="K1001" s="3"/>
      <c r="L1001" s="3" t="s">
        <v>36</v>
      </c>
      <c r="M1001" s="3" t="str">
        <f>CONCATENATE("DLLGNN75D20D969O")</f>
        <v>DLLGNN75D20D969O</v>
      </c>
      <c r="N1001" s="3" t="s">
        <v>1131</v>
      </c>
      <c r="O1001" s="3" t="s">
        <v>38</v>
      </c>
      <c r="P1001" s="3"/>
      <c r="Q1001" s="4">
        <v>45968</v>
      </c>
      <c r="R1001" s="3" t="s">
        <v>39</v>
      </c>
      <c r="S1001" s="3" t="s">
        <v>38</v>
      </c>
      <c r="T1001" s="3" t="s">
        <v>40</v>
      </c>
      <c r="U1001" s="3"/>
      <c r="V1001" s="3" t="s">
        <v>41</v>
      </c>
      <c r="W1001" s="5">
        <v>2531.56</v>
      </c>
      <c r="X1001" s="5">
        <v>1898.67</v>
      </c>
      <c r="Y1001" s="3">
        <v>443.02</v>
      </c>
      <c r="Z1001" s="3">
        <v>189.87</v>
      </c>
      <c r="AA1001" s="3">
        <v>0</v>
      </c>
    </row>
    <row r="1002" spans="1:27" ht="36.75" x14ac:dyDescent="0.25">
      <c r="A1002" s="3" t="s">
        <v>28</v>
      </c>
      <c r="B1002" s="3" t="s">
        <v>29</v>
      </c>
      <c r="C1002" s="3" t="s">
        <v>30</v>
      </c>
      <c r="D1002" s="3" t="s">
        <v>65</v>
      </c>
      <c r="E1002" s="3" t="s">
        <v>60</v>
      </c>
      <c r="F1002" s="3" t="s">
        <v>85</v>
      </c>
      <c r="G1002" s="3">
        <v>2025</v>
      </c>
      <c r="H1002" s="3" t="str">
        <f>CONCATENATE("54240637907")</f>
        <v>54240637907</v>
      </c>
      <c r="I1002" s="3" t="s">
        <v>34</v>
      </c>
      <c r="J1002" s="3" t="s">
        <v>35</v>
      </c>
      <c r="K1002" s="3"/>
      <c r="L1002" s="3" t="s">
        <v>36</v>
      </c>
      <c r="M1002" s="3" t="str">
        <f>CONCATENATE("00935200410")</f>
        <v>00935200410</v>
      </c>
      <c r="N1002" s="3" t="s">
        <v>1132</v>
      </c>
      <c r="O1002" s="3" t="s">
        <v>38</v>
      </c>
      <c r="P1002" s="3"/>
      <c r="Q1002" s="4">
        <v>45968</v>
      </c>
      <c r="R1002" s="3" t="s">
        <v>39</v>
      </c>
      <c r="S1002" s="3" t="s">
        <v>38</v>
      </c>
      <c r="T1002" s="3" t="s">
        <v>40</v>
      </c>
      <c r="U1002" s="3"/>
      <c r="V1002" s="3" t="s">
        <v>41</v>
      </c>
      <c r="W1002" s="5">
        <v>16112.02</v>
      </c>
      <c r="X1002" s="5">
        <v>12084.02</v>
      </c>
      <c r="Y1002" s="5">
        <v>2819.6</v>
      </c>
      <c r="Z1002" s="5">
        <v>1208.4000000000001</v>
      </c>
      <c r="AA1002" s="3">
        <v>0</v>
      </c>
    </row>
    <row r="1003" spans="1:27" ht="60.75" x14ac:dyDescent="0.25">
      <c r="A1003" s="3" t="s">
        <v>28</v>
      </c>
      <c r="B1003" s="3" t="s">
        <v>29</v>
      </c>
      <c r="C1003" s="3" t="s">
        <v>30</v>
      </c>
      <c r="D1003" s="3" t="s">
        <v>42</v>
      </c>
      <c r="E1003" s="3" t="s">
        <v>32</v>
      </c>
      <c r="F1003" s="3" t="s">
        <v>123</v>
      </c>
      <c r="G1003" s="3">
        <v>2025</v>
      </c>
      <c r="H1003" s="3" t="str">
        <f>CONCATENATE("54240504354")</f>
        <v>54240504354</v>
      </c>
      <c r="I1003" s="3" t="s">
        <v>34</v>
      </c>
      <c r="J1003" s="3" t="s">
        <v>35</v>
      </c>
      <c r="K1003" s="3"/>
      <c r="L1003" s="3" t="s">
        <v>36</v>
      </c>
      <c r="M1003" s="3" t="str">
        <f>CONCATENATE("CRRMTN95A43D542C")</f>
        <v>CRRMTN95A43D542C</v>
      </c>
      <c r="N1003" s="3" t="s">
        <v>1133</v>
      </c>
      <c r="O1003" s="3" t="s">
        <v>38</v>
      </c>
      <c r="P1003" s="3"/>
      <c r="Q1003" s="4">
        <v>45968</v>
      </c>
      <c r="R1003" s="3" t="s">
        <v>39</v>
      </c>
      <c r="S1003" s="3" t="s">
        <v>38</v>
      </c>
      <c r="T1003" s="3" t="s">
        <v>40</v>
      </c>
      <c r="U1003" s="3"/>
      <c r="V1003" s="3" t="s">
        <v>41</v>
      </c>
      <c r="W1003" s="3">
        <v>74.75</v>
      </c>
      <c r="X1003" s="3">
        <v>56.06</v>
      </c>
      <c r="Y1003" s="3">
        <v>13.08</v>
      </c>
      <c r="Z1003" s="3">
        <v>5.61</v>
      </c>
      <c r="AA1003" s="3">
        <v>0</v>
      </c>
    </row>
    <row r="1004" spans="1:27" ht="60.75" x14ac:dyDescent="0.25">
      <c r="A1004" s="3" t="s">
        <v>28</v>
      </c>
      <c r="B1004" s="3" t="s">
        <v>29</v>
      </c>
      <c r="C1004" s="3" t="s">
        <v>30</v>
      </c>
      <c r="D1004" s="3" t="s">
        <v>65</v>
      </c>
      <c r="E1004" s="3" t="s">
        <v>51</v>
      </c>
      <c r="F1004" s="3" t="s">
        <v>240</v>
      </c>
      <c r="G1004" s="3">
        <v>2025</v>
      </c>
      <c r="H1004" s="3" t="str">
        <f>CONCATENATE("54240624418")</f>
        <v>54240624418</v>
      </c>
      <c r="I1004" s="3" t="s">
        <v>34</v>
      </c>
      <c r="J1004" s="3" t="s">
        <v>35</v>
      </c>
      <c r="K1004" s="3"/>
      <c r="L1004" s="3" t="s">
        <v>36</v>
      </c>
      <c r="M1004" s="3" t="str">
        <f>CONCATENATE("PCAGPP73L13G479B")</f>
        <v>PCAGPP73L13G479B</v>
      </c>
      <c r="N1004" s="3" t="s">
        <v>1134</v>
      </c>
      <c r="O1004" s="3" t="s">
        <v>38</v>
      </c>
      <c r="P1004" s="3"/>
      <c r="Q1004" s="4">
        <v>45968</v>
      </c>
      <c r="R1004" s="3" t="s">
        <v>39</v>
      </c>
      <c r="S1004" s="3" t="s">
        <v>38</v>
      </c>
      <c r="T1004" s="3" t="s">
        <v>40</v>
      </c>
      <c r="U1004" s="3"/>
      <c r="V1004" s="3" t="s">
        <v>41</v>
      </c>
      <c r="W1004" s="5">
        <v>2611.42</v>
      </c>
      <c r="X1004" s="5">
        <v>1958.57</v>
      </c>
      <c r="Y1004" s="3">
        <v>457</v>
      </c>
      <c r="Z1004" s="3">
        <v>195.85</v>
      </c>
      <c r="AA1004" s="3">
        <v>0</v>
      </c>
    </row>
    <row r="1005" spans="1:27" ht="60.75" x14ac:dyDescent="0.25">
      <c r="A1005" s="3" t="s">
        <v>28</v>
      </c>
      <c r="B1005" s="3" t="s">
        <v>29</v>
      </c>
      <c r="C1005" s="3" t="s">
        <v>30</v>
      </c>
      <c r="D1005" s="3" t="s">
        <v>42</v>
      </c>
      <c r="E1005" s="3" t="s">
        <v>32</v>
      </c>
      <c r="F1005" s="3" t="s">
        <v>101</v>
      </c>
      <c r="G1005" s="3">
        <v>2025</v>
      </c>
      <c r="H1005" s="3" t="str">
        <f>CONCATENATE("54240504644")</f>
        <v>54240504644</v>
      </c>
      <c r="I1005" s="3" t="s">
        <v>44</v>
      </c>
      <c r="J1005" s="3" t="s">
        <v>35</v>
      </c>
      <c r="K1005" s="3"/>
      <c r="L1005" s="3" t="s">
        <v>36</v>
      </c>
      <c r="M1005" s="3" t="str">
        <f>CONCATENATE("CPRLNE63D49I912S")</f>
        <v>CPRLNE63D49I912S</v>
      </c>
      <c r="N1005" s="3" t="s">
        <v>1135</v>
      </c>
      <c r="O1005" s="3" t="s">
        <v>38</v>
      </c>
      <c r="P1005" s="3"/>
      <c r="Q1005" s="4">
        <v>45968</v>
      </c>
      <c r="R1005" s="3" t="s">
        <v>39</v>
      </c>
      <c r="S1005" s="3" t="s">
        <v>38</v>
      </c>
      <c r="T1005" s="3" t="s">
        <v>40</v>
      </c>
      <c r="U1005" s="3"/>
      <c r="V1005" s="3" t="s">
        <v>41</v>
      </c>
      <c r="W1005" s="5">
        <v>1644.33</v>
      </c>
      <c r="X1005" s="5">
        <v>1233.25</v>
      </c>
      <c r="Y1005" s="3">
        <v>287.76</v>
      </c>
      <c r="Z1005" s="3">
        <v>123.32</v>
      </c>
      <c r="AA1005" s="3">
        <v>0</v>
      </c>
    </row>
    <row r="1006" spans="1:27" ht="72.75" x14ac:dyDescent="0.25">
      <c r="A1006" s="3" t="s">
        <v>28</v>
      </c>
      <c r="B1006" s="3" t="s">
        <v>29</v>
      </c>
      <c r="C1006" s="3" t="s">
        <v>30</v>
      </c>
      <c r="D1006" s="3" t="s">
        <v>42</v>
      </c>
      <c r="E1006" s="3" t="s">
        <v>207</v>
      </c>
      <c r="F1006" s="3" t="s">
        <v>764</v>
      </c>
      <c r="G1006" s="3">
        <v>2025</v>
      </c>
      <c r="H1006" s="3" t="str">
        <f>CONCATENATE("54240642154")</f>
        <v>54240642154</v>
      </c>
      <c r="I1006" s="3" t="s">
        <v>34</v>
      </c>
      <c r="J1006" s="3" t="s">
        <v>35</v>
      </c>
      <c r="K1006" s="3"/>
      <c r="L1006" s="3" t="s">
        <v>36</v>
      </c>
      <c r="M1006" s="3" t="str">
        <f>CONCATENATE("CLNGZN59R02A462D")</f>
        <v>CLNGZN59R02A462D</v>
      </c>
      <c r="N1006" s="3" t="s">
        <v>1136</v>
      </c>
      <c r="O1006" s="3" t="s">
        <v>38</v>
      </c>
      <c r="P1006" s="3"/>
      <c r="Q1006" s="4">
        <v>45968</v>
      </c>
      <c r="R1006" s="3" t="s">
        <v>39</v>
      </c>
      <c r="S1006" s="3" t="s">
        <v>38</v>
      </c>
      <c r="T1006" s="3" t="s">
        <v>40</v>
      </c>
      <c r="U1006" s="3"/>
      <c r="V1006" s="3" t="s">
        <v>41</v>
      </c>
      <c r="W1006" s="5">
        <v>4315.54</v>
      </c>
      <c r="X1006" s="5">
        <v>3236.66</v>
      </c>
      <c r="Y1006" s="3">
        <v>755.22</v>
      </c>
      <c r="Z1006" s="3">
        <v>323.66000000000003</v>
      </c>
      <c r="AA1006" s="3">
        <v>0</v>
      </c>
    </row>
    <row r="1007" spans="1:27" ht="36.75" x14ac:dyDescent="0.25">
      <c r="A1007" s="3" t="s">
        <v>28</v>
      </c>
      <c r="B1007" s="3" t="s">
        <v>29</v>
      </c>
      <c r="C1007" s="3" t="s">
        <v>30</v>
      </c>
      <c r="D1007" s="3" t="s">
        <v>65</v>
      </c>
      <c r="E1007" s="3" t="s">
        <v>48</v>
      </c>
      <c r="F1007" s="3" t="s">
        <v>66</v>
      </c>
      <c r="G1007" s="3">
        <v>2025</v>
      </c>
      <c r="H1007" s="3" t="str">
        <f>CONCATENATE("54240504883")</f>
        <v>54240504883</v>
      </c>
      <c r="I1007" s="3" t="s">
        <v>34</v>
      </c>
      <c r="J1007" s="3" t="s">
        <v>35</v>
      </c>
      <c r="K1007" s="3"/>
      <c r="L1007" s="3" t="s">
        <v>36</v>
      </c>
      <c r="M1007" s="3" t="str">
        <f>CONCATENATE("02347150415")</f>
        <v>02347150415</v>
      </c>
      <c r="N1007" s="3" t="s">
        <v>1137</v>
      </c>
      <c r="O1007" s="3" t="s">
        <v>38</v>
      </c>
      <c r="P1007" s="3"/>
      <c r="Q1007" s="4">
        <v>45968</v>
      </c>
      <c r="R1007" s="3" t="s">
        <v>39</v>
      </c>
      <c r="S1007" s="3" t="s">
        <v>38</v>
      </c>
      <c r="T1007" s="3" t="s">
        <v>40</v>
      </c>
      <c r="U1007" s="3"/>
      <c r="V1007" s="3" t="s">
        <v>41</v>
      </c>
      <c r="W1007" s="5">
        <v>11546.95</v>
      </c>
      <c r="X1007" s="5">
        <v>8660.2099999999991</v>
      </c>
      <c r="Y1007" s="5">
        <v>2020.72</v>
      </c>
      <c r="Z1007" s="3">
        <v>866.02</v>
      </c>
      <c r="AA1007" s="3">
        <v>0</v>
      </c>
    </row>
    <row r="1008" spans="1:27" ht="60.75" x14ac:dyDescent="0.25">
      <c r="A1008" s="3" t="s">
        <v>28</v>
      </c>
      <c r="B1008" s="3" t="s">
        <v>29</v>
      </c>
      <c r="C1008" s="3" t="s">
        <v>30</v>
      </c>
      <c r="D1008" s="3" t="s">
        <v>65</v>
      </c>
      <c r="E1008" s="3" t="s">
        <v>60</v>
      </c>
      <c r="F1008" s="3" t="s">
        <v>85</v>
      </c>
      <c r="G1008" s="3">
        <v>2025</v>
      </c>
      <c r="H1008" s="3" t="str">
        <f>CONCATENATE("54240635943")</f>
        <v>54240635943</v>
      </c>
      <c r="I1008" s="3" t="s">
        <v>34</v>
      </c>
      <c r="J1008" s="3" t="s">
        <v>35</v>
      </c>
      <c r="K1008" s="3"/>
      <c r="L1008" s="3" t="s">
        <v>36</v>
      </c>
      <c r="M1008" s="3" t="str">
        <f>CONCATENATE("TTLGLC92C05D488Z")</f>
        <v>TTLGLC92C05D488Z</v>
      </c>
      <c r="N1008" s="3" t="s">
        <v>1138</v>
      </c>
      <c r="O1008" s="3" t="s">
        <v>38</v>
      </c>
      <c r="P1008" s="3"/>
      <c r="Q1008" s="4">
        <v>45968</v>
      </c>
      <c r="R1008" s="3" t="s">
        <v>39</v>
      </c>
      <c r="S1008" s="3" t="s">
        <v>38</v>
      </c>
      <c r="T1008" s="3" t="s">
        <v>40</v>
      </c>
      <c r="U1008" s="3"/>
      <c r="V1008" s="3" t="s">
        <v>41</v>
      </c>
      <c r="W1008" s="5">
        <v>3296.72</v>
      </c>
      <c r="X1008" s="5">
        <v>2472.54</v>
      </c>
      <c r="Y1008" s="3">
        <v>576.92999999999995</v>
      </c>
      <c r="Z1008" s="3">
        <v>247.25</v>
      </c>
      <c r="AA1008" s="3">
        <v>0</v>
      </c>
    </row>
    <row r="1009" spans="1:27" ht="60.75" x14ac:dyDescent="0.25">
      <c r="A1009" s="3" t="s">
        <v>28</v>
      </c>
      <c r="B1009" s="3" t="s">
        <v>29</v>
      </c>
      <c r="C1009" s="3" t="s">
        <v>30</v>
      </c>
      <c r="D1009" s="3" t="s">
        <v>42</v>
      </c>
      <c r="E1009" s="3" t="s">
        <v>32</v>
      </c>
      <c r="F1009" s="3" t="s">
        <v>101</v>
      </c>
      <c r="G1009" s="3">
        <v>2025</v>
      </c>
      <c r="H1009" s="3" t="str">
        <f>CONCATENATE("54240506391")</f>
        <v>54240506391</v>
      </c>
      <c r="I1009" s="3" t="s">
        <v>34</v>
      </c>
      <c r="J1009" s="3" t="s">
        <v>35</v>
      </c>
      <c r="K1009" s="3"/>
      <c r="L1009" s="3" t="s">
        <v>36</v>
      </c>
      <c r="M1009" s="3" t="str">
        <f>CONCATENATE("PLNNZE50H04F415L")</f>
        <v>PLNNZE50H04F415L</v>
      </c>
      <c r="N1009" s="3" t="s">
        <v>1139</v>
      </c>
      <c r="O1009" s="3" t="s">
        <v>38</v>
      </c>
      <c r="P1009" s="3"/>
      <c r="Q1009" s="4">
        <v>45968</v>
      </c>
      <c r="R1009" s="3" t="s">
        <v>39</v>
      </c>
      <c r="S1009" s="3" t="s">
        <v>38</v>
      </c>
      <c r="T1009" s="3" t="s">
        <v>40</v>
      </c>
      <c r="U1009" s="3"/>
      <c r="V1009" s="3" t="s">
        <v>41</v>
      </c>
      <c r="W1009" s="5">
        <v>6145.3</v>
      </c>
      <c r="X1009" s="5">
        <v>4608.9799999999996</v>
      </c>
      <c r="Y1009" s="5">
        <v>1075.43</v>
      </c>
      <c r="Z1009" s="3">
        <v>460.89</v>
      </c>
      <c r="AA1009" s="3">
        <v>0</v>
      </c>
    </row>
    <row r="1010" spans="1:27" ht="60.75" x14ac:dyDescent="0.25">
      <c r="A1010" s="3" t="s">
        <v>28</v>
      </c>
      <c r="B1010" s="3" t="s">
        <v>29</v>
      </c>
      <c r="C1010" s="3" t="s">
        <v>30</v>
      </c>
      <c r="D1010" s="3" t="s">
        <v>42</v>
      </c>
      <c r="E1010" s="3" t="s">
        <v>43</v>
      </c>
      <c r="F1010" s="3" t="s">
        <v>43</v>
      </c>
      <c r="G1010" s="3">
        <v>2025</v>
      </c>
      <c r="H1010" s="3" t="str">
        <f>CONCATENATE("54240622974")</f>
        <v>54240622974</v>
      </c>
      <c r="I1010" s="3" t="s">
        <v>44</v>
      </c>
      <c r="J1010" s="3" t="s">
        <v>35</v>
      </c>
      <c r="K1010" s="3"/>
      <c r="L1010" s="3" t="s">
        <v>36</v>
      </c>
      <c r="M1010" s="3" t="str">
        <f>CONCATENATE("LNCVNI60S43G005Z")</f>
        <v>LNCVNI60S43G005Z</v>
      </c>
      <c r="N1010" s="3" t="s">
        <v>1140</v>
      </c>
      <c r="O1010" s="3" t="s">
        <v>38</v>
      </c>
      <c r="P1010" s="3"/>
      <c r="Q1010" s="4">
        <v>45968</v>
      </c>
      <c r="R1010" s="3" t="s">
        <v>39</v>
      </c>
      <c r="S1010" s="3" t="s">
        <v>38</v>
      </c>
      <c r="T1010" s="3" t="s">
        <v>40</v>
      </c>
      <c r="U1010" s="3"/>
      <c r="V1010" s="3" t="s">
        <v>41</v>
      </c>
      <c r="W1010" s="5">
        <v>3169.79</v>
      </c>
      <c r="X1010" s="5">
        <v>2377.34</v>
      </c>
      <c r="Y1010" s="3">
        <v>554.71</v>
      </c>
      <c r="Z1010" s="3">
        <v>237.74</v>
      </c>
      <c r="AA1010" s="3">
        <v>0</v>
      </c>
    </row>
    <row r="1011" spans="1:27" ht="72.75" x14ac:dyDescent="0.25">
      <c r="A1011" s="3" t="s">
        <v>28</v>
      </c>
      <c r="B1011" s="3" t="s">
        <v>29</v>
      </c>
      <c r="C1011" s="3" t="s">
        <v>30</v>
      </c>
      <c r="D1011" s="3" t="s">
        <v>65</v>
      </c>
      <c r="E1011" s="3" t="s">
        <v>32</v>
      </c>
      <c r="F1011" s="3" t="s">
        <v>95</v>
      </c>
      <c r="G1011" s="3">
        <v>2025</v>
      </c>
      <c r="H1011" s="3" t="str">
        <f>CONCATENATE("54240624665")</f>
        <v>54240624665</v>
      </c>
      <c r="I1011" s="3" t="s">
        <v>34</v>
      </c>
      <c r="J1011" s="3" t="s">
        <v>35</v>
      </c>
      <c r="K1011" s="3"/>
      <c r="L1011" s="3" t="s">
        <v>36</v>
      </c>
      <c r="M1011" s="3" t="str">
        <f>CONCATENATE("VNNMSM88R08B352V")</f>
        <v>VNNMSM88R08B352V</v>
      </c>
      <c r="N1011" s="3" t="s">
        <v>1141</v>
      </c>
      <c r="O1011" s="3" t="s">
        <v>38</v>
      </c>
      <c r="P1011" s="3"/>
      <c r="Q1011" s="4">
        <v>45968</v>
      </c>
      <c r="R1011" s="3" t="s">
        <v>39</v>
      </c>
      <c r="S1011" s="3" t="s">
        <v>38</v>
      </c>
      <c r="T1011" s="3" t="s">
        <v>40</v>
      </c>
      <c r="U1011" s="3"/>
      <c r="V1011" s="3" t="s">
        <v>41</v>
      </c>
      <c r="W1011" s="5">
        <v>1404.29</v>
      </c>
      <c r="X1011" s="5">
        <v>1053.22</v>
      </c>
      <c r="Y1011" s="3">
        <v>245.75</v>
      </c>
      <c r="Z1011" s="3">
        <v>105.32</v>
      </c>
      <c r="AA1011" s="3">
        <v>0</v>
      </c>
    </row>
    <row r="1012" spans="1:27" ht="60.75" x14ac:dyDescent="0.25">
      <c r="A1012" s="3" t="s">
        <v>28</v>
      </c>
      <c r="B1012" s="3" t="s">
        <v>29</v>
      </c>
      <c r="C1012" s="3" t="s">
        <v>30</v>
      </c>
      <c r="D1012" s="3" t="s">
        <v>65</v>
      </c>
      <c r="E1012" s="3" t="s">
        <v>51</v>
      </c>
      <c r="F1012" s="3" t="s">
        <v>71</v>
      </c>
      <c r="G1012" s="3">
        <v>2025</v>
      </c>
      <c r="H1012" s="3" t="str">
        <f>CONCATENATE("54240658085")</f>
        <v>54240658085</v>
      </c>
      <c r="I1012" s="3" t="s">
        <v>34</v>
      </c>
      <c r="J1012" s="3" t="s">
        <v>35</v>
      </c>
      <c r="K1012" s="3"/>
      <c r="L1012" s="3" t="s">
        <v>36</v>
      </c>
      <c r="M1012" s="3" t="str">
        <f>CONCATENATE("MNTFPP67L22E785N")</f>
        <v>MNTFPP67L22E785N</v>
      </c>
      <c r="N1012" s="3" t="s">
        <v>1142</v>
      </c>
      <c r="O1012" s="3" t="s">
        <v>38</v>
      </c>
      <c r="P1012" s="3"/>
      <c r="Q1012" s="4">
        <v>45968</v>
      </c>
      <c r="R1012" s="3" t="s">
        <v>39</v>
      </c>
      <c r="S1012" s="3" t="s">
        <v>38</v>
      </c>
      <c r="T1012" s="3" t="s">
        <v>40</v>
      </c>
      <c r="U1012" s="3"/>
      <c r="V1012" s="3" t="s">
        <v>41</v>
      </c>
      <c r="W1012" s="5">
        <v>1544.2</v>
      </c>
      <c r="X1012" s="5">
        <v>1158.1500000000001</v>
      </c>
      <c r="Y1012" s="3">
        <v>270.24</v>
      </c>
      <c r="Z1012" s="3">
        <v>115.81</v>
      </c>
      <c r="AA1012" s="3">
        <v>0</v>
      </c>
    </row>
    <row r="1013" spans="1:27" ht="36.75" x14ac:dyDescent="0.25">
      <c r="A1013" s="3" t="s">
        <v>28</v>
      </c>
      <c r="B1013" s="3" t="s">
        <v>29</v>
      </c>
      <c r="C1013" s="3" t="s">
        <v>30</v>
      </c>
      <c r="D1013" s="3" t="s">
        <v>65</v>
      </c>
      <c r="E1013" s="3" t="s">
        <v>51</v>
      </c>
      <c r="F1013" s="3" t="s">
        <v>240</v>
      </c>
      <c r="G1013" s="3">
        <v>2025</v>
      </c>
      <c r="H1013" s="3" t="str">
        <f>CONCATENATE("54240624152")</f>
        <v>54240624152</v>
      </c>
      <c r="I1013" s="3" t="s">
        <v>34</v>
      </c>
      <c r="J1013" s="3" t="s">
        <v>35</v>
      </c>
      <c r="K1013" s="3"/>
      <c r="L1013" s="3" t="s">
        <v>36</v>
      </c>
      <c r="M1013" s="3" t="str">
        <f>CONCATENATE("00978740413")</f>
        <v>00978740413</v>
      </c>
      <c r="N1013" s="3" t="s">
        <v>1143</v>
      </c>
      <c r="O1013" s="3" t="s">
        <v>38</v>
      </c>
      <c r="P1013" s="3"/>
      <c r="Q1013" s="4">
        <v>45968</v>
      </c>
      <c r="R1013" s="3" t="s">
        <v>39</v>
      </c>
      <c r="S1013" s="3" t="s">
        <v>38</v>
      </c>
      <c r="T1013" s="3" t="s">
        <v>40</v>
      </c>
      <c r="U1013" s="3"/>
      <c r="V1013" s="3" t="s">
        <v>41</v>
      </c>
      <c r="W1013" s="5">
        <v>3508.37</v>
      </c>
      <c r="X1013" s="5">
        <v>2631.28</v>
      </c>
      <c r="Y1013" s="3">
        <v>613.96</v>
      </c>
      <c r="Z1013" s="3">
        <v>263.13</v>
      </c>
      <c r="AA1013" s="3">
        <v>0</v>
      </c>
    </row>
    <row r="1014" spans="1:27" ht="60.75" x14ac:dyDescent="0.25">
      <c r="A1014" s="3" t="s">
        <v>28</v>
      </c>
      <c r="B1014" s="3" t="s">
        <v>29</v>
      </c>
      <c r="C1014" s="3" t="s">
        <v>30</v>
      </c>
      <c r="D1014" s="3" t="s">
        <v>65</v>
      </c>
      <c r="E1014" s="3" t="s">
        <v>32</v>
      </c>
      <c r="F1014" s="3" t="s">
        <v>135</v>
      </c>
      <c r="G1014" s="3">
        <v>2025</v>
      </c>
      <c r="H1014" s="3" t="str">
        <f>CONCATENATE("54240626496")</f>
        <v>54240626496</v>
      </c>
      <c r="I1014" s="3" t="s">
        <v>34</v>
      </c>
      <c r="J1014" s="3" t="s">
        <v>35</v>
      </c>
      <c r="K1014" s="3"/>
      <c r="L1014" s="3" t="s">
        <v>36</v>
      </c>
      <c r="M1014" s="3" t="str">
        <f>CONCATENATE("GRSSNT55R69H501S")</f>
        <v>GRSSNT55R69H501S</v>
      </c>
      <c r="N1014" s="3" t="s">
        <v>1144</v>
      </c>
      <c r="O1014" s="3" t="s">
        <v>38</v>
      </c>
      <c r="P1014" s="3"/>
      <c r="Q1014" s="4">
        <v>45968</v>
      </c>
      <c r="R1014" s="3" t="s">
        <v>39</v>
      </c>
      <c r="S1014" s="3" t="s">
        <v>38</v>
      </c>
      <c r="T1014" s="3" t="s">
        <v>40</v>
      </c>
      <c r="U1014" s="3"/>
      <c r="V1014" s="3" t="s">
        <v>41</v>
      </c>
      <c r="W1014" s="5">
        <v>1369.49</v>
      </c>
      <c r="X1014" s="5">
        <v>1027.1199999999999</v>
      </c>
      <c r="Y1014" s="3">
        <v>239.66</v>
      </c>
      <c r="Z1014" s="3">
        <v>102.71</v>
      </c>
      <c r="AA1014" s="3">
        <v>0</v>
      </c>
    </row>
    <row r="1015" spans="1:27" ht="60.75" x14ac:dyDescent="0.25">
      <c r="A1015" s="3" t="s">
        <v>28</v>
      </c>
      <c r="B1015" s="3" t="s">
        <v>29</v>
      </c>
      <c r="C1015" s="3" t="s">
        <v>30</v>
      </c>
      <c r="D1015" s="3" t="s">
        <v>31</v>
      </c>
      <c r="E1015" s="3" t="s">
        <v>32</v>
      </c>
      <c r="F1015" s="3" t="s">
        <v>95</v>
      </c>
      <c r="G1015" s="3">
        <v>2025</v>
      </c>
      <c r="H1015" s="3" t="str">
        <f>CONCATENATE("54240629631")</f>
        <v>54240629631</v>
      </c>
      <c r="I1015" s="3" t="s">
        <v>34</v>
      </c>
      <c r="J1015" s="3" t="s">
        <v>35</v>
      </c>
      <c r="K1015" s="3"/>
      <c r="L1015" s="3" t="s">
        <v>36</v>
      </c>
      <c r="M1015" s="3" t="str">
        <f>CONCATENATE("MNCBRC71B67Z133T")</f>
        <v>MNCBRC71B67Z133T</v>
      </c>
      <c r="N1015" s="3" t="s">
        <v>1145</v>
      </c>
      <c r="O1015" s="3" t="s">
        <v>38</v>
      </c>
      <c r="P1015" s="3"/>
      <c r="Q1015" s="4">
        <v>45968</v>
      </c>
      <c r="R1015" s="3" t="s">
        <v>39</v>
      </c>
      <c r="S1015" s="3" t="s">
        <v>38</v>
      </c>
      <c r="T1015" s="3" t="s">
        <v>40</v>
      </c>
      <c r="U1015" s="3"/>
      <c r="V1015" s="3" t="s">
        <v>41</v>
      </c>
      <c r="W1015" s="5">
        <v>2260.14</v>
      </c>
      <c r="X1015" s="5">
        <v>1695.11</v>
      </c>
      <c r="Y1015" s="3">
        <v>395.52</v>
      </c>
      <c r="Z1015" s="3">
        <v>169.51</v>
      </c>
      <c r="AA1015" s="3">
        <v>0</v>
      </c>
    </row>
    <row r="1016" spans="1:27" ht="60.75" x14ac:dyDescent="0.25">
      <c r="A1016" s="3" t="s">
        <v>28</v>
      </c>
      <c r="B1016" s="3" t="s">
        <v>29</v>
      </c>
      <c r="C1016" s="3" t="s">
        <v>30</v>
      </c>
      <c r="D1016" s="3" t="s">
        <v>31</v>
      </c>
      <c r="E1016" s="3" t="s">
        <v>32</v>
      </c>
      <c r="F1016" s="3" t="s">
        <v>95</v>
      </c>
      <c r="G1016" s="3">
        <v>2025</v>
      </c>
      <c r="H1016" s="3" t="str">
        <f>CONCATENATE("54240629540")</f>
        <v>54240629540</v>
      </c>
      <c r="I1016" s="3" t="s">
        <v>34</v>
      </c>
      <c r="J1016" s="3" t="s">
        <v>35</v>
      </c>
      <c r="K1016" s="3"/>
      <c r="L1016" s="3" t="s">
        <v>36</v>
      </c>
      <c r="M1016" s="3" t="str">
        <f>CONCATENATE("SNNNTN67M21A978S")</f>
        <v>SNNNTN67M21A978S</v>
      </c>
      <c r="N1016" s="3" t="s">
        <v>1146</v>
      </c>
      <c r="O1016" s="3" t="s">
        <v>38</v>
      </c>
      <c r="P1016" s="3"/>
      <c r="Q1016" s="4">
        <v>45968</v>
      </c>
      <c r="R1016" s="3" t="s">
        <v>39</v>
      </c>
      <c r="S1016" s="3" t="s">
        <v>38</v>
      </c>
      <c r="T1016" s="3" t="s">
        <v>40</v>
      </c>
      <c r="U1016" s="3"/>
      <c r="V1016" s="3" t="s">
        <v>41</v>
      </c>
      <c r="W1016" s="5">
        <v>2451.5700000000002</v>
      </c>
      <c r="X1016" s="5">
        <v>1838.68</v>
      </c>
      <c r="Y1016" s="3">
        <v>429.02</v>
      </c>
      <c r="Z1016" s="3">
        <v>183.87</v>
      </c>
      <c r="AA1016" s="3">
        <v>0</v>
      </c>
    </row>
    <row r="1017" spans="1:27" ht="60.75" x14ac:dyDescent="0.25">
      <c r="A1017" s="3" t="s">
        <v>28</v>
      </c>
      <c r="B1017" s="3" t="s">
        <v>29</v>
      </c>
      <c r="C1017" s="3" t="s">
        <v>30</v>
      </c>
      <c r="D1017" s="3" t="s">
        <v>42</v>
      </c>
      <c r="E1017" s="3" t="s">
        <v>32</v>
      </c>
      <c r="F1017" s="3" t="s">
        <v>322</v>
      </c>
      <c r="G1017" s="3">
        <v>2025</v>
      </c>
      <c r="H1017" s="3" t="str">
        <f>CONCATENATE("54240629862")</f>
        <v>54240629862</v>
      </c>
      <c r="I1017" s="3" t="s">
        <v>34</v>
      </c>
      <c r="J1017" s="3" t="s">
        <v>35</v>
      </c>
      <c r="K1017" s="3"/>
      <c r="L1017" s="3" t="s">
        <v>36</v>
      </c>
      <c r="M1017" s="3" t="str">
        <f>CONCATENATE("BLLFBA73P10I315W")</f>
        <v>BLLFBA73P10I315W</v>
      </c>
      <c r="N1017" s="3" t="s">
        <v>1147</v>
      </c>
      <c r="O1017" s="3" t="s">
        <v>38</v>
      </c>
      <c r="P1017" s="3"/>
      <c r="Q1017" s="4">
        <v>45968</v>
      </c>
      <c r="R1017" s="3" t="s">
        <v>39</v>
      </c>
      <c r="S1017" s="3" t="s">
        <v>38</v>
      </c>
      <c r="T1017" s="3" t="s">
        <v>40</v>
      </c>
      <c r="U1017" s="3"/>
      <c r="V1017" s="3" t="s">
        <v>41</v>
      </c>
      <c r="W1017" s="5">
        <v>4159.66</v>
      </c>
      <c r="X1017" s="5">
        <v>3119.75</v>
      </c>
      <c r="Y1017" s="3">
        <v>727.94</v>
      </c>
      <c r="Z1017" s="3">
        <v>311.97000000000003</v>
      </c>
      <c r="AA1017" s="3">
        <v>0</v>
      </c>
    </row>
    <row r="1018" spans="1:27" ht="72.75" x14ac:dyDescent="0.25">
      <c r="A1018" s="3" t="s">
        <v>28</v>
      </c>
      <c r="B1018" s="3" t="s">
        <v>29</v>
      </c>
      <c r="C1018" s="3" t="s">
        <v>30</v>
      </c>
      <c r="D1018" s="3" t="s">
        <v>42</v>
      </c>
      <c r="E1018" s="3" t="s">
        <v>154</v>
      </c>
      <c r="F1018" s="3" t="s">
        <v>155</v>
      </c>
      <c r="G1018" s="3">
        <v>2025</v>
      </c>
      <c r="H1018" s="3" t="str">
        <f>CONCATENATE("54240630654")</f>
        <v>54240630654</v>
      </c>
      <c r="I1018" s="3" t="s">
        <v>34</v>
      </c>
      <c r="J1018" s="3" t="s">
        <v>35</v>
      </c>
      <c r="K1018" s="3"/>
      <c r="L1018" s="3" t="s">
        <v>36</v>
      </c>
      <c r="M1018" s="3" t="str">
        <f>CONCATENATE("FRTSRN89D66A462D")</f>
        <v>FRTSRN89D66A462D</v>
      </c>
      <c r="N1018" s="3" t="s">
        <v>1148</v>
      </c>
      <c r="O1018" s="3" t="s">
        <v>38</v>
      </c>
      <c r="P1018" s="3"/>
      <c r="Q1018" s="4">
        <v>45968</v>
      </c>
      <c r="R1018" s="3" t="s">
        <v>39</v>
      </c>
      <c r="S1018" s="3" t="s">
        <v>38</v>
      </c>
      <c r="T1018" s="3" t="s">
        <v>40</v>
      </c>
      <c r="U1018" s="3"/>
      <c r="V1018" s="3" t="s">
        <v>41</v>
      </c>
      <c r="W1018" s="5">
        <v>6185.11</v>
      </c>
      <c r="X1018" s="5">
        <v>4638.83</v>
      </c>
      <c r="Y1018" s="5">
        <v>1082.3900000000001</v>
      </c>
      <c r="Z1018" s="3">
        <v>463.89</v>
      </c>
      <c r="AA1018" s="3">
        <v>0</v>
      </c>
    </row>
    <row r="1019" spans="1:27" ht="60.75" x14ac:dyDescent="0.25">
      <c r="A1019" s="3" t="s">
        <v>28</v>
      </c>
      <c r="B1019" s="3" t="s">
        <v>29</v>
      </c>
      <c r="C1019" s="3" t="s">
        <v>30</v>
      </c>
      <c r="D1019" s="3" t="s">
        <v>31</v>
      </c>
      <c r="E1019" s="3" t="s">
        <v>32</v>
      </c>
      <c r="F1019" s="3" t="s">
        <v>63</v>
      </c>
      <c r="G1019" s="3">
        <v>2025</v>
      </c>
      <c r="H1019" s="3" t="str">
        <f>CONCATENATE("54240505732")</f>
        <v>54240505732</v>
      </c>
      <c r="I1019" s="3" t="s">
        <v>34</v>
      </c>
      <c r="J1019" s="3" t="s">
        <v>35</v>
      </c>
      <c r="K1019" s="3"/>
      <c r="L1019" s="3" t="s">
        <v>36</v>
      </c>
      <c r="M1019" s="3" t="str">
        <f>CONCATENATE("PRMMNL83M61E388J")</f>
        <v>PRMMNL83M61E388J</v>
      </c>
      <c r="N1019" s="3" t="s">
        <v>1149</v>
      </c>
      <c r="O1019" s="3" t="s">
        <v>38</v>
      </c>
      <c r="P1019" s="3"/>
      <c r="Q1019" s="4">
        <v>45968</v>
      </c>
      <c r="R1019" s="3" t="s">
        <v>39</v>
      </c>
      <c r="S1019" s="3" t="s">
        <v>38</v>
      </c>
      <c r="T1019" s="3" t="s">
        <v>40</v>
      </c>
      <c r="U1019" s="3"/>
      <c r="V1019" s="3" t="s">
        <v>41</v>
      </c>
      <c r="W1019" s="5">
        <v>2623.44</v>
      </c>
      <c r="X1019" s="5">
        <v>1967.58</v>
      </c>
      <c r="Y1019" s="3">
        <v>459.1</v>
      </c>
      <c r="Z1019" s="3">
        <v>196.76</v>
      </c>
      <c r="AA1019" s="3">
        <v>0</v>
      </c>
    </row>
    <row r="1020" spans="1:27" ht="60.75" x14ac:dyDescent="0.25">
      <c r="A1020" s="3" t="s">
        <v>28</v>
      </c>
      <c r="B1020" s="3" t="s">
        <v>29</v>
      </c>
      <c r="C1020" s="3" t="s">
        <v>30</v>
      </c>
      <c r="D1020" s="3" t="s">
        <v>42</v>
      </c>
      <c r="E1020" s="3" t="s">
        <v>60</v>
      </c>
      <c r="F1020" s="3" t="s">
        <v>245</v>
      </c>
      <c r="G1020" s="3">
        <v>2025</v>
      </c>
      <c r="H1020" s="3" t="str">
        <f>CONCATENATE("54240506581")</f>
        <v>54240506581</v>
      </c>
      <c r="I1020" s="3" t="s">
        <v>34</v>
      </c>
      <c r="J1020" s="3" t="s">
        <v>35</v>
      </c>
      <c r="K1020" s="3"/>
      <c r="L1020" s="3" t="s">
        <v>36</v>
      </c>
      <c r="M1020" s="3" t="str">
        <f>CONCATENATE("LRTNRC63M08H769I")</f>
        <v>LRTNRC63M08H769I</v>
      </c>
      <c r="N1020" s="3" t="s">
        <v>1150</v>
      </c>
      <c r="O1020" s="3" t="s">
        <v>38</v>
      </c>
      <c r="P1020" s="3"/>
      <c r="Q1020" s="4">
        <v>45968</v>
      </c>
      <c r="R1020" s="3" t="s">
        <v>39</v>
      </c>
      <c r="S1020" s="3" t="s">
        <v>38</v>
      </c>
      <c r="T1020" s="3" t="s">
        <v>40</v>
      </c>
      <c r="U1020" s="3"/>
      <c r="V1020" s="3" t="s">
        <v>41</v>
      </c>
      <c r="W1020" s="5">
        <v>1006.53</v>
      </c>
      <c r="X1020" s="3">
        <v>754.9</v>
      </c>
      <c r="Y1020" s="3">
        <v>176.14</v>
      </c>
      <c r="Z1020" s="3">
        <v>75.489999999999995</v>
      </c>
      <c r="AA1020" s="3">
        <v>0</v>
      </c>
    </row>
    <row r="1021" spans="1:27" ht="60.75" x14ac:dyDescent="0.25">
      <c r="A1021" s="3" t="s">
        <v>28</v>
      </c>
      <c r="B1021" s="3" t="s">
        <v>29</v>
      </c>
      <c r="C1021" s="3" t="s">
        <v>30</v>
      </c>
      <c r="D1021" s="3" t="s">
        <v>31</v>
      </c>
      <c r="E1021" s="3" t="s">
        <v>32</v>
      </c>
      <c r="F1021" s="3" t="s">
        <v>621</v>
      </c>
      <c r="G1021" s="3">
        <v>2025</v>
      </c>
      <c r="H1021" s="3" t="str">
        <f>CONCATENATE("54240512332")</f>
        <v>54240512332</v>
      </c>
      <c r="I1021" s="3" t="s">
        <v>34</v>
      </c>
      <c r="J1021" s="3" t="s">
        <v>35</v>
      </c>
      <c r="K1021" s="3"/>
      <c r="L1021" s="3" t="s">
        <v>36</v>
      </c>
      <c r="M1021" s="3" t="str">
        <f>CONCATENATE("GSTCRN50H62I608X")</f>
        <v>GSTCRN50H62I608X</v>
      </c>
      <c r="N1021" s="3" t="s">
        <v>1151</v>
      </c>
      <c r="O1021" s="3" t="s">
        <v>38</v>
      </c>
      <c r="P1021" s="3"/>
      <c r="Q1021" s="4">
        <v>45968</v>
      </c>
      <c r="R1021" s="3" t="s">
        <v>39</v>
      </c>
      <c r="S1021" s="3" t="s">
        <v>38</v>
      </c>
      <c r="T1021" s="3" t="s">
        <v>40</v>
      </c>
      <c r="U1021" s="3"/>
      <c r="V1021" s="3" t="s">
        <v>41</v>
      </c>
      <c r="W1021" s="3">
        <v>833.94</v>
      </c>
      <c r="X1021" s="3">
        <v>625.46</v>
      </c>
      <c r="Y1021" s="3">
        <v>145.94</v>
      </c>
      <c r="Z1021" s="3">
        <v>62.54</v>
      </c>
      <c r="AA1021" s="3">
        <v>0</v>
      </c>
    </row>
    <row r="1022" spans="1:27" ht="72.75" x14ac:dyDescent="0.25">
      <c r="A1022" s="3" t="s">
        <v>28</v>
      </c>
      <c r="B1022" s="3" t="s">
        <v>29</v>
      </c>
      <c r="C1022" s="3" t="s">
        <v>30</v>
      </c>
      <c r="D1022" s="3" t="s">
        <v>65</v>
      </c>
      <c r="E1022" s="3" t="s">
        <v>32</v>
      </c>
      <c r="F1022" s="3" t="s">
        <v>95</v>
      </c>
      <c r="G1022" s="3">
        <v>2025</v>
      </c>
      <c r="H1022" s="3" t="str">
        <f>CONCATENATE("54240634813")</f>
        <v>54240634813</v>
      </c>
      <c r="I1022" s="3" t="s">
        <v>34</v>
      </c>
      <c r="J1022" s="3" t="s">
        <v>35</v>
      </c>
      <c r="K1022" s="3"/>
      <c r="L1022" s="3" t="s">
        <v>36</v>
      </c>
      <c r="M1022" s="3" t="str">
        <f>CONCATENATE("CNCNDR77R25D488Q")</f>
        <v>CNCNDR77R25D488Q</v>
      </c>
      <c r="N1022" s="3" t="s">
        <v>181</v>
      </c>
      <c r="O1022" s="3" t="s">
        <v>38</v>
      </c>
      <c r="P1022" s="3"/>
      <c r="Q1022" s="4">
        <v>45968</v>
      </c>
      <c r="R1022" s="3" t="s">
        <v>39</v>
      </c>
      <c r="S1022" s="3" t="s">
        <v>38</v>
      </c>
      <c r="T1022" s="3" t="s">
        <v>40</v>
      </c>
      <c r="U1022" s="3"/>
      <c r="V1022" s="3" t="s">
        <v>41</v>
      </c>
      <c r="W1022" s="5">
        <v>14125.5</v>
      </c>
      <c r="X1022" s="5">
        <v>10594.13</v>
      </c>
      <c r="Y1022" s="5">
        <v>2471.96</v>
      </c>
      <c r="Z1022" s="5">
        <v>1059.4100000000001</v>
      </c>
      <c r="AA1022" s="3">
        <v>0</v>
      </c>
    </row>
    <row r="1023" spans="1:27" ht="60.75" x14ac:dyDescent="0.25">
      <c r="A1023" s="3" t="s">
        <v>28</v>
      </c>
      <c r="B1023" s="3" t="s">
        <v>29</v>
      </c>
      <c r="C1023" s="3" t="s">
        <v>30</v>
      </c>
      <c r="D1023" s="3" t="s">
        <v>42</v>
      </c>
      <c r="E1023" s="3" t="s">
        <v>32</v>
      </c>
      <c r="F1023" s="3" t="s">
        <v>340</v>
      </c>
      <c r="G1023" s="3">
        <v>2025</v>
      </c>
      <c r="H1023" s="3" t="str">
        <f>CONCATENATE("54240635240")</f>
        <v>54240635240</v>
      </c>
      <c r="I1023" s="3" t="s">
        <v>34</v>
      </c>
      <c r="J1023" s="3" t="s">
        <v>35</v>
      </c>
      <c r="K1023" s="3"/>
      <c r="L1023" s="3" t="s">
        <v>36</v>
      </c>
      <c r="M1023" s="3" t="str">
        <f>CONCATENATE("DFLMLC65C51A399X")</f>
        <v>DFLMLC65C51A399X</v>
      </c>
      <c r="N1023" s="3" t="s">
        <v>1152</v>
      </c>
      <c r="O1023" s="3" t="s">
        <v>38</v>
      </c>
      <c r="P1023" s="3"/>
      <c r="Q1023" s="4">
        <v>45968</v>
      </c>
      <c r="R1023" s="3" t="s">
        <v>39</v>
      </c>
      <c r="S1023" s="3" t="s">
        <v>38</v>
      </c>
      <c r="T1023" s="3" t="s">
        <v>40</v>
      </c>
      <c r="U1023" s="3"/>
      <c r="V1023" s="3" t="s">
        <v>41</v>
      </c>
      <c r="W1023" s="5">
        <v>1068.92</v>
      </c>
      <c r="X1023" s="3">
        <v>801.69</v>
      </c>
      <c r="Y1023" s="3">
        <v>187.06</v>
      </c>
      <c r="Z1023" s="3">
        <v>80.17</v>
      </c>
      <c r="AA1023" s="3">
        <v>0</v>
      </c>
    </row>
    <row r="1024" spans="1:27" ht="36.75" x14ac:dyDescent="0.25">
      <c r="A1024" s="3" t="s">
        <v>28</v>
      </c>
      <c r="B1024" s="3" t="s">
        <v>29</v>
      </c>
      <c r="C1024" s="3" t="s">
        <v>30</v>
      </c>
      <c r="D1024" s="3" t="s">
        <v>42</v>
      </c>
      <c r="E1024" s="3" t="s">
        <v>207</v>
      </c>
      <c r="F1024" s="3" t="s">
        <v>764</v>
      </c>
      <c r="G1024" s="3">
        <v>2025</v>
      </c>
      <c r="H1024" s="3" t="str">
        <f>CONCATENATE("54240624947")</f>
        <v>54240624947</v>
      </c>
      <c r="I1024" s="3" t="s">
        <v>34</v>
      </c>
      <c r="J1024" s="3" t="s">
        <v>35</v>
      </c>
      <c r="K1024" s="3"/>
      <c r="L1024" s="3" t="s">
        <v>36</v>
      </c>
      <c r="M1024" s="3" t="str">
        <f>CONCATENATE("01793100445")</f>
        <v>01793100445</v>
      </c>
      <c r="N1024" s="3" t="s">
        <v>1153</v>
      </c>
      <c r="O1024" s="3" t="s">
        <v>38</v>
      </c>
      <c r="P1024" s="3"/>
      <c r="Q1024" s="4">
        <v>45968</v>
      </c>
      <c r="R1024" s="3" t="s">
        <v>39</v>
      </c>
      <c r="S1024" s="3" t="s">
        <v>38</v>
      </c>
      <c r="T1024" s="3" t="s">
        <v>40</v>
      </c>
      <c r="U1024" s="3"/>
      <c r="V1024" s="3" t="s">
        <v>41</v>
      </c>
      <c r="W1024" s="5">
        <v>20567.27</v>
      </c>
      <c r="X1024" s="5">
        <v>15425.45</v>
      </c>
      <c r="Y1024" s="5">
        <v>3599.27</v>
      </c>
      <c r="Z1024" s="5">
        <v>1542.55</v>
      </c>
      <c r="AA1024" s="3">
        <v>0</v>
      </c>
    </row>
    <row r="1025" spans="1:27" ht="36.75" x14ac:dyDescent="0.25">
      <c r="A1025" s="3" t="s">
        <v>28</v>
      </c>
      <c r="B1025" s="3" t="s">
        <v>29</v>
      </c>
      <c r="C1025" s="3" t="s">
        <v>30</v>
      </c>
      <c r="D1025" s="3" t="s">
        <v>31</v>
      </c>
      <c r="E1025" s="3" t="s">
        <v>1154</v>
      </c>
      <c r="F1025" s="3" t="s">
        <v>1155</v>
      </c>
      <c r="G1025" s="3">
        <v>2025</v>
      </c>
      <c r="H1025" s="3" t="str">
        <f>CONCATENATE("54240639150")</f>
        <v>54240639150</v>
      </c>
      <c r="I1025" s="3" t="s">
        <v>34</v>
      </c>
      <c r="J1025" s="3" t="s">
        <v>35</v>
      </c>
      <c r="K1025" s="3"/>
      <c r="L1025" s="3" t="s">
        <v>36</v>
      </c>
      <c r="M1025" s="3" t="str">
        <f>CONCATENATE("02109470985")</f>
        <v>02109470985</v>
      </c>
      <c r="N1025" s="3" t="s">
        <v>1156</v>
      </c>
      <c r="O1025" s="3" t="s">
        <v>38</v>
      </c>
      <c r="P1025" s="3"/>
      <c r="Q1025" s="4">
        <v>45968</v>
      </c>
      <c r="R1025" s="3" t="s">
        <v>39</v>
      </c>
      <c r="S1025" s="3" t="s">
        <v>38</v>
      </c>
      <c r="T1025" s="3" t="s">
        <v>40</v>
      </c>
      <c r="U1025" s="3"/>
      <c r="V1025" s="3" t="s">
        <v>41</v>
      </c>
      <c r="W1025" s="5">
        <v>6622.38</v>
      </c>
      <c r="X1025" s="5">
        <v>4966.79</v>
      </c>
      <c r="Y1025" s="5">
        <v>1158.92</v>
      </c>
      <c r="Z1025" s="3">
        <v>496.67</v>
      </c>
      <c r="AA1025" s="3">
        <v>0</v>
      </c>
    </row>
    <row r="1026" spans="1:27" ht="60.75" x14ac:dyDescent="0.25">
      <c r="A1026" s="3" t="s">
        <v>28</v>
      </c>
      <c r="B1026" s="3" t="s">
        <v>29</v>
      </c>
      <c r="C1026" s="3" t="s">
        <v>30</v>
      </c>
      <c r="D1026" s="3" t="s">
        <v>31</v>
      </c>
      <c r="E1026" s="3" t="s">
        <v>51</v>
      </c>
      <c r="F1026" s="3" t="s">
        <v>93</v>
      </c>
      <c r="G1026" s="3">
        <v>2025</v>
      </c>
      <c r="H1026" s="3" t="str">
        <f>CONCATENATE("54240640307")</f>
        <v>54240640307</v>
      </c>
      <c r="I1026" s="3" t="s">
        <v>34</v>
      </c>
      <c r="J1026" s="3" t="s">
        <v>35</v>
      </c>
      <c r="K1026" s="3"/>
      <c r="L1026" s="3" t="s">
        <v>36</v>
      </c>
      <c r="M1026" s="3" t="str">
        <f>CONCATENATE("GLNLRA78H55E388H")</f>
        <v>GLNLRA78H55E388H</v>
      </c>
      <c r="N1026" s="3" t="s">
        <v>1157</v>
      </c>
      <c r="O1026" s="3" t="s">
        <v>38</v>
      </c>
      <c r="P1026" s="3"/>
      <c r="Q1026" s="4">
        <v>45968</v>
      </c>
      <c r="R1026" s="3" t="s">
        <v>39</v>
      </c>
      <c r="S1026" s="3" t="s">
        <v>38</v>
      </c>
      <c r="T1026" s="3" t="s">
        <v>40</v>
      </c>
      <c r="U1026" s="3"/>
      <c r="V1026" s="3" t="s">
        <v>41</v>
      </c>
      <c r="W1026" s="5">
        <v>2868.36</v>
      </c>
      <c r="X1026" s="5">
        <v>2151.27</v>
      </c>
      <c r="Y1026" s="3">
        <v>501.96</v>
      </c>
      <c r="Z1026" s="3">
        <v>215.13</v>
      </c>
      <c r="AA1026" s="3">
        <v>0</v>
      </c>
    </row>
    <row r="1027" spans="1:27" ht="36.75" x14ac:dyDescent="0.25">
      <c r="A1027" s="3" t="s">
        <v>28</v>
      </c>
      <c r="B1027" s="3" t="s">
        <v>29</v>
      </c>
      <c r="C1027" s="3" t="s">
        <v>30</v>
      </c>
      <c r="D1027" s="3" t="s">
        <v>42</v>
      </c>
      <c r="E1027" s="3" t="s">
        <v>207</v>
      </c>
      <c r="F1027" s="3" t="s">
        <v>764</v>
      </c>
      <c r="G1027" s="3">
        <v>2025</v>
      </c>
      <c r="H1027" s="3" t="str">
        <f>CONCATENATE("54240641529")</f>
        <v>54240641529</v>
      </c>
      <c r="I1027" s="3" t="s">
        <v>34</v>
      </c>
      <c r="J1027" s="3" t="s">
        <v>35</v>
      </c>
      <c r="K1027" s="3"/>
      <c r="L1027" s="3" t="s">
        <v>36</v>
      </c>
      <c r="M1027" s="3" t="str">
        <f>CONCATENATE("02539040440")</f>
        <v>02539040440</v>
      </c>
      <c r="N1027" s="3" t="s">
        <v>1158</v>
      </c>
      <c r="O1027" s="3" t="s">
        <v>38</v>
      </c>
      <c r="P1027" s="3"/>
      <c r="Q1027" s="4">
        <v>45968</v>
      </c>
      <c r="R1027" s="3" t="s">
        <v>39</v>
      </c>
      <c r="S1027" s="3" t="s">
        <v>38</v>
      </c>
      <c r="T1027" s="3" t="s">
        <v>40</v>
      </c>
      <c r="U1027" s="3"/>
      <c r="V1027" s="3" t="s">
        <v>41</v>
      </c>
      <c r="W1027" s="5">
        <v>1320.11</v>
      </c>
      <c r="X1027" s="3">
        <v>990.08</v>
      </c>
      <c r="Y1027" s="3">
        <v>231.02</v>
      </c>
      <c r="Z1027" s="3">
        <v>99.01</v>
      </c>
      <c r="AA1027" s="3">
        <v>0</v>
      </c>
    </row>
    <row r="1028" spans="1:27" ht="36.75" x14ac:dyDescent="0.25">
      <c r="A1028" s="3" t="s">
        <v>28</v>
      </c>
      <c r="B1028" s="3" t="s">
        <v>29</v>
      </c>
      <c r="C1028" s="3" t="s">
        <v>30</v>
      </c>
      <c r="D1028" s="3" t="s">
        <v>42</v>
      </c>
      <c r="E1028" s="3" t="s">
        <v>207</v>
      </c>
      <c r="F1028" s="3" t="s">
        <v>764</v>
      </c>
      <c r="G1028" s="3">
        <v>2025</v>
      </c>
      <c r="H1028" s="3" t="str">
        <f>CONCATENATE("54240641644")</f>
        <v>54240641644</v>
      </c>
      <c r="I1028" s="3" t="s">
        <v>34</v>
      </c>
      <c r="J1028" s="3" t="s">
        <v>35</v>
      </c>
      <c r="K1028" s="3"/>
      <c r="L1028" s="3" t="s">
        <v>36</v>
      </c>
      <c r="M1028" s="3" t="str">
        <f>CONCATENATE("02550210443")</f>
        <v>02550210443</v>
      </c>
      <c r="N1028" s="3" t="s">
        <v>1159</v>
      </c>
      <c r="O1028" s="3" t="s">
        <v>38</v>
      </c>
      <c r="P1028" s="3"/>
      <c r="Q1028" s="4">
        <v>45968</v>
      </c>
      <c r="R1028" s="3" t="s">
        <v>39</v>
      </c>
      <c r="S1028" s="3" t="s">
        <v>38</v>
      </c>
      <c r="T1028" s="3" t="s">
        <v>40</v>
      </c>
      <c r="U1028" s="3"/>
      <c r="V1028" s="3" t="s">
        <v>41</v>
      </c>
      <c r="W1028" s="5">
        <v>3344.92</v>
      </c>
      <c r="X1028" s="5">
        <v>2508.69</v>
      </c>
      <c r="Y1028" s="3">
        <v>585.36</v>
      </c>
      <c r="Z1028" s="3">
        <v>250.87</v>
      </c>
      <c r="AA1028" s="3">
        <v>0</v>
      </c>
    </row>
    <row r="1029" spans="1:27" ht="36.75" x14ac:dyDescent="0.25">
      <c r="A1029" s="3" t="s">
        <v>28</v>
      </c>
      <c r="B1029" s="3" t="s">
        <v>29</v>
      </c>
      <c r="C1029" s="3" t="s">
        <v>30</v>
      </c>
      <c r="D1029" s="3" t="s">
        <v>65</v>
      </c>
      <c r="E1029" s="3" t="s">
        <v>60</v>
      </c>
      <c r="F1029" s="3" t="s">
        <v>85</v>
      </c>
      <c r="G1029" s="3">
        <v>2025</v>
      </c>
      <c r="H1029" s="3" t="str">
        <f>CONCATENATE("54240629615")</f>
        <v>54240629615</v>
      </c>
      <c r="I1029" s="3" t="s">
        <v>44</v>
      </c>
      <c r="J1029" s="3" t="s">
        <v>35</v>
      </c>
      <c r="K1029" s="3"/>
      <c r="L1029" s="3" t="s">
        <v>36</v>
      </c>
      <c r="M1029" s="3" t="str">
        <f>CONCATENATE("02632660417")</f>
        <v>02632660417</v>
      </c>
      <c r="N1029" s="3" t="s">
        <v>1160</v>
      </c>
      <c r="O1029" s="3" t="s">
        <v>38</v>
      </c>
      <c r="P1029" s="3"/>
      <c r="Q1029" s="4">
        <v>45968</v>
      </c>
      <c r="R1029" s="3" t="s">
        <v>39</v>
      </c>
      <c r="S1029" s="3" t="s">
        <v>38</v>
      </c>
      <c r="T1029" s="3" t="s">
        <v>40</v>
      </c>
      <c r="U1029" s="3"/>
      <c r="V1029" s="3" t="s">
        <v>41</v>
      </c>
      <c r="W1029" s="5">
        <v>14267.37</v>
      </c>
      <c r="X1029" s="5">
        <v>10700.53</v>
      </c>
      <c r="Y1029" s="5">
        <v>2496.79</v>
      </c>
      <c r="Z1029" s="5">
        <v>1070.05</v>
      </c>
      <c r="AA1029" s="3">
        <v>0</v>
      </c>
    </row>
    <row r="1030" spans="1:27" ht="72.75" x14ac:dyDescent="0.25">
      <c r="A1030" s="3" t="s">
        <v>28</v>
      </c>
      <c r="B1030" s="3" t="s">
        <v>29</v>
      </c>
      <c r="C1030" s="3" t="s">
        <v>30</v>
      </c>
      <c r="D1030" s="3" t="s">
        <v>65</v>
      </c>
      <c r="E1030" s="3" t="s">
        <v>51</v>
      </c>
      <c r="F1030" s="3" t="s">
        <v>105</v>
      </c>
      <c r="G1030" s="3">
        <v>2025</v>
      </c>
      <c r="H1030" s="3" t="str">
        <f>CONCATENATE("54240505708")</f>
        <v>54240505708</v>
      </c>
      <c r="I1030" s="3" t="s">
        <v>34</v>
      </c>
      <c r="J1030" s="3" t="s">
        <v>35</v>
      </c>
      <c r="K1030" s="3"/>
      <c r="L1030" s="3" t="s">
        <v>36</v>
      </c>
      <c r="M1030" s="3" t="str">
        <f>CONCATENATE("MSTVNT87M59D749R")</f>
        <v>MSTVNT87M59D749R</v>
      </c>
      <c r="N1030" s="3" t="s">
        <v>1161</v>
      </c>
      <c r="O1030" s="3" t="s">
        <v>38</v>
      </c>
      <c r="P1030" s="3"/>
      <c r="Q1030" s="4">
        <v>45968</v>
      </c>
      <c r="R1030" s="3" t="s">
        <v>39</v>
      </c>
      <c r="S1030" s="3" t="s">
        <v>38</v>
      </c>
      <c r="T1030" s="3" t="s">
        <v>40</v>
      </c>
      <c r="U1030" s="3"/>
      <c r="V1030" s="3" t="s">
        <v>41</v>
      </c>
      <c r="W1030" s="3">
        <v>534.74</v>
      </c>
      <c r="X1030" s="3">
        <v>401.06</v>
      </c>
      <c r="Y1030" s="3">
        <v>93.58</v>
      </c>
      <c r="Z1030" s="3">
        <v>40.1</v>
      </c>
      <c r="AA1030" s="3">
        <v>0</v>
      </c>
    </row>
    <row r="1031" spans="1:27" ht="60.75" x14ac:dyDescent="0.25">
      <c r="A1031" s="3" t="s">
        <v>28</v>
      </c>
      <c r="B1031" s="3" t="s">
        <v>29</v>
      </c>
      <c r="C1031" s="3" t="s">
        <v>30</v>
      </c>
      <c r="D1031" s="3" t="s">
        <v>42</v>
      </c>
      <c r="E1031" s="3" t="s">
        <v>60</v>
      </c>
      <c r="F1031" s="3" t="s">
        <v>245</v>
      </c>
      <c r="G1031" s="3">
        <v>2025</v>
      </c>
      <c r="H1031" s="3" t="str">
        <f>CONCATENATE("54240506268")</f>
        <v>54240506268</v>
      </c>
      <c r="I1031" s="3" t="s">
        <v>34</v>
      </c>
      <c r="J1031" s="3" t="s">
        <v>35</v>
      </c>
      <c r="K1031" s="3"/>
      <c r="L1031" s="3" t="s">
        <v>36</v>
      </c>
      <c r="M1031" s="3" t="str">
        <f>CONCATENATE("PRNFNC89A66F522M")</f>
        <v>PRNFNC89A66F522M</v>
      </c>
      <c r="N1031" s="3" t="s">
        <v>1162</v>
      </c>
      <c r="O1031" s="3" t="s">
        <v>38</v>
      </c>
      <c r="P1031" s="3"/>
      <c r="Q1031" s="4">
        <v>45968</v>
      </c>
      <c r="R1031" s="3" t="s">
        <v>39</v>
      </c>
      <c r="S1031" s="3" t="s">
        <v>38</v>
      </c>
      <c r="T1031" s="3" t="s">
        <v>40</v>
      </c>
      <c r="U1031" s="3"/>
      <c r="V1031" s="3" t="s">
        <v>41</v>
      </c>
      <c r="W1031" s="5">
        <v>1373.41</v>
      </c>
      <c r="X1031" s="5">
        <v>1030.06</v>
      </c>
      <c r="Y1031" s="3">
        <v>240.35</v>
      </c>
      <c r="Z1031" s="3">
        <v>103</v>
      </c>
      <c r="AA1031" s="3">
        <v>0</v>
      </c>
    </row>
    <row r="1032" spans="1:27" ht="72.75" x14ac:dyDescent="0.25">
      <c r="A1032" s="3" t="s">
        <v>28</v>
      </c>
      <c r="B1032" s="3" t="s">
        <v>29</v>
      </c>
      <c r="C1032" s="3" t="s">
        <v>30</v>
      </c>
      <c r="D1032" s="3" t="s">
        <v>42</v>
      </c>
      <c r="E1032" s="3" t="s">
        <v>32</v>
      </c>
      <c r="F1032" s="3" t="s">
        <v>101</v>
      </c>
      <c r="G1032" s="3">
        <v>2025</v>
      </c>
      <c r="H1032" s="3" t="str">
        <f>CONCATENATE("54240506888")</f>
        <v>54240506888</v>
      </c>
      <c r="I1032" s="3" t="s">
        <v>34</v>
      </c>
      <c r="J1032" s="3" t="s">
        <v>35</v>
      </c>
      <c r="K1032" s="3"/>
      <c r="L1032" s="3" t="s">
        <v>36</v>
      </c>
      <c r="M1032" s="3" t="str">
        <f>CONCATENATE("MRZLNM47R62A335D")</f>
        <v>MRZLNM47R62A335D</v>
      </c>
      <c r="N1032" s="3" t="s">
        <v>1163</v>
      </c>
      <c r="O1032" s="3" t="s">
        <v>38</v>
      </c>
      <c r="P1032" s="3"/>
      <c r="Q1032" s="4">
        <v>45968</v>
      </c>
      <c r="R1032" s="3" t="s">
        <v>39</v>
      </c>
      <c r="S1032" s="3" t="s">
        <v>38</v>
      </c>
      <c r="T1032" s="3" t="s">
        <v>40</v>
      </c>
      <c r="U1032" s="3"/>
      <c r="V1032" s="3" t="s">
        <v>41</v>
      </c>
      <c r="W1032" s="5">
        <v>6565.52</v>
      </c>
      <c r="X1032" s="5">
        <v>4924.1400000000003</v>
      </c>
      <c r="Y1032" s="5">
        <v>1148.97</v>
      </c>
      <c r="Z1032" s="3">
        <v>492.41</v>
      </c>
      <c r="AA1032" s="3">
        <v>0</v>
      </c>
    </row>
    <row r="1033" spans="1:27" ht="36.75" x14ac:dyDescent="0.25">
      <c r="A1033" s="3" t="s">
        <v>28</v>
      </c>
      <c r="B1033" s="3" t="s">
        <v>29</v>
      </c>
      <c r="C1033" s="3" t="s">
        <v>30</v>
      </c>
      <c r="D1033" s="3" t="s">
        <v>47</v>
      </c>
      <c r="E1033" s="3" t="s">
        <v>60</v>
      </c>
      <c r="F1033" s="3" t="s">
        <v>81</v>
      </c>
      <c r="G1033" s="3">
        <v>2025</v>
      </c>
      <c r="H1033" s="3" t="str">
        <f>CONCATENATE("54240506953")</f>
        <v>54240506953</v>
      </c>
      <c r="I1033" s="3" t="s">
        <v>34</v>
      </c>
      <c r="J1033" s="3" t="s">
        <v>35</v>
      </c>
      <c r="K1033" s="3"/>
      <c r="L1033" s="3" t="s">
        <v>36</v>
      </c>
      <c r="M1033" s="3" t="str">
        <f>CONCATENATE("00874450430")</f>
        <v>00874450430</v>
      </c>
      <c r="N1033" s="3" t="s">
        <v>1164</v>
      </c>
      <c r="O1033" s="3" t="s">
        <v>38</v>
      </c>
      <c r="P1033" s="3"/>
      <c r="Q1033" s="4">
        <v>45968</v>
      </c>
      <c r="R1033" s="3" t="s">
        <v>39</v>
      </c>
      <c r="S1033" s="3" t="s">
        <v>38</v>
      </c>
      <c r="T1033" s="3" t="s">
        <v>40</v>
      </c>
      <c r="U1033" s="3"/>
      <c r="V1033" s="3" t="s">
        <v>41</v>
      </c>
      <c r="W1033" s="5">
        <v>1247.74</v>
      </c>
      <c r="X1033" s="3">
        <v>935.81</v>
      </c>
      <c r="Y1033" s="3">
        <v>218.35</v>
      </c>
      <c r="Z1033" s="3">
        <v>93.58</v>
      </c>
      <c r="AA1033" s="3">
        <v>0</v>
      </c>
    </row>
    <row r="1034" spans="1:27" ht="72.75" x14ac:dyDescent="0.25">
      <c r="A1034" s="3" t="s">
        <v>28</v>
      </c>
      <c r="B1034" s="3" t="s">
        <v>29</v>
      </c>
      <c r="C1034" s="3" t="s">
        <v>30</v>
      </c>
      <c r="D1034" s="3" t="s">
        <v>47</v>
      </c>
      <c r="E1034" s="3" t="s">
        <v>51</v>
      </c>
      <c r="F1034" s="3" t="s">
        <v>107</v>
      </c>
      <c r="G1034" s="3">
        <v>2025</v>
      </c>
      <c r="H1034" s="3" t="str">
        <f>CONCATENATE("54240507340")</f>
        <v>54240507340</v>
      </c>
      <c r="I1034" s="3" t="s">
        <v>34</v>
      </c>
      <c r="J1034" s="3" t="s">
        <v>35</v>
      </c>
      <c r="K1034" s="3"/>
      <c r="L1034" s="3" t="s">
        <v>36</v>
      </c>
      <c r="M1034" s="3" t="str">
        <f>CONCATENATE("PRNGMR72A25E783W")</f>
        <v>PRNGMR72A25E783W</v>
      </c>
      <c r="N1034" s="3" t="s">
        <v>1165</v>
      </c>
      <c r="O1034" s="3" t="s">
        <v>38</v>
      </c>
      <c r="P1034" s="3"/>
      <c r="Q1034" s="4">
        <v>45968</v>
      </c>
      <c r="R1034" s="3" t="s">
        <v>39</v>
      </c>
      <c r="S1034" s="3" t="s">
        <v>38</v>
      </c>
      <c r="T1034" s="3" t="s">
        <v>40</v>
      </c>
      <c r="U1034" s="3"/>
      <c r="V1034" s="3" t="s">
        <v>41</v>
      </c>
      <c r="W1034" s="3">
        <v>443.36</v>
      </c>
      <c r="X1034" s="3">
        <v>332.52</v>
      </c>
      <c r="Y1034" s="3">
        <v>77.59</v>
      </c>
      <c r="Z1034" s="3">
        <v>33.25</v>
      </c>
      <c r="AA1034" s="3">
        <v>0</v>
      </c>
    </row>
    <row r="1035" spans="1:27" ht="60.75" x14ac:dyDescent="0.25">
      <c r="A1035" s="3" t="s">
        <v>28</v>
      </c>
      <c r="B1035" s="3" t="s">
        <v>29</v>
      </c>
      <c r="C1035" s="3" t="s">
        <v>30</v>
      </c>
      <c r="D1035" s="3" t="s">
        <v>31</v>
      </c>
      <c r="E1035" s="3" t="s">
        <v>51</v>
      </c>
      <c r="F1035" s="3" t="s">
        <v>120</v>
      </c>
      <c r="G1035" s="3">
        <v>2025</v>
      </c>
      <c r="H1035" s="3" t="str">
        <f>CONCATENATE("54240507373")</f>
        <v>54240507373</v>
      </c>
      <c r="I1035" s="3" t="s">
        <v>34</v>
      </c>
      <c r="J1035" s="3" t="s">
        <v>35</v>
      </c>
      <c r="K1035" s="3"/>
      <c r="L1035" s="3" t="s">
        <v>36</v>
      </c>
      <c r="M1035" s="3" t="str">
        <f>CONCATENATE("CCCSTA89A54E388V")</f>
        <v>CCCSTA89A54E388V</v>
      </c>
      <c r="N1035" s="3" t="s">
        <v>1166</v>
      </c>
      <c r="O1035" s="3" t="s">
        <v>38</v>
      </c>
      <c r="P1035" s="3"/>
      <c r="Q1035" s="4">
        <v>45968</v>
      </c>
      <c r="R1035" s="3" t="s">
        <v>39</v>
      </c>
      <c r="S1035" s="3" t="s">
        <v>38</v>
      </c>
      <c r="T1035" s="3" t="s">
        <v>40</v>
      </c>
      <c r="U1035" s="3"/>
      <c r="V1035" s="3" t="s">
        <v>41</v>
      </c>
      <c r="W1035" s="3">
        <v>750.07</v>
      </c>
      <c r="X1035" s="3">
        <v>562.54999999999995</v>
      </c>
      <c r="Y1035" s="3">
        <v>131.26</v>
      </c>
      <c r="Z1035" s="3">
        <v>56.26</v>
      </c>
      <c r="AA1035" s="3">
        <v>0</v>
      </c>
    </row>
    <row r="1036" spans="1:27" ht="60.75" x14ac:dyDescent="0.25">
      <c r="A1036" s="3" t="s">
        <v>28</v>
      </c>
      <c r="B1036" s="3" t="s">
        <v>29</v>
      </c>
      <c r="C1036" s="3" t="s">
        <v>30</v>
      </c>
      <c r="D1036" s="3" t="s">
        <v>31</v>
      </c>
      <c r="E1036" s="3" t="s">
        <v>51</v>
      </c>
      <c r="F1036" s="3" t="s">
        <v>74</v>
      </c>
      <c r="G1036" s="3">
        <v>2025</v>
      </c>
      <c r="H1036" s="3" t="str">
        <f>CONCATENATE("54240507613")</f>
        <v>54240507613</v>
      </c>
      <c r="I1036" s="3" t="s">
        <v>34</v>
      </c>
      <c r="J1036" s="3" t="s">
        <v>35</v>
      </c>
      <c r="K1036" s="3"/>
      <c r="L1036" s="3" t="s">
        <v>36</v>
      </c>
      <c r="M1036" s="3" t="str">
        <f>CONCATENATE("MRCSLV74D47G479T")</f>
        <v>MRCSLV74D47G479T</v>
      </c>
      <c r="N1036" s="3" t="s">
        <v>1167</v>
      </c>
      <c r="O1036" s="3" t="s">
        <v>38</v>
      </c>
      <c r="P1036" s="3"/>
      <c r="Q1036" s="4">
        <v>45968</v>
      </c>
      <c r="R1036" s="3" t="s">
        <v>39</v>
      </c>
      <c r="S1036" s="3" t="s">
        <v>38</v>
      </c>
      <c r="T1036" s="3" t="s">
        <v>40</v>
      </c>
      <c r="U1036" s="3"/>
      <c r="V1036" s="3" t="s">
        <v>41</v>
      </c>
      <c r="W1036" s="3">
        <v>731.04</v>
      </c>
      <c r="X1036" s="3">
        <v>548.28</v>
      </c>
      <c r="Y1036" s="3">
        <v>127.93</v>
      </c>
      <c r="Z1036" s="3">
        <v>54.83</v>
      </c>
      <c r="AA1036" s="3">
        <v>0</v>
      </c>
    </row>
    <row r="1037" spans="1:27" ht="60.75" x14ac:dyDescent="0.25">
      <c r="A1037" s="3" t="s">
        <v>28</v>
      </c>
      <c r="B1037" s="3" t="s">
        <v>29</v>
      </c>
      <c r="C1037" s="3" t="s">
        <v>30</v>
      </c>
      <c r="D1037" s="3" t="s">
        <v>42</v>
      </c>
      <c r="E1037" s="3" t="s">
        <v>60</v>
      </c>
      <c r="F1037" s="3" t="s">
        <v>245</v>
      </c>
      <c r="G1037" s="3">
        <v>2025</v>
      </c>
      <c r="H1037" s="3" t="str">
        <f>CONCATENATE("54240507670")</f>
        <v>54240507670</v>
      </c>
      <c r="I1037" s="3" t="s">
        <v>34</v>
      </c>
      <c r="J1037" s="3" t="s">
        <v>35</v>
      </c>
      <c r="K1037" s="3"/>
      <c r="L1037" s="3" t="s">
        <v>36</v>
      </c>
      <c r="M1037" s="3" t="str">
        <f>CONCATENATE("CNGLGU59T30L728M")</f>
        <v>CNGLGU59T30L728M</v>
      </c>
      <c r="N1037" s="3" t="s">
        <v>1168</v>
      </c>
      <c r="O1037" s="3" t="s">
        <v>38</v>
      </c>
      <c r="P1037" s="3"/>
      <c r="Q1037" s="4">
        <v>45968</v>
      </c>
      <c r="R1037" s="3" t="s">
        <v>39</v>
      </c>
      <c r="S1037" s="3" t="s">
        <v>38</v>
      </c>
      <c r="T1037" s="3" t="s">
        <v>40</v>
      </c>
      <c r="U1037" s="3"/>
      <c r="V1037" s="3" t="s">
        <v>41</v>
      </c>
      <c r="W1037" s="5">
        <v>1038.32</v>
      </c>
      <c r="X1037" s="3">
        <v>778.74</v>
      </c>
      <c r="Y1037" s="3">
        <v>181.71</v>
      </c>
      <c r="Z1037" s="3">
        <v>77.87</v>
      </c>
      <c r="AA1037" s="3">
        <v>0</v>
      </c>
    </row>
    <row r="1038" spans="1:27" ht="60.75" x14ac:dyDescent="0.25">
      <c r="A1038" s="3" t="s">
        <v>28</v>
      </c>
      <c r="B1038" s="3" t="s">
        <v>29</v>
      </c>
      <c r="C1038" s="3" t="s">
        <v>30</v>
      </c>
      <c r="D1038" s="3" t="s">
        <v>47</v>
      </c>
      <c r="E1038" s="3" t="s">
        <v>48</v>
      </c>
      <c r="F1038" s="3" t="s">
        <v>249</v>
      </c>
      <c r="G1038" s="3">
        <v>2025</v>
      </c>
      <c r="H1038" s="3" t="str">
        <f>CONCATENATE("54240508124")</f>
        <v>54240508124</v>
      </c>
      <c r="I1038" s="3" t="s">
        <v>34</v>
      </c>
      <c r="J1038" s="3" t="s">
        <v>35</v>
      </c>
      <c r="K1038" s="3"/>
      <c r="L1038" s="3" t="s">
        <v>36</v>
      </c>
      <c r="M1038" s="3" t="str">
        <f>CONCATENATE("SLVGNN58D26C886F")</f>
        <v>SLVGNN58D26C886F</v>
      </c>
      <c r="N1038" s="3" t="s">
        <v>1169</v>
      </c>
      <c r="O1038" s="3" t="s">
        <v>38</v>
      </c>
      <c r="P1038" s="3"/>
      <c r="Q1038" s="4">
        <v>45968</v>
      </c>
      <c r="R1038" s="3" t="s">
        <v>39</v>
      </c>
      <c r="S1038" s="3" t="s">
        <v>38</v>
      </c>
      <c r="T1038" s="3" t="s">
        <v>40</v>
      </c>
      <c r="U1038" s="3"/>
      <c r="V1038" s="3" t="s">
        <v>41</v>
      </c>
      <c r="W1038" s="5">
        <v>1954.61</v>
      </c>
      <c r="X1038" s="5">
        <v>1465.96</v>
      </c>
      <c r="Y1038" s="3">
        <v>342.06</v>
      </c>
      <c r="Z1038" s="3">
        <v>146.59</v>
      </c>
      <c r="AA1038" s="3">
        <v>0</v>
      </c>
    </row>
    <row r="1039" spans="1:27" ht="36.75" x14ac:dyDescent="0.25">
      <c r="A1039" s="3" t="s">
        <v>28</v>
      </c>
      <c r="B1039" s="3" t="s">
        <v>29</v>
      </c>
      <c r="C1039" s="3" t="s">
        <v>30</v>
      </c>
      <c r="D1039" s="3" t="s">
        <v>47</v>
      </c>
      <c r="E1039" s="3" t="s">
        <v>48</v>
      </c>
      <c r="F1039" s="3" t="s">
        <v>249</v>
      </c>
      <c r="G1039" s="3">
        <v>2025</v>
      </c>
      <c r="H1039" s="3" t="str">
        <f>CONCATENATE("54240508488")</f>
        <v>54240508488</v>
      </c>
      <c r="I1039" s="3" t="s">
        <v>34</v>
      </c>
      <c r="J1039" s="3" t="s">
        <v>35</v>
      </c>
      <c r="K1039" s="3"/>
      <c r="L1039" s="3" t="s">
        <v>36</v>
      </c>
      <c r="M1039" s="3" t="str">
        <f>CONCATENATE("02005140435")</f>
        <v>02005140435</v>
      </c>
      <c r="N1039" s="3" t="s">
        <v>1170</v>
      </c>
      <c r="O1039" s="3" t="s">
        <v>38</v>
      </c>
      <c r="P1039" s="3"/>
      <c r="Q1039" s="4">
        <v>45968</v>
      </c>
      <c r="R1039" s="3" t="s">
        <v>39</v>
      </c>
      <c r="S1039" s="3" t="s">
        <v>38</v>
      </c>
      <c r="T1039" s="3" t="s">
        <v>40</v>
      </c>
      <c r="U1039" s="3"/>
      <c r="V1039" s="3" t="s">
        <v>41</v>
      </c>
      <c r="W1039" s="3">
        <v>709.2</v>
      </c>
      <c r="X1039" s="3">
        <v>531.9</v>
      </c>
      <c r="Y1039" s="3">
        <v>124.11</v>
      </c>
      <c r="Z1039" s="3">
        <v>53.19</v>
      </c>
      <c r="AA1039" s="3">
        <v>0</v>
      </c>
    </row>
    <row r="1040" spans="1:27" ht="60.75" x14ac:dyDescent="0.25">
      <c r="A1040" s="3" t="s">
        <v>28</v>
      </c>
      <c r="B1040" s="3" t="s">
        <v>29</v>
      </c>
      <c r="C1040" s="3" t="s">
        <v>30</v>
      </c>
      <c r="D1040" s="3" t="s">
        <v>65</v>
      </c>
      <c r="E1040" s="3" t="s">
        <v>48</v>
      </c>
      <c r="F1040" s="3" t="s">
        <v>76</v>
      </c>
      <c r="G1040" s="3">
        <v>2025</v>
      </c>
      <c r="H1040" s="3" t="str">
        <f>CONCATENATE("54240508819")</f>
        <v>54240508819</v>
      </c>
      <c r="I1040" s="3" t="s">
        <v>34</v>
      </c>
      <c r="J1040" s="3" t="s">
        <v>35</v>
      </c>
      <c r="K1040" s="3"/>
      <c r="L1040" s="3" t="s">
        <v>36</v>
      </c>
      <c r="M1040" s="3" t="str">
        <f>CONCATENATE("BTTLSN56E17G551J")</f>
        <v>BTTLSN56E17G551J</v>
      </c>
      <c r="N1040" s="3" t="s">
        <v>1171</v>
      </c>
      <c r="O1040" s="3" t="s">
        <v>38</v>
      </c>
      <c r="P1040" s="3"/>
      <c r="Q1040" s="4">
        <v>45968</v>
      </c>
      <c r="R1040" s="3" t="s">
        <v>39</v>
      </c>
      <c r="S1040" s="3" t="s">
        <v>38</v>
      </c>
      <c r="T1040" s="3" t="s">
        <v>40</v>
      </c>
      <c r="U1040" s="3"/>
      <c r="V1040" s="3" t="s">
        <v>41</v>
      </c>
      <c r="W1040" s="5">
        <v>2126.5700000000002</v>
      </c>
      <c r="X1040" s="5">
        <v>1594.93</v>
      </c>
      <c r="Y1040" s="3">
        <v>372.15</v>
      </c>
      <c r="Z1040" s="3">
        <v>159.49</v>
      </c>
      <c r="AA1040" s="3">
        <v>0</v>
      </c>
    </row>
    <row r="1041" spans="1:27" ht="60.75" x14ac:dyDescent="0.25">
      <c r="A1041" s="3" t="s">
        <v>28</v>
      </c>
      <c r="B1041" s="3" t="s">
        <v>29</v>
      </c>
      <c r="C1041" s="3" t="s">
        <v>30</v>
      </c>
      <c r="D1041" s="3" t="s">
        <v>65</v>
      </c>
      <c r="E1041" s="3" t="s">
        <v>48</v>
      </c>
      <c r="F1041" s="3" t="s">
        <v>66</v>
      </c>
      <c r="G1041" s="3">
        <v>2025</v>
      </c>
      <c r="H1041" s="3" t="str">
        <f>CONCATENATE("54240508983")</f>
        <v>54240508983</v>
      </c>
      <c r="I1041" s="3" t="s">
        <v>34</v>
      </c>
      <c r="J1041" s="3" t="s">
        <v>35</v>
      </c>
      <c r="K1041" s="3"/>
      <c r="L1041" s="3" t="s">
        <v>36</v>
      </c>
      <c r="M1041" s="3" t="str">
        <f>CONCATENATE("GMBGRL67S12L500N")</f>
        <v>GMBGRL67S12L500N</v>
      </c>
      <c r="N1041" s="3" t="s">
        <v>1172</v>
      </c>
      <c r="O1041" s="3" t="s">
        <v>38</v>
      </c>
      <c r="P1041" s="3"/>
      <c r="Q1041" s="4">
        <v>45968</v>
      </c>
      <c r="R1041" s="3" t="s">
        <v>39</v>
      </c>
      <c r="S1041" s="3" t="s">
        <v>38</v>
      </c>
      <c r="T1041" s="3" t="s">
        <v>40</v>
      </c>
      <c r="U1041" s="3"/>
      <c r="V1041" s="3" t="s">
        <v>41</v>
      </c>
      <c r="W1041" s="5">
        <v>9291.66</v>
      </c>
      <c r="X1041" s="5">
        <v>6968.75</v>
      </c>
      <c r="Y1041" s="5">
        <v>1626.04</v>
      </c>
      <c r="Z1041" s="3">
        <v>696.87</v>
      </c>
      <c r="AA1041" s="3">
        <v>0</v>
      </c>
    </row>
    <row r="1042" spans="1:27" ht="36.75" x14ac:dyDescent="0.25">
      <c r="A1042" s="3" t="s">
        <v>28</v>
      </c>
      <c r="B1042" s="3" t="s">
        <v>29</v>
      </c>
      <c r="C1042" s="3" t="s">
        <v>30</v>
      </c>
      <c r="D1042" s="3" t="s">
        <v>31</v>
      </c>
      <c r="E1042" s="3" t="s">
        <v>51</v>
      </c>
      <c r="F1042" s="3" t="s">
        <v>93</v>
      </c>
      <c r="G1042" s="3">
        <v>2025</v>
      </c>
      <c r="H1042" s="3" t="str">
        <f>CONCATENATE("54240643087")</f>
        <v>54240643087</v>
      </c>
      <c r="I1042" s="3" t="s">
        <v>34</v>
      </c>
      <c r="J1042" s="3" t="s">
        <v>35</v>
      </c>
      <c r="K1042" s="3"/>
      <c r="L1042" s="3" t="s">
        <v>36</v>
      </c>
      <c r="M1042" s="3" t="str">
        <f>CONCATENATE("01002340428")</f>
        <v>01002340428</v>
      </c>
      <c r="N1042" s="3" t="s">
        <v>1173</v>
      </c>
      <c r="O1042" s="3" t="s">
        <v>38</v>
      </c>
      <c r="P1042" s="3"/>
      <c r="Q1042" s="4">
        <v>45968</v>
      </c>
      <c r="R1042" s="3" t="s">
        <v>39</v>
      </c>
      <c r="S1042" s="3" t="s">
        <v>38</v>
      </c>
      <c r="T1042" s="3" t="s">
        <v>40</v>
      </c>
      <c r="U1042" s="3"/>
      <c r="V1042" s="3" t="s">
        <v>41</v>
      </c>
      <c r="W1042" s="5">
        <v>2216.1</v>
      </c>
      <c r="X1042" s="5">
        <v>1662.08</v>
      </c>
      <c r="Y1042" s="3">
        <v>387.82</v>
      </c>
      <c r="Z1042" s="3">
        <v>166.2</v>
      </c>
      <c r="AA1042" s="3">
        <v>0</v>
      </c>
    </row>
    <row r="1043" spans="1:27" ht="60.75" x14ac:dyDescent="0.25">
      <c r="A1043" s="3" t="s">
        <v>28</v>
      </c>
      <c r="B1043" s="3" t="s">
        <v>29</v>
      </c>
      <c r="C1043" s="3" t="s">
        <v>30</v>
      </c>
      <c r="D1043" s="3" t="s">
        <v>47</v>
      </c>
      <c r="E1043" s="3" t="s">
        <v>132</v>
      </c>
      <c r="F1043" s="3" t="s">
        <v>710</v>
      </c>
      <c r="G1043" s="3">
        <v>2025</v>
      </c>
      <c r="H1043" s="3" t="str">
        <f>CONCATENATE("54240509098")</f>
        <v>54240509098</v>
      </c>
      <c r="I1043" s="3" t="s">
        <v>34</v>
      </c>
      <c r="J1043" s="3" t="s">
        <v>35</v>
      </c>
      <c r="K1043" s="3"/>
      <c r="L1043" s="3" t="s">
        <v>36</v>
      </c>
      <c r="M1043" s="3" t="str">
        <f>CONCATENATE("MRZLDR49L21F621J")</f>
        <v>MRZLDR49L21F621J</v>
      </c>
      <c r="N1043" s="3" t="s">
        <v>1174</v>
      </c>
      <c r="O1043" s="3" t="s">
        <v>38</v>
      </c>
      <c r="P1043" s="3"/>
      <c r="Q1043" s="4">
        <v>45968</v>
      </c>
      <c r="R1043" s="3" t="s">
        <v>39</v>
      </c>
      <c r="S1043" s="3" t="s">
        <v>38</v>
      </c>
      <c r="T1043" s="3" t="s">
        <v>40</v>
      </c>
      <c r="U1043" s="3"/>
      <c r="V1043" s="3" t="s">
        <v>41</v>
      </c>
      <c r="W1043" s="3">
        <v>425.94</v>
      </c>
      <c r="X1043" s="3">
        <v>319.45999999999998</v>
      </c>
      <c r="Y1043" s="3">
        <v>74.540000000000006</v>
      </c>
      <c r="Z1043" s="3">
        <v>31.94</v>
      </c>
      <c r="AA1043" s="3">
        <v>0</v>
      </c>
    </row>
    <row r="1044" spans="1:27" ht="60.75" x14ac:dyDescent="0.25">
      <c r="A1044" s="3" t="s">
        <v>28</v>
      </c>
      <c r="B1044" s="3" t="s">
        <v>29</v>
      </c>
      <c r="C1044" s="3" t="s">
        <v>30</v>
      </c>
      <c r="D1044" s="3" t="s">
        <v>47</v>
      </c>
      <c r="E1044" s="3" t="s">
        <v>32</v>
      </c>
      <c r="F1044" s="3" t="s">
        <v>545</v>
      </c>
      <c r="G1044" s="3">
        <v>2025</v>
      </c>
      <c r="H1044" s="3" t="str">
        <f>CONCATENATE("54240509403")</f>
        <v>54240509403</v>
      </c>
      <c r="I1044" s="3" t="s">
        <v>34</v>
      </c>
      <c r="J1044" s="3" t="s">
        <v>35</v>
      </c>
      <c r="K1044" s="3"/>
      <c r="L1044" s="3" t="s">
        <v>36</v>
      </c>
      <c r="M1044" s="3" t="str">
        <f>CONCATENATE("QCQLFR48P16I651P")</f>
        <v>QCQLFR48P16I651P</v>
      </c>
      <c r="N1044" s="3" t="s">
        <v>1175</v>
      </c>
      <c r="O1044" s="3" t="s">
        <v>38</v>
      </c>
      <c r="P1044" s="3"/>
      <c r="Q1044" s="4">
        <v>45968</v>
      </c>
      <c r="R1044" s="3" t="s">
        <v>39</v>
      </c>
      <c r="S1044" s="3" t="s">
        <v>38</v>
      </c>
      <c r="T1044" s="3" t="s">
        <v>40</v>
      </c>
      <c r="U1044" s="3"/>
      <c r="V1044" s="3" t="s">
        <v>41</v>
      </c>
      <c r="W1044" s="5">
        <v>9942.02</v>
      </c>
      <c r="X1044" s="5">
        <v>7456.52</v>
      </c>
      <c r="Y1044" s="5">
        <v>1739.85</v>
      </c>
      <c r="Z1044" s="3">
        <v>745.65</v>
      </c>
      <c r="AA1044" s="3">
        <v>0</v>
      </c>
    </row>
    <row r="1045" spans="1:27" ht="60.75" x14ac:dyDescent="0.25">
      <c r="A1045" s="3" t="s">
        <v>28</v>
      </c>
      <c r="B1045" s="3" t="s">
        <v>29</v>
      </c>
      <c r="C1045" s="3" t="s">
        <v>30</v>
      </c>
      <c r="D1045" s="3" t="s">
        <v>47</v>
      </c>
      <c r="E1045" s="3" t="s">
        <v>51</v>
      </c>
      <c r="F1045" s="3" t="s">
        <v>83</v>
      </c>
      <c r="G1045" s="3">
        <v>2025</v>
      </c>
      <c r="H1045" s="3" t="str">
        <f>CONCATENATE("54240630787")</f>
        <v>54240630787</v>
      </c>
      <c r="I1045" s="3" t="s">
        <v>34</v>
      </c>
      <c r="J1045" s="3" t="s">
        <v>35</v>
      </c>
      <c r="K1045" s="3"/>
      <c r="L1045" s="3" t="s">
        <v>36</v>
      </c>
      <c r="M1045" s="3" t="str">
        <f>CONCATENATE("MTTLDE54R56D429X")</f>
        <v>MTTLDE54R56D429X</v>
      </c>
      <c r="N1045" s="3" t="s">
        <v>904</v>
      </c>
      <c r="O1045" s="3" t="s">
        <v>38</v>
      </c>
      <c r="P1045" s="3"/>
      <c r="Q1045" s="4">
        <v>45968</v>
      </c>
      <c r="R1045" s="3" t="s">
        <v>39</v>
      </c>
      <c r="S1045" s="3" t="s">
        <v>38</v>
      </c>
      <c r="T1045" s="3" t="s">
        <v>40</v>
      </c>
      <c r="U1045" s="3"/>
      <c r="V1045" s="3" t="s">
        <v>41</v>
      </c>
      <c r="W1045" s="5">
        <v>1629.69</v>
      </c>
      <c r="X1045" s="5">
        <v>1222.27</v>
      </c>
      <c r="Y1045" s="3">
        <v>285.2</v>
      </c>
      <c r="Z1045" s="3">
        <v>122.22</v>
      </c>
      <c r="AA1045" s="3">
        <v>0</v>
      </c>
    </row>
    <row r="1046" spans="1:27" ht="60.75" x14ac:dyDescent="0.25">
      <c r="A1046" s="3" t="s">
        <v>28</v>
      </c>
      <c r="B1046" s="3" t="s">
        <v>29</v>
      </c>
      <c r="C1046" s="3" t="s">
        <v>30</v>
      </c>
      <c r="D1046" s="3" t="s">
        <v>65</v>
      </c>
      <c r="E1046" s="3" t="s">
        <v>51</v>
      </c>
      <c r="F1046" s="3" t="s">
        <v>534</v>
      </c>
      <c r="G1046" s="3">
        <v>2025</v>
      </c>
      <c r="H1046" s="3" t="str">
        <f>CONCATENATE("54240642915")</f>
        <v>54240642915</v>
      </c>
      <c r="I1046" s="3" t="s">
        <v>34</v>
      </c>
      <c r="J1046" s="3" t="s">
        <v>35</v>
      </c>
      <c r="K1046" s="3"/>
      <c r="L1046" s="3" t="s">
        <v>36</v>
      </c>
      <c r="M1046" s="3" t="str">
        <f>CONCATENATE("CRDRRT68T09I287N")</f>
        <v>CRDRRT68T09I287N</v>
      </c>
      <c r="N1046" s="3" t="s">
        <v>1176</v>
      </c>
      <c r="O1046" s="3" t="s">
        <v>38</v>
      </c>
      <c r="P1046" s="3"/>
      <c r="Q1046" s="4">
        <v>45968</v>
      </c>
      <c r="R1046" s="3" t="s">
        <v>39</v>
      </c>
      <c r="S1046" s="3" t="s">
        <v>38</v>
      </c>
      <c r="T1046" s="3" t="s">
        <v>40</v>
      </c>
      <c r="U1046" s="3"/>
      <c r="V1046" s="3" t="s">
        <v>41</v>
      </c>
      <c r="W1046" s="5">
        <v>9811.58</v>
      </c>
      <c r="X1046" s="5">
        <v>7358.69</v>
      </c>
      <c r="Y1046" s="5">
        <v>1717.03</v>
      </c>
      <c r="Z1046" s="3">
        <v>735.86</v>
      </c>
      <c r="AA1046" s="3">
        <v>0</v>
      </c>
    </row>
    <row r="1047" spans="1:27" ht="60.75" x14ac:dyDescent="0.25">
      <c r="A1047" s="3" t="s">
        <v>28</v>
      </c>
      <c r="B1047" s="3" t="s">
        <v>29</v>
      </c>
      <c r="C1047" s="3" t="s">
        <v>30</v>
      </c>
      <c r="D1047" s="3" t="s">
        <v>47</v>
      </c>
      <c r="E1047" s="3" t="s">
        <v>32</v>
      </c>
      <c r="F1047" s="3" t="s">
        <v>545</v>
      </c>
      <c r="G1047" s="3">
        <v>2025</v>
      </c>
      <c r="H1047" s="3" t="str">
        <f>CONCATENATE("54240646569")</f>
        <v>54240646569</v>
      </c>
      <c r="I1047" s="3" t="s">
        <v>34</v>
      </c>
      <c r="J1047" s="3" t="s">
        <v>35</v>
      </c>
      <c r="K1047" s="3"/>
      <c r="L1047" s="3" t="s">
        <v>36</v>
      </c>
      <c r="M1047" s="3" t="str">
        <f>CONCATENATE("RSSMRZ74T09E388V")</f>
        <v>RSSMRZ74T09E388V</v>
      </c>
      <c r="N1047" s="3" t="s">
        <v>1177</v>
      </c>
      <c r="O1047" s="3" t="s">
        <v>38</v>
      </c>
      <c r="P1047" s="3"/>
      <c r="Q1047" s="4">
        <v>45968</v>
      </c>
      <c r="R1047" s="3" t="s">
        <v>39</v>
      </c>
      <c r="S1047" s="3" t="s">
        <v>38</v>
      </c>
      <c r="T1047" s="3" t="s">
        <v>40</v>
      </c>
      <c r="U1047" s="3"/>
      <c r="V1047" s="3" t="s">
        <v>41</v>
      </c>
      <c r="W1047" s="5">
        <v>25547.8</v>
      </c>
      <c r="X1047" s="5">
        <v>19160.849999999999</v>
      </c>
      <c r="Y1047" s="5">
        <v>4470.87</v>
      </c>
      <c r="Z1047" s="5">
        <v>1916.08</v>
      </c>
      <c r="AA1047" s="3">
        <v>0</v>
      </c>
    </row>
    <row r="1048" spans="1:27" ht="36.75" x14ac:dyDescent="0.25">
      <c r="A1048" s="3" t="s">
        <v>28</v>
      </c>
      <c r="B1048" s="3" t="s">
        <v>29</v>
      </c>
      <c r="C1048" s="3" t="s">
        <v>30</v>
      </c>
      <c r="D1048" s="3" t="s">
        <v>65</v>
      </c>
      <c r="E1048" s="3" t="s">
        <v>51</v>
      </c>
      <c r="F1048" s="3" t="s">
        <v>278</v>
      </c>
      <c r="G1048" s="3">
        <v>2025</v>
      </c>
      <c r="H1048" s="3" t="str">
        <f>CONCATENATE("54240636289")</f>
        <v>54240636289</v>
      </c>
      <c r="I1048" s="3" t="s">
        <v>34</v>
      </c>
      <c r="J1048" s="3" t="s">
        <v>35</v>
      </c>
      <c r="K1048" s="3"/>
      <c r="L1048" s="3" t="s">
        <v>36</v>
      </c>
      <c r="M1048" s="3" t="str">
        <f>CONCATENATE("02317820419")</f>
        <v>02317820419</v>
      </c>
      <c r="N1048" s="3" t="s">
        <v>1178</v>
      </c>
      <c r="O1048" s="3" t="s">
        <v>38</v>
      </c>
      <c r="P1048" s="3"/>
      <c r="Q1048" s="4">
        <v>45968</v>
      </c>
      <c r="R1048" s="3" t="s">
        <v>39</v>
      </c>
      <c r="S1048" s="3" t="s">
        <v>38</v>
      </c>
      <c r="T1048" s="3" t="s">
        <v>40</v>
      </c>
      <c r="U1048" s="3"/>
      <c r="V1048" s="3" t="s">
        <v>41</v>
      </c>
      <c r="W1048" s="5">
        <v>1733.79</v>
      </c>
      <c r="X1048" s="5">
        <v>1300.3399999999999</v>
      </c>
      <c r="Y1048" s="3">
        <v>303.41000000000003</v>
      </c>
      <c r="Z1048" s="3">
        <v>130.04</v>
      </c>
      <c r="AA1048" s="3">
        <v>0</v>
      </c>
    </row>
    <row r="1049" spans="1:27" ht="60.75" x14ac:dyDescent="0.25">
      <c r="A1049" s="3" t="s">
        <v>28</v>
      </c>
      <c r="B1049" s="3" t="s">
        <v>29</v>
      </c>
      <c r="C1049" s="3" t="s">
        <v>30</v>
      </c>
      <c r="D1049" s="3" t="s">
        <v>65</v>
      </c>
      <c r="E1049" s="3" t="s">
        <v>32</v>
      </c>
      <c r="F1049" s="3" t="s">
        <v>270</v>
      </c>
      <c r="G1049" s="3">
        <v>2025</v>
      </c>
      <c r="H1049" s="3" t="str">
        <f>CONCATENATE("54240637410")</f>
        <v>54240637410</v>
      </c>
      <c r="I1049" s="3" t="s">
        <v>34</v>
      </c>
      <c r="J1049" s="3" t="s">
        <v>35</v>
      </c>
      <c r="K1049" s="3"/>
      <c r="L1049" s="3" t="s">
        <v>36</v>
      </c>
      <c r="M1049" s="3" t="str">
        <f>CONCATENATE("PRNTLL49M17I285G")</f>
        <v>PRNTLL49M17I285G</v>
      </c>
      <c r="N1049" s="3" t="s">
        <v>1179</v>
      </c>
      <c r="O1049" s="3" t="s">
        <v>38</v>
      </c>
      <c r="P1049" s="3"/>
      <c r="Q1049" s="4">
        <v>45968</v>
      </c>
      <c r="R1049" s="3" t="s">
        <v>39</v>
      </c>
      <c r="S1049" s="3" t="s">
        <v>38</v>
      </c>
      <c r="T1049" s="3" t="s">
        <v>40</v>
      </c>
      <c r="U1049" s="3"/>
      <c r="V1049" s="3" t="s">
        <v>41</v>
      </c>
      <c r="W1049" s="5">
        <v>1003.55</v>
      </c>
      <c r="X1049" s="3">
        <v>752.66</v>
      </c>
      <c r="Y1049" s="3">
        <v>175.62</v>
      </c>
      <c r="Z1049" s="3">
        <v>75.27</v>
      </c>
      <c r="AA1049" s="3">
        <v>0</v>
      </c>
    </row>
    <row r="1050" spans="1:27" ht="72.75" x14ac:dyDescent="0.25">
      <c r="A1050" s="3" t="s">
        <v>28</v>
      </c>
      <c r="B1050" s="3" t="s">
        <v>29</v>
      </c>
      <c r="C1050" s="3" t="s">
        <v>30</v>
      </c>
      <c r="D1050" s="3" t="s">
        <v>31</v>
      </c>
      <c r="E1050" s="3" t="s">
        <v>51</v>
      </c>
      <c r="F1050" s="3" t="s">
        <v>99</v>
      </c>
      <c r="G1050" s="3">
        <v>2025</v>
      </c>
      <c r="H1050" s="3" t="str">
        <f>CONCATENATE("54240638079")</f>
        <v>54240638079</v>
      </c>
      <c r="I1050" s="3" t="s">
        <v>34</v>
      </c>
      <c r="J1050" s="3" t="s">
        <v>35</v>
      </c>
      <c r="K1050" s="3"/>
      <c r="L1050" s="3" t="s">
        <v>36</v>
      </c>
      <c r="M1050" s="3" t="str">
        <f>CONCATENATE("PCGRMG65A13Z133V")</f>
        <v>PCGRMG65A13Z133V</v>
      </c>
      <c r="N1050" s="3" t="s">
        <v>1180</v>
      </c>
      <c r="O1050" s="3" t="s">
        <v>38</v>
      </c>
      <c r="P1050" s="3"/>
      <c r="Q1050" s="4">
        <v>45968</v>
      </c>
      <c r="R1050" s="3" t="s">
        <v>39</v>
      </c>
      <c r="S1050" s="3" t="s">
        <v>38</v>
      </c>
      <c r="T1050" s="3" t="s">
        <v>40</v>
      </c>
      <c r="U1050" s="3"/>
      <c r="V1050" s="3" t="s">
        <v>41</v>
      </c>
      <c r="W1050" s="5">
        <v>12394.31</v>
      </c>
      <c r="X1050" s="5">
        <v>9295.73</v>
      </c>
      <c r="Y1050" s="5">
        <v>2169</v>
      </c>
      <c r="Z1050" s="3">
        <v>929.58</v>
      </c>
      <c r="AA1050" s="3">
        <v>0</v>
      </c>
    </row>
    <row r="1051" spans="1:27" ht="72.75" x14ac:dyDescent="0.25">
      <c r="A1051" s="3" t="s">
        <v>28</v>
      </c>
      <c r="B1051" s="3" t="s">
        <v>29</v>
      </c>
      <c r="C1051" s="3" t="s">
        <v>30</v>
      </c>
      <c r="D1051" s="3" t="s">
        <v>47</v>
      </c>
      <c r="E1051" s="3" t="s">
        <v>48</v>
      </c>
      <c r="F1051" s="3" t="s">
        <v>249</v>
      </c>
      <c r="G1051" s="3">
        <v>2025</v>
      </c>
      <c r="H1051" s="3" t="str">
        <f>CONCATENATE("54240638350")</f>
        <v>54240638350</v>
      </c>
      <c r="I1051" s="3" t="s">
        <v>34</v>
      </c>
      <c r="J1051" s="3" t="s">
        <v>35</v>
      </c>
      <c r="K1051" s="3"/>
      <c r="L1051" s="3" t="s">
        <v>36</v>
      </c>
      <c r="M1051" s="3" t="str">
        <f>CONCATENATE("MRCMRN59L16A952Q")</f>
        <v>MRCMRN59L16A952Q</v>
      </c>
      <c r="N1051" s="3" t="s">
        <v>1181</v>
      </c>
      <c r="O1051" s="3" t="s">
        <v>38</v>
      </c>
      <c r="P1051" s="3"/>
      <c r="Q1051" s="4">
        <v>45968</v>
      </c>
      <c r="R1051" s="3" t="s">
        <v>39</v>
      </c>
      <c r="S1051" s="3" t="s">
        <v>38</v>
      </c>
      <c r="T1051" s="3" t="s">
        <v>40</v>
      </c>
      <c r="U1051" s="3"/>
      <c r="V1051" s="3" t="s">
        <v>41</v>
      </c>
      <c r="W1051" s="5">
        <v>9577.31</v>
      </c>
      <c r="X1051" s="5">
        <v>7182.98</v>
      </c>
      <c r="Y1051" s="5">
        <v>1676.03</v>
      </c>
      <c r="Z1051" s="3">
        <v>718.3</v>
      </c>
      <c r="AA1051" s="3">
        <v>0</v>
      </c>
    </row>
    <row r="1052" spans="1:27" ht="60.75" x14ac:dyDescent="0.25">
      <c r="A1052" s="3" t="s">
        <v>28</v>
      </c>
      <c r="B1052" s="3" t="s">
        <v>29</v>
      </c>
      <c r="C1052" s="3" t="s">
        <v>30</v>
      </c>
      <c r="D1052" s="3" t="s">
        <v>47</v>
      </c>
      <c r="E1052" s="3" t="s">
        <v>48</v>
      </c>
      <c r="F1052" s="3" t="s">
        <v>249</v>
      </c>
      <c r="G1052" s="3">
        <v>2025</v>
      </c>
      <c r="H1052" s="3" t="str">
        <f>CONCATENATE("54240643723")</f>
        <v>54240643723</v>
      </c>
      <c r="I1052" s="3" t="s">
        <v>34</v>
      </c>
      <c r="J1052" s="3" t="s">
        <v>35</v>
      </c>
      <c r="K1052" s="3"/>
      <c r="L1052" s="3" t="s">
        <v>36</v>
      </c>
      <c r="M1052" s="3" t="str">
        <f>CONCATENATE("MPCLSN97R22E783X")</f>
        <v>MPCLSN97R22E783X</v>
      </c>
      <c r="N1052" s="3" t="s">
        <v>1182</v>
      </c>
      <c r="O1052" s="3" t="s">
        <v>38</v>
      </c>
      <c r="P1052" s="3"/>
      <c r="Q1052" s="4">
        <v>45968</v>
      </c>
      <c r="R1052" s="3" t="s">
        <v>39</v>
      </c>
      <c r="S1052" s="3" t="s">
        <v>38</v>
      </c>
      <c r="T1052" s="3" t="s">
        <v>40</v>
      </c>
      <c r="U1052" s="3"/>
      <c r="V1052" s="3" t="s">
        <v>41</v>
      </c>
      <c r="W1052" s="5">
        <v>39500.6</v>
      </c>
      <c r="X1052" s="5">
        <v>29625.45</v>
      </c>
      <c r="Y1052" s="5">
        <v>6912.61</v>
      </c>
      <c r="Z1052" s="5">
        <v>2962.54</v>
      </c>
      <c r="AA1052" s="3">
        <v>0</v>
      </c>
    </row>
    <row r="1053" spans="1:27" ht="72.75" x14ac:dyDescent="0.25">
      <c r="A1053" s="3" t="s">
        <v>28</v>
      </c>
      <c r="B1053" s="3" t="s">
        <v>29</v>
      </c>
      <c r="C1053" s="3" t="s">
        <v>30</v>
      </c>
      <c r="D1053" s="3" t="s">
        <v>65</v>
      </c>
      <c r="E1053" s="3" t="s">
        <v>32</v>
      </c>
      <c r="F1053" s="3" t="s">
        <v>135</v>
      </c>
      <c r="G1053" s="3">
        <v>2025</v>
      </c>
      <c r="H1053" s="3" t="str">
        <f>CONCATENATE("54240641602")</f>
        <v>54240641602</v>
      </c>
      <c r="I1053" s="3" t="s">
        <v>34</v>
      </c>
      <c r="J1053" s="3" t="s">
        <v>35</v>
      </c>
      <c r="K1053" s="3"/>
      <c r="L1053" s="3" t="s">
        <v>36</v>
      </c>
      <c r="M1053" s="3" t="str">
        <f>CONCATENATE("CCCMSM55A24D749T")</f>
        <v>CCCMSM55A24D749T</v>
      </c>
      <c r="N1053" s="3" t="s">
        <v>1183</v>
      </c>
      <c r="O1053" s="3" t="s">
        <v>38</v>
      </c>
      <c r="P1053" s="3"/>
      <c r="Q1053" s="4">
        <v>45968</v>
      </c>
      <c r="R1053" s="3" t="s">
        <v>39</v>
      </c>
      <c r="S1053" s="3" t="s">
        <v>38</v>
      </c>
      <c r="T1053" s="3" t="s">
        <v>40</v>
      </c>
      <c r="U1053" s="3"/>
      <c r="V1053" s="3" t="s">
        <v>41</v>
      </c>
      <c r="W1053" s="5">
        <v>1634.13</v>
      </c>
      <c r="X1053" s="5">
        <v>1225.5999999999999</v>
      </c>
      <c r="Y1053" s="3">
        <v>285.97000000000003</v>
      </c>
      <c r="Z1053" s="3">
        <v>122.56</v>
      </c>
      <c r="AA1053" s="3">
        <v>0</v>
      </c>
    </row>
    <row r="1054" spans="1:27" ht="60.75" x14ac:dyDescent="0.25">
      <c r="A1054" s="3" t="s">
        <v>28</v>
      </c>
      <c r="B1054" s="3" t="s">
        <v>29</v>
      </c>
      <c r="C1054" s="3" t="s">
        <v>30</v>
      </c>
      <c r="D1054" s="3" t="s">
        <v>42</v>
      </c>
      <c r="E1054" s="3" t="s">
        <v>207</v>
      </c>
      <c r="F1054" s="3" t="s">
        <v>764</v>
      </c>
      <c r="G1054" s="3">
        <v>2025</v>
      </c>
      <c r="H1054" s="3" t="str">
        <f>CONCATENATE("54240642063")</f>
        <v>54240642063</v>
      </c>
      <c r="I1054" s="3" t="s">
        <v>34</v>
      </c>
      <c r="J1054" s="3" t="s">
        <v>35</v>
      </c>
      <c r="K1054" s="3"/>
      <c r="L1054" s="3" t="s">
        <v>36</v>
      </c>
      <c r="M1054" s="3" t="str">
        <f>CONCATENATE("CHRPLA68P29H769J")</f>
        <v>CHRPLA68P29H769J</v>
      </c>
      <c r="N1054" s="3" t="s">
        <v>1184</v>
      </c>
      <c r="O1054" s="3" t="s">
        <v>38</v>
      </c>
      <c r="P1054" s="3"/>
      <c r="Q1054" s="4">
        <v>45968</v>
      </c>
      <c r="R1054" s="3" t="s">
        <v>39</v>
      </c>
      <c r="S1054" s="3" t="s">
        <v>38</v>
      </c>
      <c r="T1054" s="3" t="s">
        <v>40</v>
      </c>
      <c r="U1054" s="3"/>
      <c r="V1054" s="3" t="s">
        <v>41</v>
      </c>
      <c r="W1054" s="5">
        <v>1092.1400000000001</v>
      </c>
      <c r="X1054" s="3">
        <v>819.11</v>
      </c>
      <c r="Y1054" s="3">
        <v>191.12</v>
      </c>
      <c r="Z1054" s="3">
        <v>81.91</v>
      </c>
      <c r="AA1054" s="3">
        <v>0</v>
      </c>
    </row>
    <row r="1055" spans="1:27" ht="36.75" x14ac:dyDescent="0.25">
      <c r="A1055" s="3" t="s">
        <v>28</v>
      </c>
      <c r="B1055" s="3" t="s">
        <v>29</v>
      </c>
      <c r="C1055" s="3" t="s">
        <v>30</v>
      </c>
      <c r="D1055" s="3" t="s">
        <v>47</v>
      </c>
      <c r="E1055" s="3" t="s">
        <v>51</v>
      </c>
      <c r="F1055" s="3" t="s">
        <v>83</v>
      </c>
      <c r="G1055" s="3">
        <v>2025</v>
      </c>
      <c r="H1055" s="3" t="str">
        <f>CONCATENATE("54240642105")</f>
        <v>54240642105</v>
      </c>
      <c r="I1055" s="3" t="s">
        <v>34</v>
      </c>
      <c r="J1055" s="3" t="s">
        <v>35</v>
      </c>
      <c r="K1055" s="3"/>
      <c r="L1055" s="3" t="s">
        <v>36</v>
      </c>
      <c r="M1055" s="3" t="str">
        <f>CONCATENATE("00607050432")</f>
        <v>00607050432</v>
      </c>
      <c r="N1055" s="3" t="s">
        <v>1185</v>
      </c>
      <c r="O1055" s="3" t="s">
        <v>38</v>
      </c>
      <c r="P1055" s="3"/>
      <c r="Q1055" s="4">
        <v>45968</v>
      </c>
      <c r="R1055" s="3" t="s">
        <v>39</v>
      </c>
      <c r="S1055" s="3" t="s">
        <v>38</v>
      </c>
      <c r="T1055" s="3" t="s">
        <v>40</v>
      </c>
      <c r="U1055" s="3"/>
      <c r="V1055" s="3" t="s">
        <v>41</v>
      </c>
      <c r="W1055" s="5">
        <v>10645.41</v>
      </c>
      <c r="X1055" s="5">
        <v>7984.06</v>
      </c>
      <c r="Y1055" s="5">
        <v>1862.95</v>
      </c>
      <c r="Z1055" s="3">
        <v>798.4</v>
      </c>
      <c r="AA1055" s="3">
        <v>0</v>
      </c>
    </row>
    <row r="1056" spans="1:27" ht="36.75" x14ac:dyDescent="0.25">
      <c r="A1056" s="3" t="s">
        <v>28</v>
      </c>
      <c r="B1056" s="3" t="s">
        <v>29</v>
      </c>
      <c r="C1056" s="3" t="s">
        <v>30</v>
      </c>
      <c r="D1056" s="3" t="s">
        <v>31</v>
      </c>
      <c r="E1056" s="3" t="s">
        <v>32</v>
      </c>
      <c r="F1056" s="3" t="s">
        <v>63</v>
      </c>
      <c r="G1056" s="3">
        <v>2025</v>
      </c>
      <c r="H1056" s="3" t="str">
        <f>CONCATENATE("54240509817")</f>
        <v>54240509817</v>
      </c>
      <c r="I1056" s="3" t="s">
        <v>34</v>
      </c>
      <c r="J1056" s="3" t="s">
        <v>35</v>
      </c>
      <c r="K1056" s="3"/>
      <c r="L1056" s="3" t="s">
        <v>36</v>
      </c>
      <c r="M1056" s="3" t="str">
        <f>CONCATENATE("02803630421")</f>
        <v>02803630421</v>
      </c>
      <c r="N1056" s="3" t="s">
        <v>1186</v>
      </c>
      <c r="O1056" s="3" t="s">
        <v>38</v>
      </c>
      <c r="P1056" s="3"/>
      <c r="Q1056" s="4">
        <v>45968</v>
      </c>
      <c r="R1056" s="3" t="s">
        <v>39</v>
      </c>
      <c r="S1056" s="3" t="s">
        <v>38</v>
      </c>
      <c r="T1056" s="3" t="s">
        <v>40</v>
      </c>
      <c r="U1056" s="3"/>
      <c r="V1056" s="3" t="s">
        <v>41</v>
      </c>
      <c r="W1056" s="5">
        <v>1803.89</v>
      </c>
      <c r="X1056" s="5">
        <v>1352.92</v>
      </c>
      <c r="Y1056" s="3">
        <v>315.68</v>
      </c>
      <c r="Z1056" s="3">
        <v>135.29</v>
      </c>
      <c r="AA1056" s="3">
        <v>0</v>
      </c>
    </row>
    <row r="1057" spans="1:27" ht="60.75" x14ac:dyDescent="0.25">
      <c r="A1057" s="3" t="s">
        <v>28</v>
      </c>
      <c r="B1057" s="3" t="s">
        <v>29</v>
      </c>
      <c r="C1057" s="3" t="s">
        <v>30</v>
      </c>
      <c r="D1057" s="3" t="s">
        <v>42</v>
      </c>
      <c r="E1057" s="3" t="s">
        <v>60</v>
      </c>
      <c r="F1057" s="3" t="s">
        <v>245</v>
      </c>
      <c r="G1057" s="3">
        <v>2025</v>
      </c>
      <c r="H1057" s="3" t="str">
        <f>CONCATENATE("54240509742")</f>
        <v>54240509742</v>
      </c>
      <c r="I1057" s="3" t="s">
        <v>34</v>
      </c>
      <c r="J1057" s="3" t="s">
        <v>35</v>
      </c>
      <c r="K1057" s="3"/>
      <c r="L1057" s="3" t="s">
        <v>36</v>
      </c>
      <c r="M1057" s="3" t="str">
        <f>CONCATENATE("FRTGFR49S26D542W")</f>
        <v>FRTGFR49S26D542W</v>
      </c>
      <c r="N1057" s="3" t="s">
        <v>1187</v>
      </c>
      <c r="O1057" s="3" t="s">
        <v>38</v>
      </c>
      <c r="P1057" s="3"/>
      <c r="Q1057" s="4">
        <v>45968</v>
      </c>
      <c r="R1057" s="3" t="s">
        <v>39</v>
      </c>
      <c r="S1057" s="3" t="s">
        <v>38</v>
      </c>
      <c r="T1057" s="3" t="s">
        <v>40</v>
      </c>
      <c r="U1057" s="3"/>
      <c r="V1057" s="3" t="s">
        <v>41</v>
      </c>
      <c r="W1057" s="5">
        <v>1659.99</v>
      </c>
      <c r="X1057" s="5">
        <v>1244.99</v>
      </c>
      <c r="Y1057" s="3">
        <v>290.5</v>
      </c>
      <c r="Z1057" s="3">
        <v>124.5</v>
      </c>
      <c r="AA1057" s="3">
        <v>0</v>
      </c>
    </row>
    <row r="1058" spans="1:27" ht="72.75" x14ac:dyDescent="0.25">
      <c r="A1058" s="3" t="s">
        <v>28</v>
      </c>
      <c r="B1058" s="3" t="s">
        <v>29</v>
      </c>
      <c r="C1058" s="3" t="s">
        <v>30</v>
      </c>
      <c r="D1058" s="3" t="s">
        <v>31</v>
      </c>
      <c r="E1058" s="3" t="s">
        <v>1188</v>
      </c>
      <c r="F1058" s="3" t="s">
        <v>1189</v>
      </c>
      <c r="G1058" s="3">
        <v>2025</v>
      </c>
      <c r="H1058" s="3" t="str">
        <f>CONCATENATE("54240671468")</f>
        <v>54240671468</v>
      </c>
      <c r="I1058" s="3" t="s">
        <v>34</v>
      </c>
      <c r="J1058" s="3" t="s">
        <v>35</v>
      </c>
      <c r="K1058" s="3"/>
      <c r="L1058" s="3" t="s">
        <v>36</v>
      </c>
      <c r="M1058" s="3" t="str">
        <f>CONCATENATE("MGAMSM56A09A271K")</f>
        <v>MGAMSM56A09A271K</v>
      </c>
      <c r="N1058" s="3" t="s">
        <v>1190</v>
      </c>
      <c r="O1058" s="3" t="s">
        <v>38</v>
      </c>
      <c r="P1058" s="3"/>
      <c r="Q1058" s="4">
        <v>45968</v>
      </c>
      <c r="R1058" s="3" t="s">
        <v>39</v>
      </c>
      <c r="S1058" s="3" t="s">
        <v>38</v>
      </c>
      <c r="T1058" s="3" t="s">
        <v>40</v>
      </c>
      <c r="U1058" s="3"/>
      <c r="V1058" s="3" t="s">
        <v>41</v>
      </c>
      <c r="W1058" s="5">
        <v>3014.79</v>
      </c>
      <c r="X1058" s="5">
        <v>2261.09</v>
      </c>
      <c r="Y1058" s="3">
        <v>527.59</v>
      </c>
      <c r="Z1058" s="3">
        <v>226.11</v>
      </c>
      <c r="AA1058" s="3">
        <v>0</v>
      </c>
    </row>
    <row r="1059" spans="1:27" ht="72.75" x14ac:dyDescent="0.25">
      <c r="A1059" s="3" t="s">
        <v>28</v>
      </c>
      <c r="B1059" s="3" t="s">
        <v>29</v>
      </c>
      <c r="C1059" s="3" t="s">
        <v>30</v>
      </c>
      <c r="D1059" s="3" t="s">
        <v>31</v>
      </c>
      <c r="E1059" s="3" t="s">
        <v>132</v>
      </c>
      <c r="F1059" s="3" t="s">
        <v>133</v>
      </c>
      <c r="G1059" s="3">
        <v>2025</v>
      </c>
      <c r="H1059" s="3" t="str">
        <f>CONCATENATE("54240630688")</f>
        <v>54240630688</v>
      </c>
      <c r="I1059" s="3" t="s">
        <v>34</v>
      </c>
      <c r="J1059" s="3" t="s">
        <v>35</v>
      </c>
      <c r="K1059" s="3"/>
      <c r="L1059" s="3" t="s">
        <v>36</v>
      </c>
      <c r="M1059" s="3" t="str">
        <f>CONCATENATE("CMRGRL71M10A271W")</f>
        <v>CMRGRL71M10A271W</v>
      </c>
      <c r="N1059" s="3" t="s">
        <v>1191</v>
      </c>
      <c r="O1059" s="3" t="s">
        <v>38</v>
      </c>
      <c r="P1059" s="3"/>
      <c r="Q1059" s="4">
        <v>45968</v>
      </c>
      <c r="R1059" s="3" t="s">
        <v>39</v>
      </c>
      <c r="S1059" s="3" t="s">
        <v>38</v>
      </c>
      <c r="T1059" s="3" t="s">
        <v>40</v>
      </c>
      <c r="U1059" s="3"/>
      <c r="V1059" s="3" t="s">
        <v>41</v>
      </c>
      <c r="W1059" s="3">
        <v>301.08999999999997</v>
      </c>
      <c r="X1059" s="3">
        <v>225.82</v>
      </c>
      <c r="Y1059" s="3">
        <v>52.69</v>
      </c>
      <c r="Z1059" s="3">
        <v>22.58</v>
      </c>
      <c r="AA1059" s="3">
        <v>0</v>
      </c>
    </row>
    <row r="1060" spans="1:27" ht="36.75" x14ac:dyDescent="0.25">
      <c r="A1060" s="3" t="s">
        <v>28</v>
      </c>
      <c r="B1060" s="3" t="s">
        <v>29</v>
      </c>
      <c r="C1060" s="3" t="s">
        <v>30</v>
      </c>
      <c r="D1060" s="3" t="s">
        <v>47</v>
      </c>
      <c r="E1060" s="3" t="s">
        <v>48</v>
      </c>
      <c r="F1060" s="3" t="s">
        <v>249</v>
      </c>
      <c r="G1060" s="3">
        <v>2025</v>
      </c>
      <c r="H1060" s="3" t="str">
        <f>CONCATENATE("54240502382")</f>
        <v>54240502382</v>
      </c>
      <c r="I1060" s="3" t="s">
        <v>34</v>
      </c>
      <c r="J1060" s="3" t="s">
        <v>35</v>
      </c>
      <c r="K1060" s="3"/>
      <c r="L1060" s="3" t="s">
        <v>36</v>
      </c>
      <c r="M1060" s="3" t="str">
        <f>CONCATENATE("01987370432")</f>
        <v>01987370432</v>
      </c>
      <c r="N1060" s="3" t="s">
        <v>1192</v>
      </c>
      <c r="O1060" s="3" t="s">
        <v>38</v>
      </c>
      <c r="P1060" s="3"/>
      <c r="Q1060" s="4">
        <v>45968</v>
      </c>
      <c r="R1060" s="3" t="s">
        <v>39</v>
      </c>
      <c r="S1060" s="3" t="s">
        <v>38</v>
      </c>
      <c r="T1060" s="3" t="s">
        <v>40</v>
      </c>
      <c r="U1060" s="3"/>
      <c r="V1060" s="3" t="s">
        <v>41</v>
      </c>
      <c r="W1060" s="5">
        <v>6106.65</v>
      </c>
      <c r="X1060" s="5">
        <v>4579.99</v>
      </c>
      <c r="Y1060" s="5">
        <v>1068.6600000000001</v>
      </c>
      <c r="Z1060" s="3">
        <v>458</v>
      </c>
      <c r="AA1060" s="3">
        <v>0</v>
      </c>
    </row>
    <row r="1061" spans="1:27" ht="60.75" x14ac:dyDescent="0.25">
      <c r="A1061" s="3" t="s">
        <v>28</v>
      </c>
      <c r="B1061" s="3" t="s">
        <v>29</v>
      </c>
      <c r="C1061" s="3" t="s">
        <v>30</v>
      </c>
      <c r="D1061" s="3" t="s">
        <v>47</v>
      </c>
      <c r="E1061" s="3" t="s">
        <v>48</v>
      </c>
      <c r="F1061" s="3" t="s">
        <v>249</v>
      </c>
      <c r="G1061" s="3">
        <v>2025</v>
      </c>
      <c r="H1061" s="3" t="str">
        <f>CONCATENATE("54240504479")</f>
        <v>54240504479</v>
      </c>
      <c r="I1061" s="3" t="s">
        <v>34</v>
      </c>
      <c r="J1061" s="3" t="s">
        <v>35</v>
      </c>
      <c r="K1061" s="3"/>
      <c r="L1061" s="3" t="s">
        <v>36</v>
      </c>
      <c r="M1061" s="3" t="str">
        <f>CONCATENATE("CMPLRZ84H41L366R")</f>
        <v>CMPLRZ84H41L366R</v>
      </c>
      <c r="N1061" s="3" t="s">
        <v>1193</v>
      </c>
      <c r="O1061" s="3" t="s">
        <v>38</v>
      </c>
      <c r="P1061" s="3"/>
      <c r="Q1061" s="4">
        <v>45968</v>
      </c>
      <c r="R1061" s="3" t="s">
        <v>39</v>
      </c>
      <c r="S1061" s="3" t="s">
        <v>38</v>
      </c>
      <c r="T1061" s="3" t="s">
        <v>40</v>
      </c>
      <c r="U1061" s="3"/>
      <c r="V1061" s="3" t="s">
        <v>41</v>
      </c>
      <c r="W1061" s="3">
        <v>822.67</v>
      </c>
      <c r="X1061" s="3">
        <v>617</v>
      </c>
      <c r="Y1061" s="3">
        <v>143.97</v>
      </c>
      <c r="Z1061" s="3">
        <v>61.7</v>
      </c>
      <c r="AA1061" s="3">
        <v>0</v>
      </c>
    </row>
    <row r="1062" spans="1:27" ht="36.75" x14ac:dyDescent="0.25">
      <c r="A1062" s="3" t="s">
        <v>28</v>
      </c>
      <c r="B1062" s="3" t="s">
        <v>29</v>
      </c>
      <c r="C1062" s="3" t="s">
        <v>30</v>
      </c>
      <c r="D1062" s="3" t="s">
        <v>42</v>
      </c>
      <c r="E1062" s="3" t="s">
        <v>51</v>
      </c>
      <c r="F1062" s="3" t="s">
        <v>52</v>
      </c>
      <c r="G1062" s="3">
        <v>2025</v>
      </c>
      <c r="H1062" s="3" t="str">
        <f>CONCATENATE("54240504321")</f>
        <v>54240504321</v>
      </c>
      <c r="I1062" s="3" t="s">
        <v>34</v>
      </c>
      <c r="J1062" s="3" t="s">
        <v>35</v>
      </c>
      <c r="K1062" s="3"/>
      <c r="L1062" s="3" t="s">
        <v>36</v>
      </c>
      <c r="M1062" s="3" t="str">
        <f>CONCATENATE("01952370441")</f>
        <v>01952370441</v>
      </c>
      <c r="N1062" s="3" t="s">
        <v>1194</v>
      </c>
      <c r="O1062" s="3" t="s">
        <v>38</v>
      </c>
      <c r="P1062" s="3"/>
      <c r="Q1062" s="4">
        <v>45968</v>
      </c>
      <c r="R1062" s="3" t="s">
        <v>39</v>
      </c>
      <c r="S1062" s="3" t="s">
        <v>38</v>
      </c>
      <c r="T1062" s="3" t="s">
        <v>40</v>
      </c>
      <c r="U1062" s="3"/>
      <c r="V1062" s="3" t="s">
        <v>41</v>
      </c>
      <c r="W1062" s="5">
        <v>3194.82</v>
      </c>
      <c r="X1062" s="5">
        <v>2396.12</v>
      </c>
      <c r="Y1062" s="3">
        <v>559.09</v>
      </c>
      <c r="Z1062" s="3">
        <v>239.61</v>
      </c>
      <c r="AA1062" s="3">
        <v>0</v>
      </c>
    </row>
    <row r="1063" spans="1:27" ht="60.75" x14ac:dyDescent="0.25">
      <c r="A1063" s="3" t="s">
        <v>28</v>
      </c>
      <c r="B1063" s="3" t="s">
        <v>29</v>
      </c>
      <c r="C1063" s="3" t="s">
        <v>30</v>
      </c>
      <c r="D1063" s="3" t="s">
        <v>65</v>
      </c>
      <c r="E1063" s="3" t="s">
        <v>32</v>
      </c>
      <c r="F1063" s="3" t="s">
        <v>95</v>
      </c>
      <c r="G1063" s="3">
        <v>2025</v>
      </c>
      <c r="H1063" s="3" t="str">
        <f>CONCATENATE("54240633823")</f>
        <v>54240633823</v>
      </c>
      <c r="I1063" s="3" t="s">
        <v>34</v>
      </c>
      <c r="J1063" s="3" t="s">
        <v>35</v>
      </c>
      <c r="K1063" s="3"/>
      <c r="L1063" s="3" t="s">
        <v>36</v>
      </c>
      <c r="M1063" s="3" t="str">
        <f>CONCATENATE("LCRGCM79M16B352L")</f>
        <v>LCRGCM79M16B352L</v>
      </c>
      <c r="N1063" s="3" t="s">
        <v>1195</v>
      </c>
      <c r="O1063" s="3" t="s">
        <v>38</v>
      </c>
      <c r="P1063" s="3"/>
      <c r="Q1063" s="4">
        <v>45968</v>
      </c>
      <c r="R1063" s="3" t="s">
        <v>39</v>
      </c>
      <c r="S1063" s="3" t="s">
        <v>38</v>
      </c>
      <c r="T1063" s="3" t="s">
        <v>40</v>
      </c>
      <c r="U1063" s="3"/>
      <c r="V1063" s="3" t="s">
        <v>41</v>
      </c>
      <c r="W1063" s="5">
        <v>4107.07</v>
      </c>
      <c r="X1063" s="5">
        <v>3080.3</v>
      </c>
      <c r="Y1063" s="3">
        <v>718.74</v>
      </c>
      <c r="Z1063" s="3">
        <v>308.02999999999997</v>
      </c>
      <c r="AA1063" s="3">
        <v>0</v>
      </c>
    </row>
    <row r="1064" spans="1:27" ht="36.75" x14ac:dyDescent="0.25">
      <c r="A1064" s="3" t="s">
        <v>28</v>
      </c>
      <c r="B1064" s="3" t="s">
        <v>29</v>
      </c>
      <c r="C1064" s="3" t="s">
        <v>30</v>
      </c>
      <c r="D1064" s="3" t="s">
        <v>65</v>
      </c>
      <c r="E1064" s="3" t="s">
        <v>32</v>
      </c>
      <c r="F1064" s="3" t="s">
        <v>95</v>
      </c>
      <c r="G1064" s="3">
        <v>2025</v>
      </c>
      <c r="H1064" s="3" t="str">
        <f>CONCATENATE("54240625860")</f>
        <v>54240625860</v>
      </c>
      <c r="I1064" s="3" t="s">
        <v>34</v>
      </c>
      <c r="J1064" s="3" t="s">
        <v>35</v>
      </c>
      <c r="K1064" s="3"/>
      <c r="L1064" s="3" t="s">
        <v>36</v>
      </c>
      <c r="M1064" s="3" t="str">
        <f>CONCATENATE("02329380410")</f>
        <v>02329380410</v>
      </c>
      <c r="N1064" s="3" t="s">
        <v>1196</v>
      </c>
      <c r="O1064" s="3" t="s">
        <v>38</v>
      </c>
      <c r="P1064" s="3"/>
      <c r="Q1064" s="4">
        <v>45968</v>
      </c>
      <c r="R1064" s="3" t="s">
        <v>39</v>
      </c>
      <c r="S1064" s="3" t="s">
        <v>38</v>
      </c>
      <c r="T1064" s="3" t="s">
        <v>40</v>
      </c>
      <c r="U1064" s="3"/>
      <c r="V1064" s="3" t="s">
        <v>41</v>
      </c>
      <c r="W1064" s="3">
        <v>198.08</v>
      </c>
      <c r="X1064" s="3">
        <v>148.56</v>
      </c>
      <c r="Y1064" s="3">
        <v>34.659999999999997</v>
      </c>
      <c r="Z1064" s="3">
        <v>14.86</v>
      </c>
      <c r="AA1064" s="3">
        <v>0</v>
      </c>
    </row>
    <row r="1065" spans="1:27" ht="72.75" x14ac:dyDescent="0.25">
      <c r="A1065" s="3" t="s">
        <v>28</v>
      </c>
      <c r="B1065" s="3" t="s">
        <v>29</v>
      </c>
      <c r="C1065" s="3" t="s">
        <v>30</v>
      </c>
      <c r="D1065" s="3" t="s">
        <v>65</v>
      </c>
      <c r="E1065" s="3" t="s">
        <v>51</v>
      </c>
      <c r="F1065" s="3" t="s">
        <v>240</v>
      </c>
      <c r="G1065" s="3">
        <v>2025</v>
      </c>
      <c r="H1065" s="3" t="str">
        <f>CONCATENATE("54240509684")</f>
        <v>54240509684</v>
      </c>
      <c r="I1065" s="3" t="s">
        <v>34</v>
      </c>
      <c r="J1065" s="3" t="s">
        <v>35</v>
      </c>
      <c r="K1065" s="3"/>
      <c r="L1065" s="3" t="s">
        <v>36</v>
      </c>
      <c r="M1065" s="3" t="str">
        <f>CONCATENATE("GRRNDR69R17G479O")</f>
        <v>GRRNDR69R17G479O</v>
      </c>
      <c r="N1065" s="3" t="s">
        <v>752</v>
      </c>
      <c r="O1065" s="3" t="s">
        <v>38</v>
      </c>
      <c r="P1065" s="3"/>
      <c r="Q1065" s="4">
        <v>45968</v>
      </c>
      <c r="R1065" s="3" t="s">
        <v>39</v>
      </c>
      <c r="S1065" s="3" t="s">
        <v>38</v>
      </c>
      <c r="T1065" s="3" t="s">
        <v>40</v>
      </c>
      <c r="U1065" s="3"/>
      <c r="V1065" s="3" t="s">
        <v>41</v>
      </c>
      <c r="W1065" s="5">
        <v>2550.42</v>
      </c>
      <c r="X1065" s="5">
        <v>1912.82</v>
      </c>
      <c r="Y1065" s="3">
        <v>446.32</v>
      </c>
      <c r="Z1065" s="3">
        <v>191.28</v>
      </c>
      <c r="AA1065" s="3">
        <v>0</v>
      </c>
    </row>
    <row r="1066" spans="1:27" ht="60.75" x14ac:dyDescent="0.25">
      <c r="A1066" s="3" t="s">
        <v>28</v>
      </c>
      <c r="B1066" s="3" t="s">
        <v>29</v>
      </c>
      <c r="C1066" s="3" t="s">
        <v>30</v>
      </c>
      <c r="D1066" s="3" t="s">
        <v>47</v>
      </c>
      <c r="E1066" s="3" t="s">
        <v>51</v>
      </c>
      <c r="F1066" s="3" t="s">
        <v>828</v>
      </c>
      <c r="G1066" s="3">
        <v>2025</v>
      </c>
      <c r="H1066" s="3" t="str">
        <f>CONCATENATE("54240506185")</f>
        <v>54240506185</v>
      </c>
      <c r="I1066" s="3" t="s">
        <v>34</v>
      </c>
      <c r="J1066" s="3" t="s">
        <v>35</v>
      </c>
      <c r="K1066" s="3"/>
      <c r="L1066" s="3" t="s">
        <v>36</v>
      </c>
      <c r="M1066" s="3" t="str">
        <f>CONCATENATE("CMBNRC61D09I156I")</f>
        <v>CMBNRC61D09I156I</v>
      </c>
      <c r="N1066" s="3" t="s">
        <v>1197</v>
      </c>
      <c r="O1066" s="3" t="s">
        <v>38</v>
      </c>
      <c r="P1066" s="3"/>
      <c r="Q1066" s="4">
        <v>45968</v>
      </c>
      <c r="R1066" s="3" t="s">
        <v>39</v>
      </c>
      <c r="S1066" s="3" t="s">
        <v>38</v>
      </c>
      <c r="T1066" s="3" t="s">
        <v>40</v>
      </c>
      <c r="U1066" s="3"/>
      <c r="V1066" s="3" t="s">
        <v>41</v>
      </c>
      <c r="W1066" s="5">
        <v>4098.26</v>
      </c>
      <c r="X1066" s="5">
        <v>3073.7</v>
      </c>
      <c r="Y1066" s="3">
        <v>717.2</v>
      </c>
      <c r="Z1066" s="3">
        <v>307.36</v>
      </c>
      <c r="AA1066" s="3">
        <v>0</v>
      </c>
    </row>
    <row r="1067" spans="1:27" ht="60.75" x14ac:dyDescent="0.25">
      <c r="A1067" s="3" t="s">
        <v>28</v>
      </c>
      <c r="B1067" s="3" t="s">
        <v>29</v>
      </c>
      <c r="C1067" s="3" t="s">
        <v>30</v>
      </c>
      <c r="D1067" s="3" t="s">
        <v>42</v>
      </c>
      <c r="E1067" s="3" t="s">
        <v>60</v>
      </c>
      <c r="F1067" s="3" t="s">
        <v>245</v>
      </c>
      <c r="G1067" s="3">
        <v>2025</v>
      </c>
      <c r="H1067" s="3" t="str">
        <f>CONCATENATE("54240506631")</f>
        <v>54240506631</v>
      </c>
      <c r="I1067" s="3" t="s">
        <v>34</v>
      </c>
      <c r="J1067" s="3" t="s">
        <v>35</v>
      </c>
      <c r="K1067" s="3"/>
      <c r="L1067" s="3" t="s">
        <v>36</v>
      </c>
      <c r="M1067" s="3" t="str">
        <f>CONCATENATE("SPLSFN71E29D542U")</f>
        <v>SPLSFN71E29D542U</v>
      </c>
      <c r="N1067" s="3" t="s">
        <v>1198</v>
      </c>
      <c r="O1067" s="3" t="s">
        <v>38</v>
      </c>
      <c r="P1067" s="3"/>
      <c r="Q1067" s="4">
        <v>45968</v>
      </c>
      <c r="R1067" s="3" t="s">
        <v>39</v>
      </c>
      <c r="S1067" s="3" t="s">
        <v>38</v>
      </c>
      <c r="T1067" s="3" t="s">
        <v>40</v>
      </c>
      <c r="U1067" s="3"/>
      <c r="V1067" s="3" t="s">
        <v>41</v>
      </c>
      <c r="W1067" s="5">
        <v>2658.14</v>
      </c>
      <c r="X1067" s="5">
        <v>1993.61</v>
      </c>
      <c r="Y1067" s="3">
        <v>465.17</v>
      </c>
      <c r="Z1067" s="3">
        <v>199.36</v>
      </c>
      <c r="AA1067" s="3">
        <v>0</v>
      </c>
    </row>
    <row r="1068" spans="1:27" ht="36.75" x14ac:dyDescent="0.25">
      <c r="A1068" s="3" t="s">
        <v>28</v>
      </c>
      <c r="B1068" s="3" t="s">
        <v>29</v>
      </c>
      <c r="C1068" s="3" t="s">
        <v>30</v>
      </c>
      <c r="D1068" s="3" t="s">
        <v>31</v>
      </c>
      <c r="E1068" s="3" t="s">
        <v>60</v>
      </c>
      <c r="F1068" s="3" t="s">
        <v>61</v>
      </c>
      <c r="G1068" s="3">
        <v>2025</v>
      </c>
      <c r="H1068" s="3" t="str">
        <f>CONCATENATE("54240507191")</f>
        <v>54240507191</v>
      </c>
      <c r="I1068" s="3" t="s">
        <v>34</v>
      </c>
      <c r="J1068" s="3" t="s">
        <v>35</v>
      </c>
      <c r="K1068" s="3"/>
      <c r="L1068" s="3" t="s">
        <v>36</v>
      </c>
      <c r="M1068" s="3" t="str">
        <f>CONCATENATE("12107051000")</f>
        <v>12107051000</v>
      </c>
      <c r="N1068" s="3" t="s">
        <v>1199</v>
      </c>
      <c r="O1068" s="3" t="s">
        <v>38</v>
      </c>
      <c r="P1068" s="3"/>
      <c r="Q1068" s="4">
        <v>45968</v>
      </c>
      <c r="R1068" s="3" t="s">
        <v>39</v>
      </c>
      <c r="S1068" s="3" t="s">
        <v>38</v>
      </c>
      <c r="T1068" s="3" t="s">
        <v>40</v>
      </c>
      <c r="U1068" s="3"/>
      <c r="V1068" s="3" t="s">
        <v>41</v>
      </c>
      <c r="W1068" s="3">
        <v>57.91</v>
      </c>
      <c r="X1068" s="3">
        <v>43.43</v>
      </c>
      <c r="Y1068" s="3">
        <v>10.130000000000001</v>
      </c>
      <c r="Z1068" s="3">
        <v>4.3499999999999996</v>
      </c>
      <c r="AA1068" s="3">
        <v>0</v>
      </c>
    </row>
    <row r="1069" spans="1:27" ht="60.75" x14ac:dyDescent="0.25">
      <c r="A1069" s="3" t="s">
        <v>28</v>
      </c>
      <c r="B1069" s="3" t="s">
        <v>29</v>
      </c>
      <c r="C1069" s="3" t="s">
        <v>30</v>
      </c>
      <c r="D1069" s="3" t="s">
        <v>42</v>
      </c>
      <c r="E1069" s="3" t="s">
        <v>32</v>
      </c>
      <c r="F1069" s="3" t="s">
        <v>322</v>
      </c>
      <c r="G1069" s="3">
        <v>2025</v>
      </c>
      <c r="H1069" s="3" t="str">
        <f>CONCATENATE("54240632064")</f>
        <v>54240632064</v>
      </c>
      <c r="I1069" s="3" t="s">
        <v>34</v>
      </c>
      <c r="J1069" s="3" t="s">
        <v>35</v>
      </c>
      <c r="K1069" s="3"/>
      <c r="L1069" s="3" t="s">
        <v>36</v>
      </c>
      <c r="M1069" s="3" t="str">
        <f>CONCATENATE("SNZGCM73D03F520W")</f>
        <v>SNZGCM73D03F520W</v>
      </c>
      <c r="N1069" s="3" t="s">
        <v>1200</v>
      </c>
      <c r="O1069" s="3" t="s">
        <v>38</v>
      </c>
      <c r="P1069" s="3"/>
      <c r="Q1069" s="4">
        <v>45968</v>
      </c>
      <c r="R1069" s="3" t="s">
        <v>39</v>
      </c>
      <c r="S1069" s="3" t="s">
        <v>38</v>
      </c>
      <c r="T1069" s="3" t="s">
        <v>40</v>
      </c>
      <c r="U1069" s="3"/>
      <c r="V1069" s="3" t="s">
        <v>41</v>
      </c>
      <c r="W1069" s="5">
        <v>24512.43</v>
      </c>
      <c r="X1069" s="5">
        <v>18384.32</v>
      </c>
      <c r="Y1069" s="5">
        <v>4289.68</v>
      </c>
      <c r="Z1069" s="5">
        <v>1838.43</v>
      </c>
      <c r="AA1069" s="3">
        <v>0</v>
      </c>
    </row>
    <row r="1070" spans="1:27" ht="72.75" x14ac:dyDescent="0.25">
      <c r="A1070" s="3" t="s">
        <v>28</v>
      </c>
      <c r="B1070" s="3" t="s">
        <v>29</v>
      </c>
      <c r="C1070" s="3" t="s">
        <v>30</v>
      </c>
      <c r="D1070" s="3" t="s">
        <v>31</v>
      </c>
      <c r="E1070" s="3" t="s">
        <v>132</v>
      </c>
      <c r="F1070" s="3" t="s">
        <v>133</v>
      </c>
      <c r="G1070" s="3">
        <v>2025</v>
      </c>
      <c r="H1070" s="3" t="str">
        <f>CONCATENATE("54240641362")</f>
        <v>54240641362</v>
      </c>
      <c r="I1070" s="3" t="s">
        <v>34</v>
      </c>
      <c r="J1070" s="3" t="s">
        <v>35</v>
      </c>
      <c r="K1070" s="3"/>
      <c r="L1070" s="3" t="s">
        <v>36</v>
      </c>
      <c r="M1070" s="3" t="str">
        <f>CONCATENATE("MGRCTA63M52C357V")</f>
        <v>MGRCTA63M52C357V</v>
      </c>
      <c r="N1070" s="3" t="s">
        <v>1201</v>
      </c>
      <c r="O1070" s="3" t="s">
        <v>38</v>
      </c>
      <c r="P1070" s="3"/>
      <c r="Q1070" s="4">
        <v>45968</v>
      </c>
      <c r="R1070" s="3" t="s">
        <v>39</v>
      </c>
      <c r="S1070" s="3" t="s">
        <v>38</v>
      </c>
      <c r="T1070" s="3" t="s">
        <v>40</v>
      </c>
      <c r="U1070" s="3"/>
      <c r="V1070" s="3" t="s">
        <v>41</v>
      </c>
      <c r="W1070" s="5">
        <v>1995.59</v>
      </c>
      <c r="X1070" s="5">
        <v>1496.69</v>
      </c>
      <c r="Y1070" s="3">
        <v>349.23</v>
      </c>
      <c r="Z1070" s="3">
        <v>149.66999999999999</v>
      </c>
      <c r="AA1070" s="3">
        <v>0</v>
      </c>
    </row>
    <row r="1071" spans="1:27" ht="36.75" x14ac:dyDescent="0.25">
      <c r="A1071" s="3" t="s">
        <v>28</v>
      </c>
      <c r="B1071" s="3" t="s">
        <v>29</v>
      </c>
      <c r="C1071" s="3" t="s">
        <v>30</v>
      </c>
      <c r="D1071" s="3" t="s">
        <v>47</v>
      </c>
      <c r="E1071" s="3" t="s">
        <v>48</v>
      </c>
      <c r="F1071" s="3" t="s">
        <v>49</v>
      </c>
      <c r="G1071" s="3">
        <v>2025</v>
      </c>
      <c r="H1071" s="3" t="str">
        <f>CONCATENATE("54240502457")</f>
        <v>54240502457</v>
      </c>
      <c r="I1071" s="3" t="s">
        <v>34</v>
      </c>
      <c r="J1071" s="3" t="s">
        <v>35</v>
      </c>
      <c r="K1071" s="3"/>
      <c r="L1071" s="3" t="s">
        <v>36</v>
      </c>
      <c r="M1071" s="3" t="str">
        <f>CONCATENATE("01866910431")</f>
        <v>01866910431</v>
      </c>
      <c r="N1071" s="3" t="s">
        <v>1202</v>
      </c>
      <c r="O1071" s="3" t="s">
        <v>38</v>
      </c>
      <c r="P1071" s="3"/>
      <c r="Q1071" s="4">
        <v>45968</v>
      </c>
      <c r="R1071" s="3" t="s">
        <v>39</v>
      </c>
      <c r="S1071" s="3" t="s">
        <v>38</v>
      </c>
      <c r="T1071" s="3" t="s">
        <v>40</v>
      </c>
      <c r="U1071" s="3"/>
      <c r="V1071" s="3" t="s">
        <v>41</v>
      </c>
      <c r="W1071" s="5">
        <v>6768.04</v>
      </c>
      <c r="X1071" s="5">
        <v>5076.03</v>
      </c>
      <c r="Y1071" s="5">
        <v>1184.4100000000001</v>
      </c>
      <c r="Z1071" s="3">
        <v>507.6</v>
      </c>
      <c r="AA1071" s="3">
        <v>0</v>
      </c>
    </row>
    <row r="1072" spans="1:27" ht="36.75" x14ac:dyDescent="0.25">
      <c r="A1072" s="3" t="s">
        <v>28</v>
      </c>
      <c r="B1072" s="3" t="s">
        <v>29</v>
      </c>
      <c r="C1072" s="3" t="s">
        <v>30</v>
      </c>
      <c r="D1072" s="3" t="s">
        <v>31</v>
      </c>
      <c r="E1072" s="3" t="s">
        <v>51</v>
      </c>
      <c r="F1072" s="3" t="s">
        <v>99</v>
      </c>
      <c r="G1072" s="3">
        <v>2025</v>
      </c>
      <c r="H1072" s="3" t="str">
        <f>CONCATENATE("54240626165")</f>
        <v>54240626165</v>
      </c>
      <c r="I1072" s="3" t="s">
        <v>34</v>
      </c>
      <c r="J1072" s="3" t="s">
        <v>35</v>
      </c>
      <c r="K1072" s="3"/>
      <c r="L1072" s="3" t="s">
        <v>36</v>
      </c>
      <c r="M1072" s="3" t="str">
        <f>CONCATENATE("02882270420")</f>
        <v>02882270420</v>
      </c>
      <c r="N1072" s="3" t="s">
        <v>1203</v>
      </c>
      <c r="O1072" s="3" t="s">
        <v>38</v>
      </c>
      <c r="P1072" s="3"/>
      <c r="Q1072" s="4">
        <v>45968</v>
      </c>
      <c r="R1072" s="3" t="s">
        <v>39</v>
      </c>
      <c r="S1072" s="3" t="s">
        <v>38</v>
      </c>
      <c r="T1072" s="3" t="s">
        <v>40</v>
      </c>
      <c r="U1072" s="3"/>
      <c r="V1072" s="3" t="s">
        <v>41</v>
      </c>
      <c r="W1072" s="5">
        <v>9034.7099999999991</v>
      </c>
      <c r="X1072" s="5">
        <v>6776.03</v>
      </c>
      <c r="Y1072" s="5">
        <v>1581.07</v>
      </c>
      <c r="Z1072" s="3">
        <v>677.61</v>
      </c>
      <c r="AA1072" s="3">
        <v>0</v>
      </c>
    </row>
    <row r="1073" spans="1:27" ht="60.75" x14ac:dyDescent="0.25">
      <c r="A1073" s="3" t="s">
        <v>28</v>
      </c>
      <c r="B1073" s="3" t="s">
        <v>29</v>
      </c>
      <c r="C1073" s="3" t="s">
        <v>30</v>
      </c>
      <c r="D1073" s="3" t="s">
        <v>47</v>
      </c>
      <c r="E1073" s="3" t="s">
        <v>51</v>
      </c>
      <c r="F1073" s="3" t="s">
        <v>83</v>
      </c>
      <c r="G1073" s="3">
        <v>2025</v>
      </c>
      <c r="H1073" s="3" t="str">
        <f>CONCATENATE("54240506524")</f>
        <v>54240506524</v>
      </c>
      <c r="I1073" s="3" t="s">
        <v>34</v>
      </c>
      <c r="J1073" s="3" t="s">
        <v>35</v>
      </c>
      <c r="K1073" s="3"/>
      <c r="L1073" s="3" t="s">
        <v>36</v>
      </c>
      <c r="M1073" s="3" t="str">
        <f>CONCATENATE("CRSPQL70B12F051W")</f>
        <v>CRSPQL70B12F051W</v>
      </c>
      <c r="N1073" s="3" t="s">
        <v>1204</v>
      </c>
      <c r="O1073" s="3" t="s">
        <v>38</v>
      </c>
      <c r="P1073" s="3"/>
      <c r="Q1073" s="4">
        <v>45968</v>
      </c>
      <c r="R1073" s="3" t="s">
        <v>39</v>
      </c>
      <c r="S1073" s="3" t="s">
        <v>38</v>
      </c>
      <c r="T1073" s="3" t="s">
        <v>40</v>
      </c>
      <c r="U1073" s="3"/>
      <c r="V1073" s="3" t="s">
        <v>41</v>
      </c>
      <c r="W1073" s="5">
        <v>1766.55</v>
      </c>
      <c r="X1073" s="5">
        <v>1324.91</v>
      </c>
      <c r="Y1073" s="3">
        <v>309.14999999999998</v>
      </c>
      <c r="Z1073" s="3">
        <v>132.49</v>
      </c>
      <c r="AA1073" s="3">
        <v>0</v>
      </c>
    </row>
    <row r="1074" spans="1:27" ht="60.75" x14ac:dyDescent="0.25">
      <c r="A1074" s="3" t="s">
        <v>28</v>
      </c>
      <c r="B1074" s="3" t="s">
        <v>29</v>
      </c>
      <c r="C1074" s="3" t="s">
        <v>30</v>
      </c>
      <c r="D1074" s="3" t="s">
        <v>31</v>
      </c>
      <c r="E1074" s="3" t="s">
        <v>51</v>
      </c>
      <c r="F1074" s="3" t="s">
        <v>99</v>
      </c>
      <c r="G1074" s="3">
        <v>2025</v>
      </c>
      <c r="H1074" s="3" t="str">
        <f>CONCATENATE("54240506862")</f>
        <v>54240506862</v>
      </c>
      <c r="I1074" s="3" t="s">
        <v>34</v>
      </c>
      <c r="J1074" s="3" t="s">
        <v>35</v>
      </c>
      <c r="K1074" s="3"/>
      <c r="L1074" s="3" t="s">
        <v>36</v>
      </c>
      <c r="M1074" s="3" t="str">
        <f>CONCATENATE("TRTPTR45S03G131D")</f>
        <v>TRTPTR45S03G131D</v>
      </c>
      <c r="N1074" s="3" t="s">
        <v>1205</v>
      </c>
      <c r="O1074" s="3" t="s">
        <v>38</v>
      </c>
      <c r="P1074" s="3"/>
      <c r="Q1074" s="4">
        <v>45968</v>
      </c>
      <c r="R1074" s="3" t="s">
        <v>39</v>
      </c>
      <c r="S1074" s="3" t="s">
        <v>38</v>
      </c>
      <c r="T1074" s="3" t="s">
        <v>40</v>
      </c>
      <c r="U1074" s="3"/>
      <c r="V1074" s="3" t="s">
        <v>41</v>
      </c>
      <c r="W1074" s="3">
        <v>786.98</v>
      </c>
      <c r="X1074" s="3">
        <v>590.24</v>
      </c>
      <c r="Y1074" s="3">
        <v>137.72</v>
      </c>
      <c r="Z1074" s="3">
        <v>59.02</v>
      </c>
      <c r="AA1074" s="3">
        <v>0</v>
      </c>
    </row>
    <row r="1075" spans="1:27" ht="36.75" x14ac:dyDescent="0.25">
      <c r="A1075" s="3" t="s">
        <v>28</v>
      </c>
      <c r="B1075" s="3" t="s">
        <v>29</v>
      </c>
      <c r="C1075" s="3" t="s">
        <v>30</v>
      </c>
      <c r="D1075" s="3" t="s">
        <v>65</v>
      </c>
      <c r="E1075" s="3" t="s">
        <v>43</v>
      </c>
      <c r="F1075" s="3" t="s">
        <v>43</v>
      </c>
      <c r="G1075" s="3">
        <v>2025</v>
      </c>
      <c r="H1075" s="3" t="str">
        <f>CONCATENATE("54240641214")</f>
        <v>54240641214</v>
      </c>
      <c r="I1075" s="3" t="s">
        <v>34</v>
      </c>
      <c r="J1075" s="3" t="s">
        <v>35</v>
      </c>
      <c r="K1075" s="3"/>
      <c r="L1075" s="3" t="s">
        <v>36</v>
      </c>
      <c r="M1075" s="3" t="str">
        <f>CONCATENATE("01307920411")</f>
        <v>01307920411</v>
      </c>
      <c r="N1075" s="3" t="s">
        <v>1206</v>
      </c>
      <c r="O1075" s="3" t="s">
        <v>38</v>
      </c>
      <c r="P1075" s="3"/>
      <c r="Q1075" s="4">
        <v>45968</v>
      </c>
      <c r="R1075" s="3" t="s">
        <v>39</v>
      </c>
      <c r="S1075" s="3" t="s">
        <v>38</v>
      </c>
      <c r="T1075" s="3" t="s">
        <v>40</v>
      </c>
      <c r="U1075" s="3"/>
      <c r="V1075" s="3" t="s">
        <v>41</v>
      </c>
      <c r="W1075" s="5">
        <v>53155.16</v>
      </c>
      <c r="X1075" s="5">
        <v>39866.370000000003</v>
      </c>
      <c r="Y1075" s="5">
        <v>9302.15</v>
      </c>
      <c r="Z1075" s="5">
        <v>3986.64</v>
      </c>
      <c r="AA1075" s="3">
        <v>0</v>
      </c>
    </row>
    <row r="1076" spans="1:27" ht="60.75" x14ac:dyDescent="0.25">
      <c r="A1076" s="3" t="s">
        <v>28</v>
      </c>
      <c r="B1076" s="3" t="s">
        <v>29</v>
      </c>
      <c r="C1076" s="3" t="s">
        <v>30</v>
      </c>
      <c r="D1076" s="3" t="s">
        <v>65</v>
      </c>
      <c r="E1076" s="3" t="s">
        <v>32</v>
      </c>
      <c r="F1076" s="3" t="s">
        <v>276</v>
      </c>
      <c r="G1076" s="3">
        <v>2025</v>
      </c>
      <c r="H1076" s="3" t="str">
        <f>CONCATENATE("54240634094")</f>
        <v>54240634094</v>
      </c>
      <c r="I1076" s="3" t="s">
        <v>34</v>
      </c>
      <c r="J1076" s="3" t="s">
        <v>35</v>
      </c>
      <c r="K1076" s="3"/>
      <c r="L1076" s="3" t="s">
        <v>36</v>
      </c>
      <c r="M1076" s="3" t="str">
        <f>CONCATENATE("FLNNCL88S05I459M")</f>
        <v>FLNNCL88S05I459M</v>
      </c>
      <c r="N1076" s="3" t="s">
        <v>1207</v>
      </c>
      <c r="O1076" s="3" t="s">
        <v>38</v>
      </c>
      <c r="P1076" s="3"/>
      <c r="Q1076" s="4">
        <v>45968</v>
      </c>
      <c r="R1076" s="3" t="s">
        <v>39</v>
      </c>
      <c r="S1076" s="3" t="s">
        <v>38</v>
      </c>
      <c r="T1076" s="3" t="s">
        <v>40</v>
      </c>
      <c r="U1076" s="3"/>
      <c r="V1076" s="3" t="s">
        <v>41</v>
      </c>
      <c r="W1076" s="5">
        <v>13602.95</v>
      </c>
      <c r="X1076" s="5">
        <v>10202.209999999999</v>
      </c>
      <c r="Y1076" s="5">
        <v>2380.52</v>
      </c>
      <c r="Z1076" s="5">
        <v>1020.22</v>
      </c>
      <c r="AA1076" s="3">
        <v>0</v>
      </c>
    </row>
    <row r="1077" spans="1:27" ht="60.75" x14ac:dyDescent="0.25">
      <c r="A1077" s="3" t="s">
        <v>28</v>
      </c>
      <c r="B1077" s="3" t="s">
        <v>29</v>
      </c>
      <c r="C1077" s="3" t="s">
        <v>30</v>
      </c>
      <c r="D1077" s="3" t="s">
        <v>47</v>
      </c>
      <c r="E1077" s="3" t="s">
        <v>48</v>
      </c>
      <c r="F1077" s="3" t="s">
        <v>249</v>
      </c>
      <c r="G1077" s="3">
        <v>2025</v>
      </c>
      <c r="H1077" s="3" t="str">
        <f>CONCATENATE("54240502473")</f>
        <v>54240502473</v>
      </c>
      <c r="I1077" s="3" t="s">
        <v>34</v>
      </c>
      <c r="J1077" s="3" t="s">
        <v>35</v>
      </c>
      <c r="K1077" s="3"/>
      <c r="L1077" s="3" t="s">
        <v>36</v>
      </c>
      <c r="M1077" s="3" t="str">
        <f>CONCATENATE("RNZRLA65D09B474J")</f>
        <v>RNZRLA65D09B474J</v>
      </c>
      <c r="N1077" s="3" t="s">
        <v>1208</v>
      </c>
      <c r="O1077" s="3" t="s">
        <v>38</v>
      </c>
      <c r="P1077" s="3"/>
      <c r="Q1077" s="4">
        <v>45968</v>
      </c>
      <c r="R1077" s="3" t="s">
        <v>39</v>
      </c>
      <c r="S1077" s="3" t="s">
        <v>38</v>
      </c>
      <c r="T1077" s="3" t="s">
        <v>40</v>
      </c>
      <c r="U1077" s="3"/>
      <c r="V1077" s="3" t="s">
        <v>41</v>
      </c>
      <c r="W1077" s="5">
        <v>1017.86</v>
      </c>
      <c r="X1077" s="3">
        <v>763.4</v>
      </c>
      <c r="Y1077" s="3">
        <v>178.13</v>
      </c>
      <c r="Z1077" s="3">
        <v>76.33</v>
      </c>
      <c r="AA1077" s="3">
        <v>0</v>
      </c>
    </row>
    <row r="1078" spans="1:27" ht="36.75" x14ac:dyDescent="0.25">
      <c r="A1078" s="3" t="s">
        <v>28</v>
      </c>
      <c r="B1078" s="3" t="s">
        <v>29</v>
      </c>
      <c r="C1078" s="3" t="s">
        <v>30</v>
      </c>
      <c r="D1078" s="3" t="s">
        <v>47</v>
      </c>
      <c r="E1078" s="3" t="s">
        <v>48</v>
      </c>
      <c r="F1078" s="3" t="s">
        <v>49</v>
      </c>
      <c r="G1078" s="3">
        <v>2025</v>
      </c>
      <c r="H1078" s="3" t="str">
        <f>CONCATENATE("54240502564")</f>
        <v>54240502564</v>
      </c>
      <c r="I1078" s="3" t="s">
        <v>34</v>
      </c>
      <c r="J1078" s="3" t="s">
        <v>35</v>
      </c>
      <c r="K1078" s="3"/>
      <c r="L1078" s="3" t="s">
        <v>36</v>
      </c>
      <c r="M1078" s="3" t="str">
        <f>CONCATENATE("01828690436")</f>
        <v>01828690436</v>
      </c>
      <c r="N1078" s="3" t="s">
        <v>1209</v>
      </c>
      <c r="O1078" s="3" t="s">
        <v>38</v>
      </c>
      <c r="P1078" s="3"/>
      <c r="Q1078" s="4">
        <v>45968</v>
      </c>
      <c r="R1078" s="3" t="s">
        <v>39</v>
      </c>
      <c r="S1078" s="3" t="s">
        <v>38</v>
      </c>
      <c r="T1078" s="3" t="s">
        <v>40</v>
      </c>
      <c r="U1078" s="3"/>
      <c r="V1078" s="3" t="s">
        <v>41</v>
      </c>
      <c r="W1078" s="5">
        <v>7297.41</v>
      </c>
      <c r="X1078" s="5">
        <v>5473.06</v>
      </c>
      <c r="Y1078" s="5">
        <v>1277.05</v>
      </c>
      <c r="Z1078" s="3">
        <v>547.29999999999995</v>
      </c>
      <c r="AA1078" s="3">
        <v>0</v>
      </c>
    </row>
    <row r="1079" spans="1:27" ht="60.75" x14ac:dyDescent="0.25">
      <c r="A1079" s="3" t="s">
        <v>28</v>
      </c>
      <c r="B1079" s="3" t="s">
        <v>29</v>
      </c>
      <c r="C1079" s="3" t="s">
        <v>30</v>
      </c>
      <c r="D1079" s="3" t="s">
        <v>65</v>
      </c>
      <c r="E1079" s="3" t="s">
        <v>207</v>
      </c>
      <c r="F1079" s="3" t="s">
        <v>208</v>
      </c>
      <c r="G1079" s="3">
        <v>2025</v>
      </c>
      <c r="H1079" s="3" t="str">
        <f>CONCATENATE("54240505765")</f>
        <v>54240505765</v>
      </c>
      <c r="I1079" s="3" t="s">
        <v>34</v>
      </c>
      <c r="J1079" s="3" t="s">
        <v>35</v>
      </c>
      <c r="K1079" s="3"/>
      <c r="L1079" s="3" t="s">
        <v>36</v>
      </c>
      <c r="M1079" s="3" t="str">
        <f>CONCATENATE("LNGNNL65S54Z133B")</f>
        <v>LNGNNL65S54Z133B</v>
      </c>
      <c r="N1079" s="3" t="s">
        <v>1210</v>
      </c>
      <c r="O1079" s="3" t="s">
        <v>38</v>
      </c>
      <c r="P1079" s="3"/>
      <c r="Q1079" s="4">
        <v>45968</v>
      </c>
      <c r="R1079" s="3" t="s">
        <v>39</v>
      </c>
      <c r="S1079" s="3" t="s">
        <v>38</v>
      </c>
      <c r="T1079" s="3" t="s">
        <v>40</v>
      </c>
      <c r="U1079" s="3"/>
      <c r="V1079" s="3" t="s">
        <v>41</v>
      </c>
      <c r="W1079" s="3">
        <v>514</v>
      </c>
      <c r="X1079" s="3">
        <v>385.5</v>
      </c>
      <c r="Y1079" s="3">
        <v>89.95</v>
      </c>
      <c r="Z1079" s="3">
        <v>38.549999999999997</v>
      </c>
      <c r="AA1079" s="3">
        <v>0</v>
      </c>
    </row>
    <row r="1080" spans="1:27" ht="60.75" x14ac:dyDescent="0.25">
      <c r="A1080" s="3" t="s">
        <v>28</v>
      </c>
      <c r="B1080" s="3" t="s">
        <v>29</v>
      </c>
      <c r="C1080" s="3" t="s">
        <v>30</v>
      </c>
      <c r="D1080" s="3" t="s">
        <v>42</v>
      </c>
      <c r="E1080" s="3" t="s">
        <v>60</v>
      </c>
      <c r="F1080" s="3" t="s">
        <v>245</v>
      </c>
      <c r="G1080" s="3">
        <v>2025</v>
      </c>
      <c r="H1080" s="3" t="str">
        <f>CONCATENATE("54240506623")</f>
        <v>54240506623</v>
      </c>
      <c r="I1080" s="3" t="s">
        <v>34</v>
      </c>
      <c r="J1080" s="3" t="s">
        <v>35</v>
      </c>
      <c r="K1080" s="3"/>
      <c r="L1080" s="3" t="s">
        <v>36</v>
      </c>
      <c r="M1080" s="3" t="str">
        <f>CONCATENATE("SGLTMS65L14G516Q")</f>
        <v>SGLTMS65L14G516Q</v>
      </c>
      <c r="N1080" s="3" t="s">
        <v>1211</v>
      </c>
      <c r="O1080" s="3" t="s">
        <v>38</v>
      </c>
      <c r="P1080" s="3"/>
      <c r="Q1080" s="4">
        <v>45968</v>
      </c>
      <c r="R1080" s="3" t="s">
        <v>39</v>
      </c>
      <c r="S1080" s="3" t="s">
        <v>38</v>
      </c>
      <c r="T1080" s="3" t="s">
        <v>40</v>
      </c>
      <c r="U1080" s="3"/>
      <c r="V1080" s="3" t="s">
        <v>41</v>
      </c>
      <c r="W1080" s="5">
        <v>8991.74</v>
      </c>
      <c r="X1080" s="5">
        <v>6743.81</v>
      </c>
      <c r="Y1080" s="5">
        <v>1573.55</v>
      </c>
      <c r="Z1080" s="3">
        <v>674.38</v>
      </c>
      <c r="AA1080" s="3">
        <v>0</v>
      </c>
    </row>
    <row r="1081" spans="1:27" ht="60.75" x14ac:dyDescent="0.25">
      <c r="A1081" s="3" t="s">
        <v>28</v>
      </c>
      <c r="B1081" s="3" t="s">
        <v>29</v>
      </c>
      <c r="C1081" s="3" t="s">
        <v>30</v>
      </c>
      <c r="D1081" s="3" t="s">
        <v>42</v>
      </c>
      <c r="E1081" s="3" t="s">
        <v>32</v>
      </c>
      <c r="F1081" s="3" t="s">
        <v>101</v>
      </c>
      <c r="G1081" s="3">
        <v>2025</v>
      </c>
      <c r="H1081" s="3" t="str">
        <f>CONCATENATE("54240509643")</f>
        <v>54240509643</v>
      </c>
      <c r="I1081" s="3" t="s">
        <v>34</v>
      </c>
      <c r="J1081" s="3" t="s">
        <v>35</v>
      </c>
      <c r="K1081" s="3"/>
      <c r="L1081" s="3" t="s">
        <v>36</v>
      </c>
      <c r="M1081" s="3" t="str">
        <f>CONCATENATE("CSSGNI62A04F501K")</f>
        <v>CSSGNI62A04F501K</v>
      </c>
      <c r="N1081" s="3" t="s">
        <v>1212</v>
      </c>
      <c r="O1081" s="3" t="s">
        <v>38</v>
      </c>
      <c r="P1081" s="3"/>
      <c r="Q1081" s="4">
        <v>45968</v>
      </c>
      <c r="R1081" s="3" t="s">
        <v>39</v>
      </c>
      <c r="S1081" s="3" t="s">
        <v>38</v>
      </c>
      <c r="T1081" s="3" t="s">
        <v>40</v>
      </c>
      <c r="U1081" s="3"/>
      <c r="V1081" s="3" t="s">
        <v>41</v>
      </c>
      <c r="W1081" s="5">
        <v>33662.14</v>
      </c>
      <c r="X1081" s="5">
        <v>25246.61</v>
      </c>
      <c r="Y1081" s="5">
        <v>5890.87</v>
      </c>
      <c r="Z1081" s="5">
        <v>2524.66</v>
      </c>
      <c r="AA1081" s="3">
        <v>0</v>
      </c>
    </row>
    <row r="1082" spans="1:27" ht="60.75" x14ac:dyDescent="0.25">
      <c r="A1082" s="3" t="s">
        <v>28</v>
      </c>
      <c r="B1082" s="3" t="s">
        <v>29</v>
      </c>
      <c r="C1082" s="3" t="s">
        <v>30</v>
      </c>
      <c r="D1082" s="3" t="s">
        <v>31</v>
      </c>
      <c r="E1082" s="3" t="s">
        <v>51</v>
      </c>
      <c r="F1082" s="3" t="s">
        <v>93</v>
      </c>
      <c r="G1082" s="3">
        <v>2025</v>
      </c>
      <c r="H1082" s="3" t="str">
        <f>CONCATENATE("54240509122")</f>
        <v>54240509122</v>
      </c>
      <c r="I1082" s="3" t="s">
        <v>34</v>
      </c>
      <c r="J1082" s="3" t="s">
        <v>35</v>
      </c>
      <c r="K1082" s="3"/>
      <c r="L1082" s="3" t="s">
        <v>36</v>
      </c>
      <c r="M1082" s="3" t="str">
        <f>CONCATENATE("GCNFPP81M01E388G")</f>
        <v>GCNFPP81M01E388G</v>
      </c>
      <c r="N1082" s="3" t="s">
        <v>1213</v>
      </c>
      <c r="O1082" s="3" t="s">
        <v>38</v>
      </c>
      <c r="P1082" s="3"/>
      <c r="Q1082" s="4">
        <v>45968</v>
      </c>
      <c r="R1082" s="3" t="s">
        <v>39</v>
      </c>
      <c r="S1082" s="3" t="s">
        <v>38</v>
      </c>
      <c r="T1082" s="3" t="s">
        <v>40</v>
      </c>
      <c r="U1082" s="3"/>
      <c r="V1082" s="3" t="s">
        <v>41</v>
      </c>
      <c r="W1082" s="5">
        <v>1478.65</v>
      </c>
      <c r="X1082" s="5">
        <v>1108.99</v>
      </c>
      <c r="Y1082" s="3">
        <v>258.76</v>
      </c>
      <c r="Z1082" s="3">
        <v>110.9</v>
      </c>
      <c r="AA1082" s="3">
        <v>0</v>
      </c>
    </row>
    <row r="1083" spans="1:27" ht="60.75" x14ac:dyDescent="0.25">
      <c r="A1083" s="3" t="s">
        <v>28</v>
      </c>
      <c r="B1083" s="3" t="s">
        <v>29</v>
      </c>
      <c r="C1083" s="3" t="s">
        <v>30</v>
      </c>
      <c r="D1083" s="3" t="s">
        <v>65</v>
      </c>
      <c r="E1083" s="3" t="s">
        <v>51</v>
      </c>
      <c r="F1083" s="3" t="s">
        <v>71</v>
      </c>
      <c r="G1083" s="3">
        <v>2025</v>
      </c>
      <c r="H1083" s="3" t="str">
        <f>CONCATENATE("54240500428")</f>
        <v>54240500428</v>
      </c>
      <c r="I1083" s="3" t="s">
        <v>34</v>
      </c>
      <c r="J1083" s="3" t="s">
        <v>35</v>
      </c>
      <c r="K1083" s="3"/>
      <c r="L1083" s="3" t="s">
        <v>36</v>
      </c>
      <c r="M1083" s="3" t="str">
        <f>CONCATENATE("GVGSFN62D18E785Z")</f>
        <v>GVGSFN62D18E785Z</v>
      </c>
      <c r="N1083" s="3" t="s">
        <v>1214</v>
      </c>
      <c r="O1083" s="3" t="s">
        <v>38</v>
      </c>
      <c r="P1083" s="3"/>
      <c r="Q1083" s="4">
        <v>45968</v>
      </c>
      <c r="R1083" s="3" t="s">
        <v>39</v>
      </c>
      <c r="S1083" s="3" t="s">
        <v>38</v>
      </c>
      <c r="T1083" s="3" t="s">
        <v>40</v>
      </c>
      <c r="U1083" s="3"/>
      <c r="V1083" s="3" t="s">
        <v>41</v>
      </c>
      <c r="W1083" s="5">
        <v>10802.77</v>
      </c>
      <c r="X1083" s="5">
        <v>8102.08</v>
      </c>
      <c r="Y1083" s="5">
        <v>1890.48</v>
      </c>
      <c r="Z1083" s="3">
        <v>810.21</v>
      </c>
      <c r="AA1083" s="3">
        <v>0</v>
      </c>
    </row>
    <row r="1084" spans="1:27" ht="60.75" x14ac:dyDescent="0.25">
      <c r="A1084" s="3" t="s">
        <v>28</v>
      </c>
      <c r="B1084" s="3" t="s">
        <v>29</v>
      </c>
      <c r="C1084" s="3" t="s">
        <v>30</v>
      </c>
      <c r="D1084" s="3" t="s">
        <v>31</v>
      </c>
      <c r="E1084" s="3" t="s">
        <v>51</v>
      </c>
      <c r="F1084" s="3" t="s">
        <v>93</v>
      </c>
      <c r="G1084" s="3">
        <v>2025</v>
      </c>
      <c r="H1084" s="3" t="str">
        <f>CONCATENATE("54240500808")</f>
        <v>54240500808</v>
      </c>
      <c r="I1084" s="3" t="s">
        <v>34</v>
      </c>
      <c r="J1084" s="3" t="s">
        <v>35</v>
      </c>
      <c r="K1084" s="3"/>
      <c r="L1084" s="3" t="s">
        <v>36</v>
      </c>
      <c r="M1084" s="3" t="str">
        <f>CONCATENATE("MNCNDA47L53C850L")</f>
        <v>MNCNDA47L53C850L</v>
      </c>
      <c r="N1084" s="3" t="s">
        <v>1215</v>
      </c>
      <c r="O1084" s="3" t="s">
        <v>38</v>
      </c>
      <c r="P1084" s="3"/>
      <c r="Q1084" s="4">
        <v>45968</v>
      </c>
      <c r="R1084" s="3" t="s">
        <v>39</v>
      </c>
      <c r="S1084" s="3" t="s">
        <v>38</v>
      </c>
      <c r="T1084" s="3" t="s">
        <v>40</v>
      </c>
      <c r="U1084" s="3"/>
      <c r="V1084" s="3" t="s">
        <v>41</v>
      </c>
      <c r="W1084" s="3">
        <v>811.96</v>
      </c>
      <c r="X1084" s="3">
        <v>608.97</v>
      </c>
      <c r="Y1084" s="3">
        <v>142.09</v>
      </c>
      <c r="Z1084" s="3">
        <v>60.9</v>
      </c>
      <c r="AA1084" s="3">
        <v>0</v>
      </c>
    </row>
    <row r="1085" spans="1:27" ht="60.75" x14ac:dyDescent="0.25">
      <c r="A1085" s="3" t="s">
        <v>28</v>
      </c>
      <c r="B1085" s="3" t="s">
        <v>29</v>
      </c>
      <c r="C1085" s="3" t="s">
        <v>30</v>
      </c>
      <c r="D1085" s="3" t="s">
        <v>31</v>
      </c>
      <c r="E1085" s="3" t="s">
        <v>51</v>
      </c>
      <c r="F1085" s="3" t="s">
        <v>93</v>
      </c>
      <c r="G1085" s="3">
        <v>2025</v>
      </c>
      <c r="H1085" s="3" t="str">
        <f>CONCATENATE("54240507944")</f>
        <v>54240507944</v>
      </c>
      <c r="I1085" s="3" t="s">
        <v>34</v>
      </c>
      <c r="J1085" s="3" t="s">
        <v>35</v>
      </c>
      <c r="K1085" s="3"/>
      <c r="L1085" s="3" t="s">
        <v>36</v>
      </c>
      <c r="M1085" s="3" t="str">
        <f>CONCATENATE("MZZRRA96R48A271F")</f>
        <v>MZZRRA96R48A271F</v>
      </c>
      <c r="N1085" s="3" t="s">
        <v>1216</v>
      </c>
      <c r="O1085" s="3" t="s">
        <v>38</v>
      </c>
      <c r="P1085" s="3"/>
      <c r="Q1085" s="4">
        <v>45968</v>
      </c>
      <c r="R1085" s="3" t="s">
        <v>39</v>
      </c>
      <c r="S1085" s="3" t="s">
        <v>38</v>
      </c>
      <c r="T1085" s="3" t="s">
        <v>40</v>
      </c>
      <c r="U1085" s="3"/>
      <c r="V1085" s="3" t="s">
        <v>41</v>
      </c>
      <c r="W1085" s="3">
        <v>462.6</v>
      </c>
      <c r="X1085" s="3">
        <v>346.95</v>
      </c>
      <c r="Y1085" s="3">
        <v>80.959999999999994</v>
      </c>
      <c r="Z1085" s="3">
        <v>34.69</v>
      </c>
      <c r="AA1085" s="3">
        <v>0</v>
      </c>
    </row>
    <row r="1086" spans="1:27" ht="36.75" x14ac:dyDescent="0.25">
      <c r="A1086" s="3" t="s">
        <v>28</v>
      </c>
      <c r="B1086" s="3" t="s">
        <v>29</v>
      </c>
      <c r="C1086" s="3" t="s">
        <v>30</v>
      </c>
      <c r="D1086" s="3" t="s">
        <v>31</v>
      </c>
      <c r="E1086" s="3" t="s">
        <v>60</v>
      </c>
      <c r="F1086" s="3" t="s">
        <v>61</v>
      </c>
      <c r="G1086" s="3">
        <v>2025</v>
      </c>
      <c r="H1086" s="3" t="str">
        <f>CONCATENATE("54240500964")</f>
        <v>54240500964</v>
      </c>
      <c r="I1086" s="3" t="s">
        <v>34</v>
      </c>
      <c r="J1086" s="3" t="s">
        <v>35</v>
      </c>
      <c r="K1086" s="3"/>
      <c r="L1086" s="3" t="s">
        <v>36</v>
      </c>
      <c r="M1086" s="3" t="str">
        <f>CONCATENATE("02183890421")</f>
        <v>02183890421</v>
      </c>
      <c r="N1086" s="3" t="s">
        <v>1217</v>
      </c>
      <c r="O1086" s="3" t="s">
        <v>38</v>
      </c>
      <c r="P1086" s="3"/>
      <c r="Q1086" s="4">
        <v>45968</v>
      </c>
      <c r="R1086" s="3" t="s">
        <v>39</v>
      </c>
      <c r="S1086" s="3" t="s">
        <v>38</v>
      </c>
      <c r="T1086" s="3" t="s">
        <v>40</v>
      </c>
      <c r="U1086" s="3"/>
      <c r="V1086" s="3" t="s">
        <v>41</v>
      </c>
      <c r="W1086" s="5">
        <v>2838.03</v>
      </c>
      <c r="X1086" s="5">
        <v>2128.52</v>
      </c>
      <c r="Y1086" s="3">
        <v>496.66</v>
      </c>
      <c r="Z1086" s="3">
        <v>212.85</v>
      </c>
      <c r="AA1086" s="3">
        <v>0</v>
      </c>
    </row>
    <row r="1087" spans="1:27" ht="36.75" x14ac:dyDescent="0.25">
      <c r="A1087" s="3" t="s">
        <v>28</v>
      </c>
      <c r="B1087" s="3" t="s">
        <v>29</v>
      </c>
      <c r="C1087" s="3" t="s">
        <v>30</v>
      </c>
      <c r="D1087" s="3" t="s">
        <v>31</v>
      </c>
      <c r="E1087" s="3" t="s">
        <v>60</v>
      </c>
      <c r="F1087" s="3" t="s">
        <v>61</v>
      </c>
      <c r="G1087" s="3">
        <v>2025</v>
      </c>
      <c r="H1087" s="3" t="str">
        <f>CONCATENATE("54240500980")</f>
        <v>54240500980</v>
      </c>
      <c r="I1087" s="3" t="s">
        <v>34</v>
      </c>
      <c r="J1087" s="3" t="s">
        <v>35</v>
      </c>
      <c r="K1087" s="3"/>
      <c r="L1087" s="3" t="s">
        <v>36</v>
      </c>
      <c r="M1087" s="3" t="str">
        <f>CONCATENATE("02930170424")</f>
        <v>02930170424</v>
      </c>
      <c r="N1087" s="3" t="s">
        <v>1218</v>
      </c>
      <c r="O1087" s="3" t="s">
        <v>38</v>
      </c>
      <c r="P1087" s="3"/>
      <c r="Q1087" s="4">
        <v>45968</v>
      </c>
      <c r="R1087" s="3" t="s">
        <v>39</v>
      </c>
      <c r="S1087" s="3" t="s">
        <v>38</v>
      </c>
      <c r="T1087" s="3" t="s">
        <v>40</v>
      </c>
      <c r="U1087" s="3"/>
      <c r="V1087" s="3" t="s">
        <v>41</v>
      </c>
      <c r="W1087" s="5">
        <v>3541.3</v>
      </c>
      <c r="X1087" s="5">
        <v>2655.98</v>
      </c>
      <c r="Y1087" s="3">
        <v>619.73</v>
      </c>
      <c r="Z1087" s="3">
        <v>265.58999999999997</v>
      </c>
      <c r="AA1087" s="3">
        <v>0</v>
      </c>
    </row>
    <row r="1088" spans="1:27" ht="36.75" x14ac:dyDescent="0.25">
      <c r="A1088" s="3" t="s">
        <v>28</v>
      </c>
      <c r="B1088" s="3" t="s">
        <v>29</v>
      </c>
      <c r="C1088" s="3" t="s">
        <v>30</v>
      </c>
      <c r="D1088" s="3" t="s">
        <v>31</v>
      </c>
      <c r="E1088" s="3" t="s">
        <v>60</v>
      </c>
      <c r="F1088" s="3" t="s">
        <v>61</v>
      </c>
      <c r="G1088" s="3">
        <v>2025</v>
      </c>
      <c r="H1088" s="3" t="str">
        <f>CONCATENATE("54240501087")</f>
        <v>54240501087</v>
      </c>
      <c r="I1088" s="3" t="s">
        <v>34</v>
      </c>
      <c r="J1088" s="3" t="s">
        <v>35</v>
      </c>
      <c r="K1088" s="3"/>
      <c r="L1088" s="3" t="s">
        <v>36</v>
      </c>
      <c r="M1088" s="3" t="str">
        <f>CONCATENATE("82002310421")</f>
        <v>82002310421</v>
      </c>
      <c r="N1088" s="3" t="s">
        <v>1219</v>
      </c>
      <c r="O1088" s="3" t="s">
        <v>38</v>
      </c>
      <c r="P1088" s="3"/>
      <c r="Q1088" s="4">
        <v>45968</v>
      </c>
      <c r="R1088" s="3" t="s">
        <v>39</v>
      </c>
      <c r="S1088" s="3" t="s">
        <v>38</v>
      </c>
      <c r="T1088" s="3" t="s">
        <v>40</v>
      </c>
      <c r="U1088" s="3"/>
      <c r="V1088" s="3" t="s">
        <v>41</v>
      </c>
      <c r="W1088" s="5">
        <v>8260.75</v>
      </c>
      <c r="X1088" s="5">
        <v>6195.56</v>
      </c>
      <c r="Y1088" s="5">
        <v>1445.63</v>
      </c>
      <c r="Z1088" s="3">
        <v>619.55999999999995</v>
      </c>
      <c r="AA1088" s="3">
        <v>0</v>
      </c>
    </row>
    <row r="1089" spans="1:27" ht="36.75" x14ac:dyDescent="0.25">
      <c r="A1089" s="3" t="s">
        <v>28</v>
      </c>
      <c r="B1089" s="3" t="s">
        <v>29</v>
      </c>
      <c r="C1089" s="3" t="s">
        <v>30</v>
      </c>
      <c r="D1089" s="3" t="s">
        <v>65</v>
      </c>
      <c r="E1089" s="3" t="s">
        <v>32</v>
      </c>
      <c r="F1089" s="3" t="s">
        <v>95</v>
      </c>
      <c r="G1089" s="3">
        <v>2025</v>
      </c>
      <c r="H1089" s="3" t="str">
        <f>CONCATENATE("54240637261")</f>
        <v>54240637261</v>
      </c>
      <c r="I1089" s="3" t="s">
        <v>34</v>
      </c>
      <c r="J1089" s="3" t="s">
        <v>35</v>
      </c>
      <c r="K1089" s="3"/>
      <c r="L1089" s="3" t="s">
        <v>36</v>
      </c>
      <c r="M1089" s="3" t="str">
        <f>CONCATENATE("02323940417")</f>
        <v>02323940417</v>
      </c>
      <c r="N1089" s="3" t="s">
        <v>1220</v>
      </c>
      <c r="O1089" s="3" t="s">
        <v>38</v>
      </c>
      <c r="P1089" s="3"/>
      <c r="Q1089" s="4">
        <v>45968</v>
      </c>
      <c r="R1089" s="3" t="s">
        <v>39</v>
      </c>
      <c r="S1089" s="3" t="s">
        <v>38</v>
      </c>
      <c r="T1089" s="3" t="s">
        <v>40</v>
      </c>
      <c r="U1089" s="3"/>
      <c r="V1089" s="3" t="s">
        <v>41</v>
      </c>
      <c r="W1089" s="5">
        <v>4069.14</v>
      </c>
      <c r="X1089" s="5">
        <v>3051.86</v>
      </c>
      <c r="Y1089" s="3">
        <v>712.1</v>
      </c>
      <c r="Z1089" s="3">
        <v>305.18</v>
      </c>
      <c r="AA1089" s="3">
        <v>0</v>
      </c>
    </row>
    <row r="1090" spans="1:27" ht="36.75" x14ac:dyDescent="0.25">
      <c r="A1090" s="3" t="s">
        <v>28</v>
      </c>
      <c r="B1090" s="3" t="s">
        <v>29</v>
      </c>
      <c r="C1090" s="3" t="s">
        <v>30</v>
      </c>
      <c r="D1090" s="3" t="s">
        <v>42</v>
      </c>
      <c r="E1090" s="3" t="s">
        <v>207</v>
      </c>
      <c r="F1090" s="3" t="s">
        <v>764</v>
      </c>
      <c r="G1090" s="3">
        <v>2025</v>
      </c>
      <c r="H1090" s="3" t="str">
        <f>CONCATENATE("54240641719")</f>
        <v>54240641719</v>
      </c>
      <c r="I1090" s="3" t="s">
        <v>34</v>
      </c>
      <c r="J1090" s="3" t="s">
        <v>35</v>
      </c>
      <c r="K1090" s="3"/>
      <c r="L1090" s="3" t="s">
        <v>36</v>
      </c>
      <c r="M1090" s="3" t="str">
        <f>CONCATENATE("02642500967")</f>
        <v>02642500967</v>
      </c>
      <c r="N1090" s="3" t="s">
        <v>1221</v>
      </c>
      <c r="O1090" s="3" t="s">
        <v>38</v>
      </c>
      <c r="P1090" s="3"/>
      <c r="Q1090" s="4">
        <v>45968</v>
      </c>
      <c r="R1090" s="3" t="s">
        <v>39</v>
      </c>
      <c r="S1090" s="3" t="s">
        <v>38</v>
      </c>
      <c r="T1090" s="3" t="s">
        <v>40</v>
      </c>
      <c r="U1090" s="3"/>
      <c r="V1090" s="3" t="s">
        <v>41</v>
      </c>
      <c r="W1090" s="5">
        <v>4333.2700000000004</v>
      </c>
      <c r="X1090" s="5">
        <v>3249.95</v>
      </c>
      <c r="Y1090" s="3">
        <v>758.32</v>
      </c>
      <c r="Z1090" s="3">
        <v>325</v>
      </c>
      <c r="AA1090" s="3">
        <v>0</v>
      </c>
    </row>
    <row r="1091" spans="1:27" ht="60.75" x14ac:dyDescent="0.25">
      <c r="A1091" s="3" t="s">
        <v>28</v>
      </c>
      <c r="B1091" s="3" t="s">
        <v>29</v>
      </c>
      <c r="C1091" s="3" t="s">
        <v>30</v>
      </c>
      <c r="D1091" s="3" t="s">
        <v>47</v>
      </c>
      <c r="E1091" s="3" t="s">
        <v>51</v>
      </c>
      <c r="F1091" s="3" t="s">
        <v>107</v>
      </c>
      <c r="G1091" s="3">
        <v>2025</v>
      </c>
      <c r="H1091" s="3" t="str">
        <f>CONCATENATE("54240502259")</f>
        <v>54240502259</v>
      </c>
      <c r="I1091" s="3" t="s">
        <v>34</v>
      </c>
      <c r="J1091" s="3" t="s">
        <v>35</v>
      </c>
      <c r="K1091" s="3"/>
      <c r="L1091" s="3" t="s">
        <v>36</v>
      </c>
      <c r="M1091" s="3" t="str">
        <f>CONCATENATE("CMPGLG75T23E783N")</f>
        <v>CMPGLG75T23E783N</v>
      </c>
      <c r="N1091" s="3" t="s">
        <v>1222</v>
      </c>
      <c r="O1091" s="3" t="s">
        <v>38</v>
      </c>
      <c r="P1091" s="3"/>
      <c r="Q1091" s="4">
        <v>45968</v>
      </c>
      <c r="R1091" s="3" t="s">
        <v>39</v>
      </c>
      <c r="S1091" s="3" t="s">
        <v>38</v>
      </c>
      <c r="T1091" s="3" t="s">
        <v>40</v>
      </c>
      <c r="U1091" s="3"/>
      <c r="V1091" s="3" t="s">
        <v>41</v>
      </c>
      <c r="W1091" s="3">
        <v>768.98</v>
      </c>
      <c r="X1091" s="3">
        <v>576.74</v>
      </c>
      <c r="Y1091" s="3">
        <v>134.57</v>
      </c>
      <c r="Z1091" s="3">
        <v>57.67</v>
      </c>
      <c r="AA1091" s="3">
        <v>0</v>
      </c>
    </row>
    <row r="1092" spans="1:27" ht="60.75" x14ac:dyDescent="0.25">
      <c r="A1092" s="3" t="s">
        <v>28</v>
      </c>
      <c r="B1092" s="3" t="s">
        <v>29</v>
      </c>
      <c r="C1092" s="3" t="s">
        <v>30</v>
      </c>
      <c r="D1092" s="3" t="s">
        <v>31</v>
      </c>
      <c r="E1092" s="3" t="s">
        <v>32</v>
      </c>
      <c r="F1092" s="3" t="s">
        <v>63</v>
      </c>
      <c r="G1092" s="3">
        <v>2025</v>
      </c>
      <c r="H1092" s="3" t="str">
        <f>CONCATENATE("54240502440")</f>
        <v>54240502440</v>
      </c>
      <c r="I1092" s="3" t="s">
        <v>34</v>
      </c>
      <c r="J1092" s="3" t="s">
        <v>35</v>
      </c>
      <c r="K1092" s="3"/>
      <c r="L1092" s="3" t="s">
        <v>36</v>
      </c>
      <c r="M1092" s="3" t="str">
        <f>CONCATENATE("SCCNDR88D23E388H")</f>
        <v>SCCNDR88D23E388H</v>
      </c>
      <c r="N1092" s="3" t="s">
        <v>1223</v>
      </c>
      <c r="O1092" s="3" t="s">
        <v>38</v>
      </c>
      <c r="P1092" s="3"/>
      <c r="Q1092" s="4">
        <v>45968</v>
      </c>
      <c r="R1092" s="3" t="s">
        <v>39</v>
      </c>
      <c r="S1092" s="3" t="s">
        <v>38</v>
      </c>
      <c r="T1092" s="3" t="s">
        <v>40</v>
      </c>
      <c r="U1092" s="3"/>
      <c r="V1092" s="3" t="s">
        <v>41</v>
      </c>
      <c r="W1092" s="5">
        <v>6297.25</v>
      </c>
      <c r="X1092" s="5">
        <v>4722.9399999999996</v>
      </c>
      <c r="Y1092" s="5">
        <v>1102.02</v>
      </c>
      <c r="Z1092" s="3">
        <v>472.29</v>
      </c>
      <c r="AA1092" s="3">
        <v>0</v>
      </c>
    </row>
    <row r="1093" spans="1:27" ht="36.75" x14ac:dyDescent="0.25">
      <c r="A1093" s="3" t="s">
        <v>28</v>
      </c>
      <c r="B1093" s="3" t="s">
        <v>29</v>
      </c>
      <c r="C1093" s="3" t="s">
        <v>30</v>
      </c>
      <c r="D1093" s="3" t="s">
        <v>65</v>
      </c>
      <c r="E1093" s="3" t="s">
        <v>51</v>
      </c>
      <c r="F1093" s="3" t="s">
        <v>71</v>
      </c>
      <c r="G1093" s="3">
        <v>2025</v>
      </c>
      <c r="H1093" s="3" t="str">
        <f>CONCATENATE("54240500972")</f>
        <v>54240500972</v>
      </c>
      <c r="I1093" s="3" t="s">
        <v>34</v>
      </c>
      <c r="J1093" s="3" t="s">
        <v>35</v>
      </c>
      <c r="K1093" s="3"/>
      <c r="L1093" s="3" t="s">
        <v>36</v>
      </c>
      <c r="M1093" s="3" t="str">
        <f>CONCATENATE("01407300415")</f>
        <v>01407300415</v>
      </c>
      <c r="N1093" s="3" t="s">
        <v>1224</v>
      </c>
      <c r="O1093" s="3" t="s">
        <v>38</v>
      </c>
      <c r="P1093" s="3"/>
      <c r="Q1093" s="4">
        <v>45968</v>
      </c>
      <c r="R1093" s="3" t="s">
        <v>39</v>
      </c>
      <c r="S1093" s="3" t="s">
        <v>38</v>
      </c>
      <c r="T1093" s="3" t="s">
        <v>40</v>
      </c>
      <c r="U1093" s="3"/>
      <c r="V1093" s="3" t="s">
        <v>41</v>
      </c>
      <c r="W1093" s="5">
        <v>33882.33</v>
      </c>
      <c r="X1093" s="5">
        <v>25411.75</v>
      </c>
      <c r="Y1093" s="5">
        <v>5929.41</v>
      </c>
      <c r="Z1093" s="5">
        <v>2541.17</v>
      </c>
      <c r="AA1093" s="3">
        <v>0</v>
      </c>
    </row>
    <row r="1094" spans="1:27" ht="36.75" x14ac:dyDescent="0.25">
      <c r="A1094" s="3" t="s">
        <v>28</v>
      </c>
      <c r="B1094" s="3" t="s">
        <v>29</v>
      </c>
      <c r="C1094" s="3" t="s">
        <v>30</v>
      </c>
      <c r="D1094" s="3" t="s">
        <v>31</v>
      </c>
      <c r="E1094" s="3" t="s">
        <v>32</v>
      </c>
      <c r="F1094" s="3" t="s">
        <v>63</v>
      </c>
      <c r="G1094" s="3">
        <v>2025</v>
      </c>
      <c r="H1094" s="3" t="str">
        <f>CONCATENATE("54240501020")</f>
        <v>54240501020</v>
      </c>
      <c r="I1094" s="3" t="s">
        <v>34</v>
      </c>
      <c r="J1094" s="3" t="s">
        <v>35</v>
      </c>
      <c r="K1094" s="3"/>
      <c r="L1094" s="3" t="s">
        <v>36</v>
      </c>
      <c r="M1094" s="3" t="str">
        <f>CONCATENATE("02309800429")</f>
        <v>02309800429</v>
      </c>
      <c r="N1094" s="3" t="s">
        <v>1225</v>
      </c>
      <c r="O1094" s="3" t="s">
        <v>38</v>
      </c>
      <c r="P1094" s="3"/>
      <c r="Q1094" s="4">
        <v>45968</v>
      </c>
      <c r="R1094" s="3" t="s">
        <v>39</v>
      </c>
      <c r="S1094" s="3" t="s">
        <v>38</v>
      </c>
      <c r="T1094" s="3" t="s">
        <v>40</v>
      </c>
      <c r="U1094" s="3"/>
      <c r="V1094" s="3" t="s">
        <v>41</v>
      </c>
      <c r="W1094" s="5">
        <v>4820.42</v>
      </c>
      <c r="X1094" s="5">
        <v>3615.32</v>
      </c>
      <c r="Y1094" s="3">
        <v>843.57</v>
      </c>
      <c r="Z1094" s="3">
        <v>361.53</v>
      </c>
      <c r="AA1094" s="3">
        <v>0</v>
      </c>
    </row>
    <row r="1095" spans="1:27" ht="36.75" x14ac:dyDescent="0.25">
      <c r="A1095" s="3" t="s">
        <v>28</v>
      </c>
      <c r="B1095" s="3" t="s">
        <v>29</v>
      </c>
      <c r="C1095" s="3" t="s">
        <v>30</v>
      </c>
      <c r="D1095" s="3" t="s">
        <v>65</v>
      </c>
      <c r="E1095" s="3" t="s">
        <v>1226</v>
      </c>
      <c r="F1095" s="3" t="s">
        <v>1227</v>
      </c>
      <c r="G1095" s="3">
        <v>2025</v>
      </c>
      <c r="H1095" s="3" t="str">
        <f>CONCATENATE("54240512076")</f>
        <v>54240512076</v>
      </c>
      <c r="I1095" s="3" t="s">
        <v>34</v>
      </c>
      <c r="J1095" s="3" t="s">
        <v>35</v>
      </c>
      <c r="K1095" s="3"/>
      <c r="L1095" s="3" t="s">
        <v>36</v>
      </c>
      <c r="M1095" s="3" t="str">
        <f>CONCATENATE("02233160510")</f>
        <v>02233160510</v>
      </c>
      <c r="N1095" s="3" t="s">
        <v>1228</v>
      </c>
      <c r="O1095" s="3" t="s">
        <v>38</v>
      </c>
      <c r="P1095" s="3"/>
      <c r="Q1095" s="4">
        <v>45968</v>
      </c>
      <c r="R1095" s="3" t="s">
        <v>39</v>
      </c>
      <c r="S1095" s="3" t="s">
        <v>38</v>
      </c>
      <c r="T1095" s="3" t="s">
        <v>40</v>
      </c>
      <c r="U1095" s="3"/>
      <c r="V1095" s="3" t="s">
        <v>41</v>
      </c>
      <c r="W1095" s="3">
        <v>428.65</v>
      </c>
      <c r="X1095" s="3">
        <v>321.49</v>
      </c>
      <c r="Y1095" s="3">
        <v>75.010000000000005</v>
      </c>
      <c r="Z1095" s="3">
        <v>32.15</v>
      </c>
      <c r="AA1095" s="3">
        <v>0</v>
      </c>
    </row>
    <row r="1096" spans="1:27" ht="36.75" x14ac:dyDescent="0.25">
      <c r="A1096" s="3" t="s">
        <v>28</v>
      </c>
      <c r="B1096" s="3" t="s">
        <v>29</v>
      </c>
      <c r="C1096" s="3" t="s">
        <v>30</v>
      </c>
      <c r="D1096" s="3" t="s">
        <v>47</v>
      </c>
      <c r="E1096" s="3" t="s">
        <v>48</v>
      </c>
      <c r="F1096" s="3" t="s">
        <v>49</v>
      </c>
      <c r="G1096" s="3">
        <v>2025</v>
      </c>
      <c r="H1096" s="3" t="str">
        <f>CONCATENATE("54240504172")</f>
        <v>54240504172</v>
      </c>
      <c r="I1096" s="3" t="s">
        <v>34</v>
      </c>
      <c r="J1096" s="3" t="s">
        <v>35</v>
      </c>
      <c r="K1096" s="3"/>
      <c r="L1096" s="3" t="s">
        <v>36</v>
      </c>
      <c r="M1096" s="3" t="str">
        <f>CONCATENATE("01648640439")</f>
        <v>01648640439</v>
      </c>
      <c r="N1096" s="3" t="s">
        <v>1229</v>
      </c>
      <c r="O1096" s="3" t="s">
        <v>38</v>
      </c>
      <c r="P1096" s="3"/>
      <c r="Q1096" s="4">
        <v>45968</v>
      </c>
      <c r="R1096" s="3" t="s">
        <v>39</v>
      </c>
      <c r="S1096" s="3" t="s">
        <v>38</v>
      </c>
      <c r="T1096" s="3" t="s">
        <v>40</v>
      </c>
      <c r="U1096" s="3"/>
      <c r="V1096" s="3" t="s">
        <v>41</v>
      </c>
      <c r="W1096" s="5">
        <v>11598.13</v>
      </c>
      <c r="X1096" s="5">
        <v>8698.6</v>
      </c>
      <c r="Y1096" s="5">
        <v>2029.67</v>
      </c>
      <c r="Z1096" s="3">
        <v>869.86</v>
      </c>
      <c r="AA1096" s="3">
        <v>0</v>
      </c>
    </row>
    <row r="1097" spans="1:27" ht="36.75" x14ac:dyDescent="0.25">
      <c r="A1097" s="3" t="s">
        <v>28</v>
      </c>
      <c r="B1097" s="3" t="s">
        <v>29</v>
      </c>
      <c r="C1097" s="3" t="s">
        <v>30</v>
      </c>
      <c r="D1097" s="3" t="s">
        <v>47</v>
      </c>
      <c r="E1097" s="3" t="s">
        <v>48</v>
      </c>
      <c r="F1097" s="3" t="s">
        <v>66</v>
      </c>
      <c r="G1097" s="3">
        <v>2025</v>
      </c>
      <c r="H1097" s="3" t="str">
        <f>CONCATENATE("54240505005")</f>
        <v>54240505005</v>
      </c>
      <c r="I1097" s="3" t="s">
        <v>34</v>
      </c>
      <c r="J1097" s="3" t="s">
        <v>35</v>
      </c>
      <c r="K1097" s="3"/>
      <c r="L1097" s="3" t="s">
        <v>36</v>
      </c>
      <c r="M1097" s="3" t="str">
        <f>CONCATENATE("02136200439")</f>
        <v>02136200439</v>
      </c>
      <c r="N1097" s="3" t="s">
        <v>1230</v>
      </c>
      <c r="O1097" s="3" t="s">
        <v>38</v>
      </c>
      <c r="P1097" s="3"/>
      <c r="Q1097" s="4">
        <v>45968</v>
      </c>
      <c r="R1097" s="3" t="s">
        <v>39</v>
      </c>
      <c r="S1097" s="3" t="s">
        <v>38</v>
      </c>
      <c r="T1097" s="3" t="s">
        <v>40</v>
      </c>
      <c r="U1097" s="3"/>
      <c r="V1097" s="3" t="s">
        <v>41</v>
      </c>
      <c r="W1097" s="5">
        <v>1659.16</v>
      </c>
      <c r="X1097" s="5">
        <v>1244.3699999999999</v>
      </c>
      <c r="Y1097" s="3">
        <v>290.35000000000002</v>
      </c>
      <c r="Z1097" s="3">
        <v>124.44</v>
      </c>
      <c r="AA1097" s="3">
        <v>0</v>
      </c>
    </row>
    <row r="1098" spans="1:27" ht="36.75" x14ac:dyDescent="0.25">
      <c r="A1098" s="3" t="s">
        <v>28</v>
      </c>
      <c r="B1098" s="3" t="s">
        <v>29</v>
      </c>
      <c r="C1098" s="3" t="s">
        <v>30</v>
      </c>
      <c r="D1098" s="3" t="s">
        <v>42</v>
      </c>
      <c r="E1098" s="3" t="s">
        <v>32</v>
      </c>
      <c r="F1098" s="3" t="s">
        <v>101</v>
      </c>
      <c r="G1098" s="3">
        <v>2025</v>
      </c>
      <c r="H1098" s="3" t="str">
        <f>CONCATENATE("54240505187")</f>
        <v>54240505187</v>
      </c>
      <c r="I1098" s="3" t="s">
        <v>34</v>
      </c>
      <c r="J1098" s="3" t="s">
        <v>35</v>
      </c>
      <c r="K1098" s="3"/>
      <c r="L1098" s="3" t="s">
        <v>36</v>
      </c>
      <c r="M1098" s="3" t="str">
        <f>CONCATENATE("02326390446")</f>
        <v>02326390446</v>
      </c>
      <c r="N1098" s="3" t="s">
        <v>1231</v>
      </c>
      <c r="O1098" s="3" t="s">
        <v>38</v>
      </c>
      <c r="P1098" s="3"/>
      <c r="Q1098" s="4">
        <v>45968</v>
      </c>
      <c r="R1098" s="3" t="s">
        <v>39</v>
      </c>
      <c r="S1098" s="3" t="s">
        <v>38</v>
      </c>
      <c r="T1098" s="3" t="s">
        <v>40</v>
      </c>
      <c r="U1098" s="3"/>
      <c r="V1098" s="3" t="s">
        <v>41</v>
      </c>
      <c r="W1098" s="5">
        <v>13197.28</v>
      </c>
      <c r="X1098" s="5">
        <v>9897.9599999999991</v>
      </c>
      <c r="Y1098" s="5">
        <v>2309.52</v>
      </c>
      <c r="Z1098" s="3">
        <v>989.8</v>
      </c>
      <c r="AA1098" s="3">
        <v>0</v>
      </c>
    </row>
    <row r="1099" spans="1:27" ht="60.75" x14ac:dyDescent="0.25">
      <c r="A1099" s="3" t="s">
        <v>28</v>
      </c>
      <c r="B1099" s="3" t="s">
        <v>29</v>
      </c>
      <c r="C1099" s="3" t="s">
        <v>30</v>
      </c>
      <c r="D1099" s="3" t="s">
        <v>47</v>
      </c>
      <c r="E1099" s="3" t="s">
        <v>48</v>
      </c>
      <c r="F1099" s="3" t="s">
        <v>249</v>
      </c>
      <c r="G1099" s="3">
        <v>2025</v>
      </c>
      <c r="H1099" s="3" t="str">
        <f>CONCATENATE("54240508413")</f>
        <v>54240508413</v>
      </c>
      <c r="I1099" s="3" t="s">
        <v>34</v>
      </c>
      <c r="J1099" s="3" t="s">
        <v>35</v>
      </c>
      <c r="K1099" s="3"/>
      <c r="L1099" s="3" t="s">
        <v>36</v>
      </c>
      <c r="M1099" s="3" t="str">
        <f>CONCATENATE("BDRDYV62P64Z103W")</f>
        <v>BDRDYV62P64Z103W</v>
      </c>
      <c r="N1099" s="3" t="s">
        <v>1232</v>
      </c>
      <c r="O1099" s="3" t="s">
        <v>38</v>
      </c>
      <c r="P1099" s="3"/>
      <c r="Q1099" s="4">
        <v>45968</v>
      </c>
      <c r="R1099" s="3" t="s">
        <v>39</v>
      </c>
      <c r="S1099" s="3" t="s">
        <v>38</v>
      </c>
      <c r="T1099" s="3" t="s">
        <v>40</v>
      </c>
      <c r="U1099" s="3"/>
      <c r="V1099" s="3" t="s">
        <v>41</v>
      </c>
      <c r="W1099" s="5">
        <v>7957.97</v>
      </c>
      <c r="X1099" s="5">
        <v>5968.48</v>
      </c>
      <c r="Y1099" s="5">
        <v>1392.64</v>
      </c>
      <c r="Z1099" s="3">
        <v>596.85</v>
      </c>
      <c r="AA1099" s="3">
        <v>0</v>
      </c>
    </row>
    <row r="1100" spans="1:27" ht="36.75" x14ac:dyDescent="0.25">
      <c r="A1100" s="3" t="s">
        <v>28</v>
      </c>
      <c r="B1100" s="3" t="s">
        <v>29</v>
      </c>
      <c r="C1100" s="3" t="s">
        <v>30</v>
      </c>
      <c r="D1100" s="3" t="s">
        <v>65</v>
      </c>
      <c r="E1100" s="3" t="s">
        <v>51</v>
      </c>
      <c r="F1100" s="3" t="s">
        <v>71</v>
      </c>
      <c r="G1100" s="3">
        <v>2025</v>
      </c>
      <c r="H1100" s="3" t="str">
        <f>CONCATENATE("54240509379")</f>
        <v>54240509379</v>
      </c>
      <c r="I1100" s="3" t="s">
        <v>34</v>
      </c>
      <c r="J1100" s="3" t="s">
        <v>35</v>
      </c>
      <c r="K1100" s="3"/>
      <c r="L1100" s="3" t="s">
        <v>36</v>
      </c>
      <c r="M1100" s="3" t="str">
        <f>CONCATENATE("02144520414")</f>
        <v>02144520414</v>
      </c>
      <c r="N1100" s="3" t="s">
        <v>1233</v>
      </c>
      <c r="O1100" s="3" t="s">
        <v>38</v>
      </c>
      <c r="P1100" s="3"/>
      <c r="Q1100" s="4">
        <v>45968</v>
      </c>
      <c r="R1100" s="3" t="s">
        <v>39</v>
      </c>
      <c r="S1100" s="3" t="s">
        <v>38</v>
      </c>
      <c r="T1100" s="3" t="s">
        <v>40</v>
      </c>
      <c r="U1100" s="3"/>
      <c r="V1100" s="3" t="s">
        <v>41</v>
      </c>
      <c r="W1100" s="5">
        <v>1019.35</v>
      </c>
      <c r="X1100" s="3">
        <v>764.51</v>
      </c>
      <c r="Y1100" s="3">
        <v>178.39</v>
      </c>
      <c r="Z1100" s="3">
        <v>76.45</v>
      </c>
      <c r="AA1100" s="3">
        <v>0</v>
      </c>
    </row>
    <row r="1101" spans="1:27" ht="72.75" x14ac:dyDescent="0.25">
      <c r="A1101" s="3" t="s">
        <v>28</v>
      </c>
      <c r="B1101" s="3" t="s">
        <v>29</v>
      </c>
      <c r="C1101" s="3" t="s">
        <v>30</v>
      </c>
      <c r="D1101" s="3" t="s">
        <v>42</v>
      </c>
      <c r="E1101" s="3" t="s">
        <v>32</v>
      </c>
      <c r="F1101" s="3" t="s">
        <v>110</v>
      </c>
      <c r="G1101" s="3">
        <v>2025</v>
      </c>
      <c r="H1101" s="3" t="str">
        <f>CONCATENATE("54240509130")</f>
        <v>54240509130</v>
      </c>
      <c r="I1101" s="3" t="s">
        <v>34</v>
      </c>
      <c r="J1101" s="3" t="s">
        <v>35</v>
      </c>
      <c r="K1101" s="3"/>
      <c r="L1101" s="3" t="s">
        <v>36</v>
      </c>
      <c r="M1101" s="3" t="str">
        <f>CONCATENATE("PRTVNT68R53H769G")</f>
        <v>PRTVNT68R53H769G</v>
      </c>
      <c r="N1101" s="3" t="s">
        <v>1234</v>
      </c>
      <c r="O1101" s="3" t="s">
        <v>38</v>
      </c>
      <c r="P1101" s="3"/>
      <c r="Q1101" s="4">
        <v>45968</v>
      </c>
      <c r="R1101" s="3" t="s">
        <v>39</v>
      </c>
      <c r="S1101" s="3" t="s">
        <v>38</v>
      </c>
      <c r="T1101" s="3" t="s">
        <v>40</v>
      </c>
      <c r="U1101" s="3"/>
      <c r="V1101" s="3" t="s">
        <v>41</v>
      </c>
      <c r="W1101" s="3">
        <v>580.48</v>
      </c>
      <c r="X1101" s="3">
        <v>435.36</v>
      </c>
      <c r="Y1101" s="3">
        <v>101.58</v>
      </c>
      <c r="Z1101" s="3">
        <v>43.54</v>
      </c>
      <c r="AA1101" s="3">
        <v>0</v>
      </c>
    </row>
    <row r="1102" spans="1:27" ht="60.75" x14ac:dyDescent="0.25">
      <c r="A1102" s="3" t="s">
        <v>28</v>
      </c>
      <c r="B1102" s="3" t="s">
        <v>29</v>
      </c>
      <c r="C1102" s="3" t="s">
        <v>30</v>
      </c>
      <c r="D1102" s="3" t="s">
        <v>65</v>
      </c>
      <c r="E1102" s="3" t="s">
        <v>51</v>
      </c>
      <c r="F1102" s="3" t="s">
        <v>460</v>
      </c>
      <c r="G1102" s="3">
        <v>2025</v>
      </c>
      <c r="H1102" s="3" t="str">
        <f>CONCATENATE("54240509833")</f>
        <v>54240509833</v>
      </c>
      <c r="I1102" s="3" t="s">
        <v>34</v>
      </c>
      <c r="J1102" s="3" t="s">
        <v>35</v>
      </c>
      <c r="K1102" s="3"/>
      <c r="L1102" s="3" t="s">
        <v>36</v>
      </c>
      <c r="M1102" s="3" t="str">
        <f>CONCATENATE("BLDTMS99M11L500R")</f>
        <v>BLDTMS99M11L500R</v>
      </c>
      <c r="N1102" s="3" t="s">
        <v>1235</v>
      </c>
      <c r="O1102" s="3" t="s">
        <v>38</v>
      </c>
      <c r="P1102" s="3"/>
      <c r="Q1102" s="4">
        <v>45968</v>
      </c>
      <c r="R1102" s="3" t="s">
        <v>39</v>
      </c>
      <c r="S1102" s="3" t="s">
        <v>38</v>
      </c>
      <c r="T1102" s="3" t="s">
        <v>40</v>
      </c>
      <c r="U1102" s="3"/>
      <c r="V1102" s="3" t="s">
        <v>41</v>
      </c>
      <c r="W1102" s="5">
        <v>1242.1400000000001</v>
      </c>
      <c r="X1102" s="3">
        <v>931.61</v>
      </c>
      <c r="Y1102" s="3">
        <v>217.37</v>
      </c>
      <c r="Z1102" s="3">
        <v>93.16</v>
      </c>
      <c r="AA1102" s="3">
        <v>0</v>
      </c>
    </row>
    <row r="1103" spans="1:27" ht="60.75" x14ac:dyDescent="0.25">
      <c r="A1103" s="3" t="s">
        <v>28</v>
      </c>
      <c r="B1103" s="3" t="s">
        <v>29</v>
      </c>
      <c r="C1103" s="3" t="s">
        <v>30</v>
      </c>
      <c r="D1103" s="3" t="s">
        <v>65</v>
      </c>
      <c r="E1103" s="3" t="s">
        <v>48</v>
      </c>
      <c r="F1103" s="3" t="s">
        <v>66</v>
      </c>
      <c r="G1103" s="3">
        <v>2025</v>
      </c>
      <c r="H1103" s="3" t="str">
        <f>CONCATENATE("54240500642")</f>
        <v>54240500642</v>
      </c>
      <c r="I1103" s="3" t="s">
        <v>34</v>
      </c>
      <c r="J1103" s="3" t="s">
        <v>35</v>
      </c>
      <c r="K1103" s="3"/>
      <c r="L1103" s="3" t="s">
        <v>36</v>
      </c>
      <c r="M1103" s="3" t="str">
        <f>CONCATENATE("RGLCRL68C43C830Z")</f>
        <v>RGLCRL68C43C830Z</v>
      </c>
      <c r="N1103" s="3" t="s">
        <v>1236</v>
      </c>
      <c r="O1103" s="3" t="s">
        <v>38</v>
      </c>
      <c r="P1103" s="3"/>
      <c r="Q1103" s="4">
        <v>45968</v>
      </c>
      <c r="R1103" s="3" t="s">
        <v>39</v>
      </c>
      <c r="S1103" s="3" t="s">
        <v>38</v>
      </c>
      <c r="T1103" s="3" t="s">
        <v>40</v>
      </c>
      <c r="U1103" s="3"/>
      <c r="V1103" s="3" t="s">
        <v>41</v>
      </c>
      <c r="W1103" s="5">
        <v>9886.56</v>
      </c>
      <c r="X1103" s="5">
        <v>7414.92</v>
      </c>
      <c r="Y1103" s="5">
        <v>1730.15</v>
      </c>
      <c r="Z1103" s="3">
        <v>741.49</v>
      </c>
      <c r="AA1103" s="3">
        <v>0</v>
      </c>
    </row>
    <row r="1104" spans="1:27" ht="72.75" x14ac:dyDescent="0.25">
      <c r="A1104" s="3" t="s">
        <v>28</v>
      </c>
      <c r="B1104" s="3" t="s">
        <v>29</v>
      </c>
      <c r="C1104" s="3" t="s">
        <v>30</v>
      </c>
      <c r="D1104" s="3" t="s">
        <v>65</v>
      </c>
      <c r="E1104" s="3" t="s">
        <v>48</v>
      </c>
      <c r="F1104" s="3" t="s">
        <v>66</v>
      </c>
      <c r="G1104" s="3">
        <v>2025</v>
      </c>
      <c r="H1104" s="3" t="str">
        <f>CONCATENATE("54240500717")</f>
        <v>54240500717</v>
      </c>
      <c r="I1104" s="3" t="s">
        <v>44</v>
      </c>
      <c r="J1104" s="3" t="s">
        <v>35</v>
      </c>
      <c r="K1104" s="3"/>
      <c r="L1104" s="3" t="s">
        <v>36</v>
      </c>
      <c r="M1104" s="3" t="str">
        <f>CONCATENATE("GMBLRA89D70L500K")</f>
        <v>GMBLRA89D70L500K</v>
      </c>
      <c r="N1104" s="3" t="s">
        <v>1237</v>
      </c>
      <c r="O1104" s="3" t="s">
        <v>38</v>
      </c>
      <c r="P1104" s="3"/>
      <c r="Q1104" s="4">
        <v>45968</v>
      </c>
      <c r="R1104" s="3" t="s">
        <v>39</v>
      </c>
      <c r="S1104" s="3" t="s">
        <v>38</v>
      </c>
      <c r="T1104" s="3" t="s">
        <v>40</v>
      </c>
      <c r="U1104" s="3"/>
      <c r="V1104" s="3" t="s">
        <v>41</v>
      </c>
      <c r="W1104" s="5">
        <v>4849.3599999999997</v>
      </c>
      <c r="X1104" s="5">
        <v>3637.02</v>
      </c>
      <c r="Y1104" s="3">
        <v>848.64</v>
      </c>
      <c r="Z1104" s="3">
        <v>363.7</v>
      </c>
      <c r="AA1104" s="3">
        <v>0</v>
      </c>
    </row>
    <row r="1105" spans="1:27" ht="36.75" x14ac:dyDescent="0.25">
      <c r="A1105" s="3" t="s">
        <v>28</v>
      </c>
      <c r="B1105" s="3" t="s">
        <v>29</v>
      </c>
      <c r="C1105" s="3" t="s">
        <v>30</v>
      </c>
      <c r="D1105" s="3" t="s">
        <v>42</v>
      </c>
      <c r="E1105" s="3" t="s">
        <v>207</v>
      </c>
      <c r="F1105" s="3" t="s">
        <v>764</v>
      </c>
      <c r="G1105" s="3">
        <v>2025</v>
      </c>
      <c r="H1105" s="3" t="str">
        <f>CONCATENATE("54240628385")</f>
        <v>54240628385</v>
      </c>
      <c r="I1105" s="3" t="s">
        <v>34</v>
      </c>
      <c r="J1105" s="3" t="s">
        <v>35</v>
      </c>
      <c r="K1105" s="3"/>
      <c r="L1105" s="3" t="s">
        <v>36</v>
      </c>
      <c r="M1105" s="3" t="str">
        <f>CONCATENATE("02533600447")</f>
        <v>02533600447</v>
      </c>
      <c r="N1105" s="3" t="s">
        <v>1238</v>
      </c>
      <c r="O1105" s="3" t="s">
        <v>38</v>
      </c>
      <c r="P1105" s="3"/>
      <c r="Q1105" s="4">
        <v>45968</v>
      </c>
      <c r="R1105" s="3" t="s">
        <v>39</v>
      </c>
      <c r="S1105" s="3" t="s">
        <v>38</v>
      </c>
      <c r="T1105" s="3" t="s">
        <v>40</v>
      </c>
      <c r="U1105" s="3"/>
      <c r="V1105" s="3" t="s">
        <v>41</v>
      </c>
      <c r="W1105" s="5">
        <v>6643.27</v>
      </c>
      <c r="X1105" s="5">
        <v>4982.45</v>
      </c>
      <c r="Y1105" s="5">
        <v>1162.57</v>
      </c>
      <c r="Z1105" s="3">
        <v>498.25</v>
      </c>
      <c r="AA1105" s="3">
        <v>0</v>
      </c>
    </row>
    <row r="1106" spans="1:27" ht="36.75" x14ac:dyDescent="0.25">
      <c r="A1106" s="3" t="s">
        <v>28</v>
      </c>
      <c r="B1106" s="3" t="s">
        <v>29</v>
      </c>
      <c r="C1106" s="3" t="s">
        <v>30</v>
      </c>
      <c r="D1106" s="3" t="s">
        <v>31</v>
      </c>
      <c r="E1106" s="3" t="s">
        <v>60</v>
      </c>
      <c r="F1106" s="3" t="s">
        <v>61</v>
      </c>
      <c r="G1106" s="3">
        <v>2025</v>
      </c>
      <c r="H1106" s="3" t="str">
        <f>CONCATENATE("54240501046")</f>
        <v>54240501046</v>
      </c>
      <c r="I1106" s="3" t="s">
        <v>34</v>
      </c>
      <c r="J1106" s="3" t="s">
        <v>35</v>
      </c>
      <c r="K1106" s="3"/>
      <c r="L1106" s="3" t="s">
        <v>36</v>
      </c>
      <c r="M1106" s="3" t="str">
        <f>CONCATENATE("01293910426")</f>
        <v>01293910426</v>
      </c>
      <c r="N1106" s="3" t="s">
        <v>1239</v>
      </c>
      <c r="O1106" s="3" t="s">
        <v>38</v>
      </c>
      <c r="P1106" s="3"/>
      <c r="Q1106" s="4">
        <v>45968</v>
      </c>
      <c r="R1106" s="3" t="s">
        <v>39</v>
      </c>
      <c r="S1106" s="3" t="s">
        <v>38</v>
      </c>
      <c r="T1106" s="3" t="s">
        <v>40</v>
      </c>
      <c r="U1106" s="3"/>
      <c r="V1106" s="3" t="s">
        <v>41</v>
      </c>
      <c r="W1106" s="5">
        <v>1483.23</v>
      </c>
      <c r="X1106" s="5">
        <v>1112.42</v>
      </c>
      <c r="Y1106" s="3">
        <v>259.57</v>
      </c>
      <c r="Z1106" s="3">
        <v>111.24</v>
      </c>
      <c r="AA1106" s="3">
        <v>0</v>
      </c>
    </row>
    <row r="1107" spans="1:27" ht="60.75" x14ac:dyDescent="0.25">
      <c r="A1107" s="3" t="s">
        <v>28</v>
      </c>
      <c r="B1107" s="3" t="s">
        <v>29</v>
      </c>
      <c r="C1107" s="3" t="s">
        <v>30</v>
      </c>
      <c r="D1107" s="3" t="s">
        <v>65</v>
      </c>
      <c r="E1107" s="3" t="s">
        <v>51</v>
      </c>
      <c r="F1107" s="3" t="s">
        <v>71</v>
      </c>
      <c r="G1107" s="3">
        <v>2025</v>
      </c>
      <c r="H1107" s="3" t="str">
        <f>CONCATENATE("54240501194")</f>
        <v>54240501194</v>
      </c>
      <c r="I1107" s="3" t="s">
        <v>34</v>
      </c>
      <c r="J1107" s="3" t="s">
        <v>35</v>
      </c>
      <c r="K1107" s="3"/>
      <c r="L1107" s="3" t="s">
        <v>36</v>
      </c>
      <c r="M1107" s="3" t="str">
        <f>CONCATENATE("MTTSMN70S19I459M")</f>
        <v>MTTSMN70S19I459M</v>
      </c>
      <c r="N1107" s="3" t="s">
        <v>1240</v>
      </c>
      <c r="O1107" s="3" t="s">
        <v>38</v>
      </c>
      <c r="P1107" s="3"/>
      <c r="Q1107" s="4">
        <v>45968</v>
      </c>
      <c r="R1107" s="3" t="s">
        <v>39</v>
      </c>
      <c r="S1107" s="3" t="s">
        <v>38</v>
      </c>
      <c r="T1107" s="3" t="s">
        <v>40</v>
      </c>
      <c r="U1107" s="3"/>
      <c r="V1107" s="3" t="s">
        <v>41</v>
      </c>
      <c r="W1107" s="5">
        <v>7290.17</v>
      </c>
      <c r="X1107" s="5">
        <v>5467.63</v>
      </c>
      <c r="Y1107" s="5">
        <v>1275.78</v>
      </c>
      <c r="Z1107" s="3">
        <v>546.76</v>
      </c>
      <c r="AA1107" s="3">
        <v>0</v>
      </c>
    </row>
    <row r="1108" spans="1:27" ht="60.75" x14ac:dyDescent="0.25">
      <c r="A1108" s="3" t="s">
        <v>28</v>
      </c>
      <c r="B1108" s="3" t="s">
        <v>29</v>
      </c>
      <c r="C1108" s="3" t="s">
        <v>30</v>
      </c>
      <c r="D1108" s="3" t="s">
        <v>31</v>
      </c>
      <c r="E1108" s="3" t="s">
        <v>60</v>
      </c>
      <c r="F1108" s="3" t="s">
        <v>61</v>
      </c>
      <c r="G1108" s="3">
        <v>2025</v>
      </c>
      <c r="H1108" s="3" t="str">
        <f>CONCATENATE("54240501459")</f>
        <v>54240501459</v>
      </c>
      <c r="I1108" s="3" t="s">
        <v>34</v>
      </c>
      <c r="J1108" s="3" t="s">
        <v>35</v>
      </c>
      <c r="K1108" s="3"/>
      <c r="L1108" s="3" t="s">
        <v>36</v>
      </c>
      <c r="M1108" s="3" t="str">
        <f>CONCATENATE("SLNPTR46D20H501E")</f>
        <v>SLNPTR46D20H501E</v>
      </c>
      <c r="N1108" s="3" t="s">
        <v>1241</v>
      </c>
      <c r="O1108" s="3" t="s">
        <v>38</v>
      </c>
      <c r="P1108" s="3"/>
      <c r="Q1108" s="4">
        <v>45968</v>
      </c>
      <c r="R1108" s="3" t="s">
        <v>39</v>
      </c>
      <c r="S1108" s="3" t="s">
        <v>38</v>
      </c>
      <c r="T1108" s="3" t="s">
        <v>40</v>
      </c>
      <c r="U1108" s="3"/>
      <c r="V1108" s="3" t="s">
        <v>41</v>
      </c>
      <c r="W1108" s="3">
        <v>329.72</v>
      </c>
      <c r="X1108" s="3">
        <v>247.29</v>
      </c>
      <c r="Y1108" s="3">
        <v>57.7</v>
      </c>
      <c r="Z1108" s="3">
        <v>24.73</v>
      </c>
      <c r="AA1108" s="3">
        <v>0</v>
      </c>
    </row>
    <row r="1109" spans="1:27" ht="60.75" x14ac:dyDescent="0.25">
      <c r="A1109" s="3" t="s">
        <v>28</v>
      </c>
      <c r="B1109" s="3" t="s">
        <v>29</v>
      </c>
      <c r="C1109" s="3" t="s">
        <v>30</v>
      </c>
      <c r="D1109" s="3" t="s">
        <v>31</v>
      </c>
      <c r="E1109" s="3" t="s">
        <v>60</v>
      </c>
      <c r="F1109" s="3" t="s">
        <v>61</v>
      </c>
      <c r="G1109" s="3">
        <v>2025</v>
      </c>
      <c r="H1109" s="3" t="str">
        <f>CONCATENATE("54240501376")</f>
        <v>54240501376</v>
      </c>
      <c r="I1109" s="3" t="s">
        <v>34</v>
      </c>
      <c r="J1109" s="3" t="s">
        <v>35</v>
      </c>
      <c r="K1109" s="3"/>
      <c r="L1109" s="3" t="s">
        <v>36</v>
      </c>
      <c r="M1109" s="3" t="str">
        <f>CONCATENATE("MNTMRC82C08I608Y")</f>
        <v>MNTMRC82C08I608Y</v>
      </c>
      <c r="N1109" s="3" t="s">
        <v>1242</v>
      </c>
      <c r="O1109" s="3" t="s">
        <v>38</v>
      </c>
      <c r="P1109" s="3"/>
      <c r="Q1109" s="4">
        <v>45968</v>
      </c>
      <c r="R1109" s="3" t="s">
        <v>39</v>
      </c>
      <c r="S1109" s="3" t="s">
        <v>38</v>
      </c>
      <c r="T1109" s="3" t="s">
        <v>40</v>
      </c>
      <c r="U1109" s="3"/>
      <c r="V1109" s="3" t="s">
        <v>41</v>
      </c>
      <c r="W1109" s="5">
        <v>14287.2</v>
      </c>
      <c r="X1109" s="5">
        <v>10715.4</v>
      </c>
      <c r="Y1109" s="5">
        <v>2500.2600000000002</v>
      </c>
      <c r="Z1109" s="5">
        <v>1071.54</v>
      </c>
      <c r="AA1109" s="3">
        <v>0</v>
      </c>
    </row>
    <row r="1110" spans="1:27" ht="60.75" x14ac:dyDescent="0.25">
      <c r="A1110" s="3" t="s">
        <v>28</v>
      </c>
      <c r="B1110" s="3" t="s">
        <v>29</v>
      </c>
      <c r="C1110" s="3" t="s">
        <v>30</v>
      </c>
      <c r="D1110" s="3" t="s">
        <v>65</v>
      </c>
      <c r="E1110" s="3" t="s">
        <v>48</v>
      </c>
      <c r="F1110" s="3" t="s">
        <v>76</v>
      </c>
      <c r="G1110" s="3">
        <v>2025</v>
      </c>
      <c r="H1110" s="3" t="str">
        <f>CONCATENATE("54240557253")</f>
        <v>54240557253</v>
      </c>
      <c r="I1110" s="3" t="s">
        <v>34</v>
      </c>
      <c r="J1110" s="3" t="s">
        <v>35</v>
      </c>
      <c r="K1110" s="3"/>
      <c r="L1110" s="3" t="s">
        <v>36</v>
      </c>
      <c r="M1110" s="3" t="str">
        <f>CONCATENATE("BNCSFN71B18L500V")</f>
        <v>BNCSFN71B18L500V</v>
      </c>
      <c r="N1110" s="3" t="s">
        <v>1243</v>
      </c>
      <c r="O1110" s="3" t="s">
        <v>38</v>
      </c>
      <c r="P1110" s="3"/>
      <c r="Q1110" s="4">
        <v>45968</v>
      </c>
      <c r="R1110" s="3" t="s">
        <v>39</v>
      </c>
      <c r="S1110" s="3" t="s">
        <v>38</v>
      </c>
      <c r="T1110" s="3" t="s">
        <v>40</v>
      </c>
      <c r="U1110" s="3"/>
      <c r="V1110" s="3" t="s">
        <v>41</v>
      </c>
      <c r="W1110" s="5">
        <v>2014.32</v>
      </c>
      <c r="X1110" s="5">
        <v>1510.74</v>
      </c>
      <c r="Y1110" s="3">
        <v>352.51</v>
      </c>
      <c r="Z1110" s="3">
        <v>151.07</v>
      </c>
      <c r="AA1110" s="3">
        <v>0</v>
      </c>
    </row>
    <row r="1111" spans="1:27" ht="60.75" x14ac:dyDescent="0.25">
      <c r="A1111" s="3" t="s">
        <v>28</v>
      </c>
      <c r="B1111" s="3" t="s">
        <v>29</v>
      </c>
      <c r="C1111" s="3" t="s">
        <v>30</v>
      </c>
      <c r="D1111" s="3" t="s">
        <v>65</v>
      </c>
      <c r="E1111" s="3" t="s">
        <v>48</v>
      </c>
      <c r="F1111" s="3" t="s">
        <v>76</v>
      </c>
      <c r="G1111" s="3">
        <v>2025</v>
      </c>
      <c r="H1111" s="3" t="str">
        <f>CONCATENATE("54240552536")</f>
        <v>54240552536</v>
      </c>
      <c r="I1111" s="3" t="s">
        <v>44</v>
      </c>
      <c r="J1111" s="3" t="s">
        <v>35</v>
      </c>
      <c r="K1111" s="3"/>
      <c r="L1111" s="3" t="s">
        <v>36</v>
      </c>
      <c r="M1111" s="3" t="str">
        <f>CONCATENATE("RSSLGU91E05G479P")</f>
        <v>RSSLGU91E05G479P</v>
      </c>
      <c r="N1111" s="3" t="s">
        <v>1244</v>
      </c>
      <c r="O1111" s="3" t="s">
        <v>38</v>
      </c>
      <c r="P1111" s="3"/>
      <c r="Q1111" s="4">
        <v>45968</v>
      </c>
      <c r="R1111" s="3" t="s">
        <v>39</v>
      </c>
      <c r="S1111" s="3" t="s">
        <v>38</v>
      </c>
      <c r="T1111" s="3" t="s">
        <v>40</v>
      </c>
      <c r="U1111" s="3"/>
      <c r="V1111" s="3" t="s">
        <v>41</v>
      </c>
      <c r="W1111" s="5">
        <v>7516.14</v>
      </c>
      <c r="X1111" s="5">
        <v>5637.11</v>
      </c>
      <c r="Y1111" s="5">
        <v>1315.32</v>
      </c>
      <c r="Z1111" s="3">
        <v>563.71</v>
      </c>
      <c r="AA1111" s="3">
        <v>0</v>
      </c>
    </row>
    <row r="1112" spans="1:27" ht="72.75" x14ac:dyDescent="0.25">
      <c r="A1112" s="3" t="s">
        <v>28</v>
      </c>
      <c r="B1112" s="3" t="s">
        <v>29</v>
      </c>
      <c r="C1112" s="3" t="s">
        <v>30</v>
      </c>
      <c r="D1112" s="3" t="s">
        <v>47</v>
      </c>
      <c r="E1112" s="3" t="s">
        <v>51</v>
      </c>
      <c r="F1112" s="3" t="s">
        <v>147</v>
      </c>
      <c r="G1112" s="3">
        <v>2025</v>
      </c>
      <c r="H1112" s="3" t="str">
        <f>CONCATENATE("54240504677")</f>
        <v>54240504677</v>
      </c>
      <c r="I1112" s="3" t="s">
        <v>34</v>
      </c>
      <c r="J1112" s="3" t="s">
        <v>35</v>
      </c>
      <c r="K1112" s="3"/>
      <c r="L1112" s="3" t="s">
        <v>36</v>
      </c>
      <c r="M1112" s="3" t="str">
        <f>CONCATENATE("FRRMSM71D16L191F")</f>
        <v>FRRMSM71D16L191F</v>
      </c>
      <c r="N1112" s="3" t="s">
        <v>1245</v>
      </c>
      <c r="O1112" s="3" t="s">
        <v>38</v>
      </c>
      <c r="P1112" s="3"/>
      <c r="Q1112" s="4">
        <v>45968</v>
      </c>
      <c r="R1112" s="3" t="s">
        <v>39</v>
      </c>
      <c r="S1112" s="3" t="s">
        <v>38</v>
      </c>
      <c r="T1112" s="3" t="s">
        <v>40</v>
      </c>
      <c r="U1112" s="3"/>
      <c r="V1112" s="3" t="s">
        <v>41</v>
      </c>
      <c r="W1112" s="3">
        <v>122.43</v>
      </c>
      <c r="X1112" s="3">
        <v>91.82</v>
      </c>
      <c r="Y1112" s="3">
        <v>21.43</v>
      </c>
      <c r="Z1112" s="3">
        <v>9.18</v>
      </c>
      <c r="AA1112" s="3">
        <v>0</v>
      </c>
    </row>
    <row r="1113" spans="1:27" ht="60.75" x14ac:dyDescent="0.25">
      <c r="A1113" s="3" t="s">
        <v>28</v>
      </c>
      <c r="B1113" s="3" t="s">
        <v>29</v>
      </c>
      <c r="C1113" s="3" t="s">
        <v>30</v>
      </c>
      <c r="D1113" s="3" t="s">
        <v>65</v>
      </c>
      <c r="E1113" s="3" t="s">
        <v>207</v>
      </c>
      <c r="F1113" s="3" t="s">
        <v>208</v>
      </c>
      <c r="G1113" s="3">
        <v>2025</v>
      </c>
      <c r="H1113" s="3" t="str">
        <f>CONCATENATE("54240646353")</f>
        <v>54240646353</v>
      </c>
      <c r="I1113" s="3" t="s">
        <v>34</v>
      </c>
      <c r="J1113" s="3" t="s">
        <v>35</v>
      </c>
      <c r="K1113" s="3"/>
      <c r="L1113" s="3" t="s">
        <v>36</v>
      </c>
      <c r="M1113" s="3" t="str">
        <f>CONCATENATE("RDLGRL89A04C357F")</f>
        <v>RDLGRL89A04C357F</v>
      </c>
      <c r="N1113" s="3" t="s">
        <v>1246</v>
      </c>
      <c r="O1113" s="3" t="s">
        <v>38</v>
      </c>
      <c r="P1113" s="3"/>
      <c r="Q1113" s="4">
        <v>45968</v>
      </c>
      <c r="R1113" s="3" t="s">
        <v>39</v>
      </c>
      <c r="S1113" s="3" t="s">
        <v>38</v>
      </c>
      <c r="T1113" s="3" t="s">
        <v>40</v>
      </c>
      <c r="U1113" s="3"/>
      <c r="V1113" s="3" t="s">
        <v>41</v>
      </c>
      <c r="W1113" s="5">
        <v>4870.1400000000003</v>
      </c>
      <c r="X1113" s="5">
        <v>3652.61</v>
      </c>
      <c r="Y1113" s="3">
        <v>852.27</v>
      </c>
      <c r="Z1113" s="3">
        <v>365.26</v>
      </c>
      <c r="AA1113" s="3">
        <v>0</v>
      </c>
    </row>
    <row r="1114" spans="1:27" ht="60.75" x14ac:dyDescent="0.25">
      <c r="A1114" s="3" t="s">
        <v>28</v>
      </c>
      <c r="B1114" s="3" t="s">
        <v>29</v>
      </c>
      <c r="C1114" s="3" t="s">
        <v>30</v>
      </c>
      <c r="D1114" s="3" t="s">
        <v>65</v>
      </c>
      <c r="E1114" s="3" t="s">
        <v>60</v>
      </c>
      <c r="F1114" s="3" t="s">
        <v>85</v>
      </c>
      <c r="G1114" s="3">
        <v>2025</v>
      </c>
      <c r="H1114" s="3" t="str">
        <f>CONCATENATE("54240628880")</f>
        <v>54240628880</v>
      </c>
      <c r="I1114" s="3" t="s">
        <v>44</v>
      </c>
      <c r="J1114" s="3" t="s">
        <v>35</v>
      </c>
      <c r="K1114" s="3"/>
      <c r="L1114" s="3" t="s">
        <v>36</v>
      </c>
      <c r="M1114" s="3" t="str">
        <f>CONCATENATE("CLNLLN33T55Z404T")</f>
        <v>CLNLLN33T55Z404T</v>
      </c>
      <c r="N1114" s="3" t="s">
        <v>1247</v>
      </c>
      <c r="O1114" s="3" t="s">
        <v>38</v>
      </c>
      <c r="P1114" s="3"/>
      <c r="Q1114" s="4">
        <v>45968</v>
      </c>
      <c r="R1114" s="3" t="s">
        <v>39</v>
      </c>
      <c r="S1114" s="3" t="s">
        <v>38</v>
      </c>
      <c r="T1114" s="3" t="s">
        <v>40</v>
      </c>
      <c r="U1114" s="3"/>
      <c r="V1114" s="3" t="s">
        <v>41</v>
      </c>
      <c r="W1114" s="5">
        <v>2464.21</v>
      </c>
      <c r="X1114" s="5">
        <v>1848.16</v>
      </c>
      <c r="Y1114" s="3">
        <v>431.24</v>
      </c>
      <c r="Z1114" s="3">
        <v>184.81</v>
      </c>
      <c r="AA1114" s="3">
        <v>0</v>
      </c>
    </row>
    <row r="1115" spans="1:27" ht="60.75" x14ac:dyDescent="0.25">
      <c r="A1115" s="3" t="s">
        <v>28</v>
      </c>
      <c r="B1115" s="3" t="s">
        <v>29</v>
      </c>
      <c r="C1115" s="3" t="s">
        <v>30</v>
      </c>
      <c r="D1115" s="3" t="s">
        <v>65</v>
      </c>
      <c r="E1115" s="3" t="s">
        <v>60</v>
      </c>
      <c r="F1115" s="3" t="s">
        <v>85</v>
      </c>
      <c r="G1115" s="3">
        <v>2025</v>
      </c>
      <c r="H1115" s="3" t="str">
        <f>CONCATENATE("54240637766")</f>
        <v>54240637766</v>
      </c>
      <c r="I1115" s="3" t="s">
        <v>34</v>
      </c>
      <c r="J1115" s="3" t="s">
        <v>35</v>
      </c>
      <c r="K1115" s="3"/>
      <c r="L1115" s="3" t="s">
        <v>36</v>
      </c>
      <c r="M1115" s="3" t="str">
        <f>CONCATENATE("TNFNLL37D28G089Q")</f>
        <v>TNFNLL37D28G089Q</v>
      </c>
      <c r="N1115" s="3" t="s">
        <v>1248</v>
      </c>
      <c r="O1115" s="3" t="s">
        <v>38</v>
      </c>
      <c r="P1115" s="3"/>
      <c r="Q1115" s="4">
        <v>45968</v>
      </c>
      <c r="R1115" s="3" t="s">
        <v>39</v>
      </c>
      <c r="S1115" s="3" t="s">
        <v>38</v>
      </c>
      <c r="T1115" s="3" t="s">
        <v>40</v>
      </c>
      <c r="U1115" s="3"/>
      <c r="V1115" s="3" t="s">
        <v>41</v>
      </c>
      <c r="W1115" s="5">
        <v>1734.18</v>
      </c>
      <c r="X1115" s="5">
        <v>1300.6400000000001</v>
      </c>
      <c r="Y1115" s="3">
        <v>303.48</v>
      </c>
      <c r="Z1115" s="3">
        <v>130.06</v>
      </c>
      <c r="AA1115" s="3">
        <v>0</v>
      </c>
    </row>
    <row r="1116" spans="1:27" ht="60.75" x14ac:dyDescent="0.25">
      <c r="A1116" s="3" t="s">
        <v>28</v>
      </c>
      <c r="B1116" s="3" t="s">
        <v>29</v>
      </c>
      <c r="C1116" s="3" t="s">
        <v>30</v>
      </c>
      <c r="D1116" s="3" t="s">
        <v>47</v>
      </c>
      <c r="E1116" s="3" t="s">
        <v>32</v>
      </c>
      <c r="F1116" s="3" t="s">
        <v>545</v>
      </c>
      <c r="G1116" s="3">
        <v>2025</v>
      </c>
      <c r="H1116" s="3" t="str">
        <f>CONCATENATE("54240505138")</f>
        <v>54240505138</v>
      </c>
      <c r="I1116" s="3" t="s">
        <v>34</v>
      </c>
      <c r="J1116" s="3" t="s">
        <v>35</v>
      </c>
      <c r="K1116" s="3"/>
      <c r="L1116" s="3" t="s">
        <v>36</v>
      </c>
      <c r="M1116" s="3" t="str">
        <f>CONCATENATE("BROGPP69P17E783D")</f>
        <v>BROGPP69P17E783D</v>
      </c>
      <c r="N1116" s="3" t="s">
        <v>1249</v>
      </c>
      <c r="O1116" s="3" t="s">
        <v>38</v>
      </c>
      <c r="P1116" s="3"/>
      <c r="Q1116" s="4">
        <v>45968</v>
      </c>
      <c r="R1116" s="3" t="s">
        <v>39</v>
      </c>
      <c r="S1116" s="3" t="s">
        <v>38</v>
      </c>
      <c r="T1116" s="3" t="s">
        <v>40</v>
      </c>
      <c r="U1116" s="3"/>
      <c r="V1116" s="3" t="s">
        <v>41</v>
      </c>
      <c r="W1116" s="5">
        <v>2282.7600000000002</v>
      </c>
      <c r="X1116" s="5">
        <v>1712.07</v>
      </c>
      <c r="Y1116" s="3">
        <v>399.48</v>
      </c>
      <c r="Z1116" s="3">
        <v>171.21</v>
      </c>
      <c r="AA1116" s="3">
        <v>0</v>
      </c>
    </row>
    <row r="1117" spans="1:27" ht="36.75" x14ac:dyDescent="0.25">
      <c r="A1117" s="3" t="s">
        <v>28</v>
      </c>
      <c r="B1117" s="3" t="s">
        <v>29</v>
      </c>
      <c r="C1117" s="3" t="s">
        <v>30</v>
      </c>
      <c r="D1117" s="3" t="s">
        <v>42</v>
      </c>
      <c r="E1117" s="3" t="s">
        <v>207</v>
      </c>
      <c r="F1117" s="3" t="s">
        <v>764</v>
      </c>
      <c r="G1117" s="3">
        <v>2025</v>
      </c>
      <c r="H1117" s="3" t="str">
        <f>CONCATENATE("54240625092")</f>
        <v>54240625092</v>
      </c>
      <c r="I1117" s="3" t="s">
        <v>44</v>
      </c>
      <c r="J1117" s="3" t="s">
        <v>35</v>
      </c>
      <c r="K1117" s="3"/>
      <c r="L1117" s="3" t="s">
        <v>36</v>
      </c>
      <c r="M1117" s="3" t="str">
        <f>CONCATENATE("01941020446")</f>
        <v>01941020446</v>
      </c>
      <c r="N1117" s="3" t="s">
        <v>1250</v>
      </c>
      <c r="O1117" s="3" t="s">
        <v>38</v>
      </c>
      <c r="P1117" s="3"/>
      <c r="Q1117" s="4">
        <v>45968</v>
      </c>
      <c r="R1117" s="3" t="s">
        <v>39</v>
      </c>
      <c r="S1117" s="3" t="s">
        <v>38</v>
      </c>
      <c r="T1117" s="3" t="s">
        <v>40</v>
      </c>
      <c r="U1117" s="3"/>
      <c r="V1117" s="3" t="s">
        <v>41</v>
      </c>
      <c r="W1117" s="5">
        <v>4020.68</v>
      </c>
      <c r="X1117" s="5">
        <v>3015.51</v>
      </c>
      <c r="Y1117" s="3">
        <v>703.62</v>
      </c>
      <c r="Z1117" s="3">
        <v>301.55</v>
      </c>
      <c r="AA1117" s="3">
        <v>0</v>
      </c>
    </row>
    <row r="1118" spans="1:27" ht="36.75" x14ac:dyDescent="0.25">
      <c r="A1118" s="3" t="s">
        <v>28</v>
      </c>
      <c r="B1118" s="3" t="s">
        <v>29</v>
      </c>
      <c r="C1118" s="3" t="s">
        <v>30</v>
      </c>
      <c r="D1118" s="3" t="s">
        <v>47</v>
      </c>
      <c r="E1118" s="3" t="s">
        <v>51</v>
      </c>
      <c r="F1118" s="3" t="s">
        <v>107</v>
      </c>
      <c r="G1118" s="3">
        <v>2025</v>
      </c>
      <c r="H1118" s="3" t="str">
        <f>CONCATENATE("54240512969")</f>
        <v>54240512969</v>
      </c>
      <c r="I1118" s="3" t="s">
        <v>34</v>
      </c>
      <c r="J1118" s="3" t="s">
        <v>35</v>
      </c>
      <c r="K1118" s="3"/>
      <c r="L1118" s="3" t="s">
        <v>36</v>
      </c>
      <c r="M1118" s="3" t="str">
        <f>CONCATENATE("00947250437")</f>
        <v>00947250437</v>
      </c>
      <c r="N1118" s="3" t="s">
        <v>1251</v>
      </c>
      <c r="O1118" s="3" t="s">
        <v>38</v>
      </c>
      <c r="P1118" s="3"/>
      <c r="Q1118" s="4">
        <v>45968</v>
      </c>
      <c r="R1118" s="3" t="s">
        <v>39</v>
      </c>
      <c r="S1118" s="3" t="s">
        <v>38</v>
      </c>
      <c r="T1118" s="3" t="s">
        <v>40</v>
      </c>
      <c r="U1118" s="3"/>
      <c r="V1118" s="3" t="s">
        <v>41</v>
      </c>
      <c r="W1118" s="5">
        <v>4192.18</v>
      </c>
      <c r="X1118" s="5">
        <v>3144.14</v>
      </c>
      <c r="Y1118" s="3">
        <v>733.63</v>
      </c>
      <c r="Z1118" s="3">
        <v>314.41000000000003</v>
      </c>
      <c r="AA1118" s="3">
        <v>0</v>
      </c>
    </row>
    <row r="1119" spans="1:27" ht="60.75" x14ac:dyDescent="0.25">
      <c r="A1119" s="3" t="s">
        <v>28</v>
      </c>
      <c r="B1119" s="3" t="s">
        <v>29</v>
      </c>
      <c r="C1119" s="3" t="s">
        <v>30</v>
      </c>
      <c r="D1119" s="3" t="s">
        <v>31</v>
      </c>
      <c r="E1119" s="3" t="s">
        <v>60</v>
      </c>
      <c r="F1119" s="3" t="s">
        <v>61</v>
      </c>
      <c r="G1119" s="3">
        <v>2025</v>
      </c>
      <c r="H1119" s="3" t="str">
        <f>CONCATENATE("54240505401")</f>
        <v>54240505401</v>
      </c>
      <c r="I1119" s="3" t="s">
        <v>34</v>
      </c>
      <c r="J1119" s="3" t="s">
        <v>35</v>
      </c>
      <c r="K1119" s="3"/>
      <c r="L1119" s="3" t="s">
        <v>36</v>
      </c>
      <c r="M1119" s="3" t="str">
        <f>CONCATENATE("LPRPVT58M30L219W")</f>
        <v>LPRPVT58M30L219W</v>
      </c>
      <c r="N1119" s="3" t="s">
        <v>1252</v>
      </c>
      <c r="O1119" s="3" t="s">
        <v>38</v>
      </c>
      <c r="P1119" s="3"/>
      <c r="Q1119" s="4">
        <v>45968</v>
      </c>
      <c r="R1119" s="3" t="s">
        <v>39</v>
      </c>
      <c r="S1119" s="3" t="s">
        <v>38</v>
      </c>
      <c r="T1119" s="3" t="s">
        <v>40</v>
      </c>
      <c r="U1119" s="3"/>
      <c r="V1119" s="3" t="s">
        <v>41</v>
      </c>
      <c r="W1119" s="5">
        <v>26487.46</v>
      </c>
      <c r="X1119" s="5">
        <v>19865.599999999999</v>
      </c>
      <c r="Y1119" s="5">
        <v>4635.3100000000004</v>
      </c>
      <c r="Z1119" s="5">
        <v>1986.55</v>
      </c>
      <c r="AA1119" s="3">
        <v>0</v>
      </c>
    </row>
    <row r="1120" spans="1:27" ht="48.75" x14ac:dyDescent="0.25">
      <c r="A1120" s="3" t="s">
        <v>28</v>
      </c>
      <c r="B1120" s="3" t="s">
        <v>29</v>
      </c>
      <c r="C1120" s="3" t="s">
        <v>30</v>
      </c>
      <c r="D1120" s="3" t="s">
        <v>47</v>
      </c>
      <c r="E1120" s="3" t="s">
        <v>48</v>
      </c>
      <c r="F1120" s="3" t="s">
        <v>90</v>
      </c>
      <c r="G1120" s="3">
        <v>2025</v>
      </c>
      <c r="H1120" s="3" t="str">
        <f>CONCATENATE("54240622321")</f>
        <v>54240622321</v>
      </c>
      <c r="I1120" s="3" t="s">
        <v>34</v>
      </c>
      <c r="J1120" s="3" t="s">
        <v>35</v>
      </c>
      <c r="K1120" s="3"/>
      <c r="L1120" s="3" t="s">
        <v>36</v>
      </c>
      <c r="M1120" s="3" t="str">
        <f>CONCATENATE("BLZLSS99A01I156E")</f>
        <v>BLZLSS99A01I156E</v>
      </c>
      <c r="N1120" s="3" t="s">
        <v>1253</v>
      </c>
      <c r="O1120" s="3" t="s">
        <v>38</v>
      </c>
      <c r="P1120" s="3"/>
      <c r="Q1120" s="4">
        <v>45968</v>
      </c>
      <c r="R1120" s="3" t="s">
        <v>39</v>
      </c>
      <c r="S1120" s="3" t="s">
        <v>38</v>
      </c>
      <c r="T1120" s="3" t="s">
        <v>40</v>
      </c>
      <c r="U1120" s="3"/>
      <c r="V1120" s="3" t="s">
        <v>41</v>
      </c>
      <c r="W1120" s="5">
        <v>1292.8399999999999</v>
      </c>
      <c r="X1120" s="3">
        <v>969.63</v>
      </c>
      <c r="Y1120" s="3">
        <v>226.25</v>
      </c>
      <c r="Z1120" s="3">
        <v>96.96</v>
      </c>
      <c r="AA1120" s="3">
        <v>0</v>
      </c>
    </row>
    <row r="1121" spans="1:27" ht="36.75" x14ac:dyDescent="0.25">
      <c r="A1121" s="3" t="s">
        <v>28</v>
      </c>
      <c r="B1121" s="3" t="s">
        <v>29</v>
      </c>
      <c r="C1121" s="3" t="s">
        <v>30</v>
      </c>
      <c r="D1121" s="3" t="s">
        <v>31</v>
      </c>
      <c r="E1121" s="3" t="s">
        <v>51</v>
      </c>
      <c r="F1121" s="3" t="s">
        <v>99</v>
      </c>
      <c r="G1121" s="3">
        <v>2025</v>
      </c>
      <c r="H1121" s="3" t="str">
        <f>CONCATENATE("54240621992")</f>
        <v>54240621992</v>
      </c>
      <c r="I1121" s="3" t="s">
        <v>34</v>
      </c>
      <c r="J1121" s="3" t="s">
        <v>35</v>
      </c>
      <c r="K1121" s="3"/>
      <c r="L1121" s="3" t="s">
        <v>36</v>
      </c>
      <c r="M1121" s="3" t="str">
        <f>CONCATENATE("02398370425")</f>
        <v>02398370425</v>
      </c>
      <c r="N1121" s="3" t="s">
        <v>1254</v>
      </c>
      <c r="O1121" s="3" t="s">
        <v>38</v>
      </c>
      <c r="P1121" s="3"/>
      <c r="Q1121" s="4">
        <v>45968</v>
      </c>
      <c r="R1121" s="3" t="s">
        <v>39</v>
      </c>
      <c r="S1121" s="3" t="s">
        <v>38</v>
      </c>
      <c r="T1121" s="3" t="s">
        <v>40</v>
      </c>
      <c r="U1121" s="3"/>
      <c r="V1121" s="3" t="s">
        <v>41</v>
      </c>
      <c r="W1121" s="3">
        <v>719.8</v>
      </c>
      <c r="X1121" s="3">
        <v>539.85</v>
      </c>
      <c r="Y1121" s="3">
        <v>125.97</v>
      </c>
      <c r="Z1121" s="3">
        <v>53.98</v>
      </c>
      <c r="AA1121" s="3">
        <v>0</v>
      </c>
    </row>
    <row r="1122" spans="1:27" ht="60.75" x14ac:dyDescent="0.25">
      <c r="A1122" s="3" t="s">
        <v>28</v>
      </c>
      <c r="B1122" s="3" t="s">
        <v>29</v>
      </c>
      <c r="C1122" s="3" t="s">
        <v>30</v>
      </c>
      <c r="D1122" s="3" t="s">
        <v>65</v>
      </c>
      <c r="E1122" s="3" t="s">
        <v>32</v>
      </c>
      <c r="F1122" s="3" t="s">
        <v>95</v>
      </c>
      <c r="G1122" s="3">
        <v>2025</v>
      </c>
      <c r="H1122" s="3" t="str">
        <f>CONCATENATE("54240627619")</f>
        <v>54240627619</v>
      </c>
      <c r="I1122" s="3" t="s">
        <v>34</v>
      </c>
      <c r="J1122" s="3" t="s">
        <v>35</v>
      </c>
      <c r="K1122" s="3"/>
      <c r="L1122" s="3" t="s">
        <v>36</v>
      </c>
      <c r="M1122" s="3" t="str">
        <f>CONCATENATE("CHSGZN67B23B352L")</f>
        <v>CHSGZN67B23B352L</v>
      </c>
      <c r="N1122" s="3" t="s">
        <v>1255</v>
      </c>
      <c r="O1122" s="3" t="s">
        <v>38</v>
      </c>
      <c r="P1122" s="3"/>
      <c r="Q1122" s="4">
        <v>45968</v>
      </c>
      <c r="R1122" s="3" t="s">
        <v>39</v>
      </c>
      <c r="S1122" s="3" t="s">
        <v>38</v>
      </c>
      <c r="T1122" s="3" t="s">
        <v>40</v>
      </c>
      <c r="U1122" s="3"/>
      <c r="V1122" s="3" t="s">
        <v>41</v>
      </c>
      <c r="W1122" s="5">
        <v>1630.02</v>
      </c>
      <c r="X1122" s="5">
        <v>1222.52</v>
      </c>
      <c r="Y1122" s="3">
        <v>285.25</v>
      </c>
      <c r="Z1122" s="3">
        <v>122.25</v>
      </c>
      <c r="AA1122" s="3">
        <v>0</v>
      </c>
    </row>
    <row r="1123" spans="1:27" ht="60.75" x14ac:dyDescent="0.25">
      <c r="A1123" s="3" t="s">
        <v>28</v>
      </c>
      <c r="B1123" s="3" t="s">
        <v>29</v>
      </c>
      <c r="C1123" s="3" t="s">
        <v>30</v>
      </c>
      <c r="D1123" s="3" t="s">
        <v>65</v>
      </c>
      <c r="E1123" s="3" t="s">
        <v>32</v>
      </c>
      <c r="F1123" s="3" t="s">
        <v>95</v>
      </c>
      <c r="G1123" s="3">
        <v>2025</v>
      </c>
      <c r="H1123" s="3" t="str">
        <f>CONCATENATE("54240626744")</f>
        <v>54240626744</v>
      </c>
      <c r="I1123" s="3" t="s">
        <v>34</v>
      </c>
      <c r="J1123" s="3" t="s">
        <v>35</v>
      </c>
      <c r="K1123" s="3"/>
      <c r="L1123" s="3" t="s">
        <v>36</v>
      </c>
      <c r="M1123" s="3" t="str">
        <f>CONCATENATE("SCTMDL76L71F205L")</f>
        <v>SCTMDL76L71F205L</v>
      </c>
      <c r="N1123" s="3" t="s">
        <v>1256</v>
      </c>
      <c r="O1123" s="3" t="s">
        <v>38</v>
      </c>
      <c r="P1123" s="3"/>
      <c r="Q1123" s="4">
        <v>45968</v>
      </c>
      <c r="R1123" s="3" t="s">
        <v>39</v>
      </c>
      <c r="S1123" s="3" t="s">
        <v>38</v>
      </c>
      <c r="T1123" s="3" t="s">
        <v>40</v>
      </c>
      <c r="U1123" s="3"/>
      <c r="V1123" s="3" t="s">
        <v>41</v>
      </c>
      <c r="W1123" s="5">
        <v>5243.94</v>
      </c>
      <c r="X1123" s="5">
        <v>3932.96</v>
      </c>
      <c r="Y1123" s="3">
        <v>917.69</v>
      </c>
      <c r="Z1123" s="3">
        <v>393.29</v>
      </c>
      <c r="AA1123" s="3">
        <v>0</v>
      </c>
    </row>
    <row r="1124" spans="1:27" ht="72.75" x14ac:dyDescent="0.25">
      <c r="A1124" s="3" t="s">
        <v>28</v>
      </c>
      <c r="B1124" s="3" t="s">
        <v>29</v>
      </c>
      <c r="C1124" s="3" t="s">
        <v>30</v>
      </c>
      <c r="D1124" s="3" t="s">
        <v>65</v>
      </c>
      <c r="E1124" s="3" t="s">
        <v>32</v>
      </c>
      <c r="F1124" s="3" t="s">
        <v>95</v>
      </c>
      <c r="G1124" s="3">
        <v>2025</v>
      </c>
      <c r="H1124" s="3" t="str">
        <f>CONCATENATE("54240631355")</f>
        <v>54240631355</v>
      </c>
      <c r="I1124" s="3" t="s">
        <v>34</v>
      </c>
      <c r="J1124" s="3" t="s">
        <v>35</v>
      </c>
      <c r="K1124" s="3"/>
      <c r="L1124" s="3" t="s">
        <v>36</v>
      </c>
      <c r="M1124" s="3" t="str">
        <f>CONCATENATE("SPDRRT65A24D808V")</f>
        <v>SPDRRT65A24D808V</v>
      </c>
      <c r="N1124" s="3" t="s">
        <v>1257</v>
      </c>
      <c r="O1124" s="3" t="s">
        <v>38</v>
      </c>
      <c r="P1124" s="3"/>
      <c r="Q1124" s="4">
        <v>45968</v>
      </c>
      <c r="R1124" s="3" t="s">
        <v>39</v>
      </c>
      <c r="S1124" s="3" t="s">
        <v>38</v>
      </c>
      <c r="T1124" s="3" t="s">
        <v>40</v>
      </c>
      <c r="U1124" s="3"/>
      <c r="V1124" s="3" t="s">
        <v>41</v>
      </c>
      <c r="W1124" s="5">
        <v>2584.89</v>
      </c>
      <c r="X1124" s="5">
        <v>1938.67</v>
      </c>
      <c r="Y1124" s="3">
        <v>452.36</v>
      </c>
      <c r="Z1124" s="3">
        <v>193.86</v>
      </c>
      <c r="AA1124" s="3">
        <v>0</v>
      </c>
    </row>
    <row r="1125" spans="1:27" ht="60.75" x14ac:dyDescent="0.25">
      <c r="A1125" s="3" t="s">
        <v>28</v>
      </c>
      <c r="B1125" s="3" t="s">
        <v>29</v>
      </c>
      <c r="C1125" s="3" t="s">
        <v>30</v>
      </c>
      <c r="D1125" s="3" t="s">
        <v>65</v>
      </c>
      <c r="E1125" s="3" t="s">
        <v>51</v>
      </c>
      <c r="F1125" s="3" t="s">
        <v>240</v>
      </c>
      <c r="G1125" s="3">
        <v>2025</v>
      </c>
      <c r="H1125" s="3" t="str">
        <f>CONCATENATE("54240623899")</f>
        <v>54240623899</v>
      </c>
      <c r="I1125" s="3" t="s">
        <v>34</v>
      </c>
      <c r="J1125" s="3" t="s">
        <v>35</v>
      </c>
      <c r="K1125" s="3"/>
      <c r="L1125" s="3" t="s">
        <v>36</v>
      </c>
      <c r="M1125" s="3" t="str">
        <f>CONCATENATE("DSCRLF58S22F205P")</f>
        <v>DSCRLF58S22F205P</v>
      </c>
      <c r="N1125" s="3" t="s">
        <v>1258</v>
      </c>
      <c r="O1125" s="3" t="s">
        <v>38</v>
      </c>
      <c r="P1125" s="3"/>
      <c r="Q1125" s="4">
        <v>45968</v>
      </c>
      <c r="R1125" s="3" t="s">
        <v>39</v>
      </c>
      <c r="S1125" s="3" t="s">
        <v>38</v>
      </c>
      <c r="T1125" s="3" t="s">
        <v>40</v>
      </c>
      <c r="U1125" s="3"/>
      <c r="V1125" s="3" t="s">
        <v>41</v>
      </c>
      <c r="W1125" s="5">
        <v>7409.93</v>
      </c>
      <c r="X1125" s="5">
        <v>5557.45</v>
      </c>
      <c r="Y1125" s="5">
        <v>1296.74</v>
      </c>
      <c r="Z1125" s="3">
        <v>555.74</v>
      </c>
      <c r="AA1125" s="3">
        <v>0</v>
      </c>
    </row>
    <row r="1126" spans="1:27" ht="36.75" x14ac:dyDescent="0.25">
      <c r="A1126" s="3" t="s">
        <v>28</v>
      </c>
      <c r="B1126" s="3" t="s">
        <v>29</v>
      </c>
      <c r="C1126" s="3" t="s">
        <v>30</v>
      </c>
      <c r="D1126" s="3" t="s">
        <v>42</v>
      </c>
      <c r="E1126" s="3" t="s">
        <v>207</v>
      </c>
      <c r="F1126" s="3" t="s">
        <v>217</v>
      </c>
      <c r="G1126" s="3">
        <v>2025</v>
      </c>
      <c r="H1126" s="3" t="str">
        <f>CONCATENATE("54240625126")</f>
        <v>54240625126</v>
      </c>
      <c r="I1126" s="3" t="s">
        <v>34</v>
      </c>
      <c r="J1126" s="3" t="s">
        <v>35</v>
      </c>
      <c r="K1126" s="3"/>
      <c r="L1126" s="3" t="s">
        <v>36</v>
      </c>
      <c r="M1126" s="3" t="str">
        <f>CONCATENATE("01983810449")</f>
        <v>01983810449</v>
      </c>
      <c r="N1126" s="3" t="s">
        <v>1259</v>
      </c>
      <c r="O1126" s="3" t="s">
        <v>38</v>
      </c>
      <c r="P1126" s="3"/>
      <c r="Q1126" s="4">
        <v>45968</v>
      </c>
      <c r="R1126" s="3" t="s">
        <v>39</v>
      </c>
      <c r="S1126" s="3" t="s">
        <v>38</v>
      </c>
      <c r="T1126" s="3" t="s">
        <v>40</v>
      </c>
      <c r="U1126" s="3"/>
      <c r="V1126" s="3" t="s">
        <v>41</v>
      </c>
      <c r="W1126" s="5">
        <v>16237.3</v>
      </c>
      <c r="X1126" s="5">
        <v>12177.98</v>
      </c>
      <c r="Y1126" s="5">
        <v>2841.53</v>
      </c>
      <c r="Z1126" s="5">
        <v>1217.79</v>
      </c>
      <c r="AA1126" s="3">
        <v>0</v>
      </c>
    </row>
    <row r="1127" spans="1:27" ht="60.75" x14ac:dyDescent="0.25">
      <c r="A1127" s="3" t="s">
        <v>28</v>
      </c>
      <c r="B1127" s="3" t="s">
        <v>29</v>
      </c>
      <c r="C1127" s="3" t="s">
        <v>30</v>
      </c>
      <c r="D1127" s="3" t="s">
        <v>42</v>
      </c>
      <c r="E1127" s="3" t="s">
        <v>32</v>
      </c>
      <c r="F1127" s="3" t="s">
        <v>110</v>
      </c>
      <c r="G1127" s="3">
        <v>2025</v>
      </c>
      <c r="H1127" s="3" t="str">
        <f>CONCATENATE("54240507621")</f>
        <v>54240507621</v>
      </c>
      <c r="I1127" s="3" t="s">
        <v>34</v>
      </c>
      <c r="J1127" s="3" t="s">
        <v>35</v>
      </c>
      <c r="K1127" s="3"/>
      <c r="L1127" s="3" t="s">
        <v>36</v>
      </c>
      <c r="M1127" s="3" t="str">
        <f>CONCATENATE("CNNDNL77L29A462N")</f>
        <v>CNNDNL77L29A462N</v>
      </c>
      <c r="N1127" s="3" t="s">
        <v>1260</v>
      </c>
      <c r="O1127" s="3" t="s">
        <v>38</v>
      </c>
      <c r="P1127" s="3"/>
      <c r="Q1127" s="4">
        <v>45968</v>
      </c>
      <c r="R1127" s="3" t="s">
        <v>39</v>
      </c>
      <c r="S1127" s="3" t="s">
        <v>38</v>
      </c>
      <c r="T1127" s="3" t="s">
        <v>40</v>
      </c>
      <c r="U1127" s="3"/>
      <c r="V1127" s="3" t="s">
        <v>41</v>
      </c>
      <c r="W1127" s="5">
        <v>1203.69</v>
      </c>
      <c r="X1127" s="3">
        <v>902.77</v>
      </c>
      <c r="Y1127" s="3">
        <v>210.65</v>
      </c>
      <c r="Z1127" s="3">
        <v>90.27</v>
      </c>
      <c r="AA1127" s="3">
        <v>0</v>
      </c>
    </row>
    <row r="1128" spans="1:27" ht="60.75" x14ac:dyDescent="0.25">
      <c r="A1128" s="3" t="s">
        <v>28</v>
      </c>
      <c r="B1128" s="3" t="s">
        <v>29</v>
      </c>
      <c r="C1128" s="3" t="s">
        <v>30</v>
      </c>
      <c r="D1128" s="3" t="s">
        <v>65</v>
      </c>
      <c r="E1128" s="3" t="s">
        <v>32</v>
      </c>
      <c r="F1128" s="3" t="s">
        <v>95</v>
      </c>
      <c r="G1128" s="3">
        <v>2025</v>
      </c>
      <c r="H1128" s="3" t="str">
        <f>CONCATENATE("54240624558")</f>
        <v>54240624558</v>
      </c>
      <c r="I1128" s="3" t="s">
        <v>34</v>
      </c>
      <c r="J1128" s="3" t="s">
        <v>35</v>
      </c>
      <c r="K1128" s="3"/>
      <c r="L1128" s="3" t="s">
        <v>36</v>
      </c>
      <c r="M1128" s="3" t="str">
        <f>CONCATENATE("BRLPTR67C18G453L")</f>
        <v>BRLPTR67C18G453L</v>
      </c>
      <c r="N1128" s="3" t="s">
        <v>1261</v>
      </c>
      <c r="O1128" s="3" t="s">
        <v>38</v>
      </c>
      <c r="P1128" s="3"/>
      <c r="Q1128" s="4">
        <v>45968</v>
      </c>
      <c r="R1128" s="3" t="s">
        <v>39</v>
      </c>
      <c r="S1128" s="3" t="s">
        <v>38</v>
      </c>
      <c r="T1128" s="3" t="s">
        <v>40</v>
      </c>
      <c r="U1128" s="3"/>
      <c r="V1128" s="3" t="s">
        <v>41</v>
      </c>
      <c r="W1128" s="5">
        <v>13940.12</v>
      </c>
      <c r="X1128" s="5">
        <v>10455.09</v>
      </c>
      <c r="Y1128" s="5">
        <v>2439.52</v>
      </c>
      <c r="Z1128" s="5">
        <v>1045.51</v>
      </c>
      <c r="AA1128" s="3">
        <v>0</v>
      </c>
    </row>
    <row r="1129" spans="1:27" ht="36.75" x14ac:dyDescent="0.25">
      <c r="A1129" s="3" t="s">
        <v>28</v>
      </c>
      <c r="B1129" s="3" t="s">
        <v>29</v>
      </c>
      <c r="C1129" s="3" t="s">
        <v>30</v>
      </c>
      <c r="D1129" s="3" t="s">
        <v>31</v>
      </c>
      <c r="E1129" s="3" t="s">
        <v>32</v>
      </c>
      <c r="F1129" s="3" t="s">
        <v>33</v>
      </c>
      <c r="G1129" s="3">
        <v>2025</v>
      </c>
      <c r="H1129" s="3" t="str">
        <f>CONCATENATE("54240634276")</f>
        <v>54240634276</v>
      </c>
      <c r="I1129" s="3" t="s">
        <v>34</v>
      </c>
      <c r="J1129" s="3" t="s">
        <v>35</v>
      </c>
      <c r="K1129" s="3"/>
      <c r="L1129" s="3" t="s">
        <v>36</v>
      </c>
      <c r="M1129" s="3" t="str">
        <f>CONCATENATE("02770060420")</f>
        <v>02770060420</v>
      </c>
      <c r="N1129" s="3" t="s">
        <v>1262</v>
      </c>
      <c r="O1129" s="3" t="s">
        <v>38</v>
      </c>
      <c r="P1129" s="3"/>
      <c r="Q1129" s="4">
        <v>45968</v>
      </c>
      <c r="R1129" s="3" t="s">
        <v>39</v>
      </c>
      <c r="S1129" s="3" t="s">
        <v>38</v>
      </c>
      <c r="T1129" s="3" t="s">
        <v>40</v>
      </c>
      <c r="U1129" s="3"/>
      <c r="V1129" s="3" t="s">
        <v>41</v>
      </c>
      <c r="W1129" s="5">
        <v>97527.57</v>
      </c>
      <c r="X1129" s="5">
        <v>73145.679999999993</v>
      </c>
      <c r="Y1129" s="5">
        <v>17067.32</v>
      </c>
      <c r="Z1129" s="5">
        <v>7314.57</v>
      </c>
      <c r="AA1129" s="3">
        <v>0</v>
      </c>
    </row>
    <row r="1130" spans="1:27" ht="36.75" x14ac:dyDescent="0.25">
      <c r="A1130" s="3" t="s">
        <v>28</v>
      </c>
      <c r="B1130" s="3" t="s">
        <v>29</v>
      </c>
      <c r="C1130" s="3" t="s">
        <v>30</v>
      </c>
      <c r="D1130" s="3" t="s">
        <v>42</v>
      </c>
      <c r="E1130" s="3" t="s">
        <v>207</v>
      </c>
      <c r="F1130" s="3" t="s">
        <v>764</v>
      </c>
      <c r="G1130" s="3">
        <v>2025</v>
      </c>
      <c r="H1130" s="3" t="str">
        <f>CONCATENATE("54240624913")</f>
        <v>54240624913</v>
      </c>
      <c r="I1130" s="3" t="s">
        <v>34</v>
      </c>
      <c r="J1130" s="3" t="s">
        <v>35</v>
      </c>
      <c r="K1130" s="3"/>
      <c r="L1130" s="3" t="s">
        <v>36</v>
      </c>
      <c r="M1130" s="3" t="str">
        <f>CONCATENATE("01762040671")</f>
        <v>01762040671</v>
      </c>
      <c r="N1130" s="3" t="s">
        <v>1263</v>
      </c>
      <c r="O1130" s="3" t="s">
        <v>38</v>
      </c>
      <c r="P1130" s="3"/>
      <c r="Q1130" s="4">
        <v>45968</v>
      </c>
      <c r="R1130" s="3" t="s">
        <v>39</v>
      </c>
      <c r="S1130" s="3" t="s">
        <v>38</v>
      </c>
      <c r="T1130" s="3" t="s">
        <v>40</v>
      </c>
      <c r="U1130" s="3"/>
      <c r="V1130" s="3" t="s">
        <v>41</v>
      </c>
      <c r="W1130" s="5">
        <v>3747.32</v>
      </c>
      <c r="X1130" s="5">
        <v>2810.49</v>
      </c>
      <c r="Y1130" s="3">
        <v>655.78</v>
      </c>
      <c r="Z1130" s="3">
        <v>281.05</v>
      </c>
      <c r="AA1130" s="3">
        <v>0</v>
      </c>
    </row>
    <row r="1131" spans="1:27" ht="36.75" x14ac:dyDescent="0.25">
      <c r="A1131" s="3" t="s">
        <v>28</v>
      </c>
      <c r="B1131" s="3" t="s">
        <v>29</v>
      </c>
      <c r="C1131" s="3" t="s">
        <v>30</v>
      </c>
      <c r="D1131" s="3" t="s">
        <v>42</v>
      </c>
      <c r="E1131" s="3" t="s">
        <v>207</v>
      </c>
      <c r="F1131" s="3" t="s">
        <v>764</v>
      </c>
      <c r="G1131" s="3">
        <v>2025</v>
      </c>
      <c r="H1131" s="3" t="str">
        <f>CONCATENATE("54240625142")</f>
        <v>54240625142</v>
      </c>
      <c r="I1131" s="3" t="s">
        <v>34</v>
      </c>
      <c r="J1131" s="3" t="s">
        <v>35</v>
      </c>
      <c r="K1131" s="3"/>
      <c r="L1131" s="3" t="s">
        <v>36</v>
      </c>
      <c r="M1131" s="3" t="str">
        <f>CONCATENATE("01985600442")</f>
        <v>01985600442</v>
      </c>
      <c r="N1131" s="3" t="s">
        <v>1264</v>
      </c>
      <c r="O1131" s="3" t="s">
        <v>38</v>
      </c>
      <c r="P1131" s="3"/>
      <c r="Q1131" s="4">
        <v>45968</v>
      </c>
      <c r="R1131" s="3" t="s">
        <v>39</v>
      </c>
      <c r="S1131" s="3" t="s">
        <v>38</v>
      </c>
      <c r="T1131" s="3" t="s">
        <v>40</v>
      </c>
      <c r="U1131" s="3"/>
      <c r="V1131" s="3" t="s">
        <v>41</v>
      </c>
      <c r="W1131" s="5">
        <v>20066.89</v>
      </c>
      <c r="X1131" s="5">
        <v>15050.17</v>
      </c>
      <c r="Y1131" s="5">
        <v>3511.71</v>
      </c>
      <c r="Z1131" s="5">
        <v>1505.01</v>
      </c>
      <c r="AA1131" s="3">
        <v>0</v>
      </c>
    </row>
    <row r="1132" spans="1:27" ht="60.75" x14ac:dyDescent="0.25">
      <c r="A1132" s="3" t="s">
        <v>28</v>
      </c>
      <c r="B1132" s="3" t="s">
        <v>29</v>
      </c>
      <c r="C1132" s="3" t="s">
        <v>30</v>
      </c>
      <c r="D1132" s="3" t="s">
        <v>42</v>
      </c>
      <c r="E1132" s="3" t="s">
        <v>60</v>
      </c>
      <c r="F1132" s="3" t="s">
        <v>245</v>
      </c>
      <c r="G1132" s="3">
        <v>2025</v>
      </c>
      <c r="H1132" s="3" t="str">
        <f>CONCATENATE("54240507845")</f>
        <v>54240507845</v>
      </c>
      <c r="I1132" s="3" t="s">
        <v>34</v>
      </c>
      <c r="J1132" s="3" t="s">
        <v>35</v>
      </c>
      <c r="K1132" s="3"/>
      <c r="L1132" s="3" t="s">
        <v>36</v>
      </c>
      <c r="M1132" s="3" t="str">
        <f>CONCATENATE("CNLSRN59T45C093D")</f>
        <v>CNLSRN59T45C093D</v>
      </c>
      <c r="N1132" s="3" t="s">
        <v>1265</v>
      </c>
      <c r="O1132" s="3" t="s">
        <v>38</v>
      </c>
      <c r="P1132" s="3"/>
      <c r="Q1132" s="4">
        <v>45968</v>
      </c>
      <c r="R1132" s="3" t="s">
        <v>39</v>
      </c>
      <c r="S1132" s="3" t="s">
        <v>38</v>
      </c>
      <c r="T1132" s="3" t="s">
        <v>40</v>
      </c>
      <c r="U1132" s="3"/>
      <c r="V1132" s="3" t="s">
        <v>41</v>
      </c>
      <c r="W1132" s="5">
        <v>3518.21</v>
      </c>
      <c r="X1132" s="5">
        <v>2638.66</v>
      </c>
      <c r="Y1132" s="3">
        <v>615.69000000000005</v>
      </c>
      <c r="Z1132" s="3">
        <v>263.86</v>
      </c>
      <c r="AA1132" s="3">
        <v>0</v>
      </c>
    </row>
    <row r="1133" spans="1:27" ht="36.75" x14ac:dyDescent="0.25">
      <c r="A1133" s="3" t="s">
        <v>28</v>
      </c>
      <c r="B1133" s="3" t="s">
        <v>29</v>
      </c>
      <c r="C1133" s="3" t="s">
        <v>30</v>
      </c>
      <c r="D1133" s="3" t="s">
        <v>42</v>
      </c>
      <c r="E1133" s="3" t="s">
        <v>43</v>
      </c>
      <c r="F1133" s="3" t="s">
        <v>43</v>
      </c>
      <c r="G1133" s="3">
        <v>2025</v>
      </c>
      <c r="H1133" s="3" t="str">
        <f>CONCATENATE("54240625365")</f>
        <v>54240625365</v>
      </c>
      <c r="I1133" s="3" t="s">
        <v>44</v>
      </c>
      <c r="J1133" s="3" t="s">
        <v>35</v>
      </c>
      <c r="K1133" s="3"/>
      <c r="L1133" s="3" t="s">
        <v>36</v>
      </c>
      <c r="M1133" s="3" t="str">
        <f>CONCATENATE("01509330443")</f>
        <v>01509330443</v>
      </c>
      <c r="N1133" s="3" t="s">
        <v>1266</v>
      </c>
      <c r="O1133" s="3" t="s">
        <v>38</v>
      </c>
      <c r="P1133" s="3"/>
      <c r="Q1133" s="4">
        <v>45968</v>
      </c>
      <c r="R1133" s="3" t="s">
        <v>39</v>
      </c>
      <c r="S1133" s="3" t="s">
        <v>38</v>
      </c>
      <c r="T1133" s="3" t="s">
        <v>40</v>
      </c>
      <c r="U1133" s="3"/>
      <c r="V1133" s="3" t="s">
        <v>41</v>
      </c>
      <c r="W1133" s="5">
        <v>6958.07</v>
      </c>
      <c r="X1133" s="5">
        <v>5218.55</v>
      </c>
      <c r="Y1133" s="5">
        <v>1217.6600000000001</v>
      </c>
      <c r="Z1133" s="3">
        <v>521.86</v>
      </c>
      <c r="AA1133" s="3">
        <v>0</v>
      </c>
    </row>
    <row r="1134" spans="1:27" ht="36.75" x14ac:dyDescent="0.25">
      <c r="A1134" s="3" t="s">
        <v>28</v>
      </c>
      <c r="B1134" s="3" t="s">
        <v>29</v>
      </c>
      <c r="C1134" s="3" t="s">
        <v>30</v>
      </c>
      <c r="D1134" s="3" t="s">
        <v>42</v>
      </c>
      <c r="E1134" s="3" t="s">
        <v>207</v>
      </c>
      <c r="F1134" s="3" t="s">
        <v>764</v>
      </c>
      <c r="G1134" s="3">
        <v>2025</v>
      </c>
      <c r="H1134" s="3" t="str">
        <f>CONCATENATE("54240626843")</f>
        <v>54240626843</v>
      </c>
      <c r="I1134" s="3" t="s">
        <v>34</v>
      </c>
      <c r="J1134" s="3" t="s">
        <v>35</v>
      </c>
      <c r="K1134" s="3"/>
      <c r="L1134" s="3" t="s">
        <v>36</v>
      </c>
      <c r="M1134" s="3" t="str">
        <f>CONCATENATE("02274460449")</f>
        <v>02274460449</v>
      </c>
      <c r="N1134" s="3" t="s">
        <v>1267</v>
      </c>
      <c r="O1134" s="3" t="s">
        <v>38</v>
      </c>
      <c r="P1134" s="3"/>
      <c r="Q1134" s="4">
        <v>45968</v>
      </c>
      <c r="R1134" s="3" t="s">
        <v>39</v>
      </c>
      <c r="S1134" s="3" t="s">
        <v>38</v>
      </c>
      <c r="T1134" s="3" t="s">
        <v>40</v>
      </c>
      <c r="U1134" s="3"/>
      <c r="V1134" s="3" t="s">
        <v>41</v>
      </c>
      <c r="W1134" s="5">
        <v>9709.7999999999993</v>
      </c>
      <c r="X1134" s="5">
        <v>7282.35</v>
      </c>
      <c r="Y1134" s="5">
        <v>1699.22</v>
      </c>
      <c r="Z1134" s="3">
        <v>728.23</v>
      </c>
      <c r="AA1134" s="3">
        <v>0</v>
      </c>
    </row>
    <row r="1135" spans="1:27" ht="60.75" x14ac:dyDescent="0.25">
      <c r="A1135" s="3" t="s">
        <v>28</v>
      </c>
      <c r="B1135" s="3" t="s">
        <v>29</v>
      </c>
      <c r="C1135" s="3" t="s">
        <v>30</v>
      </c>
      <c r="D1135" s="3" t="s">
        <v>42</v>
      </c>
      <c r="E1135" s="3" t="s">
        <v>51</v>
      </c>
      <c r="F1135" s="3" t="s">
        <v>1268</v>
      </c>
      <c r="G1135" s="3">
        <v>2025</v>
      </c>
      <c r="H1135" s="3" t="str">
        <f>CONCATENATE("54240627098")</f>
        <v>54240627098</v>
      </c>
      <c r="I1135" s="3" t="s">
        <v>44</v>
      </c>
      <c r="J1135" s="3" t="s">
        <v>35</v>
      </c>
      <c r="K1135" s="3"/>
      <c r="L1135" s="3" t="s">
        <v>36</v>
      </c>
      <c r="M1135" s="3" t="str">
        <f>CONCATENATE("DLSDVD94B22A488K")</f>
        <v>DLSDVD94B22A488K</v>
      </c>
      <c r="N1135" s="3" t="s">
        <v>1269</v>
      </c>
      <c r="O1135" s="3" t="s">
        <v>38</v>
      </c>
      <c r="P1135" s="3"/>
      <c r="Q1135" s="4">
        <v>45968</v>
      </c>
      <c r="R1135" s="3" t="s">
        <v>39</v>
      </c>
      <c r="S1135" s="3" t="s">
        <v>38</v>
      </c>
      <c r="T1135" s="3" t="s">
        <v>40</v>
      </c>
      <c r="U1135" s="3"/>
      <c r="V1135" s="3" t="s">
        <v>41</v>
      </c>
      <c r="W1135" s="5">
        <v>4947.04</v>
      </c>
      <c r="X1135" s="5">
        <v>3710.28</v>
      </c>
      <c r="Y1135" s="3">
        <v>865.73</v>
      </c>
      <c r="Z1135" s="3">
        <v>371.03</v>
      </c>
      <c r="AA1135" s="3">
        <v>0</v>
      </c>
    </row>
    <row r="1136" spans="1:27" ht="36.75" x14ac:dyDescent="0.25">
      <c r="A1136" s="3" t="s">
        <v>28</v>
      </c>
      <c r="B1136" s="3" t="s">
        <v>29</v>
      </c>
      <c r="C1136" s="3" t="s">
        <v>30</v>
      </c>
      <c r="D1136" s="3" t="s">
        <v>65</v>
      </c>
      <c r="E1136" s="3" t="s">
        <v>1270</v>
      </c>
      <c r="F1136" s="3" t="s">
        <v>1271</v>
      </c>
      <c r="G1136" s="3">
        <v>2025</v>
      </c>
      <c r="H1136" s="3" t="str">
        <f>CONCATENATE("54240627643")</f>
        <v>54240627643</v>
      </c>
      <c r="I1136" s="3" t="s">
        <v>34</v>
      </c>
      <c r="J1136" s="3" t="s">
        <v>35</v>
      </c>
      <c r="K1136" s="3"/>
      <c r="L1136" s="3" t="s">
        <v>36</v>
      </c>
      <c r="M1136" s="3" t="str">
        <f>CONCATENATE("03768940409")</f>
        <v>03768940409</v>
      </c>
      <c r="N1136" s="3" t="s">
        <v>1272</v>
      </c>
      <c r="O1136" s="3" t="s">
        <v>38</v>
      </c>
      <c r="P1136" s="3"/>
      <c r="Q1136" s="4">
        <v>45968</v>
      </c>
      <c r="R1136" s="3" t="s">
        <v>39</v>
      </c>
      <c r="S1136" s="3" t="s">
        <v>38</v>
      </c>
      <c r="T1136" s="3" t="s">
        <v>40</v>
      </c>
      <c r="U1136" s="3"/>
      <c r="V1136" s="3" t="s">
        <v>41</v>
      </c>
      <c r="W1136" s="5">
        <v>3473.89</v>
      </c>
      <c r="X1136" s="5">
        <v>2605.42</v>
      </c>
      <c r="Y1136" s="3">
        <v>607.92999999999995</v>
      </c>
      <c r="Z1136" s="3">
        <v>260.54000000000002</v>
      </c>
      <c r="AA1136" s="3">
        <v>0</v>
      </c>
    </row>
    <row r="1137" spans="1:27" ht="60.75" x14ac:dyDescent="0.25">
      <c r="A1137" s="3" t="s">
        <v>28</v>
      </c>
      <c r="B1137" s="3" t="s">
        <v>29</v>
      </c>
      <c r="C1137" s="3" t="s">
        <v>30</v>
      </c>
      <c r="D1137" s="3" t="s">
        <v>65</v>
      </c>
      <c r="E1137" s="3" t="s">
        <v>32</v>
      </c>
      <c r="F1137" s="3" t="s">
        <v>95</v>
      </c>
      <c r="G1137" s="3">
        <v>2025</v>
      </c>
      <c r="H1137" s="3" t="str">
        <f>CONCATENATE("54240644937")</f>
        <v>54240644937</v>
      </c>
      <c r="I1137" s="3" t="s">
        <v>34</v>
      </c>
      <c r="J1137" s="3" t="s">
        <v>35</v>
      </c>
      <c r="K1137" s="3"/>
      <c r="L1137" s="3" t="s">
        <v>36</v>
      </c>
      <c r="M1137" s="3" t="str">
        <f>CONCATENATE("GNTGPP55P25B636G")</f>
        <v>GNTGPP55P25B636G</v>
      </c>
      <c r="N1137" s="3" t="s">
        <v>1273</v>
      </c>
      <c r="O1137" s="3" t="s">
        <v>38</v>
      </c>
      <c r="P1137" s="3"/>
      <c r="Q1137" s="4">
        <v>45968</v>
      </c>
      <c r="R1137" s="3" t="s">
        <v>39</v>
      </c>
      <c r="S1137" s="3" t="s">
        <v>38</v>
      </c>
      <c r="T1137" s="3" t="s">
        <v>40</v>
      </c>
      <c r="U1137" s="3"/>
      <c r="V1137" s="3" t="s">
        <v>41</v>
      </c>
      <c r="W1137" s="5">
        <v>5951.3</v>
      </c>
      <c r="X1137" s="5">
        <v>4463.4799999999996</v>
      </c>
      <c r="Y1137" s="5">
        <v>1041.48</v>
      </c>
      <c r="Z1137" s="3">
        <v>446.34</v>
      </c>
      <c r="AA1137" s="3">
        <v>0</v>
      </c>
    </row>
    <row r="1138" spans="1:27" ht="36.75" x14ac:dyDescent="0.25">
      <c r="A1138" s="3" t="s">
        <v>28</v>
      </c>
      <c r="B1138" s="3" t="s">
        <v>29</v>
      </c>
      <c r="C1138" s="3" t="s">
        <v>30</v>
      </c>
      <c r="D1138" s="3" t="s">
        <v>42</v>
      </c>
      <c r="E1138" s="3" t="s">
        <v>207</v>
      </c>
      <c r="F1138" s="3" t="s">
        <v>764</v>
      </c>
      <c r="G1138" s="3">
        <v>2025</v>
      </c>
      <c r="H1138" s="3" t="str">
        <f>CONCATENATE("54240627379")</f>
        <v>54240627379</v>
      </c>
      <c r="I1138" s="3" t="s">
        <v>34</v>
      </c>
      <c r="J1138" s="3" t="s">
        <v>35</v>
      </c>
      <c r="K1138" s="3"/>
      <c r="L1138" s="3" t="s">
        <v>36</v>
      </c>
      <c r="M1138" s="3" t="str">
        <f>CONCATENATE("02306750445")</f>
        <v>02306750445</v>
      </c>
      <c r="N1138" s="3" t="s">
        <v>1274</v>
      </c>
      <c r="O1138" s="3" t="s">
        <v>38</v>
      </c>
      <c r="P1138" s="3"/>
      <c r="Q1138" s="4">
        <v>45968</v>
      </c>
      <c r="R1138" s="3" t="s">
        <v>39</v>
      </c>
      <c r="S1138" s="3" t="s">
        <v>38</v>
      </c>
      <c r="T1138" s="3" t="s">
        <v>40</v>
      </c>
      <c r="U1138" s="3"/>
      <c r="V1138" s="3" t="s">
        <v>41</v>
      </c>
      <c r="W1138" s="5">
        <v>4005.48</v>
      </c>
      <c r="X1138" s="5">
        <v>3004.11</v>
      </c>
      <c r="Y1138" s="3">
        <v>700.96</v>
      </c>
      <c r="Z1138" s="3">
        <v>300.41000000000003</v>
      </c>
      <c r="AA1138" s="3">
        <v>0</v>
      </c>
    </row>
    <row r="1139" spans="1:27" ht="72.75" x14ac:dyDescent="0.25">
      <c r="A1139" s="3" t="s">
        <v>28</v>
      </c>
      <c r="B1139" s="3" t="s">
        <v>29</v>
      </c>
      <c r="C1139" s="3" t="s">
        <v>30</v>
      </c>
      <c r="D1139" s="3" t="s">
        <v>65</v>
      </c>
      <c r="E1139" s="3" t="s">
        <v>32</v>
      </c>
      <c r="F1139" s="3" t="s">
        <v>95</v>
      </c>
      <c r="G1139" s="3">
        <v>2025</v>
      </c>
      <c r="H1139" s="3" t="str">
        <f>CONCATENATE("54240628799")</f>
        <v>54240628799</v>
      </c>
      <c r="I1139" s="3" t="s">
        <v>34</v>
      </c>
      <c r="J1139" s="3" t="s">
        <v>35</v>
      </c>
      <c r="K1139" s="3"/>
      <c r="L1139" s="3" t="s">
        <v>36</v>
      </c>
      <c r="M1139" s="3" t="str">
        <f>CONCATENATE("CPTMNT56A44D791R")</f>
        <v>CPTMNT56A44D791R</v>
      </c>
      <c r="N1139" s="3" t="s">
        <v>1275</v>
      </c>
      <c r="O1139" s="3" t="s">
        <v>38</v>
      </c>
      <c r="P1139" s="3"/>
      <c r="Q1139" s="4">
        <v>45968</v>
      </c>
      <c r="R1139" s="3" t="s">
        <v>39</v>
      </c>
      <c r="S1139" s="3" t="s">
        <v>38</v>
      </c>
      <c r="T1139" s="3" t="s">
        <v>40</v>
      </c>
      <c r="U1139" s="3"/>
      <c r="V1139" s="3" t="s">
        <v>41</v>
      </c>
      <c r="W1139" s="5">
        <v>6692.93</v>
      </c>
      <c r="X1139" s="5">
        <v>5019.7</v>
      </c>
      <c r="Y1139" s="5">
        <v>1171.26</v>
      </c>
      <c r="Z1139" s="3">
        <v>501.97</v>
      </c>
      <c r="AA1139" s="3">
        <v>0</v>
      </c>
    </row>
    <row r="1140" spans="1:27" ht="60.75" x14ac:dyDescent="0.25">
      <c r="A1140" s="3" t="s">
        <v>28</v>
      </c>
      <c r="B1140" s="3" t="s">
        <v>29</v>
      </c>
      <c r="C1140" s="3" t="s">
        <v>30</v>
      </c>
      <c r="D1140" s="3" t="s">
        <v>47</v>
      </c>
      <c r="E1140" s="3" t="s">
        <v>51</v>
      </c>
      <c r="F1140" s="3" t="s">
        <v>147</v>
      </c>
      <c r="G1140" s="3">
        <v>2025</v>
      </c>
      <c r="H1140" s="3" t="str">
        <f>CONCATENATE("54240628161")</f>
        <v>54240628161</v>
      </c>
      <c r="I1140" s="3" t="s">
        <v>34</v>
      </c>
      <c r="J1140" s="3" t="s">
        <v>35</v>
      </c>
      <c r="K1140" s="3"/>
      <c r="L1140" s="3" t="s">
        <v>36</v>
      </c>
      <c r="M1140" s="3" t="str">
        <f>CONCATENATE("HRBMRA73E63Z138N")</f>
        <v>HRBMRA73E63Z138N</v>
      </c>
      <c r="N1140" s="3" t="s">
        <v>1276</v>
      </c>
      <c r="O1140" s="3" t="s">
        <v>38</v>
      </c>
      <c r="P1140" s="3"/>
      <c r="Q1140" s="4">
        <v>45968</v>
      </c>
      <c r="R1140" s="3" t="s">
        <v>39</v>
      </c>
      <c r="S1140" s="3" t="s">
        <v>38</v>
      </c>
      <c r="T1140" s="3" t="s">
        <v>40</v>
      </c>
      <c r="U1140" s="3"/>
      <c r="V1140" s="3" t="s">
        <v>41</v>
      </c>
      <c r="W1140" s="5">
        <v>1417.89</v>
      </c>
      <c r="X1140" s="5">
        <v>1063.42</v>
      </c>
      <c r="Y1140" s="3">
        <v>248.13</v>
      </c>
      <c r="Z1140" s="3">
        <v>106.34</v>
      </c>
      <c r="AA1140" s="3">
        <v>0</v>
      </c>
    </row>
    <row r="1141" spans="1:27" ht="72.75" x14ac:dyDescent="0.25">
      <c r="A1141" s="3" t="s">
        <v>28</v>
      </c>
      <c r="B1141" s="3" t="s">
        <v>29</v>
      </c>
      <c r="C1141" s="3" t="s">
        <v>30</v>
      </c>
      <c r="D1141" s="3" t="s">
        <v>42</v>
      </c>
      <c r="E1141" s="3" t="s">
        <v>51</v>
      </c>
      <c r="F1141" s="3" t="s">
        <v>52</v>
      </c>
      <c r="G1141" s="3">
        <v>2025</v>
      </c>
      <c r="H1141" s="3" t="str">
        <f>CONCATENATE("54240628492")</f>
        <v>54240628492</v>
      </c>
      <c r="I1141" s="3" t="s">
        <v>34</v>
      </c>
      <c r="J1141" s="3" t="s">
        <v>35</v>
      </c>
      <c r="K1141" s="3"/>
      <c r="L1141" s="3" t="s">
        <v>36</v>
      </c>
      <c r="M1141" s="3" t="str">
        <f>CONCATENATE("VTLMSM70H06A252D")</f>
        <v>VTLMSM70H06A252D</v>
      </c>
      <c r="N1141" s="3" t="s">
        <v>1277</v>
      </c>
      <c r="O1141" s="3" t="s">
        <v>38</v>
      </c>
      <c r="P1141" s="3"/>
      <c r="Q1141" s="4">
        <v>45968</v>
      </c>
      <c r="R1141" s="3" t="s">
        <v>39</v>
      </c>
      <c r="S1141" s="3" t="s">
        <v>38</v>
      </c>
      <c r="T1141" s="3" t="s">
        <v>40</v>
      </c>
      <c r="U1141" s="3"/>
      <c r="V1141" s="3" t="s">
        <v>41</v>
      </c>
      <c r="W1141" s="5">
        <v>5276.49</v>
      </c>
      <c r="X1141" s="5">
        <v>3957.37</v>
      </c>
      <c r="Y1141" s="3">
        <v>923.39</v>
      </c>
      <c r="Z1141" s="3">
        <v>395.73</v>
      </c>
      <c r="AA1141" s="3">
        <v>0</v>
      </c>
    </row>
    <row r="1142" spans="1:27" ht="60.75" x14ac:dyDescent="0.25">
      <c r="A1142" s="3" t="s">
        <v>28</v>
      </c>
      <c r="B1142" s="3" t="s">
        <v>29</v>
      </c>
      <c r="C1142" s="3" t="s">
        <v>30</v>
      </c>
      <c r="D1142" s="3" t="s">
        <v>31</v>
      </c>
      <c r="E1142" s="3" t="s">
        <v>32</v>
      </c>
      <c r="F1142" s="3" t="s">
        <v>63</v>
      </c>
      <c r="G1142" s="3">
        <v>2025</v>
      </c>
      <c r="H1142" s="3" t="str">
        <f>CONCATENATE("54240604717")</f>
        <v>54240604717</v>
      </c>
      <c r="I1142" s="3" t="s">
        <v>34</v>
      </c>
      <c r="J1142" s="3" t="s">
        <v>35</v>
      </c>
      <c r="K1142" s="3"/>
      <c r="L1142" s="3" t="s">
        <v>36</v>
      </c>
      <c r="M1142" s="3" t="str">
        <f>CONCATENATE("SMNGLC69P22D211V")</f>
        <v>SMNGLC69P22D211V</v>
      </c>
      <c r="N1142" s="3" t="s">
        <v>1278</v>
      </c>
      <c r="O1142" s="3" t="s">
        <v>38</v>
      </c>
      <c r="P1142" s="3"/>
      <c r="Q1142" s="4">
        <v>45968</v>
      </c>
      <c r="R1142" s="3" t="s">
        <v>39</v>
      </c>
      <c r="S1142" s="3" t="s">
        <v>38</v>
      </c>
      <c r="T1142" s="3" t="s">
        <v>40</v>
      </c>
      <c r="U1142" s="3"/>
      <c r="V1142" s="3" t="s">
        <v>41</v>
      </c>
      <c r="W1142" s="5">
        <v>9409.01</v>
      </c>
      <c r="X1142" s="5">
        <v>7056.76</v>
      </c>
      <c r="Y1142" s="5">
        <v>1646.58</v>
      </c>
      <c r="Z1142" s="3">
        <v>705.67</v>
      </c>
      <c r="AA1142" s="3">
        <v>0</v>
      </c>
    </row>
    <row r="1143" spans="1:27" ht="72.75" x14ac:dyDescent="0.25">
      <c r="A1143" s="3" t="s">
        <v>28</v>
      </c>
      <c r="B1143" s="3" t="s">
        <v>29</v>
      </c>
      <c r="C1143" s="3" t="s">
        <v>30</v>
      </c>
      <c r="D1143" s="3" t="s">
        <v>65</v>
      </c>
      <c r="E1143" s="3" t="s">
        <v>32</v>
      </c>
      <c r="F1143" s="3" t="s">
        <v>135</v>
      </c>
      <c r="G1143" s="3">
        <v>2025</v>
      </c>
      <c r="H1143" s="3" t="str">
        <f>CONCATENATE("54240629169")</f>
        <v>54240629169</v>
      </c>
      <c r="I1143" s="3" t="s">
        <v>34</v>
      </c>
      <c r="J1143" s="3" t="s">
        <v>35</v>
      </c>
      <c r="K1143" s="3"/>
      <c r="L1143" s="3" t="s">
        <v>36</v>
      </c>
      <c r="M1143" s="3" t="str">
        <f>CONCATENATE("MNCMCL70A14D749H")</f>
        <v>MNCMCL70A14D749H</v>
      </c>
      <c r="N1143" s="3" t="s">
        <v>1279</v>
      </c>
      <c r="O1143" s="3" t="s">
        <v>38</v>
      </c>
      <c r="P1143" s="3"/>
      <c r="Q1143" s="4">
        <v>45968</v>
      </c>
      <c r="R1143" s="3" t="s">
        <v>39</v>
      </c>
      <c r="S1143" s="3" t="s">
        <v>38</v>
      </c>
      <c r="T1143" s="3" t="s">
        <v>40</v>
      </c>
      <c r="U1143" s="3"/>
      <c r="V1143" s="3" t="s">
        <v>41</v>
      </c>
      <c r="W1143" s="5">
        <v>2461.4499999999998</v>
      </c>
      <c r="X1143" s="5">
        <v>1846.09</v>
      </c>
      <c r="Y1143" s="3">
        <v>430.75</v>
      </c>
      <c r="Z1143" s="3">
        <v>184.61</v>
      </c>
      <c r="AA1143" s="3">
        <v>0</v>
      </c>
    </row>
    <row r="1144" spans="1:27" ht="36.75" x14ac:dyDescent="0.25">
      <c r="A1144" s="3" t="s">
        <v>28</v>
      </c>
      <c r="B1144" s="3" t="s">
        <v>29</v>
      </c>
      <c r="C1144" s="3" t="s">
        <v>30</v>
      </c>
      <c r="D1144" s="3" t="s">
        <v>65</v>
      </c>
      <c r="E1144" s="3" t="s">
        <v>60</v>
      </c>
      <c r="F1144" s="3" t="s">
        <v>85</v>
      </c>
      <c r="G1144" s="3">
        <v>2025</v>
      </c>
      <c r="H1144" s="3" t="str">
        <f>CONCATENATE("54240629458")</f>
        <v>54240629458</v>
      </c>
      <c r="I1144" s="3" t="s">
        <v>34</v>
      </c>
      <c r="J1144" s="3" t="s">
        <v>35</v>
      </c>
      <c r="K1144" s="3"/>
      <c r="L1144" s="3" t="s">
        <v>36</v>
      </c>
      <c r="M1144" s="3" t="str">
        <f>CONCATENATE("00626110415")</f>
        <v>00626110415</v>
      </c>
      <c r="N1144" s="3" t="s">
        <v>1280</v>
      </c>
      <c r="O1144" s="3" t="s">
        <v>38</v>
      </c>
      <c r="P1144" s="3"/>
      <c r="Q1144" s="4">
        <v>45968</v>
      </c>
      <c r="R1144" s="3" t="s">
        <v>39</v>
      </c>
      <c r="S1144" s="3" t="s">
        <v>38</v>
      </c>
      <c r="T1144" s="3" t="s">
        <v>40</v>
      </c>
      <c r="U1144" s="3"/>
      <c r="V1144" s="3" t="s">
        <v>41</v>
      </c>
      <c r="W1144" s="5">
        <v>4718.6400000000003</v>
      </c>
      <c r="X1144" s="5">
        <v>3538.98</v>
      </c>
      <c r="Y1144" s="3">
        <v>825.76</v>
      </c>
      <c r="Z1144" s="3">
        <v>353.9</v>
      </c>
      <c r="AA1144" s="3">
        <v>0</v>
      </c>
    </row>
    <row r="1145" spans="1:27" ht="60.75" x14ac:dyDescent="0.25">
      <c r="A1145" s="3" t="s">
        <v>28</v>
      </c>
      <c r="B1145" s="3" t="s">
        <v>29</v>
      </c>
      <c r="C1145" s="3" t="s">
        <v>30</v>
      </c>
      <c r="D1145" s="3" t="s">
        <v>47</v>
      </c>
      <c r="E1145" s="3" t="s">
        <v>48</v>
      </c>
      <c r="F1145" s="3" t="s">
        <v>79</v>
      </c>
      <c r="G1145" s="3">
        <v>2025</v>
      </c>
      <c r="H1145" s="3" t="str">
        <f>CONCATENATE("54240630233")</f>
        <v>54240630233</v>
      </c>
      <c r="I1145" s="3" t="s">
        <v>34</v>
      </c>
      <c r="J1145" s="3" t="s">
        <v>35</v>
      </c>
      <c r="K1145" s="3"/>
      <c r="L1145" s="3" t="s">
        <v>36</v>
      </c>
      <c r="M1145" s="3" t="str">
        <f>CONCATENATE("PRSGNN88M09I156J")</f>
        <v>PRSGNN88M09I156J</v>
      </c>
      <c r="N1145" s="3" t="s">
        <v>1281</v>
      </c>
      <c r="O1145" s="3" t="s">
        <v>38</v>
      </c>
      <c r="P1145" s="3"/>
      <c r="Q1145" s="4">
        <v>45968</v>
      </c>
      <c r="R1145" s="3" t="s">
        <v>39</v>
      </c>
      <c r="S1145" s="3" t="s">
        <v>38</v>
      </c>
      <c r="T1145" s="3" t="s">
        <v>40</v>
      </c>
      <c r="U1145" s="3"/>
      <c r="V1145" s="3" t="s">
        <v>41</v>
      </c>
      <c r="W1145" s="5">
        <v>4473.42</v>
      </c>
      <c r="X1145" s="5">
        <v>3355.07</v>
      </c>
      <c r="Y1145" s="3">
        <v>782.85</v>
      </c>
      <c r="Z1145" s="3">
        <v>335.5</v>
      </c>
      <c r="AA1145" s="3">
        <v>0</v>
      </c>
    </row>
    <row r="1146" spans="1:27" ht="72.75" x14ac:dyDescent="0.25">
      <c r="A1146" s="3" t="s">
        <v>28</v>
      </c>
      <c r="B1146" s="3" t="s">
        <v>29</v>
      </c>
      <c r="C1146" s="3" t="s">
        <v>30</v>
      </c>
      <c r="D1146" s="3" t="s">
        <v>65</v>
      </c>
      <c r="E1146" s="3" t="s">
        <v>32</v>
      </c>
      <c r="F1146" s="3" t="s">
        <v>95</v>
      </c>
      <c r="G1146" s="3">
        <v>2025</v>
      </c>
      <c r="H1146" s="3" t="str">
        <f>CONCATENATE("54240631009")</f>
        <v>54240631009</v>
      </c>
      <c r="I1146" s="3" t="s">
        <v>34</v>
      </c>
      <c r="J1146" s="3" t="s">
        <v>35</v>
      </c>
      <c r="K1146" s="3"/>
      <c r="L1146" s="3" t="s">
        <v>36</v>
      </c>
      <c r="M1146" s="3" t="str">
        <f>CONCATENATE("PGNMRC89A12D749B")</f>
        <v>PGNMRC89A12D749B</v>
      </c>
      <c r="N1146" s="3" t="s">
        <v>1282</v>
      </c>
      <c r="O1146" s="3" t="s">
        <v>38</v>
      </c>
      <c r="P1146" s="3"/>
      <c r="Q1146" s="4">
        <v>45968</v>
      </c>
      <c r="R1146" s="3" t="s">
        <v>39</v>
      </c>
      <c r="S1146" s="3" t="s">
        <v>38</v>
      </c>
      <c r="T1146" s="3" t="s">
        <v>40</v>
      </c>
      <c r="U1146" s="3"/>
      <c r="V1146" s="3" t="s">
        <v>41</v>
      </c>
      <c r="W1146" s="5">
        <v>6511.65</v>
      </c>
      <c r="X1146" s="5">
        <v>4883.74</v>
      </c>
      <c r="Y1146" s="5">
        <v>1139.54</v>
      </c>
      <c r="Z1146" s="3">
        <v>488.37</v>
      </c>
      <c r="AA1146" s="3">
        <v>0</v>
      </c>
    </row>
    <row r="1147" spans="1:27" ht="36.75" x14ac:dyDescent="0.25">
      <c r="A1147" s="3" t="s">
        <v>28</v>
      </c>
      <c r="B1147" s="3" t="s">
        <v>29</v>
      </c>
      <c r="C1147" s="3" t="s">
        <v>30</v>
      </c>
      <c r="D1147" s="3" t="s">
        <v>65</v>
      </c>
      <c r="E1147" s="3" t="s">
        <v>60</v>
      </c>
      <c r="F1147" s="3" t="s">
        <v>85</v>
      </c>
      <c r="G1147" s="3">
        <v>2025</v>
      </c>
      <c r="H1147" s="3" t="str">
        <f>CONCATENATE("54240630597")</f>
        <v>54240630597</v>
      </c>
      <c r="I1147" s="3" t="s">
        <v>34</v>
      </c>
      <c r="J1147" s="3" t="s">
        <v>35</v>
      </c>
      <c r="K1147" s="3"/>
      <c r="L1147" s="3" t="s">
        <v>36</v>
      </c>
      <c r="M1147" s="3" t="str">
        <f>CONCATENATE("03612990162")</f>
        <v>03612990162</v>
      </c>
      <c r="N1147" s="3" t="s">
        <v>1283</v>
      </c>
      <c r="O1147" s="3" t="s">
        <v>38</v>
      </c>
      <c r="P1147" s="3"/>
      <c r="Q1147" s="4">
        <v>45968</v>
      </c>
      <c r="R1147" s="3" t="s">
        <v>39</v>
      </c>
      <c r="S1147" s="3" t="s">
        <v>38</v>
      </c>
      <c r="T1147" s="3" t="s">
        <v>40</v>
      </c>
      <c r="U1147" s="3"/>
      <c r="V1147" s="3" t="s">
        <v>41</v>
      </c>
      <c r="W1147" s="5">
        <v>6239.71</v>
      </c>
      <c r="X1147" s="5">
        <v>4679.78</v>
      </c>
      <c r="Y1147" s="5">
        <v>1091.95</v>
      </c>
      <c r="Z1147" s="3">
        <v>467.98</v>
      </c>
      <c r="AA1147" s="3">
        <v>0</v>
      </c>
    </row>
    <row r="1148" spans="1:27" ht="60.75" x14ac:dyDescent="0.25">
      <c r="A1148" s="3" t="s">
        <v>28</v>
      </c>
      <c r="B1148" s="3" t="s">
        <v>29</v>
      </c>
      <c r="C1148" s="3" t="s">
        <v>30</v>
      </c>
      <c r="D1148" s="3" t="s">
        <v>65</v>
      </c>
      <c r="E1148" s="3" t="s">
        <v>51</v>
      </c>
      <c r="F1148" s="3" t="s">
        <v>278</v>
      </c>
      <c r="G1148" s="3">
        <v>2025</v>
      </c>
      <c r="H1148" s="3" t="str">
        <f>CONCATENATE("54240633104")</f>
        <v>54240633104</v>
      </c>
      <c r="I1148" s="3" t="s">
        <v>34</v>
      </c>
      <c r="J1148" s="3" t="s">
        <v>35</v>
      </c>
      <c r="K1148" s="3"/>
      <c r="L1148" s="3" t="s">
        <v>36</v>
      </c>
      <c r="M1148" s="3" t="str">
        <f>CONCATENATE("PCCMTT97M15L500K")</f>
        <v>PCCMTT97M15L500K</v>
      </c>
      <c r="N1148" s="3" t="s">
        <v>1284</v>
      </c>
      <c r="O1148" s="3" t="s">
        <v>38</v>
      </c>
      <c r="P1148" s="3"/>
      <c r="Q1148" s="4">
        <v>45968</v>
      </c>
      <c r="R1148" s="3" t="s">
        <v>39</v>
      </c>
      <c r="S1148" s="3" t="s">
        <v>38</v>
      </c>
      <c r="T1148" s="3" t="s">
        <v>40</v>
      </c>
      <c r="U1148" s="3"/>
      <c r="V1148" s="3" t="s">
        <v>41</v>
      </c>
      <c r="W1148" s="5">
        <v>5066.1000000000004</v>
      </c>
      <c r="X1148" s="5">
        <v>3799.58</v>
      </c>
      <c r="Y1148" s="3">
        <v>886.57</v>
      </c>
      <c r="Z1148" s="3">
        <v>379.95</v>
      </c>
      <c r="AA1148" s="3">
        <v>0</v>
      </c>
    </row>
    <row r="1149" spans="1:27" ht="60.75" x14ac:dyDescent="0.25">
      <c r="A1149" s="3" t="s">
        <v>28</v>
      </c>
      <c r="B1149" s="3" t="s">
        <v>29</v>
      </c>
      <c r="C1149" s="3" t="s">
        <v>30</v>
      </c>
      <c r="D1149" s="3" t="s">
        <v>42</v>
      </c>
      <c r="E1149" s="3" t="s">
        <v>32</v>
      </c>
      <c r="F1149" s="3" t="s">
        <v>110</v>
      </c>
      <c r="G1149" s="3">
        <v>2025</v>
      </c>
      <c r="H1149" s="3" t="str">
        <f>CONCATENATE("54240633336")</f>
        <v>54240633336</v>
      </c>
      <c r="I1149" s="3" t="s">
        <v>34</v>
      </c>
      <c r="J1149" s="3" t="s">
        <v>35</v>
      </c>
      <c r="K1149" s="3"/>
      <c r="L1149" s="3" t="s">
        <v>36</v>
      </c>
      <c r="M1149" s="3" t="str">
        <f>CONCATENATE("PRLLVC94R11A462X")</f>
        <v>PRLLVC94R11A462X</v>
      </c>
      <c r="N1149" s="3" t="s">
        <v>1285</v>
      </c>
      <c r="O1149" s="3" t="s">
        <v>38</v>
      </c>
      <c r="P1149" s="3"/>
      <c r="Q1149" s="4">
        <v>45968</v>
      </c>
      <c r="R1149" s="3" t="s">
        <v>39</v>
      </c>
      <c r="S1149" s="3" t="s">
        <v>38</v>
      </c>
      <c r="T1149" s="3" t="s">
        <v>40</v>
      </c>
      <c r="U1149" s="3"/>
      <c r="V1149" s="3" t="s">
        <v>41</v>
      </c>
      <c r="W1149" s="5">
        <v>2190.7399999999998</v>
      </c>
      <c r="X1149" s="5">
        <v>1643.06</v>
      </c>
      <c r="Y1149" s="3">
        <v>383.38</v>
      </c>
      <c r="Z1149" s="3">
        <v>164.3</v>
      </c>
      <c r="AA1149" s="3">
        <v>0</v>
      </c>
    </row>
    <row r="1150" spans="1:27" ht="60.75" x14ac:dyDescent="0.25">
      <c r="A1150" s="3" t="s">
        <v>28</v>
      </c>
      <c r="B1150" s="3" t="s">
        <v>29</v>
      </c>
      <c r="C1150" s="3" t="s">
        <v>30</v>
      </c>
      <c r="D1150" s="3" t="s">
        <v>65</v>
      </c>
      <c r="E1150" s="3" t="s">
        <v>32</v>
      </c>
      <c r="F1150" s="3" t="s">
        <v>95</v>
      </c>
      <c r="G1150" s="3">
        <v>2025</v>
      </c>
      <c r="H1150" s="3" t="str">
        <f>CONCATENATE("54240637774")</f>
        <v>54240637774</v>
      </c>
      <c r="I1150" s="3" t="s">
        <v>34</v>
      </c>
      <c r="J1150" s="3" t="s">
        <v>35</v>
      </c>
      <c r="K1150" s="3"/>
      <c r="L1150" s="3" t="s">
        <v>36</v>
      </c>
      <c r="M1150" s="3" t="str">
        <f>CONCATENATE("MSNPLA75R18G453W")</f>
        <v>MSNPLA75R18G453W</v>
      </c>
      <c r="N1150" s="3" t="s">
        <v>1286</v>
      </c>
      <c r="O1150" s="3" t="s">
        <v>38</v>
      </c>
      <c r="P1150" s="3"/>
      <c r="Q1150" s="4">
        <v>45968</v>
      </c>
      <c r="R1150" s="3" t="s">
        <v>39</v>
      </c>
      <c r="S1150" s="3" t="s">
        <v>38</v>
      </c>
      <c r="T1150" s="3" t="s">
        <v>40</v>
      </c>
      <c r="U1150" s="3"/>
      <c r="V1150" s="3" t="s">
        <v>41</v>
      </c>
      <c r="W1150" s="5">
        <v>3871.87</v>
      </c>
      <c r="X1150" s="5">
        <v>2903.9</v>
      </c>
      <c r="Y1150" s="3">
        <v>677.58</v>
      </c>
      <c r="Z1150" s="3">
        <v>290.39</v>
      </c>
      <c r="AA1150" s="3">
        <v>0</v>
      </c>
    </row>
    <row r="1151" spans="1:27" ht="60.75" x14ac:dyDescent="0.25">
      <c r="A1151" s="3" t="s">
        <v>28</v>
      </c>
      <c r="B1151" s="3" t="s">
        <v>29</v>
      </c>
      <c r="C1151" s="3" t="s">
        <v>30</v>
      </c>
      <c r="D1151" s="3" t="s">
        <v>31</v>
      </c>
      <c r="E1151" s="3" t="s">
        <v>1188</v>
      </c>
      <c r="F1151" s="3" t="s">
        <v>1189</v>
      </c>
      <c r="G1151" s="3">
        <v>2025</v>
      </c>
      <c r="H1151" s="3" t="str">
        <f>CONCATENATE("54240637709")</f>
        <v>54240637709</v>
      </c>
      <c r="I1151" s="3" t="s">
        <v>34</v>
      </c>
      <c r="J1151" s="3" t="s">
        <v>35</v>
      </c>
      <c r="K1151" s="3"/>
      <c r="L1151" s="3" t="s">
        <v>36</v>
      </c>
      <c r="M1151" s="3" t="str">
        <f>CONCATENATE("KRSNTN78B16Z138D")</f>
        <v>KRSNTN78B16Z138D</v>
      </c>
      <c r="N1151" s="3" t="s">
        <v>1287</v>
      </c>
      <c r="O1151" s="3" t="s">
        <v>38</v>
      </c>
      <c r="P1151" s="3"/>
      <c r="Q1151" s="4">
        <v>45968</v>
      </c>
      <c r="R1151" s="3" t="s">
        <v>39</v>
      </c>
      <c r="S1151" s="3" t="s">
        <v>38</v>
      </c>
      <c r="T1151" s="3" t="s">
        <v>40</v>
      </c>
      <c r="U1151" s="3"/>
      <c r="V1151" s="3" t="s">
        <v>41</v>
      </c>
      <c r="W1151" s="3">
        <v>870.52</v>
      </c>
      <c r="X1151" s="3">
        <v>652.89</v>
      </c>
      <c r="Y1151" s="3">
        <v>152.34</v>
      </c>
      <c r="Z1151" s="3">
        <v>65.290000000000006</v>
      </c>
      <c r="AA1151" s="3">
        <v>0</v>
      </c>
    </row>
    <row r="1152" spans="1:27" ht="36.75" x14ac:dyDescent="0.25">
      <c r="A1152" s="3" t="s">
        <v>28</v>
      </c>
      <c r="B1152" s="3" t="s">
        <v>29</v>
      </c>
      <c r="C1152" s="3" t="s">
        <v>30</v>
      </c>
      <c r="D1152" s="3" t="s">
        <v>65</v>
      </c>
      <c r="E1152" s="3" t="s">
        <v>32</v>
      </c>
      <c r="F1152" s="3" t="s">
        <v>270</v>
      </c>
      <c r="G1152" s="3">
        <v>2025</v>
      </c>
      <c r="H1152" s="3" t="str">
        <f>CONCATENATE("54240637972")</f>
        <v>54240637972</v>
      </c>
      <c r="I1152" s="3" t="s">
        <v>34</v>
      </c>
      <c r="J1152" s="3" t="s">
        <v>35</v>
      </c>
      <c r="K1152" s="3"/>
      <c r="L1152" s="3" t="s">
        <v>36</v>
      </c>
      <c r="M1152" s="3" t="str">
        <f>CONCATENATE("02597230412")</f>
        <v>02597230412</v>
      </c>
      <c r="N1152" s="3" t="s">
        <v>1288</v>
      </c>
      <c r="O1152" s="3" t="s">
        <v>38</v>
      </c>
      <c r="P1152" s="3"/>
      <c r="Q1152" s="4">
        <v>45968</v>
      </c>
      <c r="R1152" s="3" t="s">
        <v>39</v>
      </c>
      <c r="S1152" s="3" t="s">
        <v>38</v>
      </c>
      <c r="T1152" s="3" t="s">
        <v>40</v>
      </c>
      <c r="U1152" s="3"/>
      <c r="V1152" s="3" t="s">
        <v>41</v>
      </c>
      <c r="W1152" s="5">
        <v>5699.36</v>
      </c>
      <c r="X1152" s="5">
        <v>4274.5200000000004</v>
      </c>
      <c r="Y1152" s="3">
        <v>997.39</v>
      </c>
      <c r="Z1152" s="3">
        <v>427.45</v>
      </c>
      <c r="AA1152" s="3">
        <v>0</v>
      </c>
    </row>
  </sheetData>
  <autoFilter ref="A3:AA1152" xr:uid="{00000000-0001-0000-0000-000000000000}"/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2025-12-12T15:55:57Z</dcterms:created>
  <dcterms:modified xsi:type="dcterms:W3CDTF">2025-12-15T10:02:54Z</dcterms:modified>
</cp:coreProperties>
</file>