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13_ncr:1_{7BAAA92A-2402-406E-8F6D-2ECEA29E0EF4}" xr6:coauthVersionLast="47" xr6:coauthVersionMax="47" xr10:uidLastSave="{00000000-0000-0000-0000-000000000000}"/>
  <bookViews>
    <workbookView xWindow="390" yWindow="390" windowWidth="25725" windowHeight="13230" xr2:uid="{00000000-000D-0000-FFFF-FFFF00000000}"/>
  </bookViews>
  <sheets>
    <sheet name="DOMANDE_PAGATE_REGI_PSR_Decreto" sheetId="1" r:id="rId1"/>
  </sheets>
  <definedNames>
    <definedName name="_xlnm._FilterDatabase" localSheetId="0" hidden="1">DOMANDE_PAGATE_REGI_PSR_Decreto!$A$3:$AA$209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9" i="1" l="1"/>
  <c r="H209" i="1"/>
  <c r="M208" i="1"/>
  <c r="H208" i="1"/>
  <c r="M207" i="1"/>
  <c r="H207" i="1"/>
  <c r="M206" i="1"/>
  <c r="H206" i="1"/>
  <c r="M205" i="1"/>
  <c r="H205" i="1"/>
  <c r="M204" i="1"/>
  <c r="H204" i="1"/>
  <c r="M203" i="1"/>
  <c r="H203" i="1"/>
  <c r="M202" i="1"/>
  <c r="H202" i="1"/>
  <c r="M201" i="1"/>
  <c r="H201" i="1"/>
  <c r="M200" i="1"/>
  <c r="H200" i="1"/>
  <c r="M199" i="1"/>
  <c r="H199" i="1"/>
  <c r="M198" i="1"/>
  <c r="H198" i="1"/>
  <c r="M197" i="1"/>
  <c r="H197" i="1"/>
  <c r="M196" i="1"/>
  <c r="H196" i="1"/>
  <c r="M195" i="1"/>
  <c r="H195" i="1"/>
  <c r="M194" i="1"/>
  <c r="H194" i="1"/>
  <c r="M193" i="1"/>
  <c r="H193" i="1"/>
  <c r="M192" i="1"/>
  <c r="H192" i="1"/>
  <c r="M191" i="1"/>
  <c r="H191" i="1"/>
  <c r="M190" i="1"/>
  <c r="H190" i="1"/>
  <c r="M189" i="1"/>
  <c r="H189" i="1"/>
  <c r="M188" i="1"/>
  <c r="H188" i="1"/>
  <c r="M187" i="1"/>
  <c r="H187" i="1"/>
  <c r="M186" i="1"/>
  <c r="H186" i="1"/>
  <c r="M185" i="1"/>
  <c r="H185" i="1"/>
  <c r="M184" i="1"/>
  <c r="H184" i="1"/>
  <c r="M183" i="1"/>
  <c r="H183" i="1"/>
  <c r="M182" i="1"/>
  <c r="H182" i="1"/>
  <c r="M181" i="1"/>
  <c r="H181" i="1"/>
  <c r="M180" i="1"/>
  <c r="H180" i="1"/>
  <c r="M179" i="1"/>
  <c r="H179" i="1"/>
  <c r="M178" i="1"/>
  <c r="H178" i="1"/>
  <c r="M177" i="1"/>
  <c r="H177" i="1"/>
  <c r="M176" i="1"/>
  <c r="H176" i="1"/>
  <c r="M175" i="1"/>
  <c r="H175" i="1"/>
  <c r="M174" i="1"/>
  <c r="H174" i="1"/>
  <c r="M173" i="1"/>
  <c r="H173" i="1"/>
  <c r="M172" i="1"/>
  <c r="H172" i="1"/>
  <c r="M171" i="1"/>
  <c r="H171" i="1"/>
  <c r="M170" i="1"/>
  <c r="H170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4" i="1"/>
  <c r="H154" i="1"/>
  <c r="M153" i="1"/>
  <c r="H153" i="1"/>
  <c r="M152" i="1"/>
  <c r="H152" i="1"/>
  <c r="M151" i="1"/>
  <c r="H151" i="1"/>
  <c r="M150" i="1"/>
  <c r="H150" i="1"/>
  <c r="M149" i="1"/>
  <c r="H149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42" i="1"/>
  <c r="H142" i="1"/>
  <c r="M141" i="1"/>
  <c r="H141" i="1"/>
  <c r="M140" i="1"/>
  <c r="H140" i="1"/>
  <c r="M139" i="1"/>
  <c r="H139" i="1"/>
  <c r="M138" i="1"/>
  <c r="H138" i="1"/>
  <c r="M137" i="1"/>
  <c r="H137" i="1"/>
  <c r="M136" i="1"/>
  <c r="H136" i="1"/>
  <c r="M135" i="1"/>
  <c r="H135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1" i="1"/>
  <c r="H121" i="1"/>
  <c r="M120" i="1"/>
  <c r="H120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109" i="1"/>
  <c r="H109" i="1"/>
  <c r="M108" i="1"/>
  <c r="H108" i="1"/>
  <c r="M107" i="1"/>
  <c r="H107" i="1"/>
  <c r="M106" i="1"/>
  <c r="H106" i="1"/>
  <c r="M105" i="1"/>
  <c r="H105" i="1"/>
  <c r="M104" i="1"/>
  <c r="H104" i="1"/>
  <c r="M103" i="1"/>
  <c r="H103" i="1"/>
  <c r="M102" i="1"/>
  <c r="H102" i="1"/>
  <c r="M101" i="1"/>
  <c r="H101" i="1"/>
  <c r="M100" i="1"/>
  <c r="H100" i="1"/>
  <c r="M99" i="1"/>
  <c r="H99" i="1"/>
  <c r="M98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7" i="1"/>
  <c r="H87" i="1"/>
  <c r="M86" i="1"/>
  <c r="H86" i="1"/>
  <c r="M85" i="1"/>
  <c r="H85" i="1"/>
  <c r="M84" i="1"/>
  <c r="H84" i="1"/>
  <c r="M83" i="1"/>
  <c r="H83" i="1"/>
  <c r="M82" i="1"/>
  <c r="H82" i="1"/>
  <c r="M81" i="1"/>
  <c r="H81" i="1"/>
  <c r="M80" i="1"/>
  <c r="H80" i="1"/>
  <c r="M79" i="1"/>
  <c r="H79" i="1"/>
  <c r="M78" i="1"/>
  <c r="H78" i="1"/>
  <c r="M77" i="1"/>
  <c r="H77" i="1"/>
  <c r="M76" i="1"/>
  <c r="H76" i="1"/>
  <c r="M75" i="1"/>
  <c r="H75" i="1"/>
  <c r="M74" i="1"/>
  <c r="H74" i="1"/>
  <c r="M73" i="1"/>
  <c r="H73" i="1"/>
  <c r="M72" i="1"/>
  <c r="H72" i="1"/>
  <c r="M71" i="1"/>
  <c r="H71" i="1"/>
  <c r="M70" i="1"/>
  <c r="H70" i="1"/>
  <c r="M69" i="1"/>
  <c r="H69" i="1"/>
  <c r="M68" i="1"/>
  <c r="H68" i="1"/>
  <c r="M67" i="1"/>
  <c r="H67" i="1"/>
  <c r="M66" i="1"/>
  <c r="H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4" i="1"/>
  <c r="H54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M35" i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<sst xmlns="http://schemas.openxmlformats.org/spreadsheetml/2006/main" count="3119" uniqueCount="304">
  <si>
    <t>Domande Pagate Decreto 782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</si>
  <si>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</si>
  <si>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</si>
  <si>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</si>
  <si>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</si>
  <si>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</si>
  <si>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</si>
  <si>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</si>
  <si>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</si>
  <si>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</si>
  <si>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</si>
  <si>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</si>
  <si>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</si>
  <si>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</si>
  <si>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</si>
  <si>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</si>
  <si>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</si>
  <si>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</si>
  <si>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</si>
  <si>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</si>
  <si>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</si>
  <si>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</si>
  <si>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</si>
  <si>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</si>
  <si>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</si>
  <si>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</si>
  <si>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</si>
  <si>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</si>
  <si>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</si>
  <si>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</si>
  <si>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</si>
  <si>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ALIMENTAZIONE - ANCONA</t>
  </si>
  <si>
    <t>CAA CIA srl</t>
  </si>
  <si>
    <t>CAA CIA - ANCONA - 005</t>
  </si>
  <si>
    <t>NO</t>
  </si>
  <si>
    <t>PSR 2014/2022</t>
  </si>
  <si>
    <t>13 13.1 4a</t>
  </si>
  <si>
    <t>RINALDI GIUSEPPE</t>
  </si>
  <si>
    <t>Istruttoria Automatica</t>
  </si>
  <si>
    <t>Erogata</t>
  </si>
  <si>
    <t>Saldo</t>
  </si>
  <si>
    <t>Co-Finanziato</t>
  </si>
  <si>
    <t>Ordinario</t>
  </si>
  <si>
    <t>CAA Coldiretti srl</t>
  </si>
  <si>
    <t>CAA Coldiretti - ANCONA - 002</t>
  </si>
  <si>
    <t>PACIAROTTI ATTILIO</t>
  </si>
  <si>
    <t>SERV. DEC. AGRICOLTURA E ALIMENTAZIONE - PESARO</t>
  </si>
  <si>
    <t>CAA CIA - PESARO E URBINO - 002</t>
  </si>
  <si>
    <t>LUPI LEO</t>
  </si>
  <si>
    <t>CAA Coldiretti - PESARO E URBINO - 013</t>
  </si>
  <si>
    <t>CAMOSCI TONINO</t>
  </si>
  <si>
    <t>PAGLIONI CLAUDIO</t>
  </si>
  <si>
    <t>CAA CIA - PESARO E URBINO - 007</t>
  </si>
  <si>
    <t>BARZOTTI ANGELO</t>
  </si>
  <si>
    <t>FIORUCCI GIADA</t>
  </si>
  <si>
    <t>CAA Coldiretti - PESARO E URBINO - 006</t>
  </si>
  <si>
    <t>BRACCI NICOLA</t>
  </si>
  <si>
    <t>CAA Confagricoltura srl</t>
  </si>
  <si>
    <t>CAA Confagricoltura - PESARO E URBINO - 001</t>
  </si>
  <si>
    <t>SOCIETA' AGRICOLA VALTURIO DI SANTARELLI ISABELLA E GALLI ISABELLA S.S</t>
  </si>
  <si>
    <t>SERV. DEC. AGRICOLTURA E ALIM. - MACERATA</t>
  </si>
  <si>
    <t>CAA Coldiretti - MACERATA - 009</t>
  </si>
  <si>
    <t>AURELI FABIO</t>
  </si>
  <si>
    <t>CAA Coldiretti - MACERATA - 007</t>
  </si>
  <si>
    <t>ARRA' ANTONIO</t>
  </si>
  <si>
    <t>ABBONDANZIERI MARIA-LETIZIA</t>
  </si>
  <si>
    <t>LUZI GILBERTO</t>
  </si>
  <si>
    <t>11 11.2 4b</t>
  </si>
  <si>
    <t>MONTEROSSO S.A.S. DI FARRO BIO INTERNATIONAL SRLS &amp; C.</t>
  </si>
  <si>
    <t>AGEA.ASR.2025.1089039</t>
  </si>
  <si>
    <t>AGR.ESTE SOC.AGRICOLA SRLS</t>
  </si>
  <si>
    <t>MICHELI SIMONETTA</t>
  </si>
  <si>
    <t>LONZI MASSIMILIANO</t>
  </si>
  <si>
    <t>CAA LiberiAgricoltori srl già CAA AGCI srl</t>
  </si>
  <si>
    <t>CAA LiberiAgricoltori - PESARO E URBINO - 001</t>
  </si>
  <si>
    <t>MAGNANI RENZO</t>
  </si>
  <si>
    <t>SERV. DEC. AGRICOLTURA E ALIM. -ASCOLI PICENO</t>
  </si>
  <si>
    <t>CAA-CAF AGRI S.R.L.</t>
  </si>
  <si>
    <t>CAA CAF AGRI - ASCOLI PICENO - 223</t>
  </si>
  <si>
    <t>SOCIETA AGRICOLA FATTORIA ANTICA DIMORA S.S.</t>
  </si>
  <si>
    <t>CAA Coldiretti - PESARO E URBINO - 010</t>
  </si>
  <si>
    <t>MUSCINELLI FRANCESCO</t>
  </si>
  <si>
    <t>CAA Coldiretti - PESARO E URBINO - 008</t>
  </si>
  <si>
    <t>ARMENTO PANCRAZIO</t>
  </si>
  <si>
    <t>CAA Coldiretti - PESARO E URBINO - 001</t>
  </si>
  <si>
    <t>PAIONCINI GIUSEPPE</t>
  </si>
  <si>
    <t>CAA Coldiretti - PESARO E URBINO - 004</t>
  </si>
  <si>
    <t>MARTELLI DANIELE</t>
  </si>
  <si>
    <t>CAA Coldiretti - MACERATA - 017</t>
  </si>
  <si>
    <t>MARCHETTI RICCARDO</t>
  </si>
  <si>
    <t>MARCHIONNI FABIO</t>
  </si>
  <si>
    <t>AURELI MACCARIO</t>
  </si>
  <si>
    <t>CAA CAF AGRI - ANCONA - 225</t>
  </si>
  <si>
    <t>CIMARELLI MARIA-TERESA</t>
  </si>
  <si>
    <t>CAA Confagricoltura - ASCOLI PICENO - 001</t>
  </si>
  <si>
    <t>TERENZI RITA</t>
  </si>
  <si>
    <t>BILOTTA CATERINA</t>
  </si>
  <si>
    <t>CAA CIA - PESARO E URBINO - 008</t>
  </si>
  <si>
    <t>ROSSI LUCA</t>
  </si>
  <si>
    <t>PINZI SAVERIO</t>
  </si>
  <si>
    <t>CAA Coldiretti - ANCONA - 005</t>
  </si>
  <si>
    <t>BRUNI MARCO</t>
  </si>
  <si>
    <t>CAVERNI LUCIA</t>
  </si>
  <si>
    <t>CAA CIA - ASCOLI PICENO - 002</t>
  </si>
  <si>
    <t>LA TENUTA DI MATTIA SOCIETA' SEMPLICE AGROFORESTALE DI FORMENTINI IVAN</t>
  </si>
  <si>
    <t>CAA Confagricoltura - ANCONA - 001</t>
  </si>
  <si>
    <t>SOC. AGR. TRE CASTELLI S.S.</t>
  </si>
  <si>
    <t>MOCCI MARCO</t>
  </si>
  <si>
    <t>SPERANDIO STEFANO</t>
  </si>
  <si>
    <t>FOCARINI DOMENICO</t>
  </si>
  <si>
    <t>SI</t>
  </si>
  <si>
    <t>SOCIETA' AGRICOLA SAN CASSIANO DA FABRIANO DI CORVATTA E C. SOCIETA' S</t>
  </si>
  <si>
    <t>PALANCA GIOELE</t>
  </si>
  <si>
    <t>CAA CIA - PESARO E URBINO - 005</t>
  </si>
  <si>
    <t>GELSOMINI LEO</t>
  </si>
  <si>
    <t>ALESIANI FABIO</t>
  </si>
  <si>
    <t>FRATINI GABRIELE</t>
  </si>
  <si>
    <t>STANGONI GUIDO</t>
  </si>
  <si>
    <t>PACI GIOVANNI</t>
  </si>
  <si>
    <t>ROVELLI CLAUDIO</t>
  </si>
  <si>
    <t>CINGOLANI GIOVANNI</t>
  </si>
  <si>
    <t>GUERRIERI FERNANDA</t>
  </si>
  <si>
    <t>BOINEGA LUIGI</t>
  </si>
  <si>
    <t>VANNUCCI DOMENICO</t>
  </si>
  <si>
    <t>SATOLLI MAURIZIO</t>
  </si>
  <si>
    <t>BROCCA LUISA</t>
  </si>
  <si>
    <t>CAA Coldiretti - FERMO - 001</t>
  </si>
  <si>
    <t>DILETTI GIOVANNI</t>
  </si>
  <si>
    <t>CRINELLA LUCA</t>
  </si>
  <si>
    <t>TOMMASONI GIOVANNI</t>
  </si>
  <si>
    <t>CAA LiberiAgricoltori - PESARO E URBINO - 002</t>
  </si>
  <si>
    <t>SOCIETA' AGRICOLA PAIARDINI DI PAIARDINI TINO &amp; C. S.S.</t>
  </si>
  <si>
    <t>CALVANI LAURA</t>
  </si>
  <si>
    <t>SOCIETA' AGRICOLA ROSASPINA S.S.</t>
  </si>
  <si>
    <t>SOCIETA' AGRICOLA ALESIANI DI ALESIANI MAURO E C. S.S.</t>
  </si>
  <si>
    <t>CAA CIA - ASCOLI PICENO - 001</t>
  </si>
  <si>
    <t>PROCACCINI EMILIANO</t>
  </si>
  <si>
    <t>CHIUMENTI MARIA CRISTINA</t>
  </si>
  <si>
    <t>CAA LiberiAgricoltori - MACERATA - 001</t>
  </si>
  <si>
    <t>BORRONI AURELIO</t>
  </si>
  <si>
    <t>CAA AGRISERVIZI s.r.l.</t>
  </si>
  <si>
    <t>CAA AGRISERVIZI - LATINA - 001</t>
  </si>
  <si>
    <t>ANNESSI GABRIELE</t>
  </si>
  <si>
    <t>CAA Coldiretti - PESARO E URBINO - 007</t>
  </si>
  <si>
    <t>SACCOMANDI MARCO</t>
  </si>
  <si>
    <t>MARINANGELI GIGLIOLA</t>
  </si>
  <si>
    <t>PICCHIO MICHELE</t>
  </si>
  <si>
    <t>BURATTI SILVANA</t>
  </si>
  <si>
    <t>CAA Coldiretti - MACERATA - 002</t>
  </si>
  <si>
    <t>CIAMPICHETTI GIORGIO</t>
  </si>
  <si>
    <t>CAA CIA - ASCOLI PICENO - 006</t>
  </si>
  <si>
    <t>ERCOLI GIANCARLO</t>
  </si>
  <si>
    <t>TURCHI MARIA</t>
  </si>
  <si>
    <t>VINCENTI EMANUELA</t>
  </si>
  <si>
    <t>CAA CAF AGRI - MACERATA - 226</t>
  </si>
  <si>
    <t>FABBRIZI PAOLO</t>
  </si>
  <si>
    <t>SOCIETA' AGRICOLA MORELLO AUSTERA DI LUPATELLI IGOR E IVAN</t>
  </si>
  <si>
    <t>AGRICOLA F.LLI CASAVECCHIA S.S.DI CASAVECCHIA GABRIELE</t>
  </si>
  <si>
    <t>SOCIETA' AGRICOLA PULVISIA S.S.</t>
  </si>
  <si>
    <t>CAA LiberiAgricoltori - MACERATA - 005</t>
  </si>
  <si>
    <t>SOCIETA AGRICOLA IL FRUTTETO S.S.</t>
  </si>
  <si>
    <t>BEI MATTIA</t>
  </si>
  <si>
    <t>SOCIETA' AGRICOLA BIEFFE SRL</t>
  </si>
  <si>
    <t>PESARESI LUCA</t>
  </si>
  <si>
    <t>FELIZIANI GIORGIO</t>
  </si>
  <si>
    <t>GUERRA MARCO</t>
  </si>
  <si>
    <t>CANDIRACCI SIMONA</t>
  </si>
  <si>
    <t>KLINGENHAGE SABINE ASTRID</t>
  </si>
  <si>
    <t>TANCINI ORAZIO</t>
  </si>
  <si>
    <t>MAURIZI LUIGINO</t>
  </si>
  <si>
    <t>CORSUCCI DENIS</t>
  </si>
  <si>
    <t>CAA LiberiAgricoltori - MACERATA - 003</t>
  </si>
  <si>
    <t>SOCIETA' AGRICOLA LA MONACESCA DI COPPONI MASSIMO E C. S.S.</t>
  </si>
  <si>
    <t>SOCIETA' AGRICOLA "BALENA" DI BALENA VALERIO E LAURA S.S.</t>
  </si>
  <si>
    <t>MASTRO TERRA SOCIETA' AGRICOLA S.S.</t>
  </si>
  <si>
    <t>CAA LiberiAgricoltori - MACERATA - 002</t>
  </si>
  <si>
    <t>BALDONI ANDREA</t>
  </si>
  <si>
    <t>SOC. AGR. LA FINESTRELLA DI CONSOLI ROBERTO &amp; C</t>
  </si>
  <si>
    <t>SOCIETA' AGRICOLA LA RINASCITA DI BONIFAZI BARBARA E C. S.S.</t>
  </si>
  <si>
    <t>CACCIAMANI TITO</t>
  </si>
  <si>
    <t>SOCIETA' AGRICOLA ENERGY AGROFORESTALE SNC DI NORCINI PALA MAURO &amp; C.</t>
  </si>
  <si>
    <t>CAA Confagricoltura - MACERATA - 001</t>
  </si>
  <si>
    <t>ORSOLINI FLAVIO</t>
  </si>
  <si>
    <t>PAOLETTI SABATINO</t>
  </si>
  <si>
    <t>QUARANTINI LEONARDO</t>
  </si>
  <si>
    <t>FERRACUTI MAURIZIO</t>
  </si>
  <si>
    <t>COSTANTINI ALBERTO</t>
  </si>
  <si>
    <t>AIA RICCI SOCIETA' AGRICOLA S.S.</t>
  </si>
  <si>
    <t>CAA UNSIC s.r.l.</t>
  </si>
  <si>
    <t>CAA UNSIC - ASCOLI PICENO - 001</t>
  </si>
  <si>
    <t>ORTOLANI ADRIANO</t>
  </si>
  <si>
    <t>ANTONINI ADRIANO</t>
  </si>
  <si>
    <t>RASTELLI SILVIA</t>
  </si>
  <si>
    <t>SOCIETA' AGRICOLA EMINUEL SRL</t>
  </si>
  <si>
    <t>COLAMASSI PIETRO</t>
  </si>
  <si>
    <t>AUTORINO LORENZO</t>
  </si>
  <si>
    <t>CICIANI FEDERICO</t>
  </si>
  <si>
    <t>SOCIETA' AGRICOLA AURORA S.S.</t>
  </si>
  <si>
    <t>CAA UNICAA srl</t>
  </si>
  <si>
    <t>CAA UNICAA - ASCOLI PICENO - 003</t>
  </si>
  <si>
    <t>CRUCIANI LAURA</t>
  </si>
  <si>
    <t>MARINO STEFANO</t>
  </si>
  <si>
    <t>FRACCAROLI STEFANIA</t>
  </si>
  <si>
    <t>POLETTI SECONDO</t>
  </si>
  <si>
    <t>TORTOLINI GIAMBATTISTA</t>
  </si>
  <si>
    <t>MANFREDI CLARISSA</t>
  </si>
  <si>
    <t>GENTILINI SOCIETA' AGRICOLA DI GENTILINI CESARINO, DANIELA E LUCIA S.S</t>
  </si>
  <si>
    <t>BOINEGA SERGIO</t>
  </si>
  <si>
    <t>URBANI FRANCO</t>
  </si>
  <si>
    <t>TIDEI LUIGI</t>
  </si>
  <si>
    <t>BRUSCOLINI GINO</t>
  </si>
  <si>
    <t>CAA CAF AGRI - ANCONA - 223</t>
  </si>
  <si>
    <t>SOCIETA' AGRICOLA BUCCHINI DAVIDE E ROMANI STEFANIA S.S.</t>
  </si>
  <si>
    <t>SOCIETA' AGRICOLA FABRIZI VENANZO FABRIZIO E LIBERTI ENZA S.S.</t>
  </si>
  <si>
    <t>POZZUOLI CAMILLO</t>
  </si>
  <si>
    <t>CIACCI MASSIMO</t>
  </si>
  <si>
    <t>MORICO STEFANO</t>
  </si>
  <si>
    <t>SOCIETA' AGRICOLA VANGELISTA LUCA S.N.C. DI LUCA VANGELISTA</t>
  </si>
  <si>
    <t>GIONNI LUCA</t>
  </si>
  <si>
    <t>BUSETTO VICARI ANDREA</t>
  </si>
  <si>
    <t>BONCI LEONARDO</t>
  </si>
  <si>
    <t>SOCIETA' AGRICOLA LICIA S.S.</t>
  </si>
  <si>
    <t>PALAZZI MARIA-VITTORIA</t>
  </si>
  <si>
    <t>CICCONI GIAMPAOLO</t>
  </si>
  <si>
    <t>BARZOTTI GIORGIO</t>
  </si>
  <si>
    <t>SORIANI MARIO</t>
  </si>
  <si>
    <t>PAIARINI MILENA</t>
  </si>
  <si>
    <t>BECCERICA ANDREA</t>
  </si>
  <si>
    <t>NATURA PIU' DI CINESI MARIA TERESA &amp; C. SNC</t>
  </si>
  <si>
    <t>SOCIETA' AGRICOLA TERRE DELLA SERRA S.A.S. DI LUCIA LUCCERINI</t>
  </si>
  <si>
    <t>AL CANTO DEL GALLO... SOCIETA' AGRICOLA A R.L.</t>
  </si>
  <si>
    <t>URTINI GIOVANNI</t>
  </si>
  <si>
    <t>LABEEUW GERARD POL</t>
  </si>
  <si>
    <t>PAZZELLI MORGAN</t>
  </si>
  <si>
    <t>CINTI ARTURO</t>
  </si>
  <si>
    <t>SORCI GILBERTO</t>
  </si>
  <si>
    <t>VOLPONI GIANNI</t>
  </si>
  <si>
    <t>CAA CAF AGRI - MACERATA - 224</t>
  </si>
  <si>
    <t>CORVINI PIERLUIGI</t>
  </si>
  <si>
    <t>NONNI DANIELE</t>
  </si>
  <si>
    <t>PASSETTI PIERPAOLO</t>
  </si>
  <si>
    <t>BALDUCCI MARIO</t>
  </si>
  <si>
    <t>AURELI BARBARA</t>
  </si>
  <si>
    <t>ALBERTO QUACQUARINI - SOCIETA' AGRICOLA SEMPLICE</t>
  </si>
  <si>
    <t>VANUCCI MIRCO</t>
  </si>
  <si>
    <t>BIANCONI ANTONIO</t>
  </si>
  <si>
    <t>CONSOLI MARIO</t>
  </si>
  <si>
    <t>SOCIETA AGRICOLA AGRITURISMO BUFANO SOCIETA SEMPLICE AGRICOLA</t>
  </si>
  <si>
    <t>MARIANI YURI</t>
  </si>
  <si>
    <t>MASSACCI ANDREA</t>
  </si>
  <si>
    <t>CASAGRANDE SANDRO</t>
  </si>
  <si>
    <t>SOCIETA' AGRICOLA CA' MIGNONE S.R.L.</t>
  </si>
  <si>
    <t>TAGNANI DANIELE</t>
  </si>
  <si>
    <t>LA CANOSA S.R.L. SOCIETA' AGRICOLA</t>
  </si>
  <si>
    <t>PALANCA ANGELO</t>
  </si>
  <si>
    <t>CAVALLINI FIORENZA</t>
  </si>
  <si>
    <t>AIUDI PIERINA</t>
  </si>
  <si>
    <t>SERAFINI FABIO</t>
  </si>
  <si>
    <t>SOCIETA' AGRICOLA IL GELSO SRL</t>
  </si>
  <si>
    <t>SOCIETA' AGRICOLA SEMPLICE TERRE DI SERRAPETRONA</t>
  </si>
  <si>
    <t>BARTOLUCCI ALDINO</t>
  </si>
  <si>
    <t>CICCANTI PAOLA</t>
  </si>
  <si>
    <t>SANTARONI EROS</t>
  </si>
  <si>
    <t>SPREGHINI SILVANA</t>
  </si>
  <si>
    <t>SOCIETA' AGRICOLA CASULA</t>
  </si>
  <si>
    <t>LIGI LORIS</t>
  </si>
  <si>
    <t>SOCIETA' AGRICOLA GENTILESCHI ANDREA E CONTIGIANI CINZIA S.S</t>
  </si>
  <si>
    <t>GRAZIOSI GIACOMO</t>
  </si>
  <si>
    <t>SOCIETA' AGRICOLA COPPONI GIANCARLO E SPURI MARIA S.S.</t>
  </si>
  <si>
    <t>CAA CIA - MACERATA - 001</t>
  </si>
  <si>
    <t>ROCCHI PARIS E C. SOCIETA' AGRICOLA - S.S.</t>
  </si>
  <si>
    <t>JAHN MARCUS MICHAEL ALBERT</t>
  </si>
  <si>
    <t>CAA CIA - ANCONA - 004</t>
  </si>
  <si>
    <t>BAIONI ALESSANDRA</t>
  </si>
  <si>
    <t>CURTI BENEDETTO</t>
  </si>
  <si>
    <t>CASAGRANDE-CONTI SONIA</t>
  </si>
  <si>
    <t>GUERRA MASSIMO</t>
  </si>
  <si>
    <t>RICCIUTELLI LUCA</t>
  </si>
  <si>
    <t>CAA Coldiretti - ANCONA - 006</t>
  </si>
  <si>
    <t>FEDERICI ANTONIO</t>
  </si>
  <si>
    <t>ROTINI GIUSEPPE</t>
  </si>
  <si>
    <t>FIACCHINI CLAUDIO</t>
  </si>
  <si>
    <t>GIOVANNINI ADELMO</t>
  </si>
  <si>
    <t>MARONCELLI MASSIMO</t>
  </si>
  <si>
    <t>DE CARLI SARA</t>
  </si>
  <si>
    <t>CIARIMBOLI PAOLO</t>
  </si>
  <si>
    <t>PIERSANTI MAURIZIO</t>
  </si>
  <si>
    <t>SOCIETA' AGRICOLA CA' MARIOTTO S.S.</t>
  </si>
  <si>
    <t>ZEPPI GIUSEPPE</t>
  </si>
  <si>
    <t>ANGELI GIOVANNI</t>
  </si>
  <si>
    <t>AGRIFOOD LE CAJOTELLE SOCIETA' AGRICOLA DI BOTTA ALICE E ALESSIA S.S.</t>
  </si>
  <si>
    <t>CASAVECCHIA ELENA</t>
  </si>
  <si>
    <t>ALFONSI QUINTO</t>
  </si>
  <si>
    <t>SOC. AGR. ARDUINI MARCO E GILBERTO</t>
  </si>
  <si>
    <t>GRILLO PAOLA</t>
  </si>
  <si>
    <t>CAA CIA - PERUGIA - 001</t>
  </si>
  <si>
    <t>AZIENDA AGRICOLA DELLE MONACHE SOCIETA' SEMPLICE AGRICOLA</t>
  </si>
  <si>
    <t>MONTICELLI ODA</t>
  </si>
  <si>
    <t>RIPANI GIANMARCO</t>
  </si>
  <si>
    <t>SOCIETA' AGRICOLA "CAPODIMONTE" DI FERRETTI MARIANNA E FRANCESCA S.S.</t>
  </si>
  <si>
    <t>JACHINI MARZIALI CATERINA</t>
  </si>
  <si>
    <t>SALVATI MATTIA</t>
  </si>
  <si>
    <t>GALANTI ALESSANDRO</t>
  </si>
  <si>
    <t>FULVI ERMANNO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</si>
</sst>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9"/>
  <sheetViews>
    <sheetView showGridLines="0" tabSelected="1" topLeftCell="G1" workbookViewId="0">
      <selection activeCell="A3" sqref="A3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8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0.2851562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4.75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2024</v>
      </c>
      <c r="H4" s="3" t="str">
        <f>CONCATENATE("44210335442")</f>
        <v>44210335442</v>
      </c>
      <c r="I4" s="3" t="s">
        <v>34</v>
      </c>
      <c r="J4" s="3" t="s">
        <v>35</v>
      </c>
      <c r="K4" s="3"/>
      <c r="L4" s="3" t="s">
        <v>36</v>
      </c>
      <c r="M4" s="3" t="str">
        <f>CONCATENATE("RNLGPP65E29F051I")</f>
        <v>RNLGPP65E29F051I</v>
      </c>
      <c r="N4" s="3" t="s">
        <v>37</v>
      </c>
      <c r="O4" s="3" t="s">
        <v>38</v>
      </c>
      <c r="P4" s="3"/>
      <c r="Q4" s="4">
        <v>45956</v>
      </c>
      <c r="R4" s="3" t="s">
        <v>39</v>
      </c>
      <c r="S4" s="3" t="s">
        <v>40</v>
      </c>
      <c r="T4" s="3" t="s">
        <v>41</v>
      </c>
      <c r="U4" s="3"/>
      <c r="V4" s="3" t="s">
        <v>42</v>
      </c>
      <c r="W4" s="3">
        <v>12.32</v>
      </c>
      <c r="X4" s="3">
        <v>9.24</v>
      </c>
      <c r="Y4" s="3">
        <v>2.16</v>
      </c>
      <c r="Z4" s="3">
        <v>0.92</v>
      </c>
      <c r="AA4" s="3">
        <v>0</v>
      </c>
    </row>
    <row r="5" spans="1:27" ht="24.75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43</v>
      </c>
      <c r="F5" s="3" t="s">
        <v>44</v>
      </c>
      <c r="G5" s="3">
        <v>2024</v>
      </c>
      <c r="H5" s="3" t="str">
        <f>CONCATENATE("44210326318")</f>
        <v>44210326318</v>
      </c>
      <c r="I5" s="3" t="s">
        <v>34</v>
      </c>
      <c r="J5" s="3" t="s">
        <v>35</v>
      </c>
      <c r="K5" s="3"/>
      <c r="L5" s="3" t="s">
        <v>36</v>
      </c>
      <c r="M5" s="3" t="str">
        <f>CONCATENATE("PCRTTL84T19D451D")</f>
        <v>PCRTTL84T19D451D</v>
      </c>
      <c r="N5" s="3" t="s">
        <v>45</v>
      </c>
      <c r="O5" s="3" t="s">
        <v>38</v>
      </c>
      <c r="P5" s="3"/>
      <c r="Q5" s="4">
        <v>45956</v>
      </c>
      <c r="R5" s="3" t="s">
        <v>39</v>
      </c>
      <c r="S5" s="3" t="s">
        <v>40</v>
      </c>
      <c r="T5" s="3" t="s">
        <v>41</v>
      </c>
      <c r="U5" s="3"/>
      <c r="V5" s="3" t="s">
        <v>42</v>
      </c>
      <c r="W5" s="3">
        <v>27.24</v>
      </c>
      <c r="X5" s="3">
        <v>20.43</v>
      </c>
      <c r="Y5" s="3">
        <v>4.7699999999999996</v>
      </c>
      <c r="Z5" s="3">
        <v>2.04</v>
      </c>
      <c r="AA5" s="3">
        <v>0</v>
      </c>
    </row>
    <row r="6" spans="1:27" ht="24.75" x14ac:dyDescent="0.25">
      <c r="A6" s="3" t="s">
        <v>28</v>
      </c>
      <c r="B6" s="3" t="s">
        <v>29</v>
      </c>
      <c r="C6" s="3" t="s">
        <v>30</v>
      </c>
      <c r="D6" s="3" t="s">
        <v>46</v>
      </c>
      <c r="E6" s="3" t="s">
        <v>32</v>
      </c>
      <c r="F6" s="3" t="s">
        <v>47</v>
      </c>
      <c r="G6" s="3">
        <v>2024</v>
      </c>
      <c r="H6" s="3" t="str">
        <f>CONCATENATE("44210534572")</f>
        <v>44210534572</v>
      </c>
      <c r="I6" s="3" t="s">
        <v>34</v>
      </c>
      <c r="J6" s="3" t="s">
        <v>35</v>
      </c>
      <c r="K6" s="3"/>
      <c r="L6" s="3" t="s">
        <v>36</v>
      </c>
      <c r="M6" s="3" t="str">
        <f>CONCATENATE("LPULEO56R23L500A")</f>
        <v>LPULEO56R23L500A</v>
      </c>
      <c r="N6" s="3" t="s">
        <v>48</v>
      </c>
      <c r="O6" s="3" t="s">
        <v>38</v>
      </c>
      <c r="P6" s="3"/>
      <c r="Q6" s="4">
        <v>45956</v>
      </c>
      <c r="R6" s="3" t="s">
        <v>39</v>
      </c>
      <c r="S6" s="3" t="s">
        <v>40</v>
      </c>
      <c r="T6" s="3" t="s">
        <v>41</v>
      </c>
      <c r="U6" s="3"/>
      <c r="V6" s="3" t="s">
        <v>42</v>
      </c>
      <c r="W6" s="3">
        <v>38.06</v>
      </c>
      <c r="X6" s="3">
        <v>28.55</v>
      </c>
      <c r="Y6" s="3">
        <v>6.66</v>
      </c>
      <c r="Z6" s="3">
        <v>2.85</v>
      </c>
      <c r="AA6" s="3">
        <v>0</v>
      </c>
    </row>
    <row r="7" spans="1:27" ht="24.75" x14ac:dyDescent="0.25">
      <c r="A7" s="3" t="s">
        <v>28</v>
      </c>
      <c r="B7" s="3" t="s">
        <v>29</v>
      </c>
      <c r="C7" s="3" t="s">
        <v>30</v>
      </c>
      <c r="D7" s="3" t="s">
        <v>46</v>
      </c>
      <c r="E7" s="3" t="s">
        <v>43</v>
      </c>
      <c r="F7" s="3" t="s">
        <v>49</v>
      </c>
      <c r="G7" s="3">
        <v>2024</v>
      </c>
      <c r="H7" s="3" t="str">
        <f>CONCATENATE("44210418743")</f>
        <v>44210418743</v>
      </c>
      <c r="I7" s="3" t="s">
        <v>34</v>
      </c>
      <c r="J7" s="3" t="s">
        <v>35</v>
      </c>
      <c r="K7" s="3"/>
      <c r="L7" s="3" t="s">
        <v>36</v>
      </c>
      <c r="M7" s="3" t="str">
        <f>CONCATENATE("CMSTNN53P02D749U")</f>
        <v>CMSTNN53P02D749U</v>
      </c>
      <c r="N7" s="3" t="s">
        <v>50</v>
      </c>
      <c r="O7" s="3" t="s">
        <v>38</v>
      </c>
      <c r="P7" s="3"/>
      <c r="Q7" s="4">
        <v>45956</v>
      </c>
      <c r="R7" s="3" t="s">
        <v>39</v>
      </c>
      <c r="S7" s="3" t="s">
        <v>40</v>
      </c>
      <c r="T7" s="3" t="s">
        <v>41</v>
      </c>
      <c r="U7" s="3"/>
      <c r="V7" s="3" t="s">
        <v>42</v>
      </c>
      <c r="W7" s="3">
        <v>411.9</v>
      </c>
      <c r="X7" s="3">
        <v>308.93</v>
      </c>
      <c r="Y7" s="3">
        <v>72.08</v>
      </c>
      <c r="Z7" s="3">
        <v>30.89</v>
      </c>
      <c r="AA7" s="3">
        <v>0</v>
      </c>
    </row>
    <row r="8" spans="1:27" ht="24.75" x14ac:dyDescent="0.25">
      <c r="A8" s="3" t="s">
        <v>28</v>
      </c>
      <c r="B8" s="3" t="s">
        <v>29</v>
      </c>
      <c r="C8" s="3" t="s">
        <v>30</v>
      </c>
      <c r="D8" s="3" t="s">
        <v>31</v>
      </c>
      <c r="E8" s="3" t="s">
        <v>43</v>
      </c>
      <c r="F8" s="3" t="s">
        <v>44</v>
      </c>
      <c r="G8" s="3">
        <v>2024</v>
      </c>
      <c r="H8" s="3" t="str">
        <f>CONCATENATE("44210471536")</f>
        <v>44210471536</v>
      </c>
      <c r="I8" s="3" t="s">
        <v>34</v>
      </c>
      <c r="J8" s="3" t="s">
        <v>35</v>
      </c>
      <c r="K8" s="3"/>
      <c r="L8" s="3" t="s">
        <v>36</v>
      </c>
      <c r="M8" s="3" t="str">
        <f>CONCATENATE("PGLCLD61T03I653Q")</f>
        <v>PGLCLD61T03I653Q</v>
      </c>
      <c r="N8" s="3" t="s">
        <v>51</v>
      </c>
      <c r="O8" s="3" t="s">
        <v>38</v>
      </c>
      <c r="P8" s="3"/>
      <c r="Q8" s="4">
        <v>45956</v>
      </c>
      <c r="R8" s="3" t="s">
        <v>39</v>
      </c>
      <c r="S8" s="3" t="s">
        <v>40</v>
      </c>
      <c r="T8" s="3" t="s">
        <v>41</v>
      </c>
      <c r="U8" s="3"/>
      <c r="V8" s="3" t="s">
        <v>42</v>
      </c>
      <c r="W8" s="3">
        <v>55.5</v>
      </c>
      <c r="X8" s="3">
        <v>41.63</v>
      </c>
      <c r="Y8" s="3">
        <v>9.7100000000000009</v>
      </c>
      <c r="Z8" s="3">
        <v>4.16</v>
      </c>
      <c r="AA8" s="3">
        <v>0</v>
      </c>
    </row>
    <row r="9" spans="1:27" ht="24.75" x14ac:dyDescent="0.25">
      <c r="A9" s="3" t="s">
        <v>28</v>
      </c>
      <c r="B9" s="3" t="s">
        <v>29</v>
      </c>
      <c r="C9" s="3" t="s">
        <v>30</v>
      </c>
      <c r="D9" s="3" t="s">
        <v>46</v>
      </c>
      <c r="E9" s="3" t="s">
        <v>32</v>
      </c>
      <c r="F9" s="3" t="s">
        <v>52</v>
      </c>
      <c r="G9" s="3">
        <v>2024</v>
      </c>
      <c r="H9" s="3" t="str">
        <f>CONCATENATE("44210461255")</f>
        <v>44210461255</v>
      </c>
      <c r="I9" s="3" t="s">
        <v>34</v>
      </c>
      <c r="J9" s="3" t="s">
        <v>35</v>
      </c>
      <c r="K9" s="3"/>
      <c r="L9" s="3" t="s">
        <v>36</v>
      </c>
      <c r="M9" s="3" t="str">
        <f>CONCATENATE("BRZNGL60H23B352I")</f>
        <v>BRZNGL60H23B352I</v>
      </c>
      <c r="N9" s="3" t="s">
        <v>53</v>
      </c>
      <c r="O9" s="3" t="s">
        <v>38</v>
      </c>
      <c r="P9" s="3"/>
      <c r="Q9" s="4">
        <v>45956</v>
      </c>
      <c r="R9" s="3" t="s">
        <v>39</v>
      </c>
      <c r="S9" s="3" t="s">
        <v>40</v>
      </c>
      <c r="T9" s="3" t="s">
        <v>41</v>
      </c>
      <c r="U9" s="3"/>
      <c r="V9" s="3" t="s">
        <v>42</v>
      </c>
      <c r="W9" s="3">
        <v>57.6</v>
      </c>
      <c r="X9" s="3">
        <v>43.2</v>
      </c>
      <c r="Y9" s="3">
        <v>10.08</v>
      </c>
      <c r="Z9" s="3">
        <v>4.32</v>
      </c>
      <c r="AA9" s="3">
        <v>0</v>
      </c>
    </row>
    <row r="10" spans="1:27" ht="60.75" x14ac:dyDescent="0.25">
      <c r="A10" s="3" t="s">
        <v>28</v>
      </c>
      <c r="B10" s="3" t="s">
        <v>29</v>
      </c>
      <c r="C10" s="3" t="s">
        <v>30</v>
      </c>
      <c r="D10" s="3" t="s">
        <v>46</v>
      </c>
      <c r="E10" s="3" t="s">
        <v>32</v>
      </c>
      <c r="F10" s="3" t="s">
        <v>52</v>
      </c>
      <c r="G10" s="3">
        <v>2024</v>
      </c>
      <c r="H10" s="3" t="str">
        <f>CONCATENATE("44210248074")</f>
        <v>44210248074</v>
      </c>
      <c r="I10" s="3" t="s">
        <v>34</v>
      </c>
      <c r="J10" s="3" t="s">
        <v>35</v>
      </c>
      <c r="K10" s="3"/>
      <c r="L10" s="3" t="s">
        <v>36</v>
      </c>
      <c r="M10" s="3" t="str">
        <f>CONCATENATE("FRCGDI87E68B352E")</f>
        <v>FRCGDI87E68B352E</v>
      </c>
      <c r="N10" s="3" t="s">
        <v>54</v>
      </c>
      <c r="O10" s="3" t="s">
        <v>38</v>
      </c>
      <c r="P10" s="3"/>
      <c r="Q10" s="4">
        <v>45956</v>
      </c>
      <c r="R10" s="3" t="s">
        <v>39</v>
      </c>
      <c r="S10" s="3" t="s">
        <v>40</v>
      </c>
      <c r="T10" s="3" t="s">
        <v>41</v>
      </c>
      <c r="U10" s="3"/>
      <c r="V10" s="3" t="s">
        <v>42</v>
      </c>
      <c r="W10" s="3">
        <v>41.95</v>
      </c>
      <c r="X10" s="3">
        <v>31.46</v>
      </c>
      <c r="Y10" s="3">
        <v>7.34</v>
      </c>
      <c r="Z10" s="3">
        <v>3.15</v>
      </c>
      <c r="AA10" s="3">
        <v>0</v>
      </c>
    </row>
    <row r="11" spans="1:27" ht="72.75" x14ac:dyDescent="0.25">
      <c r="A11" s="3" t="s">
        <v>28</v>
      </c>
      <c r="B11" s="3" t="s">
        <v>29</v>
      </c>
      <c r="C11" s="3" t="s">
        <v>30</v>
      </c>
      <c r="D11" s="3" t="s">
        <v>46</v>
      </c>
      <c r="E11" s="3" t="s">
        <v>43</v>
      </c>
      <c r="F11" s="3" t="s">
        <v>55</v>
      </c>
      <c r="G11" s="3">
        <v>2024</v>
      </c>
      <c r="H11" s="3" t="str">
        <f>CONCATENATE("44210551303")</f>
        <v>44210551303</v>
      </c>
      <c r="I11" s="3" t="s">
        <v>34</v>
      </c>
      <c r="J11" s="3" t="s">
        <v>35</v>
      </c>
      <c r="K11" s="3"/>
      <c r="L11" s="3" t="s">
        <v>36</v>
      </c>
      <c r="M11" s="3" t="str">
        <f>CONCATENATE("BRCNCL02M19D488D")</f>
        <v>BRCNCL02M19D488D</v>
      </c>
      <c r="N11" s="3" t="s">
        <v>56</v>
      </c>
      <c r="O11" s="3" t="s">
        <v>38</v>
      </c>
      <c r="P11" s="3"/>
      <c r="Q11" s="4">
        <v>45956</v>
      </c>
      <c r="R11" s="3" t="s">
        <v>39</v>
      </c>
      <c r="S11" s="3" t="s">
        <v>40</v>
      </c>
      <c r="T11" s="3" t="s">
        <v>41</v>
      </c>
      <c r="U11" s="3"/>
      <c r="V11" s="3" t="s">
        <v>42</v>
      </c>
      <c r="W11" s="3">
        <v>20.45</v>
      </c>
      <c r="X11" s="3">
        <v>15.34</v>
      </c>
      <c r="Y11" s="3">
        <v>3.58</v>
      </c>
      <c r="Z11" s="3">
        <v>1.53</v>
      </c>
      <c r="AA11" s="3">
        <v>0</v>
      </c>
    </row>
    <row r="12" spans="1:27" ht="36.75" x14ac:dyDescent="0.25">
      <c r="A12" s="3" t="s">
        <v>28</v>
      </c>
      <c r="B12" s="3" t="s">
        <v>29</v>
      </c>
      <c r="C12" s="3" t="s">
        <v>30</v>
      </c>
      <c r="D12" s="3" t="s">
        <v>46</v>
      </c>
      <c r="E12" s="3" t="s">
        <v>57</v>
      </c>
      <c r="F12" s="3" t="s">
        <v>58</v>
      </c>
      <c r="G12" s="3">
        <v>2024</v>
      </c>
      <c r="H12" s="3" t="str">
        <f>CONCATENATE("44210968333")</f>
        <v>44210968333</v>
      </c>
      <c r="I12" s="3" t="s">
        <v>34</v>
      </c>
      <c r="J12" s="3" t="s">
        <v>35</v>
      </c>
      <c r="K12" s="3"/>
      <c r="L12" s="3" t="s">
        <v>36</v>
      </c>
      <c r="M12" s="3" t="str">
        <f>CONCATENATE("02090800414")</f>
        <v>02090800414</v>
      </c>
      <c r="N12" s="3" t="s">
        <v>59</v>
      </c>
      <c r="O12" s="3" t="s">
        <v>38</v>
      </c>
      <c r="P12" s="3"/>
      <c r="Q12" s="4">
        <v>45956</v>
      </c>
      <c r="R12" s="3" t="s">
        <v>39</v>
      </c>
      <c r="S12" s="3" t="s">
        <v>40</v>
      </c>
      <c r="T12" s="3" t="s">
        <v>41</v>
      </c>
      <c r="U12" s="3"/>
      <c r="V12" s="3" t="s">
        <v>42</v>
      </c>
      <c r="W12" s="3">
        <v>155.05000000000001</v>
      </c>
      <c r="X12" s="3">
        <v>116.29</v>
      </c>
      <c r="Y12" s="3">
        <v>27.13</v>
      </c>
      <c r="Z12" s="3">
        <v>11.63</v>
      </c>
      <c r="AA12" s="3">
        <v>0</v>
      </c>
    </row>
    <row r="13" spans="1:27" ht="60.75" x14ac:dyDescent="0.25">
      <c r="A13" s="3" t="s">
        <v>28</v>
      </c>
      <c r="B13" s="3" t="s">
        <v>29</v>
      </c>
      <c r="C13" s="3" t="s">
        <v>30</v>
      </c>
      <c r="D13" s="3" t="s">
        <v>60</v>
      </c>
      <c r="E13" s="3" t="s">
        <v>43</v>
      </c>
      <c r="F13" s="3" t="s">
        <v>61</v>
      </c>
      <c r="G13" s="3">
        <v>2024</v>
      </c>
      <c r="H13" s="3" t="str">
        <f>CONCATENATE("44210029680")</f>
        <v>44210029680</v>
      </c>
      <c r="I13" s="3" t="s">
        <v>34</v>
      </c>
      <c r="J13" s="3" t="s">
        <v>35</v>
      </c>
      <c r="K13" s="3"/>
      <c r="L13" s="3" t="s">
        <v>36</v>
      </c>
      <c r="M13" s="3" t="str">
        <f>CONCATENATE("RLAFBA61D11I651Z")</f>
        <v>RLAFBA61D11I651Z</v>
      </c>
      <c r="N13" s="3" t="s">
        <v>62</v>
      </c>
      <c r="O13" s="3" t="s">
        <v>38</v>
      </c>
      <c r="P13" s="3"/>
      <c r="Q13" s="4">
        <v>45956</v>
      </c>
      <c r="R13" s="3" t="s">
        <v>39</v>
      </c>
      <c r="S13" s="3" t="s">
        <v>40</v>
      </c>
      <c r="T13" s="3" t="s">
        <v>41</v>
      </c>
      <c r="U13" s="3"/>
      <c r="V13" s="3" t="s">
        <v>42</v>
      </c>
      <c r="W13" s="3">
        <v>47.62</v>
      </c>
      <c r="X13" s="3">
        <v>35.72</v>
      </c>
      <c r="Y13" s="3">
        <v>8.33</v>
      </c>
      <c r="Z13" s="3">
        <v>3.57</v>
      </c>
      <c r="AA13" s="3">
        <v>0</v>
      </c>
    </row>
    <row r="14" spans="1:27" ht="60.75" x14ac:dyDescent="0.25">
      <c r="A14" s="3" t="s">
        <v>28</v>
      </c>
      <c r="B14" s="3" t="s">
        <v>29</v>
      </c>
      <c r="C14" s="3" t="s">
        <v>30</v>
      </c>
      <c r="D14" s="3" t="s">
        <v>60</v>
      </c>
      <c r="E14" s="3" t="s">
        <v>43</v>
      </c>
      <c r="F14" s="3" t="s">
        <v>63</v>
      </c>
      <c r="G14" s="3">
        <v>2024</v>
      </c>
      <c r="H14" s="3" t="str">
        <f>CONCATENATE("44210092993")</f>
        <v>44210092993</v>
      </c>
      <c r="I14" s="3" t="s">
        <v>34</v>
      </c>
      <c r="J14" s="3" t="s">
        <v>35</v>
      </c>
      <c r="K14" s="3"/>
      <c r="L14" s="3" t="s">
        <v>36</v>
      </c>
      <c r="M14" s="3" t="str">
        <f>CONCATENATE("RRANTN63L31A252C")</f>
        <v>RRANTN63L31A252C</v>
      </c>
      <c r="N14" s="3" t="s">
        <v>64</v>
      </c>
      <c r="O14" s="3" t="s">
        <v>38</v>
      </c>
      <c r="P14" s="3"/>
      <c r="Q14" s="4">
        <v>45956</v>
      </c>
      <c r="R14" s="3" t="s">
        <v>39</v>
      </c>
      <c r="S14" s="3" t="s">
        <v>40</v>
      </c>
      <c r="T14" s="3" t="s">
        <v>41</v>
      </c>
      <c r="U14" s="3"/>
      <c r="V14" s="3" t="s">
        <v>42</v>
      </c>
      <c r="W14" s="3">
        <v>117.88</v>
      </c>
      <c r="X14" s="3">
        <v>88.41</v>
      </c>
      <c r="Y14" s="3">
        <v>20.63</v>
      </c>
      <c r="Z14" s="3">
        <v>8.84</v>
      </c>
      <c r="AA14" s="3">
        <v>0</v>
      </c>
    </row>
    <row r="15" spans="1:27" ht="60.75" x14ac:dyDescent="0.25">
      <c r="A15" s="3" t="s">
        <v>28</v>
      </c>
      <c r="B15" s="3" t="s">
        <v>29</v>
      </c>
      <c r="C15" s="3" t="s">
        <v>30</v>
      </c>
      <c r="D15" s="3" t="s">
        <v>46</v>
      </c>
      <c r="E15" s="3" t="s">
        <v>32</v>
      </c>
      <c r="F15" s="3" t="s">
        <v>52</v>
      </c>
      <c r="G15" s="3">
        <v>2024</v>
      </c>
      <c r="H15" s="3" t="str">
        <f>CONCATENATE("44210373286")</f>
        <v>44210373286</v>
      </c>
      <c r="I15" s="3" t="s">
        <v>34</v>
      </c>
      <c r="J15" s="3" t="s">
        <v>35</v>
      </c>
      <c r="K15" s="3"/>
      <c r="L15" s="3" t="s">
        <v>36</v>
      </c>
      <c r="M15" s="3" t="str">
        <f>CONCATENATE("BBNMLT76E45G453C")</f>
        <v>BBNMLT76E45G453C</v>
      </c>
      <c r="N15" s="3" t="s">
        <v>65</v>
      </c>
      <c r="O15" s="3" t="s">
        <v>38</v>
      </c>
      <c r="P15" s="3"/>
      <c r="Q15" s="4">
        <v>45956</v>
      </c>
      <c r="R15" s="3" t="s">
        <v>39</v>
      </c>
      <c r="S15" s="3" t="s">
        <v>40</v>
      </c>
      <c r="T15" s="3" t="s">
        <v>41</v>
      </c>
      <c r="U15" s="3"/>
      <c r="V15" s="3" t="s">
        <v>42</v>
      </c>
      <c r="W15" s="3">
        <v>555.20000000000005</v>
      </c>
      <c r="X15" s="3">
        <v>416.4</v>
      </c>
      <c r="Y15" s="3">
        <v>97.16</v>
      </c>
      <c r="Z15" s="3">
        <v>41.64</v>
      </c>
      <c r="AA15" s="3">
        <v>0</v>
      </c>
    </row>
    <row r="16" spans="1:27" ht="60.75" x14ac:dyDescent="0.25">
      <c r="A16" s="3" t="s">
        <v>28</v>
      </c>
      <c r="B16" s="3" t="s">
        <v>29</v>
      </c>
      <c r="C16" s="3" t="s">
        <v>30</v>
      </c>
      <c r="D16" s="3" t="s">
        <v>46</v>
      </c>
      <c r="E16" s="3" t="s">
        <v>32</v>
      </c>
      <c r="F16" s="3" t="s">
        <v>47</v>
      </c>
      <c r="G16" s="3">
        <v>2024</v>
      </c>
      <c r="H16" s="3" t="str">
        <f>CONCATENATE("44210312458")</f>
        <v>44210312458</v>
      </c>
      <c r="I16" s="3" t="s">
        <v>34</v>
      </c>
      <c r="J16" s="3" t="s">
        <v>35</v>
      </c>
      <c r="K16" s="3"/>
      <c r="L16" s="3" t="s">
        <v>36</v>
      </c>
      <c r="M16" s="3" t="str">
        <f>CONCATENATE("LZUGBR57C08F135D")</f>
        <v>LZUGBR57C08F135D</v>
      </c>
      <c r="N16" s="3" t="s">
        <v>66</v>
      </c>
      <c r="O16" s="3" t="s">
        <v>38</v>
      </c>
      <c r="P16" s="3"/>
      <c r="Q16" s="4">
        <v>45956</v>
      </c>
      <c r="R16" s="3" t="s">
        <v>39</v>
      </c>
      <c r="S16" s="3" t="s">
        <v>40</v>
      </c>
      <c r="T16" s="3" t="s">
        <v>41</v>
      </c>
      <c r="U16" s="3"/>
      <c r="V16" s="3" t="s">
        <v>42</v>
      </c>
      <c r="W16" s="3">
        <v>15.03</v>
      </c>
      <c r="X16" s="3">
        <v>11.27</v>
      </c>
      <c r="Y16" s="3">
        <v>2.63</v>
      </c>
      <c r="Z16" s="3">
        <v>1.1299999999999999</v>
      </c>
      <c r="AA16" s="3">
        <v>0</v>
      </c>
    </row>
    <row r="17" spans="1:27" ht="36.75" x14ac:dyDescent="0.25">
      <c r="A17" s="3" t="s">
        <v>28</v>
      </c>
      <c r="B17" s="3" t="s">
        <v>29</v>
      </c>
      <c r="C17" s="3" t="s">
        <v>30</v>
      </c>
      <c r="D17" s="3" t="s">
        <v>31</v>
      </c>
      <c r="E17" s="3" t="s">
        <v>32</v>
      </c>
      <c r="F17" s="3" t="s">
        <v>33</v>
      </c>
      <c r="G17" s="3">
        <v>2024</v>
      </c>
      <c r="H17" s="3" t="str">
        <f>CONCATENATE("44240131928")</f>
        <v>44240131928</v>
      </c>
      <c r="I17" s="3" t="s">
        <v>34</v>
      </c>
      <c r="J17" s="3" t="s">
        <v>35</v>
      </c>
      <c r="K17" s="3"/>
      <c r="L17" s="3" t="s">
        <v>67</v>
      </c>
      <c r="M17" s="3" t="str">
        <f>CONCATENATE("01411670423")</f>
        <v>01411670423</v>
      </c>
      <c r="N17" s="3" t="s">
        <v>68</v>
      </c>
      <c r="O17" s="3" t="s">
        <v>42</v>
      </c>
      <c r="P17" s="3" t="s">
        <v>69</v>
      </c>
      <c r="Q17" s="4">
        <v>45932</v>
      </c>
      <c r="R17" s="3" t="s">
        <v>39</v>
      </c>
      <c r="S17" s="3" t="s">
        <v>40</v>
      </c>
      <c r="T17" s="3" t="s">
        <v>41</v>
      </c>
      <c r="U17" s="3"/>
      <c r="V17" s="3" t="s">
        <v>42</v>
      </c>
      <c r="W17" s="5">
        <v>37044.910000000003</v>
      </c>
      <c r="X17" s="5">
        <v>27783.68</v>
      </c>
      <c r="Y17" s="5">
        <v>6482.86</v>
      </c>
      <c r="Z17" s="5">
        <v>2778.37</v>
      </c>
      <c r="AA17" s="3">
        <v>0</v>
      </c>
    </row>
    <row r="18" spans="1:27" ht="36.75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>
        <v>2024</v>
      </c>
      <c r="H18" s="3" t="str">
        <f>CONCATENATE("44210373542")</f>
        <v>44210373542</v>
      </c>
      <c r="I18" s="3" t="s">
        <v>34</v>
      </c>
      <c r="J18" s="3" t="s">
        <v>35</v>
      </c>
      <c r="K18" s="3"/>
      <c r="L18" s="3" t="s">
        <v>36</v>
      </c>
      <c r="M18" s="3" t="str">
        <f>CONCATENATE("02881660423")</f>
        <v>02881660423</v>
      </c>
      <c r="N18" s="3" t="s">
        <v>70</v>
      </c>
      <c r="O18" s="3" t="s">
        <v>38</v>
      </c>
      <c r="P18" s="3"/>
      <c r="Q18" s="4">
        <v>45956</v>
      </c>
      <c r="R18" s="3" t="s">
        <v>39</v>
      </c>
      <c r="S18" s="3" t="s">
        <v>40</v>
      </c>
      <c r="T18" s="3" t="s">
        <v>41</v>
      </c>
      <c r="U18" s="3"/>
      <c r="V18" s="3" t="s">
        <v>42</v>
      </c>
      <c r="W18" s="3">
        <v>560.77</v>
      </c>
      <c r="X18" s="3">
        <v>420.58</v>
      </c>
      <c r="Y18" s="3">
        <v>98.13</v>
      </c>
      <c r="Z18" s="3">
        <v>42.06</v>
      </c>
      <c r="AA18" s="3">
        <v>0</v>
      </c>
    </row>
    <row r="19" spans="1:27" ht="60.75" x14ac:dyDescent="0.25">
      <c r="A19" s="3" t="s">
        <v>28</v>
      </c>
      <c r="B19" s="3" t="s">
        <v>29</v>
      </c>
      <c r="C19" s="3" t="s">
        <v>30</v>
      </c>
      <c r="D19" s="3" t="s">
        <v>46</v>
      </c>
      <c r="E19" s="3" t="s">
        <v>43</v>
      </c>
      <c r="F19" s="3" t="s">
        <v>49</v>
      </c>
      <c r="G19" s="3">
        <v>2024</v>
      </c>
      <c r="H19" s="3" t="str">
        <f>CONCATENATE("44210529499")</f>
        <v>44210529499</v>
      </c>
      <c r="I19" s="3" t="s">
        <v>34</v>
      </c>
      <c r="J19" s="3" t="s">
        <v>35</v>
      </c>
      <c r="K19" s="3"/>
      <c r="L19" s="3" t="s">
        <v>36</v>
      </c>
      <c r="M19" s="3" t="str">
        <f>CONCATENATE("MCHSNT67C42Z120C")</f>
        <v>MCHSNT67C42Z120C</v>
      </c>
      <c r="N19" s="3" t="s">
        <v>71</v>
      </c>
      <c r="O19" s="3" t="s">
        <v>38</v>
      </c>
      <c r="P19" s="3"/>
      <c r="Q19" s="4">
        <v>45956</v>
      </c>
      <c r="R19" s="3" t="s">
        <v>39</v>
      </c>
      <c r="S19" s="3" t="s">
        <v>40</v>
      </c>
      <c r="T19" s="3" t="s">
        <v>41</v>
      </c>
      <c r="U19" s="3"/>
      <c r="V19" s="3" t="s">
        <v>42</v>
      </c>
      <c r="W19" s="3">
        <v>99.85</v>
      </c>
      <c r="X19" s="3">
        <v>74.89</v>
      </c>
      <c r="Y19" s="3">
        <v>17.47</v>
      </c>
      <c r="Z19" s="3">
        <v>7.49</v>
      </c>
      <c r="AA19" s="3">
        <v>0</v>
      </c>
    </row>
    <row r="20" spans="1:27" ht="72.75" x14ac:dyDescent="0.25">
      <c r="A20" s="3" t="s">
        <v>28</v>
      </c>
      <c r="B20" s="3" t="s">
        <v>29</v>
      </c>
      <c r="C20" s="3" t="s">
        <v>30</v>
      </c>
      <c r="D20" s="3" t="s">
        <v>46</v>
      </c>
      <c r="E20" s="3" t="s">
        <v>32</v>
      </c>
      <c r="F20" s="3" t="s">
        <v>47</v>
      </c>
      <c r="G20" s="3">
        <v>2024</v>
      </c>
      <c r="H20" s="3" t="str">
        <f>CONCATENATE("44210889281")</f>
        <v>44210889281</v>
      </c>
      <c r="I20" s="3" t="s">
        <v>34</v>
      </c>
      <c r="J20" s="3" t="s">
        <v>35</v>
      </c>
      <c r="K20" s="3"/>
      <c r="L20" s="3" t="s">
        <v>36</v>
      </c>
      <c r="M20" s="3" t="str">
        <f>CONCATENATE("LNZMSM75A22L500B")</f>
        <v>LNZMSM75A22L500B</v>
      </c>
      <c r="N20" s="3" t="s">
        <v>72</v>
      </c>
      <c r="O20" s="3" t="s">
        <v>38</v>
      </c>
      <c r="P20" s="3"/>
      <c r="Q20" s="4">
        <v>45956</v>
      </c>
      <c r="R20" s="3" t="s">
        <v>39</v>
      </c>
      <c r="S20" s="3" t="s">
        <v>40</v>
      </c>
      <c r="T20" s="3" t="s">
        <v>41</v>
      </c>
      <c r="U20" s="3"/>
      <c r="V20" s="3" t="s">
        <v>42</v>
      </c>
      <c r="W20" s="3">
        <v>48.05</v>
      </c>
      <c r="X20" s="3">
        <v>36.04</v>
      </c>
      <c r="Y20" s="3">
        <v>8.41</v>
      </c>
      <c r="Z20" s="3">
        <v>3.6</v>
      </c>
      <c r="AA20" s="3">
        <v>0</v>
      </c>
    </row>
    <row r="21" spans="1:27" ht="72.75" x14ac:dyDescent="0.25">
      <c r="A21" s="3" t="s">
        <v>28</v>
      </c>
      <c r="B21" s="3" t="s">
        <v>29</v>
      </c>
      <c r="C21" s="3" t="s">
        <v>30</v>
      </c>
      <c r="D21" s="3" t="s">
        <v>46</v>
      </c>
      <c r="E21" s="3" t="s">
        <v>73</v>
      </c>
      <c r="F21" s="3" t="s">
        <v>74</v>
      </c>
      <c r="G21" s="3">
        <v>2024</v>
      </c>
      <c r="H21" s="3" t="str">
        <f>CONCATENATE("44210641997")</f>
        <v>44210641997</v>
      </c>
      <c r="I21" s="3" t="s">
        <v>34</v>
      </c>
      <c r="J21" s="3" t="s">
        <v>35</v>
      </c>
      <c r="K21" s="3"/>
      <c r="L21" s="3" t="s">
        <v>36</v>
      </c>
      <c r="M21" s="3" t="str">
        <f>CONCATENATE("MGNRNZ56M20G479H")</f>
        <v>MGNRNZ56M20G479H</v>
      </c>
      <c r="N21" s="3" t="s">
        <v>75</v>
      </c>
      <c r="O21" s="3" t="s">
        <v>38</v>
      </c>
      <c r="P21" s="3"/>
      <c r="Q21" s="4">
        <v>45956</v>
      </c>
      <c r="R21" s="3" t="s">
        <v>39</v>
      </c>
      <c r="S21" s="3" t="s">
        <v>40</v>
      </c>
      <c r="T21" s="3" t="s">
        <v>41</v>
      </c>
      <c r="U21" s="3"/>
      <c r="V21" s="3" t="s">
        <v>42</v>
      </c>
      <c r="W21" s="3">
        <v>30.98</v>
      </c>
      <c r="X21" s="3">
        <v>23.24</v>
      </c>
      <c r="Y21" s="3">
        <v>5.42</v>
      </c>
      <c r="Z21" s="3">
        <v>2.3199999999999998</v>
      </c>
      <c r="AA21" s="3">
        <v>0</v>
      </c>
    </row>
    <row r="22" spans="1:27" ht="36.75" x14ac:dyDescent="0.25">
      <c r="A22" s="3" t="s">
        <v>28</v>
      </c>
      <c r="B22" s="3" t="s">
        <v>29</v>
      </c>
      <c r="C22" s="3" t="s">
        <v>30</v>
      </c>
      <c r="D22" s="3" t="s">
        <v>76</v>
      </c>
      <c r="E22" s="3" t="s">
        <v>77</v>
      </c>
      <c r="F22" s="3" t="s">
        <v>78</v>
      </c>
      <c r="G22" s="3">
        <v>2024</v>
      </c>
      <c r="H22" s="3" t="str">
        <f>CONCATENATE("44210597033")</f>
        <v>44210597033</v>
      </c>
      <c r="I22" s="3" t="s">
        <v>34</v>
      </c>
      <c r="J22" s="3" t="s">
        <v>35</v>
      </c>
      <c r="K22" s="3"/>
      <c r="L22" s="3" t="s">
        <v>36</v>
      </c>
      <c r="M22" s="3" t="str">
        <f>CONCATENATE("02070860438")</f>
        <v>02070860438</v>
      </c>
      <c r="N22" s="3" t="s">
        <v>79</v>
      </c>
      <c r="O22" s="3" t="s">
        <v>38</v>
      </c>
      <c r="P22" s="3"/>
      <c r="Q22" s="4">
        <v>45956</v>
      </c>
      <c r="R22" s="3" t="s">
        <v>39</v>
      </c>
      <c r="S22" s="3" t="s">
        <v>40</v>
      </c>
      <c r="T22" s="3" t="s">
        <v>41</v>
      </c>
      <c r="U22" s="3"/>
      <c r="V22" s="3" t="s">
        <v>42</v>
      </c>
      <c r="W22" s="3">
        <v>26.38</v>
      </c>
      <c r="X22" s="3">
        <v>19.79</v>
      </c>
      <c r="Y22" s="3">
        <v>4.62</v>
      </c>
      <c r="Z22" s="3">
        <v>1.97</v>
      </c>
      <c r="AA22" s="3">
        <v>0</v>
      </c>
    </row>
    <row r="23" spans="1:27" ht="60.75" x14ac:dyDescent="0.25">
      <c r="A23" s="3" t="s">
        <v>28</v>
      </c>
      <c r="B23" s="3" t="s">
        <v>29</v>
      </c>
      <c r="C23" s="3" t="s">
        <v>30</v>
      </c>
      <c r="D23" s="3" t="s">
        <v>46</v>
      </c>
      <c r="E23" s="3" t="s">
        <v>43</v>
      </c>
      <c r="F23" s="3" t="s">
        <v>80</v>
      </c>
      <c r="G23" s="3">
        <v>2024</v>
      </c>
      <c r="H23" s="3" t="str">
        <f>CONCATENATE("44210018998")</f>
        <v>44210018998</v>
      </c>
      <c r="I23" s="3" t="s">
        <v>34</v>
      </c>
      <c r="J23" s="3" t="s">
        <v>35</v>
      </c>
      <c r="K23" s="3"/>
      <c r="L23" s="3" t="s">
        <v>36</v>
      </c>
      <c r="M23" s="3" t="str">
        <f>CONCATENATE("MSCFNC53C27B026X")</f>
        <v>MSCFNC53C27B026X</v>
      </c>
      <c r="N23" s="3" t="s">
        <v>81</v>
      </c>
      <c r="O23" s="3" t="s">
        <v>38</v>
      </c>
      <c r="P23" s="3"/>
      <c r="Q23" s="4">
        <v>45956</v>
      </c>
      <c r="R23" s="3" t="s">
        <v>39</v>
      </c>
      <c r="S23" s="3" t="s">
        <v>40</v>
      </c>
      <c r="T23" s="3" t="s">
        <v>41</v>
      </c>
      <c r="U23" s="3"/>
      <c r="V23" s="3" t="s">
        <v>42</v>
      </c>
      <c r="W23" s="3">
        <v>65.42</v>
      </c>
      <c r="X23" s="3">
        <v>49.07</v>
      </c>
      <c r="Y23" s="3">
        <v>11.45</v>
      </c>
      <c r="Z23" s="3">
        <v>4.9000000000000004</v>
      </c>
      <c r="AA23" s="3">
        <v>0</v>
      </c>
    </row>
    <row r="24" spans="1:27" ht="72.75" x14ac:dyDescent="0.25">
      <c r="A24" s="3" t="s">
        <v>28</v>
      </c>
      <c r="B24" s="3" t="s">
        <v>29</v>
      </c>
      <c r="C24" s="3" t="s">
        <v>30</v>
      </c>
      <c r="D24" s="3" t="s">
        <v>46</v>
      </c>
      <c r="E24" s="3" t="s">
        <v>43</v>
      </c>
      <c r="F24" s="3" t="s">
        <v>82</v>
      </c>
      <c r="G24" s="3">
        <v>2024</v>
      </c>
      <c r="H24" s="3" t="str">
        <f>CONCATENATE("44210018394")</f>
        <v>44210018394</v>
      </c>
      <c r="I24" s="3" t="s">
        <v>34</v>
      </c>
      <c r="J24" s="3" t="s">
        <v>35</v>
      </c>
      <c r="K24" s="3"/>
      <c r="L24" s="3" t="s">
        <v>36</v>
      </c>
      <c r="M24" s="3" t="str">
        <f>CONCATENATE("RMNPCR63T02A013T")</f>
        <v>RMNPCR63T02A013T</v>
      </c>
      <c r="N24" s="3" t="s">
        <v>83</v>
      </c>
      <c r="O24" s="3" t="s">
        <v>38</v>
      </c>
      <c r="P24" s="3"/>
      <c r="Q24" s="4">
        <v>45956</v>
      </c>
      <c r="R24" s="3" t="s">
        <v>39</v>
      </c>
      <c r="S24" s="3" t="s">
        <v>40</v>
      </c>
      <c r="T24" s="3" t="s">
        <v>41</v>
      </c>
      <c r="U24" s="3"/>
      <c r="V24" s="3" t="s">
        <v>42</v>
      </c>
      <c r="W24" s="3">
        <v>73.349999999999994</v>
      </c>
      <c r="X24" s="3">
        <v>55.01</v>
      </c>
      <c r="Y24" s="3">
        <v>12.84</v>
      </c>
      <c r="Z24" s="3">
        <v>5.5</v>
      </c>
      <c r="AA24" s="3">
        <v>0</v>
      </c>
    </row>
    <row r="25" spans="1:27" ht="60.75" x14ac:dyDescent="0.25">
      <c r="A25" s="3" t="s">
        <v>28</v>
      </c>
      <c r="B25" s="3" t="s">
        <v>29</v>
      </c>
      <c r="C25" s="3" t="s">
        <v>30</v>
      </c>
      <c r="D25" s="3" t="s">
        <v>46</v>
      </c>
      <c r="E25" s="3" t="s">
        <v>43</v>
      </c>
      <c r="F25" s="3" t="s">
        <v>84</v>
      </c>
      <c r="G25" s="3">
        <v>2024</v>
      </c>
      <c r="H25" s="3" t="str">
        <f>CONCATENATE("44210054597")</f>
        <v>44210054597</v>
      </c>
      <c r="I25" s="3" t="s">
        <v>34</v>
      </c>
      <c r="J25" s="3" t="s">
        <v>35</v>
      </c>
      <c r="K25" s="3"/>
      <c r="L25" s="3" t="s">
        <v>36</v>
      </c>
      <c r="M25" s="3" t="str">
        <f>CONCATENATE("PNCGPP52T07B352F")</f>
        <v>PNCGPP52T07B352F</v>
      </c>
      <c r="N25" s="3" t="s">
        <v>85</v>
      </c>
      <c r="O25" s="3" t="s">
        <v>38</v>
      </c>
      <c r="P25" s="3"/>
      <c r="Q25" s="4">
        <v>45956</v>
      </c>
      <c r="R25" s="3" t="s">
        <v>39</v>
      </c>
      <c r="S25" s="3" t="s">
        <v>40</v>
      </c>
      <c r="T25" s="3" t="s">
        <v>41</v>
      </c>
      <c r="U25" s="3"/>
      <c r="V25" s="3" t="s">
        <v>42</v>
      </c>
      <c r="W25" s="3">
        <v>176.2</v>
      </c>
      <c r="X25" s="3">
        <v>132.15</v>
      </c>
      <c r="Y25" s="3">
        <v>30.84</v>
      </c>
      <c r="Z25" s="3">
        <v>13.21</v>
      </c>
      <c r="AA25" s="3">
        <v>0</v>
      </c>
    </row>
    <row r="26" spans="1:27" ht="60.75" x14ac:dyDescent="0.25">
      <c r="A26" s="3" t="s">
        <v>28</v>
      </c>
      <c r="B26" s="3" t="s">
        <v>29</v>
      </c>
      <c r="C26" s="3" t="s">
        <v>30</v>
      </c>
      <c r="D26" s="3" t="s">
        <v>46</v>
      </c>
      <c r="E26" s="3" t="s">
        <v>43</v>
      </c>
      <c r="F26" s="3" t="s">
        <v>86</v>
      </c>
      <c r="G26" s="3">
        <v>2024</v>
      </c>
      <c r="H26" s="3" t="str">
        <f>CONCATENATE("44210046528")</f>
        <v>44210046528</v>
      </c>
      <c r="I26" s="3" t="s">
        <v>34</v>
      </c>
      <c r="J26" s="3" t="s">
        <v>35</v>
      </c>
      <c r="K26" s="3"/>
      <c r="L26" s="3" t="s">
        <v>36</v>
      </c>
      <c r="M26" s="3" t="str">
        <f>CONCATENATE("MRTDNL86S18I459B")</f>
        <v>MRTDNL86S18I459B</v>
      </c>
      <c r="N26" s="3" t="s">
        <v>87</v>
      </c>
      <c r="O26" s="3" t="s">
        <v>38</v>
      </c>
      <c r="P26" s="3"/>
      <c r="Q26" s="4">
        <v>45956</v>
      </c>
      <c r="R26" s="3" t="s">
        <v>39</v>
      </c>
      <c r="S26" s="3" t="s">
        <v>40</v>
      </c>
      <c r="T26" s="3" t="s">
        <v>41</v>
      </c>
      <c r="U26" s="3"/>
      <c r="V26" s="3" t="s">
        <v>42</v>
      </c>
      <c r="W26" s="3">
        <v>58.74</v>
      </c>
      <c r="X26" s="3">
        <v>44.06</v>
      </c>
      <c r="Y26" s="3">
        <v>10.28</v>
      </c>
      <c r="Z26" s="3">
        <v>4.4000000000000004</v>
      </c>
      <c r="AA26" s="3">
        <v>0</v>
      </c>
    </row>
    <row r="27" spans="1:27" ht="72.75" x14ac:dyDescent="0.25">
      <c r="A27" s="3" t="s">
        <v>28</v>
      </c>
      <c r="B27" s="3" t="s">
        <v>29</v>
      </c>
      <c r="C27" s="3" t="s">
        <v>30</v>
      </c>
      <c r="D27" s="3" t="s">
        <v>60</v>
      </c>
      <c r="E27" s="3" t="s">
        <v>43</v>
      </c>
      <c r="F27" s="3" t="s">
        <v>88</v>
      </c>
      <c r="G27" s="3">
        <v>2024</v>
      </c>
      <c r="H27" s="3" t="str">
        <f>CONCATENATE("44210225320")</f>
        <v>44210225320</v>
      </c>
      <c r="I27" s="3" t="s">
        <v>34</v>
      </c>
      <c r="J27" s="3" t="s">
        <v>35</v>
      </c>
      <c r="K27" s="3"/>
      <c r="L27" s="3" t="s">
        <v>36</v>
      </c>
      <c r="M27" s="3" t="str">
        <f>CONCATENATE("MRCRCR99H13A271Q")</f>
        <v>MRCRCR99H13A271Q</v>
      </c>
      <c r="N27" s="3" t="s">
        <v>89</v>
      </c>
      <c r="O27" s="3" t="s">
        <v>38</v>
      </c>
      <c r="P27" s="3"/>
      <c r="Q27" s="4">
        <v>45956</v>
      </c>
      <c r="R27" s="3" t="s">
        <v>39</v>
      </c>
      <c r="S27" s="3" t="s">
        <v>40</v>
      </c>
      <c r="T27" s="3" t="s">
        <v>41</v>
      </c>
      <c r="U27" s="3"/>
      <c r="V27" s="3" t="s">
        <v>42</v>
      </c>
      <c r="W27" s="3">
        <v>329.61</v>
      </c>
      <c r="X27" s="3">
        <v>247.21</v>
      </c>
      <c r="Y27" s="3">
        <v>57.68</v>
      </c>
      <c r="Z27" s="3">
        <v>24.72</v>
      </c>
      <c r="AA27" s="3">
        <v>0</v>
      </c>
    </row>
    <row r="28" spans="1:27" ht="60.75" x14ac:dyDescent="0.25">
      <c r="A28" s="3" t="s">
        <v>28</v>
      </c>
      <c r="B28" s="3" t="s">
        <v>29</v>
      </c>
      <c r="C28" s="3" t="s">
        <v>30</v>
      </c>
      <c r="D28" s="3" t="s">
        <v>60</v>
      </c>
      <c r="E28" s="3" t="s">
        <v>43</v>
      </c>
      <c r="F28" s="3" t="s">
        <v>88</v>
      </c>
      <c r="G28" s="3">
        <v>2024</v>
      </c>
      <c r="H28" s="3" t="str">
        <f>CONCATENATE("44210099881")</f>
        <v>44210099881</v>
      </c>
      <c r="I28" s="3" t="s">
        <v>34</v>
      </c>
      <c r="J28" s="3" t="s">
        <v>35</v>
      </c>
      <c r="K28" s="3"/>
      <c r="L28" s="3" t="s">
        <v>36</v>
      </c>
      <c r="M28" s="3" t="str">
        <f>CONCATENATE("MRCFBA70M30F051R")</f>
        <v>MRCFBA70M30F051R</v>
      </c>
      <c r="N28" s="3" t="s">
        <v>90</v>
      </c>
      <c r="O28" s="3" t="s">
        <v>38</v>
      </c>
      <c r="P28" s="3"/>
      <c r="Q28" s="4">
        <v>45956</v>
      </c>
      <c r="R28" s="3" t="s">
        <v>39</v>
      </c>
      <c r="S28" s="3" t="s">
        <v>40</v>
      </c>
      <c r="T28" s="3" t="s">
        <v>41</v>
      </c>
      <c r="U28" s="3"/>
      <c r="V28" s="3" t="s">
        <v>42</v>
      </c>
      <c r="W28" s="3">
        <v>84.48</v>
      </c>
      <c r="X28" s="3">
        <v>63.36</v>
      </c>
      <c r="Y28" s="3">
        <v>14.78</v>
      </c>
      <c r="Z28" s="3">
        <v>6.34</v>
      </c>
      <c r="AA28" s="3">
        <v>0</v>
      </c>
    </row>
    <row r="29" spans="1:27" ht="60.75" x14ac:dyDescent="0.25">
      <c r="A29" s="3" t="s">
        <v>28</v>
      </c>
      <c r="B29" s="3" t="s">
        <v>29</v>
      </c>
      <c r="C29" s="3" t="s">
        <v>30</v>
      </c>
      <c r="D29" s="3" t="s">
        <v>60</v>
      </c>
      <c r="E29" s="3" t="s">
        <v>43</v>
      </c>
      <c r="F29" s="3" t="s">
        <v>88</v>
      </c>
      <c r="G29" s="3">
        <v>2024</v>
      </c>
      <c r="H29" s="3" t="str">
        <f>CONCATENATE("44210081509")</f>
        <v>44210081509</v>
      </c>
      <c r="I29" s="3" t="s">
        <v>34</v>
      </c>
      <c r="J29" s="3" t="s">
        <v>35</v>
      </c>
      <c r="K29" s="3"/>
      <c r="L29" s="3" t="s">
        <v>36</v>
      </c>
      <c r="M29" s="3" t="str">
        <f>CONCATENATE("RLAMCR50S10G637S")</f>
        <v>RLAMCR50S10G637S</v>
      </c>
      <c r="N29" s="3" t="s">
        <v>91</v>
      </c>
      <c r="O29" s="3" t="s">
        <v>38</v>
      </c>
      <c r="P29" s="3"/>
      <c r="Q29" s="4">
        <v>45956</v>
      </c>
      <c r="R29" s="3" t="s">
        <v>39</v>
      </c>
      <c r="S29" s="3" t="s">
        <v>40</v>
      </c>
      <c r="T29" s="3" t="s">
        <v>41</v>
      </c>
      <c r="U29" s="3"/>
      <c r="V29" s="3" t="s">
        <v>42</v>
      </c>
      <c r="W29" s="3">
        <v>12.28</v>
      </c>
      <c r="X29" s="3">
        <v>9.2100000000000009</v>
      </c>
      <c r="Y29" s="3">
        <v>2.15</v>
      </c>
      <c r="Z29" s="3">
        <v>0.92</v>
      </c>
      <c r="AA29" s="3">
        <v>0</v>
      </c>
    </row>
    <row r="30" spans="1:27" ht="60.75" x14ac:dyDescent="0.25">
      <c r="A30" s="3" t="s">
        <v>28</v>
      </c>
      <c r="B30" s="3" t="s">
        <v>29</v>
      </c>
      <c r="C30" s="3" t="s">
        <v>30</v>
      </c>
      <c r="D30" s="3" t="s">
        <v>31</v>
      </c>
      <c r="E30" s="3" t="s">
        <v>77</v>
      </c>
      <c r="F30" s="3" t="s">
        <v>92</v>
      </c>
      <c r="G30" s="3">
        <v>2024</v>
      </c>
      <c r="H30" s="3" t="str">
        <f>CONCATENATE("44210087555")</f>
        <v>44210087555</v>
      </c>
      <c r="I30" s="3" t="s">
        <v>34</v>
      </c>
      <c r="J30" s="3" t="s">
        <v>35</v>
      </c>
      <c r="K30" s="3"/>
      <c r="L30" s="3" t="s">
        <v>36</v>
      </c>
      <c r="M30" s="3" t="str">
        <f>CONCATENATE("CMRMTR65S54D211T")</f>
        <v>CMRMTR65S54D211T</v>
      </c>
      <c r="N30" s="3" t="s">
        <v>93</v>
      </c>
      <c r="O30" s="3" t="s">
        <v>38</v>
      </c>
      <c r="P30" s="3"/>
      <c r="Q30" s="4">
        <v>45956</v>
      </c>
      <c r="R30" s="3" t="s">
        <v>39</v>
      </c>
      <c r="S30" s="3" t="s">
        <v>40</v>
      </c>
      <c r="T30" s="3" t="s">
        <v>41</v>
      </c>
      <c r="U30" s="3"/>
      <c r="V30" s="3" t="s">
        <v>42</v>
      </c>
      <c r="W30" s="3">
        <v>34.799999999999997</v>
      </c>
      <c r="X30" s="3">
        <v>26.1</v>
      </c>
      <c r="Y30" s="3">
        <v>6.09</v>
      </c>
      <c r="Z30" s="3">
        <v>2.61</v>
      </c>
      <c r="AA30" s="3">
        <v>0</v>
      </c>
    </row>
    <row r="31" spans="1:27" ht="60.75" x14ac:dyDescent="0.25">
      <c r="A31" s="3" t="s">
        <v>28</v>
      </c>
      <c r="B31" s="3" t="s">
        <v>29</v>
      </c>
      <c r="C31" s="3" t="s">
        <v>30</v>
      </c>
      <c r="D31" s="3" t="s">
        <v>76</v>
      </c>
      <c r="E31" s="3" t="s">
        <v>57</v>
      </c>
      <c r="F31" s="3" t="s">
        <v>94</v>
      </c>
      <c r="G31" s="3">
        <v>2024</v>
      </c>
      <c r="H31" s="3" t="str">
        <f>CONCATENATE("44210146179")</f>
        <v>44210146179</v>
      </c>
      <c r="I31" s="3" t="s">
        <v>34</v>
      </c>
      <c r="J31" s="3" t="s">
        <v>35</v>
      </c>
      <c r="K31" s="3"/>
      <c r="L31" s="3" t="s">
        <v>36</v>
      </c>
      <c r="M31" s="3" t="str">
        <f>CONCATENATE("TRNRTI40S64A252L")</f>
        <v>TRNRTI40S64A252L</v>
      </c>
      <c r="N31" s="3" t="s">
        <v>95</v>
      </c>
      <c r="O31" s="3" t="s">
        <v>38</v>
      </c>
      <c r="P31" s="3"/>
      <c r="Q31" s="4">
        <v>45956</v>
      </c>
      <c r="R31" s="3" t="s">
        <v>39</v>
      </c>
      <c r="S31" s="3" t="s">
        <v>40</v>
      </c>
      <c r="T31" s="3" t="s">
        <v>41</v>
      </c>
      <c r="U31" s="3"/>
      <c r="V31" s="3" t="s">
        <v>42</v>
      </c>
      <c r="W31" s="3">
        <v>27.43</v>
      </c>
      <c r="X31" s="3">
        <v>20.57</v>
      </c>
      <c r="Y31" s="3">
        <v>4.8</v>
      </c>
      <c r="Z31" s="3">
        <v>2.06</v>
      </c>
      <c r="AA31" s="3">
        <v>0</v>
      </c>
    </row>
    <row r="32" spans="1:27" ht="60.75" x14ac:dyDescent="0.25">
      <c r="A32" s="3" t="s">
        <v>28</v>
      </c>
      <c r="B32" s="3" t="s">
        <v>29</v>
      </c>
      <c r="C32" s="3" t="s">
        <v>30</v>
      </c>
      <c r="D32" s="3" t="s">
        <v>46</v>
      </c>
      <c r="E32" s="3" t="s">
        <v>32</v>
      </c>
      <c r="F32" s="3" t="s">
        <v>47</v>
      </c>
      <c r="G32" s="3">
        <v>2024</v>
      </c>
      <c r="H32" s="3" t="str">
        <f>CONCATENATE("44210258263")</f>
        <v>44210258263</v>
      </c>
      <c r="I32" s="3" t="s">
        <v>34</v>
      </c>
      <c r="J32" s="3" t="s">
        <v>35</v>
      </c>
      <c r="K32" s="3"/>
      <c r="L32" s="3" t="s">
        <v>36</v>
      </c>
      <c r="M32" s="3" t="str">
        <f>CONCATENATE("BLTCRN56L66D587D")</f>
        <v>BLTCRN56L66D587D</v>
      </c>
      <c r="N32" s="3" t="s">
        <v>96</v>
      </c>
      <c r="O32" s="3" t="s">
        <v>38</v>
      </c>
      <c r="P32" s="3"/>
      <c r="Q32" s="4">
        <v>45956</v>
      </c>
      <c r="R32" s="3" t="s">
        <v>39</v>
      </c>
      <c r="S32" s="3" t="s">
        <v>40</v>
      </c>
      <c r="T32" s="3" t="s">
        <v>41</v>
      </c>
      <c r="U32" s="3"/>
      <c r="V32" s="3" t="s">
        <v>42</v>
      </c>
      <c r="W32" s="3">
        <v>28.5</v>
      </c>
      <c r="X32" s="3">
        <v>21.38</v>
      </c>
      <c r="Y32" s="3">
        <v>4.99</v>
      </c>
      <c r="Z32" s="3">
        <v>2.13</v>
      </c>
      <c r="AA32" s="3">
        <v>0</v>
      </c>
    </row>
    <row r="33" spans="1:27" ht="60.75" x14ac:dyDescent="0.25">
      <c r="A33" s="3" t="s">
        <v>28</v>
      </c>
      <c r="B33" s="3" t="s">
        <v>29</v>
      </c>
      <c r="C33" s="3" t="s">
        <v>30</v>
      </c>
      <c r="D33" s="3" t="s">
        <v>46</v>
      </c>
      <c r="E33" s="3" t="s">
        <v>32</v>
      </c>
      <c r="F33" s="3" t="s">
        <v>97</v>
      </c>
      <c r="G33" s="3">
        <v>2024</v>
      </c>
      <c r="H33" s="3" t="str">
        <f>CONCATENATE("44210161624")</f>
        <v>44210161624</v>
      </c>
      <c r="I33" s="3" t="s">
        <v>34</v>
      </c>
      <c r="J33" s="3" t="s">
        <v>35</v>
      </c>
      <c r="K33" s="3"/>
      <c r="L33" s="3" t="s">
        <v>36</v>
      </c>
      <c r="M33" s="3" t="str">
        <f>CONCATENATE("RSSLCU73L19E785G")</f>
        <v>RSSLCU73L19E785G</v>
      </c>
      <c r="N33" s="3" t="s">
        <v>98</v>
      </c>
      <c r="O33" s="3" t="s">
        <v>38</v>
      </c>
      <c r="P33" s="3"/>
      <c r="Q33" s="4">
        <v>45956</v>
      </c>
      <c r="R33" s="3" t="s">
        <v>39</v>
      </c>
      <c r="S33" s="3" t="s">
        <v>40</v>
      </c>
      <c r="T33" s="3" t="s">
        <v>41</v>
      </c>
      <c r="U33" s="3"/>
      <c r="V33" s="3" t="s">
        <v>42</v>
      </c>
      <c r="W33" s="3">
        <v>46.05</v>
      </c>
      <c r="X33" s="3">
        <v>34.54</v>
      </c>
      <c r="Y33" s="3">
        <v>8.06</v>
      </c>
      <c r="Z33" s="3">
        <v>3.45</v>
      </c>
      <c r="AA33" s="3">
        <v>0</v>
      </c>
    </row>
    <row r="34" spans="1:27" ht="72.75" x14ac:dyDescent="0.25">
      <c r="A34" s="3" t="s">
        <v>28</v>
      </c>
      <c r="B34" s="3" t="s">
        <v>29</v>
      </c>
      <c r="C34" s="3" t="s">
        <v>30</v>
      </c>
      <c r="D34" s="3" t="s">
        <v>60</v>
      </c>
      <c r="E34" s="3" t="s">
        <v>43</v>
      </c>
      <c r="F34" s="3" t="s">
        <v>61</v>
      </c>
      <c r="G34" s="3">
        <v>2024</v>
      </c>
      <c r="H34" s="3" t="str">
        <f>CONCATENATE("44210163521")</f>
        <v>44210163521</v>
      </c>
      <c r="I34" s="3" t="s">
        <v>34</v>
      </c>
      <c r="J34" s="3" t="s">
        <v>35</v>
      </c>
      <c r="K34" s="3"/>
      <c r="L34" s="3" t="s">
        <v>36</v>
      </c>
      <c r="M34" s="3" t="str">
        <f>CONCATENATE("PNZSVR75M01B474U")</f>
        <v>PNZSVR75M01B474U</v>
      </c>
      <c r="N34" s="3" t="s">
        <v>99</v>
      </c>
      <c r="O34" s="3" t="s">
        <v>38</v>
      </c>
      <c r="P34" s="3"/>
      <c r="Q34" s="4">
        <v>45956</v>
      </c>
      <c r="R34" s="3" t="s">
        <v>39</v>
      </c>
      <c r="S34" s="3" t="s">
        <v>40</v>
      </c>
      <c r="T34" s="3" t="s">
        <v>41</v>
      </c>
      <c r="U34" s="3"/>
      <c r="V34" s="3" t="s">
        <v>42</v>
      </c>
      <c r="W34" s="3">
        <v>38.4</v>
      </c>
      <c r="X34" s="3">
        <v>28.8</v>
      </c>
      <c r="Y34" s="3">
        <v>6.72</v>
      </c>
      <c r="Z34" s="3">
        <v>2.88</v>
      </c>
      <c r="AA34" s="3">
        <v>0</v>
      </c>
    </row>
    <row r="35" spans="1:27" ht="72.75" x14ac:dyDescent="0.25">
      <c r="A35" s="3" t="s">
        <v>28</v>
      </c>
      <c r="B35" s="3" t="s">
        <v>29</v>
      </c>
      <c r="C35" s="3" t="s">
        <v>30</v>
      </c>
      <c r="D35" s="3" t="s">
        <v>31</v>
      </c>
      <c r="E35" s="3" t="s">
        <v>43</v>
      </c>
      <c r="F35" s="3" t="s">
        <v>100</v>
      </c>
      <c r="G35" s="3">
        <v>2024</v>
      </c>
      <c r="H35" s="3" t="str">
        <f>CONCATENATE("44210170047")</f>
        <v>44210170047</v>
      </c>
      <c r="I35" s="3" t="s">
        <v>34</v>
      </c>
      <c r="J35" s="3" t="s">
        <v>35</v>
      </c>
      <c r="K35" s="3"/>
      <c r="L35" s="3" t="s">
        <v>36</v>
      </c>
      <c r="M35" s="3" t="str">
        <f>CONCATENATE("BRNMRC91H10D451N")</f>
        <v>BRNMRC91H10D451N</v>
      </c>
      <c r="N35" s="3" t="s">
        <v>101</v>
      </c>
      <c r="O35" s="3" t="s">
        <v>38</v>
      </c>
      <c r="P35" s="3"/>
      <c r="Q35" s="4">
        <v>45956</v>
      </c>
      <c r="R35" s="3" t="s">
        <v>39</v>
      </c>
      <c r="S35" s="3" t="s">
        <v>40</v>
      </c>
      <c r="T35" s="3" t="s">
        <v>41</v>
      </c>
      <c r="U35" s="3"/>
      <c r="V35" s="3" t="s">
        <v>42</v>
      </c>
      <c r="W35" s="3">
        <v>55.7</v>
      </c>
      <c r="X35" s="3">
        <v>41.78</v>
      </c>
      <c r="Y35" s="3">
        <v>9.75</v>
      </c>
      <c r="Z35" s="3">
        <v>4.17</v>
      </c>
      <c r="AA35" s="3">
        <v>0</v>
      </c>
    </row>
    <row r="36" spans="1:27" ht="60.75" x14ac:dyDescent="0.25">
      <c r="A36" s="3" t="s">
        <v>28</v>
      </c>
      <c r="B36" s="3" t="s">
        <v>29</v>
      </c>
      <c r="C36" s="3" t="s">
        <v>30</v>
      </c>
      <c r="D36" s="3" t="s">
        <v>46</v>
      </c>
      <c r="E36" s="3" t="s">
        <v>43</v>
      </c>
      <c r="F36" s="3" t="s">
        <v>84</v>
      </c>
      <c r="G36" s="3">
        <v>2024</v>
      </c>
      <c r="H36" s="3" t="str">
        <f>CONCATENATE("44210157218")</f>
        <v>44210157218</v>
      </c>
      <c r="I36" s="3" t="s">
        <v>34</v>
      </c>
      <c r="J36" s="3" t="s">
        <v>35</v>
      </c>
      <c r="K36" s="3"/>
      <c r="L36" s="3" t="s">
        <v>36</v>
      </c>
      <c r="M36" s="3" t="str">
        <f>CONCATENATE("CVRLCU33S66D809A")</f>
        <v>CVRLCU33S66D809A</v>
      </c>
      <c r="N36" s="3" t="s">
        <v>102</v>
      </c>
      <c r="O36" s="3" t="s">
        <v>38</v>
      </c>
      <c r="P36" s="3"/>
      <c r="Q36" s="4">
        <v>45956</v>
      </c>
      <c r="R36" s="3" t="s">
        <v>39</v>
      </c>
      <c r="S36" s="3" t="s">
        <v>40</v>
      </c>
      <c r="T36" s="3" t="s">
        <v>41</v>
      </c>
      <c r="U36" s="3"/>
      <c r="V36" s="3" t="s">
        <v>42</v>
      </c>
      <c r="W36" s="3">
        <v>19.079999999999998</v>
      </c>
      <c r="X36" s="3">
        <v>14.31</v>
      </c>
      <c r="Y36" s="3">
        <v>3.34</v>
      </c>
      <c r="Z36" s="3">
        <v>1.43</v>
      </c>
      <c r="AA36" s="3">
        <v>0</v>
      </c>
    </row>
    <row r="37" spans="1:27" ht="36.75" x14ac:dyDescent="0.25">
      <c r="A37" s="3" t="s">
        <v>28</v>
      </c>
      <c r="B37" s="3" t="s">
        <v>29</v>
      </c>
      <c r="C37" s="3" t="s">
        <v>30</v>
      </c>
      <c r="D37" s="3" t="s">
        <v>76</v>
      </c>
      <c r="E37" s="3" t="s">
        <v>32</v>
      </c>
      <c r="F37" s="3" t="s">
        <v>103</v>
      </c>
      <c r="G37" s="3">
        <v>2024</v>
      </c>
      <c r="H37" s="3" t="str">
        <f>CONCATENATE("44210384556")</f>
        <v>44210384556</v>
      </c>
      <c r="I37" s="3" t="s">
        <v>34</v>
      </c>
      <c r="J37" s="3" t="s">
        <v>35</v>
      </c>
      <c r="K37" s="3"/>
      <c r="L37" s="3" t="s">
        <v>36</v>
      </c>
      <c r="M37" s="3" t="str">
        <f>CONCATENATE("02164470441")</f>
        <v>02164470441</v>
      </c>
      <c r="N37" s="3" t="s">
        <v>104</v>
      </c>
      <c r="O37" s="3" t="s">
        <v>38</v>
      </c>
      <c r="P37" s="3"/>
      <c r="Q37" s="4">
        <v>45956</v>
      </c>
      <c r="R37" s="3" t="s">
        <v>39</v>
      </c>
      <c r="S37" s="3" t="s">
        <v>40</v>
      </c>
      <c r="T37" s="3" t="s">
        <v>41</v>
      </c>
      <c r="U37" s="3"/>
      <c r="V37" s="3" t="s">
        <v>42</v>
      </c>
      <c r="W37" s="3">
        <v>69.78</v>
      </c>
      <c r="X37" s="3">
        <v>52.34</v>
      </c>
      <c r="Y37" s="3">
        <v>12.21</v>
      </c>
      <c r="Z37" s="3">
        <v>5.23</v>
      </c>
      <c r="AA37" s="3">
        <v>0</v>
      </c>
    </row>
    <row r="38" spans="1:27" ht="36.75" x14ac:dyDescent="0.25">
      <c r="A38" s="3" t="s">
        <v>28</v>
      </c>
      <c r="B38" s="3" t="s">
        <v>29</v>
      </c>
      <c r="C38" s="3" t="s">
        <v>30</v>
      </c>
      <c r="D38" s="3" t="s">
        <v>31</v>
      </c>
      <c r="E38" s="3" t="s">
        <v>57</v>
      </c>
      <c r="F38" s="3" t="s">
        <v>105</v>
      </c>
      <c r="G38" s="3">
        <v>2024</v>
      </c>
      <c r="H38" s="3" t="str">
        <f>CONCATENATE("44210295752")</f>
        <v>44210295752</v>
      </c>
      <c r="I38" s="3" t="s">
        <v>34</v>
      </c>
      <c r="J38" s="3" t="s">
        <v>35</v>
      </c>
      <c r="K38" s="3"/>
      <c r="L38" s="3" t="s">
        <v>36</v>
      </c>
      <c r="M38" s="3" t="str">
        <f>CONCATENATE("01580170429")</f>
        <v>01580170429</v>
      </c>
      <c r="N38" s="3" t="s">
        <v>106</v>
      </c>
      <c r="O38" s="3" t="s">
        <v>38</v>
      </c>
      <c r="P38" s="3"/>
      <c r="Q38" s="4">
        <v>45956</v>
      </c>
      <c r="R38" s="3" t="s">
        <v>39</v>
      </c>
      <c r="S38" s="3" t="s">
        <v>40</v>
      </c>
      <c r="T38" s="3" t="s">
        <v>41</v>
      </c>
      <c r="U38" s="3"/>
      <c r="V38" s="3" t="s">
        <v>42</v>
      </c>
      <c r="W38" s="3">
        <v>117.5</v>
      </c>
      <c r="X38" s="3">
        <v>88.13</v>
      </c>
      <c r="Y38" s="3">
        <v>20.56</v>
      </c>
      <c r="Z38" s="3">
        <v>8.81</v>
      </c>
      <c r="AA38" s="3">
        <v>0</v>
      </c>
    </row>
    <row r="39" spans="1:27" ht="60.75" x14ac:dyDescent="0.25">
      <c r="A39" s="3" t="s">
        <v>28</v>
      </c>
      <c r="B39" s="3" t="s">
        <v>29</v>
      </c>
      <c r="C39" s="3" t="s">
        <v>30</v>
      </c>
      <c r="D39" s="3" t="s">
        <v>60</v>
      </c>
      <c r="E39" s="3" t="s">
        <v>43</v>
      </c>
      <c r="F39" s="3" t="s">
        <v>88</v>
      </c>
      <c r="G39" s="3">
        <v>2024</v>
      </c>
      <c r="H39" s="3" t="str">
        <f>CONCATENATE("44210359087")</f>
        <v>44210359087</v>
      </c>
      <c r="I39" s="3" t="s">
        <v>34</v>
      </c>
      <c r="J39" s="3" t="s">
        <v>35</v>
      </c>
      <c r="K39" s="3"/>
      <c r="L39" s="3" t="s">
        <v>36</v>
      </c>
      <c r="M39" s="3" t="str">
        <f>CONCATENATE("MCCMRC92C06D653Q")</f>
        <v>MCCMRC92C06D653Q</v>
      </c>
      <c r="N39" s="3" t="s">
        <v>107</v>
      </c>
      <c r="O39" s="3" t="s">
        <v>38</v>
      </c>
      <c r="P39" s="3"/>
      <c r="Q39" s="4">
        <v>45956</v>
      </c>
      <c r="R39" s="3" t="s">
        <v>39</v>
      </c>
      <c r="S39" s="3" t="s">
        <v>40</v>
      </c>
      <c r="T39" s="3" t="s">
        <v>41</v>
      </c>
      <c r="U39" s="3"/>
      <c r="V39" s="3" t="s">
        <v>42</v>
      </c>
      <c r="W39" s="3">
        <v>196.45</v>
      </c>
      <c r="X39" s="3">
        <v>147.34</v>
      </c>
      <c r="Y39" s="3">
        <v>34.380000000000003</v>
      </c>
      <c r="Z39" s="3">
        <v>14.73</v>
      </c>
      <c r="AA39" s="3">
        <v>0</v>
      </c>
    </row>
    <row r="40" spans="1:27" ht="60.75" x14ac:dyDescent="0.25">
      <c r="A40" s="3" t="s">
        <v>28</v>
      </c>
      <c r="B40" s="3" t="s">
        <v>29</v>
      </c>
      <c r="C40" s="3" t="s">
        <v>30</v>
      </c>
      <c r="D40" s="3" t="s">
        <v>46</v>
      </c>
      <c r="E40" s="3" t="s">
        <v>32</v>
      </c>
      <c r="F40" s="3" t="s">
        <v>47</v>
      </c>
      <c r="G40" s="3">
        <v>2024</v>
      </c>
      <c r="H40" s="3" t="str">
        <f>CONCATENATE("44210474381")</f>
        <v>44210474381</v>
      </c>
      <c r="I40" s="3" t="s">
        <v>34</v>
      </c>
      <c r="J40" s="3" t="s">
        <v>35</v>
      </c>
      <c r="K40" s="3"/>
      <c r="L40" s="3" t="s">
        <v>36</v>
      </c>
      <c r="M40" s="3" t="str">
        <f>CONCATENATE("SPRSFN80H07L500B")</f>
        <v>SPRSFN80H07L500B</v>
      </c>
      <c r="N40" s="3" t="s">
        <v>108</v>
      </c>
      <c r="O40" s="3" t="s">
        <v>38</v>
      </c>
      <c r="P40" s="3"/>
      <c r="Q40" s="4">
        <v>45956</v>
      </c>
      <c r="R40" s="3" t="s">
        <v>39</v>
      </c>
      <c r="S40" s="3" t="s">
        <v>40</v>
      </c>
      <c r="T40" s="3" t="s">
        <v>41</v>
      </c>
      <c r="U40" s="3"/>
      <c r="V40" s="3" t="s">
        <v>42</v>
      </c>
      <c r="W40" s="3">
        <v>221.68</v>
      </c>
      <c r="X40" s="3">
        <v>166.26</v>
      </c>
      <c r="Y40" s="3">
        <v>38.79</v>
      </c>
      <c r="Z40" s="3">
        <v>16.63</v>
      </c>
      <c r="AA40" s="3">
        <v>0</v>
      </c>
    </row>
    <row r="41" spans="1:27" ht="60.75" x14ac:dyDescent="0.25">
      <c r="A41" s="3" t="s">
        <v>28</v>
      </c>
      <c r="B41" s="3" t="s">
        <v>29</v>
      </c>
      <c r="C41" s="3" t="s">
        <v>30</v>
      </c>
      <c r="D41" s="3" t="s">
        <v>46</v>
      </c>
      <c r="E41" s="3" t="s">
        <v>32</v>
      </c>
      <c r="F41" s="3" t="s">
        <v>47</v>
      </c>
      <c r="G41" s="3">
        <v>2024</v>
      </c>
      <c r="H41" s="3" t="str">
        <f>CONCATENATE("44210567846")</f>
        <v>44210567846</v>
      </c>
      <c r="I41" s="3" t="s">
        <v>34</v>
      </c>
      <c r="J41" s="3" t="s">
        <v>35</v>
      </c>
      <c r="K41" s="3"/>
      <c r="L41" s="3" t="s">
        <v>36</v>
      </c>
      <c r="M41" s="3" t="str">
        <f>CONCATENATE("FCRDNC51H14L500K")</f>
        <v>FCRDNC51H14L500K</v>
      </c>
      <c r="N41" s="3" t="s">
        <v>109</v>
      </c>
      <c r="O41" s="3" t="s">
        <v>38</v>
      </c>
      <c r="P41" s="3"/>
      <c r="Q41" s="4">
        <v>45956</v>
      </c>
      <c r="R41" s="3" t="s">
        <v>39</v>
      </c>
      <c r="S41" s="3" t="s">
        <v>40</v>
      </c>
      <c r="T41" s="3" t="s">
        <v>41</v>
      </c>
      <c r="U41" s="3"/>
      <c r="V41" s="3" t="s">
        <v>42</v>
      </c>
      <c r="W41" s="3">
        <v>42.27</v>
      </c>
      <c r="X41" s="3">
        <v>31.7</v>
      </c>
      <c r="Y41" s="3">
        <v>7.4</v>
      </c>
      <c r="Z41" s="3">
        <v>3.17</v>
      </c>
      <c r="AA41" s="3">
        <v>0</v>
      </c>
    </row>
    <row r="42" spans="1:27" ht="36.75" x14ac:dyDescent="0.25">
      <c r="A42" s="3" t="s">
        <v>28</v>
      </c>
      <c r="B42" s="3" t="s">
        <v>29</v>
      </c>
      <c r="C42" s="3" t="s">
        <v>30</v>
      </c>
      <c r="D42" s="3" t="s">
        <v>31</v>
      </c>
      <c r="E42" s="3" t="s">
        <v>43</v>
      </c>
      <c r="F42" s="3" t="s">
        <v>44</v>
      </c>
      <c r="G42" s="3">
        <v>2024</v>
      </c>
      <c r="H42" s="3" t="str">
        <f>CONCATENATE("44210411995")</f>
        <v>44210411995</v>
      </c>
      <c r="I42" s="3" t="s">
        <v>110</v>
      </c>
      <c r="J42" s="3" t="s">
        <v>35</v>
      </c>
      <c r="K42" s="3"/>
      <c r="L42" s="3" t="s">
        <v>36</v>
      </c>
      <c r="M42" s="3" t="str">
        <f>CONCATENATE("02795480421")</f>
        <v>02795480421</v>
      </c>
      <c r="N42" s="3" t="s">
        <v>111</v>
      </c>
      <c r="O42" s="3" t="s">
        <v>38</v>
      </c>
      <c r="P42" s="3"/>
      <c r="Q42" s="4">
        <v>45956</v>
      </c>
      <c r="R42" s="3" t="s">
        <v>39</v>
      </c>
      <c r="S42" s="3" t="s">
        <v>40</v>
      </c>
      <c r="T42" s="3" t="s">
        <v>41</v>
      </c>
      <c r="U42" s="3"/>
      <c r="V42" s="3" t="s">
        <v>42</v>
      </c>
      <c r="W42" s="3">
        <v>489</v>
      </c>
      <c r="X42" s="3">
        <v>366.75</v>
      </c>
      <c r="Y42" s="3">
        <v>85.58</v>
      </c>
      <c r="Z42" s="3">
        <v>36.67</v>
      </c>
      <c r="AA42" s="3">
        <v>0</v>
      </c>
    </row>
    <row r="43" spans="1:27" ht="60.75" x14ac:dyDescent="0.25">
      <c r="A43" s="3" t="s">
        <v>28</v>
      </c>
      <c r="B43" s="3" t="s">
        <v>29</v>
      </c>
      <c r="C43" s="3" t="s">
        <v>30</v>
      </c>
      <c r="D43" s="3" t="s">
        <v>46</v>
      </c>
      <c r="E43" s="3" t="s">
        <v>57</v>
      </c>
      <c r="F43" s="3" t="s">
        <v>58</v>
      </c>
      <c r="G43" s="3">
        <v>2024</v>
      </c>
      <c r="H43" s="3" t="str">
        <f>CONCATENATE("44210627905")</f>
        <v>44210627905</v>
      </c>
      <c r="I43" s="3" t="s">
        <v>34</v>
      </c>
      <c r="J43" s="3" t="s">
        <v>35</v>
      </c>
      <c r="K43" s="3"/>
      <c r="L43" s="3" t="s">
        <v>36</v>
      </c>
      <c r="M43" s="3" t="str">
        <f>CONCATENATE("PLNGLI01E21L500M")</f>
        <v>PLNGLI01E21L500M</v>
      </c>
      <c r="N43" s="3" t="s">
        <v>112</v>
      </c>
      <c r="O43" s="3" t="s">
        <v>38</v>
      </c>
      <c r="P43" s="3"/>
      <c r="Q43" s="4">
        <v>45956</v>
      </c>
      <c r="R43" s="3" t="s">
        <v>39</v>
      </c>
      <c r="S43" s="3" t="s">
        <v>40</v>
      </c>
      <c r="T43" s="3" t="s">
        <v>41</v>
      </c>
      <c r="U43" s="3"/>
      <c r="V43" s="3" t="s">
        <v>42</v>
      </c>
      <c r="W43" s="3">
        <v>124.81</v>
      </c>
      <c r="X43" s="3">
        <v>93.61</v>
      </c>
      <c r="Y43" s="3">
        <v>21.84</v>
      </c>
      <c r="Z43" s="3">
        <v>9.36</v>
      </c>
      <c r="AA43" s="3">
        <v>0</v>
      </c>
    </row>
    <row r="44" spans="1:27" ht="60.75" x14ac:dyDescent="0.25">
      <c r="A44" s="3" t="s">
        <v>28</v>
      </c>
      <c r="B44" s="3" t="s">
        <v>29</v>
      </c>
      <c r="C44" s="3" t="s">
        <v>30</v>
      </c>
      <c r="D44" s="3" t="s">
        <v>46</v>
      </c>
      <c r="E44" s="3" t="s">
        <v>32</v>
      </c>
      <c r="F44" s="3" t="s">
        <v>113</v>
      </c>
      <c r="G44" s="3">
        <v>2024</v>
      </c>
      <c r="H44" s="3" t="str">
        <f>CONCATENATE("44210544464")</f>
        <v>44210544464</v>
      </c>
      <c r="I44" s="3" t="s">
        <v>34</v>
      </c>
      <c r="J44" s="3" t="s">
        <v>35</v>
      </c>
      <c r="K44" s="3"/>
      <c r="L44" s="3" t="s">
        <v>36</v>
      </c>
      <c r="M44" s="3" t="str">
        <f>CONCATENATE("GLSLEO39P26D749X")</f>
        <v>GLSLEO39P26D749X</v>
      </c>
      <c r="N44" s="3" t="s">
        <v>114</v>
      </c>
      <c r="O44" s="3" t="s">
        <v>38</v>
      </c>
      <c r="P44" s="3"/>
      <c r="Q44" s="4">
        <v>45956</v>
      </c>
      <c r="R44" s="3" t="s">
        <v>39</v>
      </c>
      <c r="S44" s="3" t="s">
        <v>40</v>
      </c>
      <c r="T44" s="3" t="s">
        <v>41</v>
      </c>
      <c r="U44" s="3"/>
      <c r="V44" s="3" t="s">
        <v>42</v>
      </c>
      <c r="W44" s="3">
        <v>28.22</v>
      </c>
      <c r="X44" s="3">
        <v>21.17</v>
      </c>
      <c r="Y44" s="3">
        <v>4.9400000000000004</v>
      </c>
      <c r="Z44" s="3">
        <v>2.11</v>
      </c>
      <c r="AA44" s="3">
        <v>0</v>
      </c>
    </row>
    <row r="45" spans="1:27" ht="60.75" x14ac:dyDescent="0.25">
      <c r="A45" s="3" t="s">
        <v>28</v>
      </c>
      <c r="B45" s="3" t="s">
        <v>29</v>
      </c>
      <c r="C45" s="3" t="s">
        <v>30</v>
      </c>
      <c r="D45" s="3" t="s">
        <v>76</v>
      </c>
      <c r="E45" s="3" t="s">
        <v>77</v>
      </c>
      <c r="F45" s="3" t="s">
        <v>78</v>
      </c>
      <c r="G45" s="3">
        <v>2024</v>
      </c>
      <c r="H45" s="3" t="str">
        <f>CONCATENATE("44210619068")</f>
        <v>44210619068</v>
      </c>
      <c r="I45" s="3" t="s">
        <v>34</v>
      </c>
      <c r="J45" s="3" t="s">
        <v>35</v>
      </c>
      <c r="K45" s="3"/>
      <c r="L45" s="3" t="s">
        <v>36</v>
      </c>
      <c r="M45" s="3" t="str">
        <f>CONCATENATE("LSNFBA89P12A462A")</f>
        <v>LSNFBA89P12A462A</v>
      </c>
      <c r="N45" s="3" t="s">
        <v>115</v>
      </c>
      <c r="O45" s="3" t="s">
        <v>38</v>
      </c>
      <c r="P45" s="3"/>
      <c r="Q45" s="4">
        <v>45956</v>
      </c>
      <c r="R45" s="3" t="s">
        <v>39</v>
      </c>
      <c r="S45" s="3" t="s">
        <v>40</v>
      </c>
      <c r="T45" s="3" t="s">
        <v>41</v>
      </c>
      <c r="U45" s="3"/>
      <c r="V45" s="3" t="s">
        <v>42</v>
      </c>
      <c r="W45" s="3">
        <v>51.25</v>
      </c>
      <c r="X45" s="3">
        <v>38.44</v>
      </c>
      <c r="Y45" s="3">
        <v>8.9700000000000006</v>
      </c>
      <c r="Z45" s="3">
        <v>3.84</v>
      </c>
      <c r="AA45" s="3">
        <v>0</v>
      </c>
    </row>
    <row r="46" spans="1:27" ht="72.75" x14ac:dyDescent="0.25">
      <c r="A46" s="3" t="s">
        <v>28</v>
      </c>
      <c r="B46" s="3" t="s">
        <v>29</v>
      </c>
      <c r="C46" s="3" t="s">
        <v>30</v>
      </c>
      <c r="D46" s="3" t="s">
        <v>46</v>
      </c>
      <c r="E46" s="3" t="s">
        <v>32</v>
      </c>
      <c r="F46" s="3" t="s">
        <v>113</v>
      </c>
      <c r="G46" s="3">
        <v>2024</v>
      </c>
      <c r="H46" s="3" t="str">
        <f>CONCATENATE("44210611503")</f>
        <v>44210611503</v>
      </c>
      <c r="I46" s="3" t="s">
        <v>34</v>
      </c>
      <c r="J46" s="3" t="s">
        <v>35</v>
      </c>
      <c r="K46" s="3"/>
      <c r="L46" s="3" t="s">
        <v>36</v>
      </c>
      <c r="M46" s="3" t="str">
        <f>CONCATENATE("FRTGRL05B19D488G")</f>
        <v>FRTGRL05B19D488G</v>
      </c>
      <c r="N46" s="3" t="s">
        <v>116</v>
      </c>
      <c r="O46" s="3" t="s">
        <v>38</v>
      </c>
      <c r="P46" s="3"/>
      <c r="Q46" s="4">
        <v>45956</v>
      </c>
      <c r="R46" s="3" t="s">
        <v>39</v>
      </c>
      <c r="S46" s="3" t="s">
        <v>40</v>
      </c>
      <c r="T46" s="3" t="s">
        <v>41</v>
      </c>
      <c r="U46" s="3"/>
      <c r="V46" s="3" t="s">
        <v>42</v>
      </c>
      <c r="W46" s="3">
        <v>80.88</v>
      </c>
      <c r="X46" s="3">
        <v>60.66</v>
      </c>
      <c r="Y46" s="3">
        <v>14.15</v>
      </c>
      <c r="Z46" s="3">
        <v>6.07</v>
      </c>
      <c r="AA46" s="3">
        <v>0</v>
      </c>
    </row>
    <row r="47" spans="1:27" ht="60.75" x14ac:dyDescent="0.25">
      <c r="A47" s="3" t="s">
        <v>28</v>
      </c>
      <c r="B47" s="3" t="s">
        <v>29</v>
      </c>
      <c r="C47" s="3" t="s">
        <v>30</v>
      </c>
      <c r="D47" s="3" t="s">
        <v>76</v>
      </c>
      <c r="E47" s="3" t="s">
        <v>57</v>
      </c>
      <c r="F47" s="3" t="s">
        <v>94</v>
      </c>
      <c r="G47" s="3">
        <v>2024</v>
      </c>
      <c r="H47" s="3" t="str">
        <f>CONCATENATE("44210473888")</f>
        <v>44210473888</v>
      </c>
      <c r="I47" s="3" t="s">
        <v>34</v>
      </c>
      <c r="J47" s="3" t="s">
        <v>35</v>
      </c>
      <c r="K47" s="3"/>
      <c r="L47" s="3" t="s">
        <v>36</v>
      </c>
      <c r="M47" s="3" t="str">
        <f>CONCATENATE("STNGDU73A14A462F")</f>
        <v>STNGDU73A14A462F</v>
      </c>
      <c r="N47" s="3" t="s">
        <v>117</v>
      </c>
      <c r="O47" s="3" t="s">
        <v>38</v>
      </c>
      <c r="P47" s="3"/>
      <c r="Q47" s="4">
        <v>45956</v>
      </c>
      <c r="R47" s="3" t="s">
        <v>39</v>
      </c>
      <c r="S47" s="3" t="s">
        <v>40</v>
      </c>
      <c r="T47" s="3" t="s">
        <v>41</v>
      </c>
      <c r="U47" s="3"/>
      <c r="V47" s="3" t="s">
        <v>42</v>
      </c>
      <c r="W47" s="3">
        <v>411.17</v>
      </c>
      <c r="X47" s="3">
        <v>308.38</v>
      </c>
      <c r="Y47" s="3">
        <v>71.95</v>
      </c>
      <c r="Z47" s="3">
        <v>30.84</v>
      </c>
      <c r="AA47" s="3">
        <v>0</v>
      </c>
    </row>
    <row r="48" spans="1:27" ht="60.75" x14ac:dyDescent="0.25">
      <c r="A48" s="3" t="s">
        <v>28</v>
      </c>
      <c r="B48" s="3" t="s">
        <v>29</v>
      </c>
      <c r="C48" s="3" t="s">
        <v>30</v>
      </c>
      <c r="D48" s="3" t="s">
        <v>46</v>
      </c>
      <c r="E48" s="3" t="s">
        <v>43</v>
      </c>
      <c r="F48" s="3" t="s">
        <v>49</v>
      </c>
      <c r="G48" s="3">
        <v>2024</v>
      </c>
      <c r="H48" s="3" t="str">
        <f>CONCATENATE("44210970784")</f>
        <v>44210970784</v>
      </c>
      <c r="I48" s="3" t="s">
        <v>34</v>
      </c>
      <c r="J48" s="3" t="s">
        <v>35</v>
      </c>
      <c r="K48" s="3"/>
      <c r="L48" s="3" t="s">
        <v>36</v>
      </c>
      <c r="M48" s="3" t="str">
        <f>CONCATENATE("PCAGNN44D25F497Q")</f>
        <v>PCAGNN44D25F497Q</v>
      </c>
      <c r="N48" s="3" t="s">
        <v>118</v>
      </c>
      <c r="O48" s="3" t="s">
        <v>38</v>
      </c>
      <c r="P48" s="3"/>
      <c r="Q48" s="4">
        <v>45956</v>
      </c>
      <c r="R48" s="3" t="s">
        <v>39</v>
      </c>
      <c r="S48" s="3" t="s">
        <v>40</v>
      </c>
      <c r="T48" s="3" t="s">
        <v>41</v>
      </c>
      <c r="U48" s="3"/>
      <c r="V48" s="3" t="s">
        <v>42</v>
      </c>
      <c r="W48" s="3">
        <v>35.68</v>
      </c>
      <c r="X48" s="3">
        <v>26.76</v>
      </c>
      <c r="Y48" s="3">
        <v>6.24</v>
      </c>
      <c r="Z48" s="3">
        <v>2.68</v>
      </c>
      <c r="AA48" s="3">
        <v>0</v>
      </c>
    </row>
    <row r="49" spans="1:27" ht="60.75" x14ac:dyDescent="0.25">
      <c r="A49" s="3" t="s">
        <v>28</v>
      </c>
      <c r="B49" s="3" t="s">
        <v>29</v>
      </c>
      <c r="C49" s="3" t="s">
        <v>30</v>
      </c>
      <c r="D49" s="3" t="s">
        <v>46</v>
      </c>
      <c r="E49" s="3" t="s">
        <v>32</v>
      </c>
      <c r="F49" s="3" t="s">
        <v>52</v>
      </c>
      <c r="G49" s="3">
        <v>2024</v>
      </c>
      <c r="H49" s="3" t="str">
        <f>CONCATENATE("44210654503")</f>
        <v>44210654503</v>
      </c>
      <c r="I49" s="3" t="s">
        <v>34</v>
      </c>
      <c r="J49" s="3" t="s">
        <v>35</v>
      </c>
      <c r="K49" s="3"/>
      <c r="L49" s="3" t="s">
        <v>36</v>
      </c>
      <c r="M49" s="3" t="str">
        <f>CONCATENATE("RVLCLD79T23G453O")</f>
        <v>RVLCLD79T23G453O</v>
      </c>
      <c r="N49" s="3" t="s">
        <v>119</v>
      </c>
      <c r="O49" s="3" t="s">
        <v>38</v>
      </c>
      <c r="P49" s="3"/>
      <c r="Q49" s="4">
        <v>45956</v>
      </c>
      <c r="R49" s="3" t="s">
        <v>39</v>
      </c>
      <c r="S49" s="3" t="s">
        <v>40</v>
      </c>
      <c r="T49" s="3" t="s">
        <v>41</v>
      </c>
      <c r="U49" s="3"/>
      <c r="V49" s="3" t="s">
        <v>42</v>
      </c>
      <c r="W49" s="3">
        <v>56.35</v>
      </c>
      <c r="X49" s="3">
        <v>42.26</v>
      </c>
      <c r="Y49" s="3">
        <v>9.86</v>
      </c>
      <c r="Z49" s="3">
        <v>4.2300000000000004</v>
      </c>
      <c r="AA49" s="3">
        <v>0</v>
      </c>
    </row>
    <row r="50" spans="1:27" ht="60.75" x14ac:dyDescent="0.25">
      <c r="A50" s="3" t="s">
        <v>28</v>
      </c>
      <c r="B50" s="3" t="s">
        <v>29</v>
      </c>
      <c r="C50" s="3" t="s">
        <v>30</v>
      </c>
      <c r="D50" s="3" t="s">
        <v>46</v>
      </c>
      <c r="E50" s="3" t="s">
        <v>43</v>
      </c>
      <c r="F50" s="3" t="s">
        <v>49</v>
      </c>
      <c r="G50" s="3">
        <v>2024</v>
      </c>
      <c r="H50" s="3" t="str">
        <f>CONCATENATE("44210948012")</f>
        <v>44210948012</v>
      </c>
      <c r="I50" s="3" t="s">
        <v>34</v>
      </c>
      <c r="J50" s="3" t="s">
        <v>35</v>
      </c>
      <c r="K50" s="3"/>
      <c r="L50" s="3" t="s">
        <v>36</v>
      </c>
      <c r="M50" s="3" t="str">
        <f>CONCATENATE("CNGGNN89D22I608A")</f>
        <v>CNGGNN89D22I608A</v>
      </c>
      <c r="N50" s="3" t="s">
        <v>120</v>
      </c>
      <c r="O50" s="3" t="s">
        <v>38</v>
      </c>
      <c r="P50" s="3"/>
      <c r="Q50" s="4">
        <v>45956</v>
      </c>
      <c r="R50" s="3" t="s">
        <v>39</v>
      </c>
      <c r="S50" s="3" t="s">
        <v>40</v>
      </c>
      <c r="T50" s="3" t="s">
        <v>41</v>
      </c>
      <c r="U50" s="3"/>
      <c r="V50" s="3" t="s">
        <v>42</v>
      </c>
      <c r="W50" s="3">
        <v>26.19</v>
      </c>
      <c r="X50" s="3">
        <v>19.64</v>
      </c>
      <c r="Y50" s="3">
        <v>4.58</v>
      </c>
      <c r="Z50" s="3">
        <v>1.97</v>
      </c>
      <c r="AA50" s="3">
        <v>0</v>
      </c>
    </row>
    <row r="51" spans="1:27" ht="60.75" x14ac:dyDescent="0.25">
      <c r="A51" s="3" t="s">
        <v>28</v>
      </c>
      <c r="B51" s="3" t="s">
        <v>29</v>
      </c>
      <c r="C51" s="3" t="s">
        <v>30</v>
      </c>
      <c r="D51" s="3" t="s">
        <v>46</v>
      </c>
      <c r="E51" s="3" t="s">
        <v>43</v>
      </c>
      <c r="F51" s="3" t="s">
        <v>49</v>
      </c>
      <c r="G51" s="3">
        <v>2024</v>
      </c>
      <c r="H51" s="3" t="str">
        <f>CONCATENATE("44210067540")</f>
        <v>44210067540</v>
      </c>
      <c r="I51" s="3" t="s">
        <v>34</v>
      </c>
      <c r="J51" s="3" t="s">
        <v>35</v>
      </c>
      <c r="K51" s="3"/>
      <c r="L51" s="3" t="s">
        <v>36</v>
      </c>
      <c r="M51" s="3" t="str">
        <f>CONCATENATE("GRRFNN58E65D749Q")</f>
        <v>GRRFNN58E65D749Q</v>
      </c>
      <c r="N51" s="3" t="s">
        <v>121</v>
      </c>
      <c r="O51" s="3" t="s">
        <v>38</v>
      </c>
      <c r="P51" s="3"/>
      <c r="Q51" s="4">
        <v>45956</v>
      </c>
      <c r="R51" s="3" t="s">
        <v>39</v>
      </c>
      <c r="S51" s="3" t="s">
        <v>40</v>
      </c>
      <c r="T51" s="3" t="s">
        <v>41</v>
      </c>
      <c r="U51" s="3"/>
      <c r="V51" s="3" t="s">
        <v>42</v>
      </c>
      <c r="W51" s="3">
        <v>35.75</v>
      </c>
      <c r="X51" s="3">
        <v>26.81</v>
      </c>
      <c r="Y51" s="3">
        <v>6.26</v>
      </c>
      <c r="Z51" s="3">
        <v>2.68</v>
      </c>
      <c r="AA51" s="3">
        <v>0</v>
      </c>
    </row>
    <row r="52" spans="1:27" ht="60.75" x14ac:dyDescent="0.25">
      <c r="A52" s="3" t="s">
        <v>28</v>
      </c>
      <c r="B52" s="3" t="s">
        <v>29</v>
      </c>
      <c r="C52" s="3" t="s">
        <v>30</v>
      </c>
      <c r="D52" s="3" t="s">
        <v>46</v>
      </c>
      <c r="E52" s="3" t="s">
        <v>43</v>
      </c>
      <c r="F52" s="3" t="s">
        <v>80</v>
      </c>
      <c r="G52" s="3">
        <v>2024</v>
      </c>
      <c r="H52" s="3" t="str">
        <f>CONCATENATE("44210073548")</f>
        <v>44210073548</v>
      </c>
      <c r="I52" s="3" t="s">
        <v>34</v>
      </c>
      <c r="J52" s="3" t="s">
        <v>35</v>
      </c>
      <c r="K52" s="3"/>
      <c r="L52" s="3" t="s">
        <v>36</v>
      </c>
      <c r="M52" s="3" t="str">
        <f>CONCATENATE("BNGLGU70E09I287D")</f>
        <v>BNGLGU70E09I287D</v>
      </c>
      <c r="N52" s="3" t="s">
        <v>122</v>
      </c>
      <c r="O52" s="3" t="s">
        <v>38</v>
      </c>
      <c r="P52" s="3"/>
      <c r="Q52" s="4">
        <v>45956</v>
      </c>
      <c r="R52" s="3" t="s">
        <v>39</v>
      </c>
      <c r="S52" s="3" t="s">
        <v>40</v>
      </c>
      <c r="T52" s="3" t="s">
        <v>41</v>
      </c>
      <c r="U52" s="3"/>
      <c r="V52" s="3" t="s">
        <v>42</v>
      </c>
      <c r="W52" s="3">
        <v>99.32</v>
      </c>
      <c r="X52" s="3">
        <v>74.489999999999995</v>
      </c>
      <c r="Y52" s="3">
        <v>17.38</v>
      </c>
      <c r="Z52" s="3">
        <v>7.45</v>
      </c>
      <c r="AA52" s="3">
        <v>0</v>
      </c>
    </row>
    <row r="53" spans="1:27" ht="60.75" x14ac:dyDescent="0.25">
      <c r="A53" s="3" t="s">
        <v>28</v>
      </c>
      <c r="B53" s="3" t="s">
        <v>29</v>
      </c>
      <c r="C53" s="3" t="s">
        <v>30</v>
      </c>
      <c r="D53" s="3" t="s">
        <v>46</v>
      </c>
      <c r="E53" s="3" t="s">
        <v>43</v>
      </c>
      <c r="F53" s="3" t="s">
        <v>86</v>
      </c>
      <c r="G53" s="3">
        <v>2024</v>
      </c>
      <c r="H53" s="3" t="str">
        <f>CONCATENATE("44210015945")</f>
        <v>44210015945</v>
      </c>
      <c r="I53" s="3" t="s">
        <v>34</v>
      </c>
      <c r="J53" s="3" t="s">
        <v>35</v>
      </c>
      <c r="K53" s="3"/>
      <c r="L53" s="3" t="s">
        <v>36</v>
      </c>
      <c r="M53" s="3" t="str">
        <f>CONCATENATE("VNNDNC48D29F524O")</f>
        <v>VNNDNC48D29F524O</v>
      </c>
      <c r="N53" s="3" t="s">
        <v>123</v>
      </c>
      <c r="O53" s="3" t="s">
        <v>38</v>
      </c>
      <c r="P53" s="3"/>
      <c r="Q53" s="4">
        <v>45956</v>
      </c>
      <c r="R53" s="3" t="s">
        <v>39</v>
      </c>
      <c r="S53" s="3" t="s">
        <v>40</v>
      </c>
      <c r="T53" s="3" t="s">
        <v>41</v>
      </c>
      <c r="U53" s="3"/>
      <c r="V53" s="3" t="s">
        <v>42</v>
      </c>
      <c r="W53" s="3">
        <v>21.78</v>
      </c>
      <c r="X53" s="3">
        <v>16.34</v>
      </c>
      <c r="Y53" s="3">
        <v>3.81</v>
      </c>
      <c r="Z53" s="3">
        <v>1.63</v>
      </c>
      <c r="AA53" s="3">
        <v>0</v>
      </c>
    </row>
    <row r="54" spans="1:27" ht="60.75" x14ac:dyDescent="0.25">
      <c r="A54" s="3" t="s">
        <v>28</v>
      </c>
      <c r="B54" s="3" t="s">
        <v>29</v>
      </c>
      <c r="C54" s="3" t="s">
        <v>30</v>
      </c>
      <c r="D54" s="3" t="s">
        <v>31</v>
      </c>
      <c r="E54" s="3" t="s">
        <v>43</v>
      </c>
      <c r="F54" s="3" t="s">
        <v>44</v>
      </c>
      <c r="G54" s="3">
        <v>2024</v>
      </c>
      <c r="H54" s="3" t="str">
        <f>CONCATENATE("44210133003")</f>
        <v>44210133003</v>
      </c>
      <c r="I54" s="3" t="s">
        <v>34</v>
      </c>
      <c r="J54" s="3" t="s">
        <v>35</v>
      </c>
      <c r="K54" s="3"/>
      <c r="L54" s="3" t="s">
        <v>36</v>
      </c>
      <c r="M54" s="3" t="str">
        <f>CONCATENATE("STLMRZ50E18D451J")</f>
        <v>STLMRZ50E18D451J</v>
      </c>
      <c r="N54" s="3" t="s">
        <v>124</v>
      </c>
      <c r="O54" s="3" t="s">
        <v>38</v>
      </c>
      <c r="P54" s="3"/>
      <c r="Q54" s="4">
        <v>45956</v>
      </c>
      <c r="R54" s="3" t="s">
        <v>39</v>
      </c>
      <c r="S54" s="3" t="s">
        <v>40</v>
      </c>
      <c r="T54" s="3" t="s">
        <v>41</v>
      </c>
      <c r="U54" s="3"/>
      <c r="V54" s="3" t="s">
        <v>42</v>
      </c>
      <c r="W54" s="3">
        <v>32.35</v>
      </c>
      <c r="X54" s="3">
        <v>24.26</v>
      </c>
      <c r="Y54" s="3">
        <v>5.66</v>
      </c>
      <c r="Z54" s="3">
        <v>2.4300000000000002</v>
      </c>
      <c r="AA54" s="3">
        <v>0</v>
      </c>
    </row>
    <row r="55" spans="1:27" ht="60.75" x14ac:dyDescent="0.25">
      <c r="A55" s="3" t="s">
        <v>28</v>
      </c>
      <c r="B55" s="3" t="s">
        <v>29</v>
      </c>
      <c r="C55" s="3" t="s">
        <v>30</v>
      </c>
      <c r="D55" s="3" t="s">
        <v>46</v>
      </c>
      <c r="E55" s="3" t="s">
        <v>43</v>
      </c>
      <c r="F55" s="3" t="s">
        <v>49</v>
      </c>
      <c r="G55" s="3">
        <v>2024</v>
      </c>
      <c r="H55" s="3" t="str">
        <f>CONCATENATE("44210045082")</f>
        <v>44210045082</v>
      </c>
      <c r="I55" s="3" t="s">
        <v>34</v>
      </c>
      <c r="J55" s="3" t="s">
        <v>35</v>
      </c>
      <c r="K55" s="3"/>
      <c r="L55" s="3" t="s">
        <v>36</v>
      </c>
      <c r="M55" s="3" t="str">
        <f>CONCATENATE("BRCLSU61P58D749X")</f>
        <v>BRCLSU61P58D749X</v>
      </c>
      <c r="N55" s="3" t="s">
        <v>125</v>
      </c>
      <c r="O55" s="3" t="s">
        <v>38</v>
      </c>
      <c r="P55" s="3"/>
      <c r="Q55" s="4">
        <v>45956</v>
      </c>
      <c r="R55" s="3" t="s">
        <v>39</v>
      </c>
      <c r="S55" s="3" t="s">
        <v>40</v>
      </c>
      <c r="T55" s="3" t="s">
        <v>41</v>
      </c>
      <c r="U55" s="3"/>
      <c r="V55" s="3" t="s">
        <v>42</v>
      </c>
      <c r="W55" s="3">
        <v>18.57</v>
      </c>
      <c r="X55" s="3">
        <v>13.93</v>
      </c>
      <c r="Y55" s="3">
        <v>3.25</v>
      </c>
      <c r="Z55" s="3">
        <v>1.39</v>
      </c>
      <c r="AA55" s="3">
        <v>0</v>
      </c>
    </row>
    <row r="56" spans="1:27" ht="60.75" x14ac:dyDescent="0.25">
      <c r="A56" s="3" t="s">
        <v>28</v>
      </c>
      <c r="B56" s="3" t="s">
        <v>29</v>
      </c>
      <c r="C56" s="3" t="s">
        <v>30</v>
      </c>
      <c r="D56" s="3" t="s">
        <v>76</v>
      </c>
      <c r="E56" s="3" t="s">
        <v>43</v>
      </c>
      <c r="F56" s="3" t="s">
        <v>126</v>
      </c>
      <c r="G56" s="3">
        <v>2024</v>
      </c>
      <c r="H56" s="3" t="str">
        <f>CONCATENATE("44210017644")</f>
        <v>44210017644</v>
      </c>
      <c r="I56" s="3" t="s">
        <v>34</v>
      </c>
      <c r="J56" s="3" t="s">
        <v>35</v>
      </c>
      <c r="K56" s="3"/>
      <c r="L56" s="3" t="s">
        <v>36</v>
      </c>
      <c r="M56" s="3" t="str">
        <f>CONCATENATE("DLTGNN54T28D691U")</f>
        <v>DLTGNN54T28D691U</v>
      </c>
      <c r="N56" s="3" t="s">
        <v>127</v>
      </c>
      <c r="O56" s="3" t="s">
        <v>38</v>
      </c>
      <c r="P56" s="3"/>
      <c r="Q56" s="4">
        <v>45956</v>
      </c>
      <c r="R56" s="3" t="s">
        <v>39</v>
      </c>
      <c r="S56" s="3" t="s">
        <v>40</v>
      </c>
      <c r="T56" s="3" t="s">
        <v>41</v>
      </c>
      <c r="U56" s="3"/>
      <c r="V56" s="3" t="s">
        <v>42</v>
      </c>
      <c r="W56" s="3">
        <v>282.55</v>
      </c>
      <c r="X56" s="3">
        <v>211.91</v>
      </c>
      <c r="Y56" s="3">
        <v>49.45</v>
      </c>
      <c r="Z56" s="3">
        <v>21.19</v>
      </c>
      <c r="AA56" s="3">
        <v>0</v>
      </c>
    </row>
    <row r="57" spans="1:27" ht="60.75" x14ac:dyDescent="0.25">
      <c r="A57" s="3" t="s">
        <v>28</v>
      </c>
      <c r="B57" s="3" t="s">
        <v>29</v>
      </c>
      <c r="C57" s="3" t="s">
        <v>30</v>
      </c>
      <c r="D57" s="3" t="s">
        <v>31</v>
      </c>
      <c r="E57" s="3" t="s">
        <v>43</v>
      </c>
      <c r="F57" s="3" t="s">
        <v>100</v>
      </c>
      <c r="G57" s="3">
        <v>2024</v>
      </c>
      <c r="H57" s="3" t="str">
        <f>CONCATENATE("44210173082")</f>
        <v>44210173082</v>
      </c>
      <c r="I57" s="3" t="s">
        <v>110</v>
      </c>
      <c r="J57" s="3" t="s">
        <v>35</v>
      </c>
      <c r="K57" s="3"/>
      <c r="L57" s="3" t="s">
        <v>36</v>
      </c>
      <c r="M57" s="3" t="str">
        <f>CONCATENATE("CRNLCU90D02D451Y")</f>
        <v>CRNLCU90D02D451Y</v>
      </c>
      <c r="N57" s="3" t="s">
        <v>128</v>
      </c>
      <c r="O57" s="3" t="s">
        <v>38</v>
      </c>
      <c r="P57" s="3"/>
      <c r="Q57" s="4">
        <v>45956</v>
      </c>
      <c r="R57" s="3" t="s">
        <v>39</v>
      </c>
      <c r="S57" s="3" t="s">
        <v>40</v>
      </c>
      <c r="T57" s="3" t="s">
        <v>41</v>
      </c>
      <c r="U57" s="3"/>
      <c r="V57" s="3" t="s">
        <v>42</v>
      </c>
      <c r="W57" s="5">
        <v>11250</v>
      </c>
      <c r="X57" s="5">
        <v>8437.5</v>
      </c>
      <c r="Y57" s="5">
        <v>1968.75</v>
      </c>
      <c r="Z57" s="3">
        <v>843.75</v>
      </c>
      <c r="AA57" s="3">
        <v>0</v>
      </c>
    </row>
    <row r="58" spans="1:27" ht="72.75" x14ac:dyDescent="0.25">
      <c r="A58" s="3" t="s">
        <v>28</v>
      </c>
      <c r="B58" s="3" t="s">
        <v>29</v>
      </c>
      <c r="C58" s="3" t="s">
        <v>30</v>
      </c>
      <c r="D58" s="3" t="s">
        <v>46</v>
      </c>
      <c r="E58" s="3" t="s">
        <v>43</v>
      </c>
      <c r="F58" s="3" t="s">
        <v>55</v>
      </c>
      <c r="G58" s="3">
        <v>2024</v>
      </c>
      <c r="H58" s="3" t="str">
        <f>CONCATENATE("44210216436")</f>
        <v>44210216436</v>
      </c>
      <c r="I58" s="3" t="s">
        <v>34</v>
      </c>
      <c r="J58" s="3" t="s">
        <v>35</v>
      </c>
      <c r="K58" s="3"/>
      <c r="L58" s="3" t="s">
        <v>36</v>
      </c>
      <c r="M58" s="3" t="str">
        <f>CONCATENATE("TMMGNN64C17G453W")</f>
        <v>TMMGNN64C17G453W</v>
      </c>
      <c r="N58" s="3" t="s">
        <v>129</v>
      </c>
      <c r="O58" s="3" t="s">
        <v>38</v>
      </c>
      <c r="P58" s="3"/>
      <c r="Q58" s="4">
        <v>45956</v>
      </c>
      <c r="R58" s="3" t="s">
        <v>39</v>
      </c>
      <c r="S58" s="3" t="s">
        <v>40</v>
      </c>
      <c r="T58" s="3" t="s">
        <v>41</v>
      </c>
      <c r="U58" s="3"/>
      <c r="V58" s="3" t="s">
        <v>42</v>
      </c>
      <c r="W58" s="3">
        <v>22.55</v>
      </c>
      <c r="X58" s="3">
        <v>16.91</v>
      </c>
      <c r="Y58" s="3">
        <v>3.95</v>
      </c>
      <c r="Z58" s="3">
        <v>1.69</v>
      </c>
      <c r="AA58" s="3">
        <v>0</v>
      </c>
    </row>
    <row r="59" spans="1:27" ht="36.75" x14ac:dyDescent="0.25">
      <c r="A59" s="3" t="s">
        <v>28</v>
      </c>
      <c r="B59" s="3" t="s">
        <v>29</v>
      </c>
      <c r="C59" s="3" t="s">
        <v>30</v>
      </c>
      <c r="D59" s="3" t="s">
        <v>46</v>
      </c>
      <c r="E59" s="3" t="s">
        <v>73</v>
      </c>
      <c r="F59" s="3" t="s">
        <v>130</v>
      </c>
      <c r="G59" s="3">
        <v>2024</v>
      </c>
      <c r="H59" s="3" t="str">
        <f>CONCATENATE("44210325153")</f>
        <v>44210325153</v>
      </c>
      <c r="I59" s="3" t="s">
        <v>34</v>
      </c>
      <c r="J59" s="3" t="s">
        <v>35</v>
      </c>
      <c r="K59" s="3"/>
      <c r="L59" s="3" t="s">
        <v>36</v>
      </c>
      <c r="M59" s="3" t="str">
        <f>CONCATENATE("01480720414")</f>
        <v>01480720414</v>
      </c>
      <c r="N59" s="3" t="s">
        <v>131</v>
      </c>
      <c r="O59" s="3" t="s">
        <v>38</v>
      </c>
      <c r="P59" s="3"/>
      <c r="Q59" s="4">
        <v>45956</v>
      </c>
      <c r="R59" s="3" t="s">
        <v>39</v>
      </c>
      <c r="S59" s="3" t="s">
        <v>40</v>
      </c>
      <c r="T59" s="3" t="s">
        <v>41</v>
      </c>
      <c r="U59" s="3"/>
      <c r="V59" s="3" t="s">
        <v>42</v>
      </c>
      <c r="W59" s="3">
        <v>297.64</v>
      </c>
      <c r="X59" s="3">
        <v>223.23</v>
      </c>
      <c r="Y59" s="3">
        <v>52.09</v>
      </c>
      <c r="Z59" s="3">
        <v>22.32</v>
      </c>
      <c r="AA59" s="3">
        <v>0</v>
      </c>
    </row>
    <row r="60" spans="1:27" ht="60.75" x14ac:dyDescent="0.25">
      <c r="A60" s="3" t="s">
        <v>28</v>
      </c>
      <c r="B60" s="3" t="s">
        <v>29</v>
      </c>
      <c r="C60" s="3" t="s">
        <v>30</v>
      </c>
      <c r="D60" s="3" t="s">
        <v>46</v>
      </c>
      <c r="E60" s="3" t="s">
        <v>43</v>
      </c>
      <c r="F60" s="3" t="s">
        <v>49</v>
      </c>
      <c r="G60" s="3">
        <v>2024</v>
      </c>
      <c r="H60" s="3" t="str">
        <f>CONCATENATE("44210209225")</f>
        <v>44210209225</v>
      </c>
      <c r="I60" s="3" t="s">
        <v>34</v>
      </c>
      <c r="J60" s="3" t="s">
        <v>35</v>
      </c>
      <c r="K60" s="3"/>
      <c r="L60" s="3" t="s">
        <v>36</v>
      </c>
      <c r="M60" s="3" t="str">
        <f>CONCATENATE("CLVLRA86B51D451O")</f>
        <v>CLVLRA86B51D451O</v>
      </c>
      <c r="N60" s="3" t="s">
        <v>132</v>
      </c>
      <c r="O60" s="3" t="s">
        <v>38</v>
      </c>
      <c r="P60" s="3"/>
      <c r="Q60" s="4">
        <v>45956</v>
      </c>
      <c r="R60" s="3" t="s">
        <v>39</v>
      </c>
      <c r="S60" s="3" t="s">
        <v>40</v>
      </c>
      <c r="T60" s="3" t="s">
        <v>41</v>
      </c>
      <c r="U60" s="3"/>
      <c r="V60" s="3" t="s">
        <v>42</v>
      </c>
      <c r="W60" s="3">
        <v>60.39</v>
      </c>
      <c r="X60" s="3">
        <v>45.29</v>
      </c>
      <c r="Y60" s="3">
        <v>10.57</v>
      </c>
      <c r="Z60" s="3">
        <v>4.53</v>
      </c>
      <c r="AA60" s="3">
        <v>0</v>
      </c>
    </row>
    <row r="61" spans="1:27" ht="36.75" x14ac:dyDescent="0.25">
      <c r="A61" s="3" t="s">
        <v>28</v>
      </c>
      <c r="B61" s="3" t="s">
        <v>29</v>
      </c>
      <c r="C61" s="3" t="s">
        <v>30</v>
      </c>
      <c r="D61" s="3" t="s">
        <v>46</v>
      </c>
      <c r="E61" s="3" t="s">
        <v>73</v>
      </c>
      <c r="F61" s="3" t="s">
        <v>130</v>
      </c>
      <c r="G61" s="3">
        <v>2024</v>
      </c>
      <c r="H61" s="3" t="str">
        <f>CONCATENATE("44210324792")</f>
        <v>44210324792</v>
      </c>
      <c r="I61" s="3" t="s">
        <v>34</v>
      </c>
      <c r="J61" s="3" t="s">
        <v>35</v>
      </c>
      <c r="K61" s="3"/>
      <c r="L61" s="3" t="s">
        <v>36</v>
      </c>
      <c r="M61" s="3" t="str">
        <f>CONCATENATE("02588960415")</f>
        <v>02588960415</v>
      </c>
      <c r="N61" s="3" t="s">
        <v>133</v>
      </c>
      <c r="O61" s="3" t="s">
        <v>38</v>
      </c>
      <c r="P61" s="3"/>
      <c r="Q61" s="4">
        <v>45956</v>
      </c>
      <c r="R61" s="3" t="s">
        <v>39</v>
      </c>
      <c r="S61" s="3" t="s">
        <v>40</v>
      </c>
      <c r="T61" s="3" t="s">
        <v>41</v>
      </c>
      <c r="U61" s="3"/>
      <c r="V61" s="3" t="s">
        <v>42</v>
      </c>
      <c r="W61" s="3">
        <v>15.39</v>
      </c>
      <c r="X61" s="3">
        <v>11.54</v>
      </c>
      <c r="Y61" s="3">
        <v>2.69</v>
      </c>
      <c r="Z61" s="3">
        <v>1.1599999999999999</v>
      </c>
      <c r="AA61" s="3">
        <v>0</v>
      </c>
    </row>
    <row r="62" spans="1:27" ht="36.75" x14ac:dyDescent="0.25">
      <c r="A62" s="3" t="s">
        <v>28</v>
      </c>
      <c r="B62" s="3" t="s">
        <v>29</v>
      </c>
      <c r="C62" s="3" t="s">
        <v>30</v>
      </c>
      <c r="D62" s="3" t="s">
        <v>60</v>
      </c>
      <c r="E62" s="3" t="s">
        <v>43</v>
      </c>
      <c r="F62" s="3" t="s">
        <v>61</v>
      </c>
      <c r="G62" s="3">
        <v>2024</v>
      </c>
      <c r="H62" s="3" t="str">
        <f>CONCATENATE("44210190961")</f>
        <v>44210190961</v>
      </c>
      <c r="I62" s="3" t="s">
        <v>34</v>
      </c>
      <c r="J62" s="3" t="s">
        <v>35</v>
      </c>
      <c r="K62" s="3"/>
      <c r="L62" s="3" t="s">
        <v>36</v>
      </c>
      <c r="M62" s="3" t="str">
        <f>CONCATENATE("02070830431")</f>
        <v>02070830431</v>
      </c>
      <c r="N62" s="3" t="s">
        <v>134</v>
      </c>
      <c r="O62" s="3" t="s">
        <v>38</v>
      </c>
      <c r="P62" s="3"/>
      <c r="Q62" s="4">
        <v>45956</v>
      </c>
      <c r="R62" s="3" t="s">
        <v>39</v>
      </c>
      <c r="S62" s="3" t="s">
        <v>40</v>
      </c>
      <c r="T62" s="3" t="s">
        <v>41</v>
      </c>
      <c r="U62" s="3"/>
      <c r="V62" s="3" t="s">
        <v>42</v>
      </c>
      <c r="W62" s="3">
        <v>50.5</v>
      </c>
      <c r="X62" s="3">
        <v>37.880000000000003</v>
      </c>
      <c r="Y62" s="3">
        <v>8.84</v>
      </c>
      <c r="Z62" s="3">
        <v>3.78</v>
      </c>
      <c r="AA62" s="3">
        <v>0</v>
      </c>
    </row>
    <row r="63" spans="1:27" ht="72.75" x14ac:dyDescent="0.25">
      <c r="A63" s="3" t="s">
        <v>28</v>
      </c>
      <c r="B63" s="3" t="s">
        <v>29</v>
      </c>
      <c r="C63" s="3" t="s">
        <v>30</v>
      </c>
      <c r="D63" s="3" t="s">
        <v>76</v>
      </c>
      <c r="E63" s="3" t="s">
        <v>32</v>
      </c>
      <c r="F63" s="3" t="s">
        <v>135</v>
      </c>
      <c r="G63" s="3">
        <v>2024</v>
      </c>
      <c r="H63" s="3" t="str">
        <f>CONCATENATE("44210152425")</f>
        <v>44210152425</v>
      </c>
      <c r="I63" s="3" t="s">
        <v>34</v>
      </c>
      <c r="J63" s="3" t="s">
        <v>35</v>
      </c>
      <c r="K63" s="3"/>
      <c r="L63" s="3" t="s">
        <v>36</v>
      </c>
      <c r="M63" s="3" t="str">
        <f>CONCATENATE("PRCMLN88A06A462N")</f>
        <v>PRCMLN88A06A462N</v>
      </c>
      <c r="N63" s="3" t="s">
        <v>136</v>
      </c>
      <c r="O63" s="3" t="s">
        <v>38</v>
      </c>
      <c r="P63" s="3"/>
      <c r="Q63" s="4">
        <v>45956</v>
      </c>
      <c r="R63" s="3" t="s">
        <v>39</v>
      </c>
      <c r="S63" s="3" t="s">
        <v>40</v>
      </c>
      <c r="T63" s="3" t="s">
        <v>41</v>
      </c>
      <c r="U63" s="3"/>
      <c r="V63" s="3" t="s">
        <v>42</v>
      </c>
      <c r="W63" s="3">
        <v>653.16999999999996</v>
      </c>
      <c r="X63" s="3">
        <v>489.88</v>
      </c>
      <c r="Y63" s="3">
        <v>114.3</v>
      </c>
      <c r="Z63" s="3">
        <v>48.99</v>
      </c>
      <c r="AA63" s="3">
        <v>0</v>
      </c>
    </row>
    <row r="64" spans="1:27" ht="60.75" x14ac:dyDescent="0.25">
      <c r="A64" s="3" t="s">
        <v>28</v>
      </c>
      <c r="B64" s="3" t="s">
        <v>29</v>
      </c>
      <c r="C64" s="3" t="s">
        <v>30</v>
      </c>
      <c r="D64" s="3" t="s">
        <v>60</v>
      </c>
      <c r="E64" s="3" t="s">
        <v>43</v>
      </c>
      <c r="F64" s="3" t="s">
        <v>88</v>
      </c>
      <c r="G64" s="3">
        <v>2024</v>
      </c>
      <c r="H64" s="3" t="str">
        <f>CONCATENATE("44210184709")</f>
        <v>44210184709</v>
      </c>
      <c r="I64" s="3" t="s">
        <v>34</v>
      </c>
      <c r="J64" s="3" t="s">
        <v>35</v>
      </c>
      <c r="K64" s="3"/>
      <c r="L64" s="3" t="s">
        <v>36</v>
      </c>
      <c r="M64" s="3" t="str">
        <f>CONCATENATE("CHMMCR87C54B474F")</f>
        <v>CHMMCR87C54B474F</v>
      </c>
      <c r="N64" s="3" t="s">
        <v>137</v>
      </c>
      <c r="O64" s="3" t="s">
        <v>38</v>
      </c>
      <c r="P64" s="3"/>
      <c r="Q64" s="4">
        <v>45956</v>
      </c>
      <c r="R64" s="3" t="s">
        <v>39</v>
      </c>
      <c r="S64" s="3" t="s">
        <v>40</v>
      </c>
      <c r="T64" s="3" t="s">
        <v>41</v>
      </c>
      <c r="U64" s="3"/>
      <c r="V64" s="3" t="s">
        <v>42</v>
      </c>
      <c r="W64" s="3">
        <v>123.24</v>
      </c>
      <c r="X64" s="3">
        <v>92.43</v>
      </c>
      <c r="Y64" s="3">
        <v>21.57</v>
      </c>
      <c r="Z64" s="3">
        <v>9.24</v>
      </c>
      <c r="AA64" s="3">
        <v>0</v>
      </c>
    </row>
    <row r="65" spans="1:27" ht="60.75" x14ac:dyDescent="0.25">
      <c r="A65" s="3" t="s">
        <v>28</v>
      </c>
      <c r="B65" s="3" t="s">
        <v>29</v>
      </c>
      <c r="C65" s="3" t="s">
        <v>30</v>
      </c>
      <c r="D65" s="3" t="s">
        <v>60</v>
      </c>
      <c r="E65" s="3" t="s">
        <v>73</v>
      </c>
      <c r="F65" s="3" t="s">
        <v>138</v>
      </c>
      <c r="G65" s="3">
        <v>2024</v>
      </c>
      <c r="H65" s="3" t="str">
        <f>CONCATENATE("44210232664")</f>
        <v>44210232664</v>
      </c>
      <c r="I65" s="3" t="s">
        <v>34</v>
      </c>
      <c r="J65" s="3" t="s">
        <v>35</v>
      </c>
      <c r="K65" s="3"/>
      <c r="L65" s="3" t="s">
        <v>36</v>
      </c>
      <c r="M65" s="3" t="str">
        <f>CONCATENATE("BRRRLA62H11H876Z")</f>
        <v>BRRRLA62H11H876Z</v>
      </c>
      <c r="N65" s="3" t="s">
        <v>139</v>
      </c>
      <c r="O65" s="3" t="s">
        <v>38</v>
      </c>
      <c r="P65" s="3"/>
      <c r="Q65" s="4">
        <v>45956</v>
      </c>
      <c r="R65" s="3" t="s">
        <v>39</v>
      </c>
      <c r="S65" s="3" t="s">
        <v>40</v>
      </c>
      <c r="T65" s="3" t="s">
        <v>41</v>
      </c>
      <c r="U65" s="3"/>
      <c r="V65" s="3" t="s">
        <v>42</v>
      </c>
      <c r="W65" s="3">
        <v>100.78</v>
      </c>
      <c r="X65" s="3">
        <v>75.59</v>
      </c>
      <c r="Y65" s="3">
        <v>17.64</v>
      </c>
      <c r="Z65" s="3">
        <v>7.55</v>
      </c>
      <c r="AA65" s="3">
        <v>0</v>
      </c>
    </row>
    <row r="66" spans="1:27" ht="60.75" x14ac:dyDescent="0.25">
      <c r="A66" s="3" t="s">
        <v>28</v>
      </c>
      <c r="B66" s="3" t="s">
        <v>29</v>
      </c>
      <c r="C66" s="3" t="s">
        <v>30</v>
      </c>
      <c r="D66" s="3" t="s">
        <v>76</v>
      </c>
      <c r="E66" s="3" t="s">
        <v>140</v>
      </c>
      <c r="F66" s="3" t="s">
        <v>141</v>
      </c>
      <c r="G66" s="3">
        <v>2024</v>
      </c>
      <c r="H66" s="3" t="str">
        <f>CONCATENATE("44210204879")</f>
        <v>44210204879</v>
      </c>
      <c r="I66" s="3" t="s">
        <v>34</v>
      </c>
      <c r="J66" s="3" t="s">
        <v>35</v>
      </c>
      <c r="K66" s="3"/>
      <c r="L66" s="3" t="s">
        <v>36</v>
      </c>
      <c r="M66" s="3" t="str">
        <f>CONCATENATE("NNSGRL47A01F870P")</f>
        <v>NNSGRL47A01F870P</v>
      </c>
      <c r="N66" s="3" t="s">
        <v>142</v>
      </c>
      <c r="O66" s="3" t="s">
        <v>38</v>
      </c>
      <c r="P66" s="3"/>
      <c r="Q66" s="4">
        <v>45956</v>
      </c>
      <c r="R66" s="3" t="s">
        <v>39</v>
      </c>
      <c r="S66" s="3" t="s">
        <v>40</v>
      </c>
      <c r="T66" s="3" t="s">
        <v>41</v>
      </c>
      <c r="U66" s="3"/>
      <c r="V66" s="3" t="s">
        <v>42</v>
      </c>
      <c r="W66" s="3">
        <v>154.93</v>
      </c>
      <c r="X66" s="3">
        <v>116.2</v>
      </c>
      <c r="Y66" s="3">
        <v>27.11</v>
      </c>
      <c r="Z66" s="3">
        <v>11.62</v>
      </c>
      <c r="AA66" s="3">
        <v>0</v>
      </c>
    </row>
    <row r="67" spans="1:27" ht="60.75" x14ac:dyDescent="0.25">
      <c r="A67" s="3" t="s">
        <v>28</v>
      </c>
      <c r="B67" s="3" t="s">
        <v>29</v>
      </c>
      <c r="C67" s="3" t="s">
        <v>30</v>
      </c>
      <c r="D67" s="3" t="s">
        <v>46</v>
      </c>
      <c r="E67" s="3" t="s">
        <v>43</v>
      </c>
      <c r="F67" s="3" t="s">
        <v>143</v>
      </c>
      <c r="G67" s="3">
        <v>2024</v>
      </c>
      <c r="H67" s="3" t="str">
        <f>CONCATENATE("44210401889")</f>
        <v>44210401889</v>
      </c>
      <c r="I67" s="3" t="s">
        <v>34</v>
      </c>
      <c r="J67" s="3" t="s">
        <v>35</v>
      </c>
      <c r="K67" s="3"/>
      <c r="L67" s="3" t="s">
        <v>36</v>
      </c>
      <c r="M67" s="3" t="str">
        <f>CONCATENATE("SCCMRC02P07G479D")</f>
        <v>SCCMRC02P07G479D</v>
      </c>
      <c r="N67" s="3" t="s">
        <v>144</v>
      </c>
      <c r="O67" s="3" t="s">
        <v>38</v>
      </c>
      <c r="P67" s="3"/>
      <c r="Q67" s="4">
        <v>45956</v>
      </c>
      <c r="R67" s="3" t="s">
        <v>39</v>
      </c>
      <c r="S67" s="3" t="s">
        <v>40</v>
      </c>
      <c r="T67" s="3" t="s">
        <v>41</v>
      </c>
      <c r="U67" s="3"/>
      <c r="V67" s="3" t="s">
        <v>42</v>
      </c>
      <c r="W67" s="3">
        <v>31.82</v>
      </c>
      <c r="X67" s="3">
        <v>23.87</v>
      </c>
      <c r="Y67" s="3">
        <v>5.57</v>
      </c>
      <c r="Z67" s="3">
        <v>2.38</v>
      </c>
      <c r="AA67" s="3">
        <v>0</v>
      </c>
    </row>
    <row r="68" spans="1:27" ht="72.75" x14ac:dyDescent="0.25">
      <c r="A68" s="3" t="s">
        <v>28</v>
      </c>
      <c r="B68" s="3" t="s">
        <v>29</v>
      </c>
      <c r="C68" s="3" t="s">
        <v>30</v>
      </c>
      <c r="D68" s="3" t="s">
        <v>76</v>
      </c>
      <c r="E68" s="3" t="s">
        <v>43</v>
      </c>
      <c r="F68" s="3" t="s">
        <v>126</v>
      </c>
      <c r="G68" s="3">
        <v>2024</v>
      </c>
      <c r="H68" s="3" t="str">
        <f>CONCATENATE("44210013999")</f>
        <v>44210013999</v>
      </c>
      <c r="I68" s="3" t="s">
        <v>110</v>
      </c>
      <c r="J68" s="3" t="s">
        <v>35</v>
      </c>
      <c r="K68" s="3"/>
      <c r="L68" s="3" t="s">
        <v>36</v>
      </c>
      <c r="M68" s="3" t="str">
        <f>CONCATENATE("MRNGLL67E70A252A")</f>
        <v>MRNGLL67E70A252A</v>
      </c>
      <c r="N68" s="3" t="s">
        <v>145</v>
      </c>
      <c r="O68" s="3" t="s">
        <v>38</v>
      </c>
      <c r="P68" s="3"/>
      <c r="Q68" s="4">
        <v>45956</v>
      </c>
      <c r="R68" s="3" t="s">
        <v>39</v>
      </c>
      <c r="S68" s="3" t="s">
        <v>40</v>
      </c>
      <c r="T68" s="3" t="s">
        <v>41</v>
      </c>
      <c r="U68" s="3"/>
      <c r="V68" s="3" t="s">
        <v>42</v>
      </c>
      <c r="W68" s="3">
        <v>15.51</v>
      </c>
      <c r="X68" s="3">
        <v>11.63</v>
      </c>
      <c r="Y68" s="3">
        <v>2.71</v>
      </c>
      <c r="Z68" s="3">
        <v>1.17</v>
      </c>
      <c r="AA68" s="3">
        <v>0</v>
      </c>
    </row>
    <row r="69" spans="1:27" ht="60.75" x14ac:dyDescent="0.25">
      <c r="A69" s="3" t="s">
        <v>28</v>
      </c>
      <c r="B69" s="3" t="s">
        <v>29</v>
      </c>
      <c r="C69" s="3" t="s">
        <v>30</v>
      </c>
      <c r="D69" s="3" t="s">
        <v>31</v>
      </c>
      <c r="E69" s="3" t="s">
        <v>43</v>
      </c>
      <c r="F69" s="3" t="s">
        <v>44</v>
      </c>
      <c r="G69" s="3">
        <v>2024</v>
      </c>
      <c r="H69" s="3" t="str">
        <f>CONCATENATE("44210130975")</f>
        <v>44210130975</v>
      </c>
      <c r="I69" s="3" t="s">
        <v>110</v>
      </c>
      <c r="J69" s="3" t="s">
        <v>35</v>
      </c>
      <c r="K69" s="3"/>
      <c r="L69" s="3" t="s">
        <v>36</v>
      </c>
      <c r="M69" s="3" t="str">
        <f>CONCATENATE("PCCMHL84C16D451H")</f>
        <v>PCCMHL84C16D451H</v>
      </c>
      <c r="N69" s="3" t="s">
        <v>146</v>
      </c>
      <c r="O69" s="3" t="s">
        <v>38</v>
      </c>
      <c r="P69" s="3"/>
      <c r="Q69" s="4">
        <v>45956</v>
      </c>
      <c r="R69" s="3" t="s">
        <v>39</v>
      </c>
      <c r="S69" s="3" t="s">
        <v>40</v>
      </c>
      <c r="T69" s="3" t="s">
        <v>41</v>
      </c>
      <c r="U69" s="3"/>
      <c r="V69" s="3" t="s">
        <v>42</v>
      </c>
      <c r="W69" s="3">
        <v>42.41</v>
      </c>
      <c r="X69" s="3">
        <v>31.81</v>
      </c>
      <c r="Y69" s="3">
        <v>7.42</v>
      </c>
      <c r="Z69" s="3">
        <v>3.18</v>
      </c>
      <c r="AA69" s="3">
        <v>0</v>
      </c>
    </row>
    <row r="70" spans="1:27" ht="60.75" x14ac:dyDescent="0.25">
      <c r="A70" s="3" t="s">
        <v>28</v>
      </c>
      <c r="B70" s="3" t="s">
        <v>29</v>
      </c>
      <c r="C70" s="3" t="s">
        <v>30</v>
      </c>
      <c r="D70" s="3" t="s">
        <v>76</v>
      </c>
      <c r="E70" s="3" t="s">
        <v>43</v>
      </c>
      <c r="F70" s="3" t="s">
        <v>126</v>
      </c>
      <c r="G70" s="3">
        <v>2024</v>
      </c>
      <c r="H70" s="3" t="str">
        <f>CONCATENATE("44210088215")</f>
        <v>44210088215</v>
      </c>
      <c r="I70" s="3" t="s">
        <v>34</v>
      </c>
      <c r="J70" s="3" t="s">
        <v>35</v>
      </c>
      <c r="K70" s="3"/>
      <c r="L70" s="3" t="s">
        <v>36</v>
      </c>
      <c r="M70" s="3" t="str">
        <f>CONCATENATE("BRTSVN46D50F516E")</f>
        <v>BRTSVN46D50F516E</v>
      </c>
      <c r="N70" s="3" t="s">
        <v>147</v>
      </c>
      <c r="O70" s="3" t="s">
        <v>38</v>
      </c>
      <c r="P70" s="3"/>
      <c r="Q70" s="4">
        <v>45956</v>
      </c>
      <c r="R70" s="3" t="s">
        <v>39</v>
      </c>
      <c r="S70" s="3" t="s">
        <v>40</v>
      </c>
      <c r="T70" s="3" t="s">
        <v>41</v>
      </c>
      <c r="U70" s="3"/>
      <c r="V70" s="3" t="s">
        <v>42</v>
      </c>
      <c r="W70" s="3">
        <v>76.959999999999994</v>
      </c>
      <c r="X70" s="3">
        <v>57.72</v>
      </c>
      <c r="Y70" s="3">
        <v>13.47</v>
      </c>
      <c r="Z70" s="3">
        <v>5.77</v>
      </c>
      <c r="AA70" s="3">
        <v>0</v>
      </c>
    </row>
    <row r="71" spans="1:27" ht="72.75" x14ac:dyDescent="0.25">
      <c r="A71" s="3" t="s">
        <v>28</v>
      </c>
      <c r="B71" s="3" t="s">
        <v>29</v>
      </c>
      <c r="C71" s="3" t="s">
        <v>30</v>
      </c>
      <c r="D71" s="3" t="s">
        <v>60</v>
      </c>
      <c r="E71" s="3" t="s">
        <v>43</v>
      </c>
      <c r="F71" s="3" t="s">
        <v>148</v>
      </c>
      <c r="G71" s="3">
        <v>2024</v>
      </c>
      <c r="H71" s="3" t="str">
        <f>CONCATENATE("44210101653")</f>
        <v>44210101653</v>
      </c>
      <c r="I71" s="3" t="s">
        <v>34</v>
      </c>
      <c r="J71" s="3" t="s">
        <v>35</v>
      </c>
      <c r="K71" s="3"/>
      <c r="L71" s="3" t="s">
        <v>36</v>
      </c>
      <c r="M71" s="3" t="str">
        <f>CONCATENATE("CMPGRG67D09A329Q")</f>
        <v>CMPGRG67D09A329Q</v>
      </c>
      <c r="N71" s="3" t="s">
        <v>149</v>
      </c>
      <c r="O71" s="3" t="s">
        <v>38</v>
      </c>
      <c r="P71" s="3"/>
      <c r="Q71" s="4">
        <v>45956</v>
      </c>
      <c r="R71" s="3" t="s">
        <v>39</v>
      </c>
      <c r="S71" s="3" t="s">
        <v>40</v>
      </c>
      <c r="T71" s="3" t="s">
        <v>41</v>
      </c>
      <c r="U71" s="3"/>
      <c r="V71" s="3" t="s">
        <v>42</v>
      </c>
      <c r="W71" s="3">
        <v>26.13</v>
      </c>
      <c r="X71" s="3">
        <v>19.600000000000001</v>
      </c>
      <c r="Y71" s="3">
        <v>4.57</v>
      </c>
      <c r="Z71" s="3">
        <v>1.96</v>
      </c>
      <c r="AA71" s="3">
        <v>0</v>
      </c>
    </row>
    <row r="72" spans="1:27" ht="72.75" x14ac:dyDescent="0.25">
      <c r="A72" s="3" t="s">
        <v>28</v>
      </c>
      <c r="B72" s="3" t="s">
        <v>29</v>
      </c>
      <c r="C72" s="3" t="s">
        <v>30</v>
      </c>
      <c r="D72" s="3" t="s">
        <v>76</v>
      </c>
      <c r="E72" s="3" t="s">
        <v>32</v>
      </c>
      <c r="F72" s="3" t="s">
        <v>150</v>
      </c>
      <c r="G72" s="3">
        <v>2024</v>
      </c>
      <c r="H72" s="3" t="str">
        <f>CONCATENATE("44210149512")</f>
        <v>44210149512</v>
      </c>
      <c r="I72" s="3" t="s">
        <v>34</v>
      </c>
      <c r="J72" s="3" t="s">
        <v>35</v>
      </c>
      <c r="K72" s="3"/>
      <c r="L72" s="3" t="s">
        <v>36</v>
      </c>
      <c r="M72" s="3" t="str">
        <f>CONCATENATE("RCLGCR68M27A252N")</f>
        <v>RCLGCR68M27A252N</v>
      </c>
      <c r="N72" s="3" t="s">
        <v>151</v>
      </c>
      <c r="O72" s="3" t="s">
        <v>38</v>
      </c>
      <c r="P72" s="3"/>
      <c r="Q72" s="4">
        <v>45956</v>
      </c>
      <c r="R72" s="3" t="s">
        <v>39</v>
      </c>
      <c r="S72" s="3" t="s">
        <v>40</v>
      </c>
      <c r="T72" s="3" t="s">
        <v>41</v>
      </c>
      <c r="U72" s="3"/>
      <c r="V72" s="3" t="s">
        <v>42</v>
      </c>
      <c r="W72" s="3">
        <v>43.87</v>
      </c>
      <c r="X72" s="3">
        <v>32.9</v>
      </c>
      <c r="Y72" s="3">
        <v>7.68</v>
      </c>
      <c r="Z72" s="3">
        <v>3.29</v>
      </c>
      <c r="AA72" s="3">
        <v>0</v>
      </c>
    </row>
    <row r="73" spans="1:27" ht="60.75" x14ac:dyDescent="0.25">
      <c r="A73" s="3" t="s">
        <v>28</v>
      </c>
      <c r="B73" s="3" t="s">
        <v>29</v>
      </c>
      <c r="C73" s="3" t="s">
        <v>30</v>
      </c>
      <c r="D73" s="3" t="s">
        <v>46</v>
      </c>
      <c r="E73" s="3" t="s">
        <v>43</v>
      </c>
      <c r="F73" s="3" t="s">
        <v>82</v>
      </c>
      <c r="G73" s="3">
        <v>2024</v>
      </c>
      <c r="H73" s="3" t="str">
        <f>CONCATENATE("44210132658")</f>
        <v>44210132658</v>
      </c>
      <c r="I73" s="3" t="s">
        <v>34</v>
      </c>
      <c r="J73" s="3" t="s">
        <v>35</v>
      </c>
      <c r="K73" s="3"/>
      <c r="L73" s="3" t="s">
        <v>36</v>
      </c>
      <c r="M73" s="3" t="str">
        <f>CONCATENATE("TRCMRA58M43L500B")</f>
        <v>TRCMRA58M43L500B</v>
      </c>
      <c r="N73" s="3" t="s">
        <v>152</v>
      </c>
      <c r="O73" s="3" t="s">
        <v>38</v>
      </c>
      <c r="P73" s="3"/>
      <c r="Q73" s="4">
        <v>45956</v>
      </c>
      <c r="R73" s="3" t="s">
        <v>39</v>
      </c>
      <c r="S73" s="3" t="s">
        <v>40</v>
      </c>
      <c r="T73" s="3" t="s">
        <v>41</v>
      </c>
      <c r="U73" s="3"/>
      <c r="V73" s="3" t="s">
        <v>42</v>
      </c>
      <c r="W73" s="3">
        <v>26.85</v>
      </c>
      <c r="X73" s="3">
        <v>20.14</v>
      </c>
      <c r="Y73" s="3">
        <v>4.7</v>
      </c>
      <c r="Z73" s="3">
        <v>2.0099999999999998</v>
      </c>
      <c r="AA73" s="3">
        <v>0</v>
      </c>
    </row>
    <row r="74" spans="1:27" ht="60.75" x14ac:dyDescent="0.25">
      <c r="A74" s="3" t="s">
        <v>28</v>
      </c>
      <c r="B74" s="3" t="s">
        <v>29</v>
      </c>
      <c r="C74" s="3" t="s">
        <v>30</v>
      </c>
      <c r="D74" s="3" t="s">
        <v>60</v>
      </c>
      <c r="E74" s="3" t="s">
        <v>43</v>
      </c>
      <c r="F74" s="3" t="s">
        <v>88</v>
      </c>
      <c r="G74" s="3">
        <v>2024</v>
      </c>
      <c r="H74" s="3" t="str">
        <f>CONCATENATE("44210185128")</f>
        <v>44210185128</v>
      </c>
      <c r="I74" s="3" t="s">
        <v>34</v>
      </c>
      <c r="J74" s="3" t="s">
        <v>35</v>
      </c>
      <c r="K74" s="3"/>
      <c r="L74" s="3" t="s">
        <v>36</v>
      </c>
      <c r="M74" s="3" t="str">
        <f>CONCATENATE("VNCMNL71D55H501E")</f>
        <v>VNCMNL71D55H501E</v>
      </c>
      <c r="N74" s="3" t="s">
        <v>153</v>
      </c>
      <c r="O74" s="3" t="s">
        <v>38</v>
      </c>
      <c r="P74" s="3"/>
      <c r="Q74" s="4">
        <v>45956</v>
      </c>
      <c r="R74" s="3" t="s">
        <v>39</v>
      </c>
      <c r="S74" s="3" t="s">
        <v>40</v>
      </c>
      <c r="T74" s="3" t="s">
        <v>41</v>
      </c>
      <c r="U74" s="3"/>
      <c r="V74" s="3" t="s">
        <v>42</v>
      </c>
      <c r="W74" s="3">
        <v>57.55</v>
      </c>
      <c r="X74" s="3">
        <v>43.16</v>
      </c>
      <c r="Y74" s="3">
        <v>10.07</v>
      </c>
      <c r="Z74" s="3">
        <v>4.32</v>
      </c>
      <c r="AA74" s="3">
        <v>0</v>
      </c>
    </row>
    <row r="75" spans="1:27" ht="60.75" x14ac:dyDescent="0.25">
      <c r="A75" s="3" t="s">
        <v>28</v>
      </c>
      <c r="B75" s="3" t="s">
        <v>29</v>
      </c>
      <c r="C75" s="3" t="s">
        <v>30</v>
      </c>
      <c r="D75" s="3" t="s">
        <v>60</v>
      </c>
      <c r="E75" s="3" t="s">
        <v>77</v>
      </c>
      <c r="F75" s="3" t="s">
        <v>154</v>
      </c>
      <c r="G75" s="3">
        <v>2024</v>
      </c>
      <c r="H75" s="3" t="str">
        <f>CONCATENATE("44210387831")</f>
        <v>44210387831</v>
      </c>
      <c r="I75" s="3" t="s">
        <v>34</v>
      </c>
      <c r="J75" s="3" t="s">
        <v>35</v>
      </c>
      <c r="K75" s="3"/>
      <c r="L75" s="3" t="s">
        <v>36</v>
      </c>
      <c r="M75" s="3" t="str">
        <f>CONCATENATE("FBBPLA66R19B398Q")</f>
        <v>FBBPLA66R19B398Q</v>
      </c>
      <c r="N75" s="3" t="s">
        <v>155</v>
      </c>
      <c r="O75" s="3" t="s">
        <v>38</v>
      </c>
      <c r="P75" s="3"/>
      <c r="Q75" s="4">
        <v>45956</v>
      </c>
      <c r="R75" s="3" t="s">
        <v>39</v>
      </c>
      <c r="S75" s="3" t="s">
        <v>40</v>
      </c>
      <c r="T75" s="3" t="s">
        <v>41</v>
      </c>
      <c r="U75" s="3"/>
      <c r="V75" s="3" t="s">
        <v>42</v>
      </c>
      <c r="W75" s="3">
        <v>56.23</v>
      </c>
      <c r="X75" s="3">
        <v>42.17</v>
      </c>
      <c r="Y75" s="3">
        <v>9.84</v>
      </c>
      <c r="Z75" s="3">
        <v>4.22</v>
      </c>
      <c r="AA75" s="3">
        <v>0</v>
      </c>
    </row>
    <row r="76" spans="1:27" ht="36.75" x14ac:dyDescent="0.25">
      <c r="A76" s="3" t="s">
        <v>28</v>
      </c>
      <c r="B76" s="3" t="s">
        <v>29</v>
      </c>
      <c r="C76" s="3" t="s">
        <v>30</v>
      </c>
      <c r="D76" s="3" t="s">
        <v>46</v>
      </c>
      <c r="E76" s="3" t="s">
        <v>43</v>
      </c>
      <c r="F76" s="3" t="s">
        <v>84</v>
      </c>
      <c r="G76" s="3">
        <v>2024</v>
      </c>
      <c r="H76" s="3" t="str">
        <f>CONCATENATE("44210162523")</f>
        <v>44210162523</v>
      </c>
      <c r="I76" s="3" t="s">
        <v>34</v>
      </c>
      <c r="J76" s="3" t="s">
        <v>35</v>
      </c>
      <c r="K76" s="3"/>
      <c r="L76" s="3" t="s">
        <v>36</v>
      </c>
      <c r="M76" s="3" t="str">
        <f>CONCATENATE("02317820419")</f>
        <v>02317820419</v>
      </c>
      <c r="N76" s="3" t="s">
        <v>156</v>
      </c>
      <c r="O76" s="3" t="s">
        <v>38</v>
      </c>
      <c r="P76" s="3"/>
      <c r="Q76" s="4">
        <v>45956</v>
      </c>
      <c r="R76" s="3" t="s">
        <v>39</v>
      </c>
      <c r="S76" s="3" t="s">
        <v>40</v>
      </c>
      <c r="T76" s="3" t="s">
        <v>41</v>
      </c>
      <c r="U76" s="3"/>
      <c r="V76" s="3" t="s">
        <v>42</v>
      </c>
      <c r="W76" s="3">
        <v>24.78</v>
      </c>
      <c r="X76" s="3">
        <v>18.59</v>
      </c>
      <c r="Y76" s="3">
        <v>4.34</v>
      </c>
      <c r="Z76" s="3">
        <v>1.85</v>
      </c>
      <c r="AA76" s="3">
        <v>0</v>
      </c>
    </row>
    <row r="77" spans="1:27" ht="36.75" x14ac:dyDescent="0.25">
      <c r="A77" s="3" t="s">
        <v>28</v>
      </c>
      <c r="B77" s="3" t="s">
        <v>29</v>
      </c>
      <c r="C77" s="3" t="s">
        <v>30</v>
      </c>
      <c r="D77" s="3" t="s">
        <v>46</v>
      </c>
      <c r="E77" s="3" t="s">
        <v>43</v>
      </c>
      <c r="F77" s="3" t="s">
        <v>55</v>
      </c>
      <c r="G77" s="3">
        <v>2024</v>
      </c>
      <c r="H77" s="3" t="str">
        <f>CONCATENATE("44210425250")</f>
        <v>44210425250</v>
      </c>
      <c r="I77" s="3" t="s">
        <v>34</v>
      </c>
      <c r="J77" s="3" t="s">
        <v>35</v>
      </c>
      <c r="K77" s="3"/>
      <c r="L77" s="3" t="s">
        <v>36</v>
      </c>
      <c r="M77" s="3" t="str">
        <f>CONCATENATE("02468540410")</f>
        <v>02468540410</v>
      </c>
      <c r="N77" s="3" t="s">
        <v>157</v>
      </c>
      <c r="O77" s="3" t="s">
        <v>38</v>
      </c>
      <c r="P77" s="3"/>
      <c r="Q77" s="4">
        <v>45956</v>
      </c>
      <c r="R77" s="3" t="s">
        <v>39</v>
      </c>
      <c r="S77" s="3" t="s">
        <v>40</v>
      </c>
      <c r="T77" s="3" t="s">
        <v>41</v>
      </c>
      <c r="U77" s="3"/>
      <c r="V77" s="3" t="s">
        <v>42</v>
      </c>
      <c r="W77" s="3">
        <v>20.87</v>
      </c>
      <c r="X77" s="3">
        <v>15.65</v>
      </c>
      <c r="Y77" s="3">
        <v>3.65</v>
      </c>
      <c r="Z77" s="3">
        <v>1.57</v>
      </c>
      <c r="AA77" s="3">
        <v>0</v>
      </c>
    </row>
    <row r="78" spans="1:27" ht="36.75" x14ac:dyDescent="0.25">
      <c r="A78" s="3" t="s">
        <v>28</v>
      </c>
      <c r="B78" s="3" t="s">
        <v>29</v>
      </c>
      <c r="C78" s="3" t="s">
        <v>30</v>
      </c>
      <c r="D78" s="3" t="s">
        <v>31</v>
      </c>
      <c r="E78" s="3" t="s">
        <v>57</v>
      </c>
      <c r="F78" s="3" t="s">
        <v>105</v>
      </c>
      <c r="G78" s="3">
        <v>2024</v>
      </c>
      <c r="H78" s="3" t="str">
        <f>CONCATENATE("44210467112")</f>
        <v>44210467112</v>
      </c>
      <c r="I78" s="3" t="s">
        <v>34</v>
      </c>
      <c r="J78" s="3" t="s">
        <v>35</v>
      </c>
      <c r="K78" s="3"/>
      <c r="L78" s="3" t="s">
        <v>36</v>
      </c>
      <c r="M78" s="3" t="str">
        <f>CONCATENATE("02709490425")</f>
        <v>02709490425</v>
      </c>
      <c r="N78" s="3" t="s">
        <v>158</v>
      </c>
      <c r="O78" s="3" t="s">
        <v>38</v>
      </c>
      <c r="P78" s="3"/>
      <c r="Q78" s="4">
        <v>45956</v>
      </c>
      <c r="R78" s="3" t="s">
        <v>39</v>
      </c>
      <c r="S78" s="3" t="s">
        <v>40</v>
      </c>
      <c r="T78" s="3" t="s">
        <v>41</v>
      </c>
      <c r="U78" s="3"/>
      <c r="V78" s="3" t="s">
        <v>42</v>
      </c>
      <c r="W78" s="3">
        <v>131.75</v>
      </c>
      <c r="X78" s="3">
        <v>98.81</v>
      </c>
      <c r="Y78" s="3">
        <v>23.06</v>
      </c>
      <c r="Z78" s="3">
        <v>9.8800000000000008</v>
      </c>
      <c r="AA78" s="3">
        <v>0</v>
      </c>
    </row>
    <row r="79" spans="1:27" ht="36.75" x14ac:dyDescent="0.25">
      <c r="A79" s="3" t="s">
        <v>28</v>
      </c>
      <c r="B79" s="3" t="s">
        <v>29</v>
      </c>
      <c r="C79" s="3" t="s">
        <v>30</v>
      </c>
      <c r="D79" s="3" t="s">
        <v>60</v>
      </c>
      <c r="E79" s="3" t="s">
        <v>73</v>
      </c>
      <c r="F79" s="3" t="s">
        <v>159</v>
      </c>
      <c r="G79" s="3">
        <v>2024</v>
      </c>
      <c r="H79" s="3" t="str">
        <f>CONCATENATE("44210483036")</f>
        <v>44210483036</v>
      </c>
      <c r="I79" s="3" t="s">
        <v>34</v>
      </c>
      <c r="J79" s="3" t="s">
        <v>35</v>
      </c>
      <c r="K79" s="3"/>
      <c r="L79" s="3" t="s">
        <v>36</v>
      </c>
      <c r="M79" s="3" t="str">
        <f>CONCATENATE("01988060438")</f>
        <v>01988060438</v>
      </c>
      <c r="N79" s="3" t="s">
        <v>160</v>
      </c>
      <c r="O79" s="3" t="s">
        <v>38</v>
      </c>
      <c r="P79" s="3"/>
      <c r="Q79" s="4">
        <v>45956</v>
      </c>
      <c r="R79" s="3" t="s">
        <v>39</v>
      </c>
      <c r="S79" s="3" t="s">
        <v>40</v>
      </c>
      <c r="T79" s="3" t="s">
        <v>41</v>
      </c>
      <c r="U79" s="3"/>
      <c r="V79" s="3" t="s">
        <v>42</v>
      </c>
      <c r="W79" s="3">
        <v>257.39999999999998</v>
      </c>
      <c r="X79" s="3">
        <v>193.05</v>
      </c>
      <c r="Y79" s="3">
        <v>45.05</v>
      </c>
      <c r="Z79" s="3">
        <v>19.3</v>
      </c>
      <c r="AA79" s="3">
        <v>0</v>
      </c>
    </row>
    <row r="80" spans="1:27" ht="60.75" x14ac:dyDescent="0.25">
      <c r="A80" s="3" t="s">
        <v>28</v>
      </c>
      <c r="B80" s="3" t="s">
        <v>29</v>
      </c>
      <c r="C80" s="3" t="s">
        <v>30</v>
      </c>
      <c r="D80" s="3" t="s">
        <v>46</v>
      </c>
      <c r="E80" s="3" t="s">
        <v>43</v>
      </c>
      <c r="F80" s="3" t="s">
        <v>84</v>
      </c>
      <c r="G80" s="3">
        <v>2024</v>
      </c>
      <c r="H80" s="3" t="str">
        <f>CONCATENATE("44210299366")</f>
        <v>44210299366</v>
      </c>
      <c r="I80" s="3" t="s">
        <v>34</v>
      </c>
      <c r="J80" s="3" t="s">
        <v>35</v>
      </c>
      <c r="K80" s="3"/>
      <c r="L80" s="3" t="s">
        <v>36</v>
      </c>
      <c r="M80" s="3" t="str">
        <f>CONCATENATE("BEIMTT88R07A271C")</f>
        <v>BEIMTT88R07A271C</v>
      </c>
      <c r="N80" s="3" t="s">
        <v>161</v>
      </c>
      <c r="O80" s="3" t="s">
        <v>38</v>
      </c>
      <c r="P80" s="3"/>
      <c r="Q80" s="4">
        <v>45956</v>
      </c>
      <c r="R80" s="3" t="s">
        <v>39</v>
      </c>
      <c r="S80" s="3" t="s">
        <v>40</v>
      </c>
      <c r="T80" s="3" t="s">
        <v>41</v>
      </c>
      <c r="U80" s="3"/>
      <c r="V80" s="3" t="s">
        <v>42</v>
      </c>
      <c r="W80" s="3">
        <v>372.68</v>
      </c>
      <c r="X80" s="3">
        <v>279.51</v>
      </c>
      <c r="Y80" s="3">
        <v>65.22</v>
      </c>
      <c r="Z80" s="3">
        <v>27.95</v>
      </c>
      <c r="AA80" s="3">
        <v>0</v>
      </c>
    </row>
    <row r="81" spans="1:27" ht="36.75" x14ac:dyDescent="0.25">
      <c r="A81" s="3" t="s">
        <v>28</v>
      </c>
      <c r="B81" s="3" t="s">
        <v>29</v>
      </c>
      <c r="C81" s="3" t="s">
        <v>30</v>
      </c>
      <c r="D81" s="3" t="s">
        <v>46</v>
      </c>
      <c r="E81" s="3" t="s">
        <v>57</v>
      </c>
      <c r="F81" s="3" t="s">
        <v>58</v>
      </c>
      <c r="G81" s="3">
        <v>2024</v>
      </c>
      <c r="H81" s="3" t="str">
        <f>CONCATENATE("44210627871")</f>
        <v>44210627871</v>
      </c>
      <c r="I81" s="3" t="s">
        <v>34</v>
      </c>
      <c r="J81" s="3" t="s">
        <v>35</v>
      </c>
      <c r="K81" s="3"/>
      <c r="L81" s="3" t="s">
        <v>36</v>
      </c>
      <c r="M81" s="3" t="str">
        <f>CONCATENATE("02622370415")</f>
        <v>02622370415</v>
      </c>
      <c r="N81" s="3" t="s">
        <v>162</v>
      </c>
      <c r="O81" s="3" t="s">
        <v>38</v>
      </c>
      <c r="P81" s="3"/>
      <c r="Q81" s="4">
        <v>45956</v>
      </c>
      <c r="R81" s="3" t="s">
        <v>39</v>
      </c>
      <c r="S81" s="3" t="s">
        <v>40</v>
      </c>
      <c r="T81" s="3" t="s">
        <v>41</v>
      </c>
      <c r="U81" s="3"/>
      <c r="V81" s="3" t="s">
        <v>42</v>
      </c>
      <c r="W81" s="3">
        <v>51.42</v>
      </c>
      <c r="X81" s="3">
        <v>38.57</v>
      </c>
      <c r="Y81" s="3">
        <v>9</v>
      </c>
      <c r="Z81" s="3">
        <v>3.85</v>
      </c>
      <c r="AA81" s="3">
        <v>0</v>
      </c>
    </row>
    <row r="82" spans="1:27" ht="60.75" x14ac:dyDescent="0.25">
      <c r="A82" s="3" t="s">
        <v>28</v>
      </c>
      <c r="B82" s="3" t="s">
        <v>29</v>
      </c>
      <c r="C82" s="3" t="s">
        <v>30</v>
      </c>
      <c r="D82" s="3" t="s">
        <v>60</v>
      </c>
      <c r="E82" s="3" t="s">
        <v>43</v>
      </c>
      <c r="F82" s="3" t="s">
        <v>63</v>
      </c>
      <c r="G82" s="3">
        <v>2024</v>
      </c>
      <c r="H82" s="3" t="str">
        <f>CONCATENATE("44210054332")</f>
        <v>44210054332</v>
      </c>
      <c r="I82" s="3" t="s">
        <v>34</v>
      </c>
      <c r="J82" s="3" t="s">
        <v>35</v>
      </c>
      <c r="K82" s="3"/>
      <c r="L82" s="3" t="s">
        <v>36</v>
      </c>
      <c r="M82" s="3" t="str">
        <f>CONCATENATE("PSRLCU97E28B474T")</f>
        <v>PSRLCU97E28B474T</v>
      </c>
      <c r="N82" s="3" t="s">
        <v>163</v>
      </c>
      <c r="O82" s="3" t="s">
        <v>38</v>
      </c>
      <c r="P82" s="3"/>
      <c r="Q82" s="4">
        <v>45956</v>
      </c>
      <c r="R82" s="3" t="s">
        <v>39</v>
      </c>
      <c r="S82" s="3" t="s">
        <v>40</v>
      </c>
      <c r="T82" s="3" t="s">
        <v>41</v>
      </c>
      <c r="U82" s="3"/>
      <c r="V82" s="3" t="s">
        <v>42</v>
      </c>
      <c r="W82" s="3">
        <v>285.5</v>
      </c>
      <c r="X82" s="3">
        <v>214.13</v>
      </c>
      <c r="Y82" s="3">
        <v>49.96</v>
      </c>
      <c r="Z82" s="3">
        <v>21.41</v>
      </c>
      <c r="AA82" s="3">
        <v>0</v>
      </c>
    </row>
    <row r="83" spans="1:27" ht="60.75" x14ac:dyDescent="0.25">
      <c r="A83" s="3" t="s">
        <v>28</v>
      </c>
      <c r="B83" s="3" t="s">
        <v>29</v>
      </c>
      <c r="C83" s="3" t="s">
        <v>30</v>
      </c>
      <c r="D83" s="3" t="s">
        <v>76</v>
      </c>
      <c r="E83" s="3" t="s">
        <v>32</v>
      </c>
      <c r="F83" s="3" t="s">
        <v>135</v>
      </c>
      <c r="G83" s="3">
        <v>2024</v>
      </c>
      <c r="H83" s="3" t="str">
        <f>CONCATENATE("44210104723")</f>
        <v>44210104723</v>
      </c>
      <c r="I83" s="3" t="s">
        <v>34</v>
      </c>
      <c r="J83" s="3" t="s">
        <v>35</v>
      </c>
      <c r="K83" s="3"/>
      <c r="L83" s="3" t="s">
        <v>36</v>
      </c>
      <c r="M83" s="3" t="str">
        <f>CONCATENATE("FLZGRG53R15H390Z")</f>
        <v>FLZGRG53R15H390Z</v>
      </c>
      <c r="N83" s="3" t="s">
        <v>164</v>
      </c>
      <c r="O83" s="3" t="s">
        <v>38</v>
      </c>
      <c r="P83" s="3"/>
      <c r="Q83" s="4">
        <v>45956</v>
      </c>
      <c r="R83" s="3" t="s">
        <v>39</v>
      </c>
      <c r="S83" s="3" t="s">
        <v>40</v>
      </c>
      <c r="T83" s="3" t="s">
        <v>41</v>
      </c>
      <c r="U83" s="3"/>
      <c r="V83" s="3" t="s">
        <v>42</v>
      </c>
      <c r="W83" s="3">
        <v>168.88</v>
      </c>
      <c r="X83" s="3">
        <v>126.66</v>
      </c>
      <c r="Y83" s="3">
        <v>29.55</v>
      </c>
      <c r="Z83" s="3">
        <v>12.67</v>
      </c>
      <c r="AA83" s="3">
        <v>0</v>
      </c>
    </row>
    <row r="84" spans="1:27" ht="60.75" x14ac:dyDescent="0.25">
      <c r="A84" s="3" t="s">
        <v>28</v>
      </c>
      <c r="B84" s="3" t="s">
        <v>29</v>
      </c>
      <c r="C84" s="3" t="s">
        <v>30</v>
      </c>
      <c r="D84" s="3" t="s">
        <v>46</v>
      </c>
      <c r="E84" s="3" t="s">
        <v>32</v>
      </c>
      <c r="F84" s="3" t="s">
        <v>97</v>
      </c>
      <c r="G84" s="3">
        <v>2024</v>
      </c>
      <c r="H84" s="3" t="str">
        <f>CONCATENATE("44210232292")</f>
        <v>44210232292</v>
      </c>
      <c r="I84" s="3" t="s">
        <v>34</v>
      </c>
      <c r="J84" s="3" t="s">
        <v>35</v>
      </c>
      <c r="K84" s="3"/>
      <c r="L84" s="3" t="s">
        <v>36</v>
      </c>
      <c r="M84" s="3" t="str">
        <f>CONCATENATE("GRRMRC84C03I459K")</f>
        <v>GRRMRC84C03I459K</v>
      </c>
      <c r="N84" s="3" t="s">
        <v>165</v>
      </c>
      <c r="O84" s="3" t="s">
        <v>38</v>
      </c>
      <c r="P84" s="3"/>
      <c r="Q84" s="4">
        <v>45956</v>
      </c>
      <c r="R84" s="3" t="s">
        <v>39</v>
      </c>
      <c r="S84" s="3" t="s">
        <v>40</v>
      </c>
      <c r="T84" s="3" t="s">
        <v>41</v>
      </c>
      <c r="U84" s="3"/>
      <c r="V84" s="3" t="s">
        <v>42</v>
      </c>
      <c r="W84" s="3">
        <v>17.32</v>
      </c>
      <c r="X84" s="3">
        <v>12.99</v>
      </c>
      <c r="Y84" s="3">
        <v>3.03</v>
      </c>
      <c r="Z84" s="3">
        <v>1.3</v>
      </c>
      <c r="AA84" s="3">
        <v>0</v>
      </c>
    </row>
    <row r="85" spans="1:27" ht="72.75" x14ac:dyDescent="0.25">
      <c r="A85" s="3" t="s">
        <v>28</v>
      </c>
      <c r="B85" s="3" t="s">
        <v>29</v>
      </c>
      <c r="C85" s="3" t="s">
        <v>30</v>
      </c>
      <c r="D85" s="3" t="s">
        <v>46</v>
      </c>
      <c r="E85" s="3" t="s">
        <v>32</v>
      </c>
      <c r="F85" s="3" t="s">
        <v>47</v>
      </c>
      <c r="G85" s="3">
        <v>2024</v>
      </c>
      <c r="H85" s="3" t="str">
        <f>CONCATENATE("44210443337")</f>
        <v>44210443337</v>
      </c>
      <c r="I85" s="3" t="s">
        <v>34</v>
      </c>
      <c r="J85" s="3" t="s">
        <v>35</v>
      </c>
      <c r="K85" s="3"/>
      <c r="L85" s="3" t="s">
        <v>36</v>
      </c>
      <c r="M85" s="3" t="str">
        <f>CONCATENATE("CNDSMN72H54B352M")</f>
        <v>CNDSMN72H54B352M</v>
      </c>
      <c r="N85" s="3" t="s">
        <v>166</v>
      </c>
      <c r="O85" s="3" t="s">
        <v>38</v>
      </c>
      <c r="P85" s="3"/>
      <c r="Q85" s="4">
        <v>45956</v>
      </c>
      <c r="R85" s="3" t="s">
        <v>39</v>
      </c>
      <c r="S85" s="3" t="s">
        <v>40</v>
      </c>
      <c r="T85" s="3" t="s">
        <v>41</v>
      </c>
      <c r="U85" s="3"/>
      <c r="V85" s="3" t="s">
        <v>42</v>
      </c>
      <c r="W85" s="3">
        <v>29.6</v>
      </c>
      <c r="X85" s="3">
        <v>22.2</v>
      </c>
      <c r="Y85" s="3">
        <v>5.18</v>
      </c>
      <c r="Z85" s="3">
        <v>2.2200000000000002</v>
      </c>
      <c r="AA85" s="3">
        <v>0</v>
      </c>
    </row>
    <row r="86" spans="1:27" ht="60.75" x14ac:dyDescent="0.25">
      <c r="A86" s="3" t="s">
        <v>28</v>
      </c>
      <c r="B86" s="3" t="s">
        <v>29</v>
      </c>
      <c r="C86" s="3" t="s">
        <v>30</v>
      </c>
      <c r="D86" s="3" t="s">
        <v>46</v>
      </c>
      <c r="E86" s="3" t="s">
        <v>43</v>
      </c>
      <c r="F86" s="3" t="s">
        <v>49</v>
      </c>
      <c r="G86" s="3">
        <v>2024</v>
      </c>
      <c r="H86" s="3" t="str">
        <f>CONCATENATE("44210290472")</f>
        <v>44210290472</v>
      </c>
      <c r="I86" s="3" t="s">
        <v>34</v>
      </c>
      <c r="J86" s="3" t="s">
        <v>35</v>
      </c>
      <c r="K86" s="3"/>
      <c r="L86" s="3" t="s">
        <v>36</v>
      </c>
      <c r="M86" s="3" t="str">
        <f>CONCATENATE("KLNSNS66B60Z112S")</f>
        <v>KLNSNS66B60Z112S</v>
      </c>
      <c r="N86" s="3" t="s">
        <v>167</v>
      </c>
      <c r="O86" s="3" t="s">
        <v>38</v>
      </c>
      <c r="P86" s="3"/>
      <c r="Q86" s="4">
        <v>45956</v>
      </c>
      <c r="R86" s="3" t="s">
        <v>39</v>
      </c>
      <c r="S86" s="3" t="s">
        <v>40</v>
      </c>
      <c r="T86" s="3" t="s">
        <v>41</v>
      </c>
      <c r="U86" s="3"/>
      <c r="V86" s="3" t="s">
        <v>42</v>
      </c>
      <c r="W86" s="3">
        <v>280.25</v>
      </c>
      <c r="X86" s="3">
        <v>210.19</v>
      </c>
      <c r="Y86" s="3">
        <v>49.04</v>
      </c>
      <c r="Z86" s="3">
        <v>21.02</v>
      </c>
      <c r="AA86" s="3">
        <v>0</v>
      </c>
    </row>
    <row r="87" spans="1:27" ht="60.75" x14ac:dyDescent="0.25">
      <c r="A87" s="3" t="s">
        <v>28</v>
      </c>
      <c r="B87" s="3" t="s">
        <v>29</v>
      </c>
      <c r="C87" s="3" t="s">
        <v>30</v>
      </c>
      <c r="D87" s="3" t="s">
        <v>46</v>
      </c>
      <c r="E87" s="3" t="s">
        <v>32</v>
      </c>
      <c r="F87" s="3" t="s">
        <v>47</v>
      </c>
      <c r="G87" s="3">
        <v>2024</v>
      </c>
      <c r="H87" s="3" t="str">
        <f>CONCATENATE("44210475305")</f>
        <v>44210475305</v>
      </c>
      <c r="I87" s="3" t="s">
        <v>34</v>
      </c>
      <c r="J87" s="3" t="s">
        <v>35</v>
      </c>
      <c r="K87" s="3"/>
      <c r="L87" s="3" t="s">
        <v>36</v>
      </c>
      <c r="M87" s="3" t="str">
        <f>CONCATENATE("TNCRZO63D08L500Z")</f>
        <v>TNCRZO63D08L500Z</v>
      </c>
      <c r="N87" s="3" t="s">
        <v>168</v>
      </c>
      <c r="O87" s="3" t="s">
        <v>38</v>
      </c>
      <c r="P87" s="3"/>
      <c r="Q87" s="4">
        <v>45956</v>
      </c>
      <c r="R87" s="3" t="s">
        <v>39</v>
      </c>
      <c r="S87" s="3" t="s">
        <v>40</v>
      </c>
      <c r="T87" s="3" t="s">
        <v>41</v>
      </c>
      <c r="U87" s="3"/>
      <c r="V87" s="3" t="s">
        <v>42</v>
      </c>
      <c r="W87" s="3">
        <v>34.94</v>
      </c>
      <c r="X87" s="3">
        <v>26.21</v>
      </c>
      <c r="Y87" s="3">
        <v>6.11</v>
      </c>
      <c r="Z87" s="3">
        <v>2.62</v>
      </c>
      <c r="AA87" s="3">
        <v>0</v>
      </c>
    </row>
    <row r="88" spans="1:27" ht="60.75" x14ac:dyDescent="0.25">
      <c r="A88" s="3" t="s">
        <v>28</v>
      </c>
      <c r="B88" s="3" t="s">
        <v>29</v>
      </c>
      <c r="C88" s="3" t="s">
        <v>30</v>
      </c>
      <c r="D88" s="3" t="s">
        <v>60</v>
      </c>
      <c r="E88" s="3" t="s">
        <v>43</v>
      </c>
      <c r="F88" s="3" t="s">
        <v>63</v>
      </c>
      <c r="G88" s="3">
        <v>2024</v>
      </c>
      <c r="H88" s="3" t="str">
        <f>CONCATENATE("44210328512")</f>
        <v>44210328512</v>
      </c>
      <c r="I88" s="3" t="s">
        <v>34</v>
      </c>
      <c r="J88" s="3" t="s">
        <v>35</v>
      </c>
      <c r="K88" s="3"/>
      <c r="L88" s="3" t="s">
        <v>36</v>
      </c>
      <c r="M88" s="3" t="str">
        <f>CONCATENATE("MRZLGN75A18L191E")</f>
        <v>MRZLGN75A18L191E</v>
      </c>
      <c r="N88" s="3" t="s">
        <v>169</v>
      </c>
      <c r="O88" s="3" t="s">
        <v>38</v>
      </c>
      <c r="P88" s="3"/>
      <c r="Q88" s="4">
        <v>45956</v>
      </c>
      <c r="R88" s="3" t="s">
        <v>39</v>
      </c>
      <c r="S88" s="3" t="s">
        <v>40</v>
      </c>
      <c r="T88" s="3" t="s">
        <v>41</v>
      </c>
      <c r="U88" s="3"/>
      <c r="V88" s="3" t="s">
        <v>42</v>
      </c>
      <c r="W88" s="3">
        <v>48.92</v>
      </c>
      <c r="X88" s="3">
        <v>36.69</v>
      </c>
      <c r="Y88" s="3">
        <v>8.56</v>
      </c>
      <c r="Z88" s="3">
        <v>3.67</v>
      </c>
      <c r="AA88" s="3">
        <v>0</v>
      </c>
    </row>
    <row r="89" spans="1:27" ht="60.75" x14ac:dyDescent="0.25">
      <c r="A89" s="3" t="s">
        <v>28</v>
      </c>
      <c r="B89" s="3" t="s">
        <v>29</v>
      </c>
      <c r="C89" s="3" t="s">
        <v>30</v>
      </c>
      <c r="D89" s="3" t="s">
        <v>46</v>
      </c>
      <c r="E89" s="3" t="s">
        <v>32</v>
      </c>
      <c r="F89" s="3" t="s">
        <v>97</v>
      </c>
      <c r="G89" s="3">
        <v>2024</v>
      </c>
      <c r="H89" s="3" t="str">
        <f>CONCATENATE("44210392690")</f>
        <v>44210392690</v>
      </c>
      <c r="I89" s="3" t="s">
        <v>34</v>
      </c>
      <c r="J89" s="3" t="s">
        <v>35</v>
      </c>
      <c r="K89" s="3"/>
      <c r="L89" s="3" t="s">
        <v>36</v>
      </c>
      <c r="M89" s="3" t="str">
        <f>CONCATENATE("CRSDNS91R09I459N")</f>
        <v>CRSDNS91R09I459N</v>
      </c>
      <c r="N89" s="3" t="s">
        <v>170</v>
      </c>
      <c r="O89" s="3" t="s">
        <v>38</v>
      </c>
      <c r="P89" s="3"/>
      <c r="Q89" s="4">
        <v>45956</v>
      </c>
      <c r="R89" s="3" t="s">
        <v>39</v>
      </c>
      <c r="S89" s="3" t="s">
        <v>40</v>
      </c>
      <c r="T89" s="3" t="s">
        <v>41</v>
      </c>
      <c r="U89" s="3"/>
      <c r="V89" s="3" t="s">
        <v>42</v>
      </c>
      <c r="W89" s="3">
        <v>355.55</v>
      </c>
      <c r="X89" s="3">
        <v>266.66000000000003</v>
      </c>
      <c r="Y89" s="3">
        <v>62.22</v>
      </c>
      <c r="Z89" s="3">
        <v>26.67</v>
      </c>
      <c r="AA89" s="3">
        <v>0</v>
      </c>
    </row>
    <row r="90" spans="1:27" ht="36.75" x14ac:dyDescent="0.25">
      <c r="A90" s="3" t="s">
        <v>28</v>
      </c>
      <c r="B90" s="3" t="s">
        <v>29</v>
      </c>
      <c r="C90" s="3" t="s">
        <v>30</v>
      </c>
      <c r="D90" s="3" t="s">
        <v>60</v>
      </c>
      <c r="E90" s="3" t="s">
        <v>73</v>
      </c>
      <c r="F90" s="3" t="s">
        <v>171</v>
      </c>
      <c r="G90" s="3">
        <v>2024</v>
      </c>
      <c r="H90" s="3" t="str">
        <f>CONCATENATE("44210360754")</f>
        <v>44210360754</v>
      </c>
      <c r="I90" s="3" t="s">
        <v>34</v>
      </c>
      <c r="J90" s="3" t="s">
        <v>35</v>
      </c>
      <c r="K90" s="3"/>
      <c r="L90" s="3" t="s">
        <v>36</v>
      </c>
      <c r="M90" s="3" t="str">
        <f>CONCATENATE("01475940431")</f>
        <v>01475940431</v>
      </c>
      <c r="N90" s="3" t="s">
        <v>172</v>
      </c>
      <c r="O90" s="3" t="s">
        <v>38</v>
      </c>
      <c r="P90" s="3"/>
      <c r="Q90" s="4">
        <v>45956</v>
      </c>
      <c r="R90" s="3" t="s">
        <v>39</v>
      </c>
      <c r="S90" s="3" t="s">
        <v>40</v>
      </c>
      <c r="T90" s="3" t="s">
        <v>41</v>
      </c>
      <c r="U90" s="3"/>
      <c r="V90" s="3" t="s">
        <v>42</v>
      </c>
      <c r="W90" s="3">
        <v>163.74</v>
      </c>
      <c r="X90" s="3">
        <v>122.81</v>
      </c>
      <c r="Y90" s="3">
        <v>28.65</v>
      </c>
      <c r="Z90" s="3">
        <v>12.28</v>
      </c>
      <c r="AA90" s="3">
        <v>0</v>
      </c>
    </row>
    <row r="91" spans="1:27" ht="36.75" x14ac:dyDescent="0.25">
      <c r="A91" s="3" t="s">
        <v>28</v>
      </c>
      <c r="B91" s="3" t="s">
        <v>29</v>
      </c>
      <c r="C91" s="3" t="s">
        <v>30</v>
      </c>
      <c r="D91" s="3" t="s">
        <v>76</v>
      </c>
      <c r="E91" s="3" t="s">
        <v>77</v>
      </c>
      <c r="F91" s="3" t="s">
        <v>78</v>
      </c>
      <c r="G91" s="3">
        <v>2024</v>
      </c>
      <c r="H91" s="3" t="str">
        <f>CONCATENATE("44210580005")</f>
        <v>44210580005</v>
      </c>
      <c r="I91" s="3" t="s">
        <v>34</v>
      </c>
      <c r="J91" s="3" t="s">
        <v>35</v>
      </c>
      <c r="K91" s="3"/>
      <c r="L91" s="3" t="s">
        <v>36</v>
      </c>
      <c r="M91" s="3" t="str">
        <f>CONCATENATE("02361410448")</f>
        <v>02361410448</v>
      </c>
      <c r="N91" s="3" t="s">
        <v>173</v>
      </c>
      <c r="O91" s="3" t="s">
        <v>38</v>
      </c>
      <c r="P91" s="3"/>
      <c r="Q91" s="4">
        <v>45956</v>
      </c>
      <c r="R91" s="3" t="s">
        <v>39</v>
      </c>
      <c r="S91" s="3" t="s">
        <v>40</v>
      </c>
      <c r="T91" s="3" t="s">
        <v>41</v>
      </c>
      <c r="U91" s="3"/>
      <c r="V91" s="3" t="s">
        <v>42</v>
      </c>
      <c r="W91" s="3">
        <v>23.95</v>
      </c>
      <c r="X91" s="3">
        <v>17.96</v>
      </c>
      <c r="Y91" s="3">
        <v>4.1900000000000004</v>
      </c>
      <c r="Z91" s="3">
        <v>1.8</v>
      </c>
      <c r="AA91" s="3">
        <v>0</v>
      </c>
    </row>
    <row r="92" spans="1:27" ht="36.75" x14ac:dyDescent="0.25">
      <c r="A92" s="3" t="s">
        <v>28</v>
      </c>
      <c r="B92" s="3" t="s">
        <v>29</v>
      </c>
      <c r="C92" s="3" t="s">
        <v>30</v>
      </c>
      <c r="D92" s="3" t="s">
        <v>46</v>
      </c>
      <c r="E92" s="3" t="s">
        <v>57</v>
      </c>
      <c r="F92" s="3" t="s">
        <v>58</v>
      </c>
      <c r="G92" s="3">
        <v>2024</v>
      </c>
      <c r="H92" s="3" t="str">
        <f>CONCATENATE("44210717300")</f>
        <v>44210717300</v>
      </c>
      <c r="I92" s="3" t="s">
        <v>34</v>
      </c>
      <c r="J92" s="3" t="s">
        <v>35</v>
      </c>
      <c r="K92" s="3"/>
      <c r="L92" s="3" t="s">
        <v>36</v>
      </c>
      <c r="M92" s="3" t="str">
        <f>CONCATENATE("02785880416")</f>
        <v>02785880416</v>
      </c>
      <c r="N92" s="3" t="s">
        <v>174</v>
      </c>
      <c r="O92" s="3" t="s">
        <v>38</v>
      </c>
      <c r="P92" s="3"/>
      <c r="Q92" s="4">
        <v>45956</v>
      </c>
      <c r="R92" s="3" t="s">
        <v>39</v>
      </c>
      <c r="S92" s="3" t="s">
        <v>40</v>
      </c>
      <c r="T92" s="3" t="s">
        <v>41</v>
      </c>
      <c r="U92" s="3"/>
      <c r="V92" s="3" t="s">
        <v>42</v>
      </c>
      <c r="W92" s="3">
        <v>39.22</v>
      </c>
      <c r="X92" s="3">
        <v>29.42</v>
      </c>
      <c r="Y92" s="3">
        <v>6.86</v>
      </c>
      <c r="Z92" s="3">
        <v>2.94</v>
      </c>
      <c r="AA92" s="3">
        <v>0</v>
      </c>
    </row>
    <row r="93" spans="1:27" ht="60.75" x14ac:dyDescent="0.25">
      <c r="A93" s="3" t="s">
        <v>28</v>
      </c>
      <c r="B93" s="3" t="s">
        <v>29</v>
      </c>
      <c r="C93" s="3" t="s">
        <v>30</v>
      </c>
      <c r="D93" s="3" t="s">
        <v>60</v>
      </c>
      <c r="E93" s="3" t="s">
        <v>73</v>
      </c>
      <c r="F93" s="3" t="s">
        <v>175</v>
      </c>
      <c r="G93" s="3">
        <v>2024</v>
      </c>
      <c r="H93" s="3" t="str">
        <f>CONCATENATE("44210067953")</f>
        <v>44210067953</v>
      </c>
      <c r="I93" s="3" t="s">
        <v>34</v>
      </c>
      <c r="J93" s="3" t="s">
        <v>35</v>
      </c>
      <c r="K93" s="3"/>
      <c r="L93" s="3" t="s">
        <v>36</v>
      </c>
      <c r="M93" s="3" t="str">
        <f>CONCATENATE("BLDNDR77P22B474L")</f>
        <v>BLDNDR77P22B474L</v>
      </c>
      <c r="N93" s="3" t="s">
        <v>176</v>
      </c>
      <c r="O93" s="3" t="s">
        <v>38</v>
      </c>
      <c r="P93" s="3"/>
      <c r="Q93" s="4">
        <v>45956</v>
      </c>
      <c r="R93" s="3" t="s">
        <v>39</v>
      </c>
      <c r="S93" s="3" t="s">
        <v>40</v>
      </c>
      <c r="T93" s="3" t="s">
        <v>41</v>
      </c>
      <c r="U93" s="3"/>
      <c r="V93" s="3" t="s">
        <v>42</v>
      </c>
      <c r="W93" s="3">
        <v>55.38</v>
      </c>
      <c r="X93" s="3">
        <v>41.54</v>
      </c>
      <c r="Y93" s="3">
        <v>9.69</v>
      </c>
      <c r="Z93" s="3">
        <v>4.1500000000000004</v>
      </c>
      <c r="AA93" s="3">
        <v>0</v>
      </c>
    </row>
    <row r="94" spans="1:27" ht="36.75" x14ac:dyDescent="0.25">
      <c r="A94" s="3" t="s">
        <v>28</v>
      </c>
      <c r="B94" s="3" t="s">
        <v>29</v>
      </c>
      <c r="C94" s="3" t="s">
        <v>30</v>
      </c>
      <c r="D94" s="3" t="s">
        <v>60</v>
      </c>
      <c r="E94" s="3" t="s">
        <v>43</v>
      </c>
      <c r="F94" s="3" t="s">
        <v>88</v>
      </c>
      <c r="G94" s="3">
        <v>2024</v>
      </c>
      <c r="H94" s="3" t="str">
        <f>CONCATENATE("44210143093")</f>
        <v>44210143093</v>
      </c>
      <c r="I94" s="3" t="s">
        <v>34</v>
      </c>
      <c r="J94" s="3" t="s">
        <v>35</v>
      </c>
      <c r="K94" s="3"/>
      <c r="L94" s="3" t="s">
        <v>36</v>
      </c>
      <c r="M94" s="3" t="str">
        <f>CONCATENATE("00735610438")</f>
        <v>00735610438</v>
      </c>
      <c r="N94" s="3" t="s">
        <v>177</v>
      </c>
      <c r="O94" s="3" t="s">
        <v>38</v>
      </c>
      <c r="P94" s="3"/>
      <c r="Q94" s="4">
        <v>45956</v>
      </c>
      <c r="R94" s="3" t="s">
        <v>39</v>
      </c>
      <c r="S94" s="3" t="s">
        <v>40</v>
      </c>
      <c r="T94" s="3" t="s">
        <v>41</v>
      </c>
      <c r="U94" s="3"/>
      <c r="V94" s="3" t="s">
        <v>42</v>
      </c>
      <c r="W94" s="3">
        <v>14.98</v>
      </c>
      <c r="X94" s="3">
        <v>11.24</v>
      </c>
      <c r="Y94" s="3">
        <v>2.62</v>
      </c>
      <c r="Z94" s="3">
        <v>1.1200000000000001</v>
      </c>
      <c r="AA94" s="3">
        <v>0</v>
      </c>
    </row>
    <row r="95" spans="1:27" ht="36.75" x14ac:dyDescent="0.25">
      <c r="A95" s="3" t="s">
        <v>28</v>
      </c>
      <c r="B95" s="3" t="s">
        <v>29</v>
      </c>
      <c r="C95" s="3" t="s">
        <v>30</v>
      </c>
      <c r="D95" s="3" t="s">
        <v>60</v>
      </c>
      <c r="E95" s="3" t="s">
        <v>43</v>
      </c>
      <c r="F95" s="3" t="s">
        <v>88</v>
      </c>
      <c r="G95" s="3">
        <v>2024</v>
      </c>
      <c r="H95" s="3" t="str">
        <f>CONCATENATE("44210143440")</f>
        <v>44210143440</v>
      </c>
      <c r="I95" s="3" t="s">
        <v>34</v>
      </c>
      <c r="J95" s="3" t="s">
        <v>35</v>
      </c>
      <c r="K95" s="3"/>
      <c r="L95" s="3" t="s">
        <v>36</v>
      </c>
      <c r="M95" s="3" t="str">
        <f>CONCATENATE("01945770434")</f>
        <v>01945770434</v>
      </c>
      <c r="N95" s="3" t="s">
        <v>178</v>
      </c>
      <c r="O95" s="3" t="s">
        <v>38</v>
      </c>
      <c r="P95" s="3"/>
      <c r="Q95" s="4">
        <v>45956</v>
      </c>
      <c r="R95" s="3" t="s">
        <v>39</v>
      </c>
      <c r="S95" s="3" t="s">
        <v>40</v>
      </c>
      <c r="T95" s="3" t="s">
        <v>41</v>
      </c>
      <c r="U95" s="3"/>
      <c r="V95" s="3" t="s">
        <v>42</v>
      </c>
      <c r="W95" s="3">
        <v>424.68</v>
      </c>
      <c r="X95" s="3">
        <v>318.51</v>
      </c>
      <c r="Y95" s="3">
        <v>74.319999999999993</v>
      </c>
      <c r="Z95" s="3">
        <v>31.85</v>
      </c>
      <c r="AA95" s="3">
        <v>0</v>
      </c>
    </row>
    <row r="96" spans="1:27" ht="60.75" x14ac:dyDescent="0.25">
      <c r="A96" s="3" t="s">
        <v>28</v>
      </c>
      <c r="B96" s="3" t="s">
        <v>29</v>
      </c>
      <c r="C96" s="3" t="s">
        <v>30</v>
      </c>
      <c r="D96" s="3" t="s">
        <v>60</v>
      </c>
      <c r="E96" s="3" t="s">
        <v>73</v>
      </c>
      <c r="F96" s="3" t="s">
        <v>175</v>
      </c>
      <c r="G96" s="3">
        <v>2024</v>
      </c>
      <c r="H96" s="3" t="str">
        <f>CONCATENATE("44210070858")</f>
        <v>44210070858</v>
      </c>
      <c r="I96" s="3" t="s">
        <v>34</v>
      </c>
      <c r="J96" s="3" t="s">
        <v>35</v>
      </c>
      <c r="K96" s="3"/>
      <c r="L96" s="3" t="s">
        <v>36</v>
      </c>
      <c r="M96" s="3" t="str">
        <f>CONCATENATE("CCCTTI67P18B474U")</f>
        <v>CCCTTI67P18B474U</v>
      </c>
      <c r="N96" s="3" t="s">
        <v>179</v>
      </c>
      <c r="O96" s="3" t="s">
        <v>38</v>
      </c>
      <c r="P96" s="3"/>
      <c r="Q96" s="4">
        <v>45956</v>
      </c>
      <c r="R96" s="3" t="s">
        <v>39</v>
      </c>
      <c r="S96" s="3" t="s">
        <v>40</v>
      </c>
      <c r="T96" s="3" t="s">
        <v>41</v>
      </c>
      <c r="U96" s="3"/>
      <c r="V96" s="3" t="s">
        <v>42</v>
      </c>
      <c r="W96" s="3">
        <v>13.83</v>
      </c>
      <c r="X96" s="3">
        <v>10.37</v>
      </c>
      <c r="Y96" s="3">
        <v>2.42</v>
      </c>
      <c r="Z96" s="3">
        <v>1.04</v>
      </c>
      <c r="AA96" s="3">
        <v>0</v>
      </c>
    </row>
    <row r="97" spans="1:27" ht="36.75" x14ac:dyDescent="0.25">
      <c r="A97" s="3" t="s">
        <v>28</v>
      </c>
      <c r="B97" s="3" t="s">
        <v>29</v>
      </c>
      <c r="C97" s="3" t="s">
        <v>30</v>
      </c>
      <c r="D97" s="3" t="s">
        <v>60</v>
      </c>
      <c r="E97" s="3" t="s">
        <v>43</v>
      </c>
      <c r="F97" s="3" t="s">
        <v>88</v>
      </c>
      <c r="G97" s="3">
        <v>2024</v>
      </c>
      <c r="H97" s="3" t="str">
        <f>CONCATENATE("44210111025")</f>
        <v>44210111025</v>
      </c>
      <c r="I97" s="3" t="s">
        <v>34</v>
      </c>
      <c r="J97" s="3" t="s">
        <v>35</v>
      </c>
      <c r="K97" s="3"/>
      <c r="L97" s="3" t="s">
        <v>36</v>
      </c>
      <c r="M97" s="3" t="str">
        <f>CONCATENATE("01635930439")</f>
        <v>01635930439</v>
      </c>
      <c r="N97" s="3" t="s">
        <v>180</v>
      </c>
      <c r="O97" s="3" t="s">
        <v>38</v>
      </c>
      <c r="P97" s="3"/>
      <c r="Q97" s="4">
        <v>45956</v>
      </c>
      <c r="R97" s="3" t="s">
        <v>39</v>
      </c>
      <c r="S97" s="3" t="s">
        <v>40</v>
      </c>
      <c r="T97" s="3" t="s">
        <v>41</v>
      </c>
      <c r="U97" s="3"/>
      <c r="V97" s="3" t="s">
        <v>42</v>
      </c>
      <c r="W97" s="3">
        <v>93.6</v>
      </c>
      <c r="X97" s="3">
        <v>70.2</v>
      </c>
      <c r="Y97" s="3">
        <v>16.38</v>
      </c>
      <c r="Z97" s="3">
        <v>7.02</v>
      </c>
      <c r="AA97" s="3">
        <v>0</v>
      </c>
    </row>
    <row r="98" spans="1:27" ht="60.75" x14ac:dyDescent="0.25">
      <c r="A98" s="3" t="s">
        <v>28</v>
      </c>
      <c r="B98" s="3" t="s">
        <v>29</v>
      </c>
      <c r="C98" s="3" t="s">
        <v>30</v>
      </c>
      <c r="D98" s="3" t="s">
        <v>60</v>
      </c>
      <c r="E98" s="3" t="s">
        <v>57</v>
      </c>
      <c r="F98" s="3" t="s">
        <v>181</v>
      </c>
      <c r="G98" s="3">
        <v>2024</v>
      </c>
      <c r="H98" s="3" t="str">
        <f>CONCATENATE("44210102057")</f>
        <v>44210102057</v>
      </c>
      <c r="I98" s="3" t="s">
        <v>34</v>
      </c>
      <c r="J98" s="3" t="s">
        <v>35</v>
      </c>
      <c r="K98" s="3"/>
      <c r="L98" s="3" t="s">
        <v>36</v>
      </c>
      <c r="M98" s="3" t="str">
        <f>CONCATENATE("RSLFLV94M30H501X")</f>
        <v>RSLFLV94M30H501X</v>
      </c>
      <c r="N98" s="3" t="s">
        <v>182</v>
      </c>
      <c r="O98" s="3" t="s">
        <v>38</v>
      </c>
      <c r="P98" s="3"/>
      <c r="Q98" s="4">
        <v>45956</v>
      </c>
      <c r="R98" s="3" t="s">
        <v>39</v>
      </c>
      <c r="S98" s="3" t="s">
        <v>40</v>
      </c>
      <c r="T98" s="3" t="s">
        <v>41</v>
      </c>
      <c r="U98" s="3"/>
      <c r="V98" s="3" t="s">
        <v>42</v>
      </c>
      <c r="W98" s="3">
        <v>332.35</v>
      </c>
      <c r="X98" s="3">
        <v>249.26</v>
      </c>
      <c r="Y98" s="3">
        <v>58.16</v>
      </c>
      <c r="Z98" s="3">
        <v>24.93</v>
      </c>
      <c r="AA98" s="3">
        <v>0</v>
      </c>
    </row>
    <row r="99" spans="1:27" ht="60.75" x14ac:dyDescent="0.25">
      <c r="A99" s="3" t="s">
        <v>28</v>
      </c>
      <c r="B99" s="3" t="s">
        <v>29</v>
      </c>
      <c r="C99" s="3" t="s">
        <v>30</v>
      </c>
      <c r="D99" s="3" t="s">
        <v>31</v>
      </c>
      <c r="E99" s="3" t="s">
        <v>73</v>
      </c>
      <c r="F99" s="3" t="s">
        <v>175</v>
      </c>
      <c r="G99" s="3">
        <v>2024</v>
      </c>
      <c r="H99" s="3" t="str">
        <f>CONCATENATE("44210104285")</f>
        <v>44210104285</v>
      </c>
      <c r="I99" s="3" t="s">
        <v>34</v>
      </c>
      <c r="J99" s="3" t="s">
        <v>35</v>
      </c>
      <c r="K99" s="3"/>
      <c r="L99" s="3" t="s">
        <v>36</v>
      </c>
      <c r="M99" s="3" t="str">
        <f>CONCATENATE("PLTSTN71A04I461U")</f>
        <v>PLTSTN71A04I461U</v>
      </c>
      <c r="N99" s="3" t="s">
        <v>183</v>
      </c>
      <c r="O99" s="3" t="s">
        <v>38</v>
      </c>
      <c r="P99" s="3"/>
      <c r="Q99" s="4">
        <v>45956</v>
      </c>
      <c r="R99" s="3" t="s">
        <v>39</v>
      </c>
      <c r="S99" s="3" t="s">
        <v>40</v>
      </c>
      <c r="T99" s="3" t="s">
        <v>41</v>
      </c>
      <c r="U99" s="3"/>
      <c r="V99" s="3" t="s">
        <v>42</v>
      </c>
      <c r="W99" s="3">
        <v>92.29</v>
      </c>
      <c r="X99" s="3">
        <v>69.22</v>
      </c>
      <c r="Y99" s="3">
        <v>16.149999999999999</v>
      </c>
      <c r="Z99" s="3">
        <v>6.92</v>
      </c>
      <c r="AA99" s="3">
        <v>0</v>
      </c>
    </row>
    <row r="100" spans="1:27" ht="60.75" x14ac:dyDescent="0.25">
      <c r="A100" s="3" t="s">
        <v>28</v>
      </c>
      <c r="B100" s="3" t="s">
        <v>29</v>
      </c>
      <c r="C100" s="3" t="s">
        <v>30</v>
      </c>
      <c r="D100" s="3" t="s">
        <v>46</v>
      </c>
      <c r="E100" s="3" t="s">
        <v>32</v>
      </c>
      <c r="F100" s="3" t="s">
        <v>52</v>
      </c>
      <c r="G100" s="3">
        <v>2024</v>
      </c>
      <c r="H100" s="3" t="str">
        <f>CONCATENATE("44210396741")</f>
        <v>44210396741</v>
      </c>
      <c r="I100" s="3" t="s">
        <v>34</v>
      </c>
      <c r="J100" s="3" t="s">
        <v>35</v>
      </c>
      <c r="K100" s="3"/>
      <c r="L100" s="3" t="s">
        <v>36</v>
      </c>
      <c r="M100" s="3" t="str">
        <f>CONCATENATE("QRNLRD73C02D007M")</f>
        <v>QRNLRD73C02D007M</v>
      </c>
      <c r="N100" s="3" t="s">
        <v>184</v>
      </c>
      <c r="O100" s="3" t="s">
        <v>38</v>
      </c>
      <c r="P100" s="3"/>
      <c r="Q100" s="4">
        <v>45956</v>
      </c>
      <c r="R100" s="3" t="s">
        <v>39</v>
      </c>
      <c r="S100" s="3" t="s">
        <v>40</v>
      </c>
      <c r="T100" s="3" t="s">
        <v>41</v>
      </c>
      <c r="U100" s="3"/>
      <c r="V100" s="3" t="s">
        <v>42</v>
      </c>
      <c r="W100" s="3">
        <v>52.65</v>
      </c>
      <c r="X100" s="3">
        <v>39.49</v>
      </c>
      <c r="Y100" s="3">
        <v>9.2100000000000009</v>
      </c>
      <c r="Z100" s="3">
        <v>3.95</v>
      </c>
      <c r="AA100" s="3">
        <v>0</v>
      </c>
    </row>
    <row r="101" spans="1:27" ht="60.75" x14ac:dyDescent="0.25">
      <c r="A101" s="3" t="s">
        <v>28</v>
      </c>
      <c r="B101" s="3" t="s">
        <v>29</v>
      </c>
      <c r="C101" s="3" t="s">
        <v>30</v>
      </c>
      <c r="D101" s="3" t="s">
        <v>60</v>
      </c>
      <c r="E101" s="3" t="s">
        <v>73</v>
      </c>
      <c r="F101" s="3" t="s">
        <v>171</v>
      </c>
      <c r="G101" s="3">
        <v>2024</v>
      </c>
      <c r="H101" s="3" t="str">
        <f>CONCATENATE("44210562292")</f>
        <v>44210562292</v>
      </c>
      <c r="I101" s="3" t="s">
        <v>34</v>
      </c>
      <c r="J101" s="3" t="s">
        <v>35</v>
      </c>
      <c r="K101" s="3"/>
      <c r="L101" s="3" t="s">
        <v>36</v>
      </c>
      <c r="M101" s="3" t="str">
        <f>CONCATENATE("FRRMRZ66H17F051U")</f>
        <v>FRRMRZ66H17F051U</v>
      </c>
      <c r="N101" s="3" t="s">
        <v>185</v>
      </c>
      <c r="O101" s="3" t="s">
        <v>38</v>
      </c>
      <c r="P101" s="3"/>
      <c r="Q101" s="4">
        <v>45956</v>
      </c>
      <c r="R101" s="3" t="s">
        <v>39</v>
      </c>
      <c r="S101" s="3" t="s">
        <v>40</v>
      </c>
      <c r="T101" s="3" t="s">
        <v>41</v>
      </c>
      <c r="U101" s="3"/>
      <c r="V101" s="3" t="s">
        <v>42</v>
      </c>
      <c r="W101" s="3">
        <v>18.399999999999999</v>
      </c>
      <c r="X101" s="3">
        <v>13.8</v>
      </c>
      <c r="Y101" s="3">
        <v>3.22</v>
      </c>
      <c r="Z101" s="3">
        <v>1.38</v>
      </c>
      <c r="AA101" s="3">
        <v>0</v>
      </c>
    </row>
    <row r="102" spans="1:27" ht="60.75" x14ac:dyDescent="0.25">
      <c r="A102" s="3" t="s">
        <v>28</v>
      </c>
      <c r="B102" s="3" t="s">
        <v>29</v>
      </c>
      <c r="C102" s="3" t="s">
        <v>30</v>
      </c>
      <c r="D102" s="3" t="s">
        <v>76</v>
      </c>
      <c r="E102" s="3" t="s">
        <v>77</v>
      </c>
      <c r="F102" s="3" t="s">
        <v>78</v>
      </c>
      <c r="G102" s="3">
        <v>2024</v>
      </c>
      <c r="H102" s="3" t="str">
        <f>CONCATENATE("44210186480")</f>
        <v>44210186480</v>
      </c>
      <c r="I102" s="3" t="s">
        <v>34</v>
      </c>
      <c r="J102" s="3" t="s">
        <v>35</v>
      </c>
      <c r="K102" s="3"/>
      <c r="L102" s="3" t="s">
        <v>36</v>
      </c>
      <c r="M102" s="3" t="str">
        <f>CONCATENATE("CSTLRT70D18A252E")</f>
        <v>CSTLRT70D18A252E</v>
      </c>
      <c r="N102" s="3" t="s">
        <v>186</v>
      </c>
      <c r="O102" s="3" t="s">
        <v>38</v>
      </c>
      <c r="P102" s="3"/>
      <c r="Q102" s="4">
        <v>45956</v>
      </c>
      <c r="R102" s="3" t="s">
        <v>39</v>
      </c>
      <c r="S102" s="3" t="s">
        <v>40</v>
      </c>
      <c r="T102" s="3" t="s">
        <v>41</v>
      </c>
      <c r="U102" s="3"/>
      <c r="V102" s="3" t="s">
        <v>42</v>
      </c>
      <c r="W102" s="3">
        <v>195.15</v>
      </c>
      <c r="X102" s="3">
        <v>146.36000000000001</v>
      </c>
      <c r="Y102" s="3">
        <v>34.15</v>
      </c>
      <c r="Z102" s="3">
        <v>14.64</v>
      </c>
      <c r="AA102" s="3">
        <v>0</v>
      </c>
    </row>
    <row r="103" spans="1:27" ht="36.75" x14ac:dyDescent="0.25">
      <c r="A103" s="3" t="s">
        <v>28</v>
      </c>
      <c r="B103" s="3" t="s">
        <v>29</v>
      </c>
      <c r="C103" s="3" t="s">
        <v>30</v>
      </c>
      <c r="D103" s="3" t="s">
        <v>46</v>
      </c>
      <c r="E103" s="3" t="s">
        <v>32</v>
      </c>
      <c r="F103" s="3" t="s">
        <v>47</v>
      </c>
      <c r="G103" s="3">
        <v>2024</v>
      </c>
      <c r="H103" s="3" t="str">
        <f>CONCATENATE("44210564439")</f>
        <v>44210564439</v>
      </c>
      <c r="I103" s="3" t="s">
        <v>34</v>
      </c>
      <c r="J103" s="3" t="s">
        <v>35</v>
      </c>
      <c r="K103" s="3"/>
      <c r="L103" s="3" t="s">
        <v>36</v>
      </c>
      <c r="M103" s="3" t="str">
        <f>CONCATENATE("02057390417")</f>
        <v>02057390417</v>
      </c>
      <c r="N103" s="3" t="s">
        <v>187</v>
      </c>
      <c r="O103" s="3" t="s">
        <v>38</v>
      </c>
      <c r="P103" s="3"/>
      <c r="Q103" s="4">
        <v>45956</v>
      </c>
      <c r="R103" s="3" t="s">
        <v>39</v>
      </c>
      <c r="S103" s="3" t="s">
        <v>40</v>
      </c>
      <c r="T103" s="3" t="s">
        <v>41</v>
      </c>
      <c r="U103" s="3"/>
      <c r="V103" s="3" t="s">
        <v>42</v>
      </c>
      <c r="W103" s="3">
        <v>26.53</v>
      </c>
      <c r="X103" s="3">
        <v>19.899999999999999</v>
      </c>
      <c r="Y103" s="3">
        <v>4.6399999999999997</v>
      </c>
      <c r="Z103" s="3">
        <v>1.99</v>
      </c>
      <c r="AA103" s="3">
        <v>0</v>
      </c>
    </row>
    <row r="104" spans="1:27" ht="60.75" x14ac:dyDescent="0.25">
      <c r="A104" s="3" t="s">
        <v>28</v>
      </c>
      <c r="B104" s="3" t="s">
        <v>29</v>
      </c>
      <c r="C104" s="3" t="s">
        <v>30</v>
      </c>
      <c r="D104" s="3" t="s">
        <v>76</v>
      </c>
      <c r="E104" s="3" t="s">
        <v>188</v>
      </c>
      <c r="F104" s="3" t="s">
        <v>189</v>
      </c>
      <c r="G104" s="3">
        <v>2024</v>
      </c>
      <c r="H104" s="3" t="str">
        <f>CONCATENATE("44210652085")</f>
        <v>44210652085</v>
      </c>
      <c r="I104" s="3" t="s">
        <v>34</v>
      </c>
      <c r="J104" s="3" t="s">
        <v>35</v>
      </c>
      <c r="K104" s="3"/>
      <c r="L104" s="3" t="s">
        <v>36</v>
      </c>
      <c r="M104" s="3" t="str">
        <f>CONCATENATE("RTLDRN71E30H588D")</f>
        <v>RTLDRN71E30H588D</v>
      </c>
      <c r="N104" s="3" t="s">
        <v>190</v>
      </c>
      <c r="O104" s="3" t="s">
        <v>38</v>
      </c>
      <c r="P104" s="3"/>
      <c r="Q104" s="4">
        <v>45956</v>
      </c>
      <c r="R104" s="3" t="s">
        <v>39</v>
      </c>
      <c r="S104" s="3" t="s">
        <v>40</v>
      </c>
      <c r="T104" s="3" t="s">
        <v>41</v>
      </c>
      <c r="U104" s="3"/>
      <c r="V104" s="3" t="s">
        <v>42</v>
      </c>
      <c r="W104" s="3">
        <v>31.4</v>
      </c>
      <c r="X104" s="3">
        <v>23.55</v>
      </c>
      <c r="Y104" s="3">
        <v>5.5</v>
      </c>
      <c r="Z104" s="3">
        <v>2.35</v>
      </c>
      <c r="AA104" s="3">
        <v>0</v>
      </c>
    </row>
    <row r="105" spans="1:27" ht="60.75" x14ac:dyDescent="0.25">
      <c r="A105" s="3" t="s">
        <v>28</v>
      </c>
      <c r="B105" s="3" t="s">
        <v>29</v>
      </c>
      <c r="C105" s="3" t="s">
        <v>30</v>
      </c>
      <c r="D105" s="3" t="s">
        <v>60</v>
      </c>
      <c r="E105" s="3" t="s">
        <v>43</v>
      </c>
      <c r="F105" s="3" t="s">
        <v>88</v>
      </c>
      <c r="G105" s="3">
        <v>2024</v>
      </c>
      <c r="H105" s="3" t="str">
        <f>CONCATENATE("44210016075")</f>
        <v>44210016075</v>
      </c>
      <c r="I105" s="3" t="s">
        <v>34</v>
      </c>
      <c r="J105" s="3" t="s">
        <v>35</v>
      </c>
      <c r="K105" s="3"/>
      <c r="L105" s="3" t="s">
        <v>36</v>
      </c>
      <c r="M105" s="3" t="str">
        <f>CONCATENATE("NTNDRN67L04B474O")</f>
        <v>NTNDRN67L04B474O</v>
      </c>
      <c r="N105" s="3" t="s">
        <v>191</v>
      </c>
      <c r="O105" s="3" t="s">
        <v>38</v>
      </c>
      <c r="P105" s="3"/>
      <c r="Q105" s="4">
        <v>45956</v>
      </c>
      <c r="R105" s="3" t="s">
        <v>39</v>
      </c>
      <c r="S105" s="3" t="s">
        <v>40</v>
      </c>
      <c r="T105" s="3" t="s">
        <v>41</v>
      </c>
      <c r="U105" s="3"/>
      <c r="V105" s="3" t="s">
        <v>42</v>
      </c>
      <c r="W105" s="3">
        <v>41.5</v>
      </c>
      <c r="X105" s="3">
        <v>31.13</v>
      </c>
      <c r="Y105" s="3">
        <v>7.26</v>
      </c>
      <c r="Z105" s="3">
        <v>3.11</v>
      </c>
      <c r="AA105" s="3">
        <v>0</v>
      </c>
    </row>
    <row r="106" spans="1:27" ht="60.75" x14ac:dyDescent="0.25">
      <c r="A106" s="3" t="s">
        <v>28</v>
      </c>
      <c r="B106" s="3" t="s">
        <v>29</v>
      </c>
      <c r="C106" s="3" t="s">
        <v>30</v>
      </c>
      <c r="D106" s="3" t="s">
        <v>46</v>
      </c>
      <c r="E106" s="3" t="s">
        <v>32</v>
      </c>
      <c r="F106" s="3" t="s">
        <v>47</v>
      </c>
      <c r="G106" s="3">
        <v>2024</v>
      </c>
      <c r="H106" s="3" t="str">
        <f>CONCATENATE("44210264584")</f>
        <v>44210264584</v>
      </c>
      <c r="I106" s="3" t="s">
        <v>34</v>
      </c>
      <c r="J106" s="3" t="s">
        <v>35</v>
      </c>
      <c r="K106" s="3"/>
      <c r="L106" s="3" t="s">
        <v>36</v>
      </c>
      <c r="M106" s="3" t="str">
        <f>CONCATENATE("RSTSLV77L43H294W")</f>
        <v>RSTSLV77L43H294W</v>
      </c>
      <c r="N106" s="3" t="s">
        <v>192</v>
      </c>
      <c r="O106" s="3" t="s">
        <v>38</v>
      </c>
      <c r="P106" s="3"/>
      <c r="Q106" s="4">
        <v>45956</v>
      </c>
      <c r="R106" s="3" t="s">
        <v>39</v>
      </c>
      <c r="S106" s="3" t="s">
        <v>40</v>
      </c>
      <c r="T106" s="3" t="s">
        <v>41</v>
      </c>
      <c r="U106" s="3"/>
      <c r="V106" s="3" t="s">
        <v>42</v>
      </c>
      <c r="W106" s="3">
        <v>15.54</v>
      </c>
      <c r="X106" s="3">
        <v>11.66</v>
      </c>
      <c r="Y106" s="3">
        <v>2.72</v>
      </c>
      <c r="Z106" s="3">
        <v>1.1599999999999999</v>
      </c>
      <c r="AA106" s="3">
        <v>0</v>
      </c>
    </row>
    <row r="107" spans="1:27" ht="36.75" x14ac:dyDescent="0.25">
      <c r="A107" s="3" t="s">
        <v>28</v>
      </c>
      <c r="B107" s="3" t="s">
        <v>29</v>
      </c>
      <c r="C107" s="3" t="s">
        <v>30</v>
      </c>
      <c r="D107" s="3" t="s">
        <v>46</v>
      </c>
      <c r="E107" s="3" t="s">
        <v>73</v>
      </c>
      <c r="F107" s="3" t="s">
        <v>130</v>
      </c>
      <c r="G107" s="3">
        <v>2024</v>
      </c>
      <c r="H107" s="3" t="str">
        <f>CONCATENATE("44210150155")</f>
        <v>44210150155</v>
      </c>
      <c r="I107" s="3" t="s">
        <v>34</v>
      </c>
      <c r="J107" s="3" t="s">
        <v>35</v>
      </c>
      <c r="K107" s="3"/>
      <c r="L107" s="3" t="s">
        <v>36</v>
      </c>
      <c r="M107" s="3" t="str">
        <f>CONCATENATE("01048540411")</f>
        <v>01048540411</v>
      </c>
      <c r="N107" s="3" t="s">
        <v>193</v>
      </c>
      <c r="O107" s="3" t="s">
        <v>38</v>
      </c>
      <c r="P107" s="3"/>
      <c r="Q107" s="4">
        <v>45956</v>
      </c>
      <c r="R107" s="3" t="s">
        <v>39</v>
      </c>
      <c r="S107" s="3" t="s">
        <v>40</v>
      </c>
      <c r="T107" s="3" t="s">
        <v>41</v>
      </c>
      <c r="U107" s="3"/>
      <c r="V107" s="3" t="s">
        <v>42</v>
      </c>
      <c r="W107" s="3">
        <v>77.040000000000006</v>
      </c>
      <c r="X107" s="3">
        <v>57.78</v>
      </c>
      <c r="Y107" s="3">
        <v>13.48</v>
      </c>
      <c r="Z107" s="3">
        <v>5.78</v>
      </c>
      <c r="AA107" s="3">
        <v>0</v>
      </c>
    </row>
    <row r="108" spans="1:27" ht="60.75" x14ac:dyDescent="0.25">
      <c r="A108" s="3" t="s">
        <v>28</v>
      </c>
      <c r="B108" s="3" t="s">
        <v>29</v>
      </c>
      <c r="C108" s="3" t="s">
        <v>30</v>
      </c>
      <c r="D108" s="3" t="s">
        <v>76</v>
      </c>
      <c r="E108" s="3" t="s">
        <v>32</v>
      </c>
      <c r="F108" s="3" t="s">
        <v>135</v>
      </c>
      <c r="G108" s="3">
        <v>2024</v>
      </c>
      <c r="H108" s="3" t="str">
        <f>CONCATENATE("44210100788")</f>
        <v>44210100788</v>
      </c>
      <c r="I108" s="3" t="s">
        <v>34</v>
      </c>
      <c r="J108" s="3" t="s">
        <v>35</v>
      </c>
      <c r="K108" s="3"/>
      <c r="L108" s="3" t="s">
        <v>36</v>
      </c>
      <c r="M108" s="3" t="str">
        <f>CONCATENATE("CLMPTR57C24H390K")</f>
        <v>CLMPTR57C24H390K</v>
      </c>
      <c r="N108" s="3" t="s">
        <v>194</v>
      </c>
      <c r="O108" s="3" t="s">
        <v>38</v>
      </c>
      <c r="P108" s="3"/>
      <c r="Q108" s="4">
        <v>45956</v>
      </c>
      <c r="R108" s="3" t="s">
        <v>39</v>
      </c>
      <c r="S108" s="3" t="s">
        <v>40</v>
      </c>
      <c r="T108" s="3" t="s">
        <v>41</v>
      </c>
      <c r="U108" s="3"/>
      <c r="V108" s="3" t="s">
        <v>42</v>
      </c>
      <c r="W108" s="3">
        <v>18.649999999999999</v>
      </c>
      <c r="X108" s="3">
        <v>13.99</v>
      </c>
      <c r="Y108" s="3">
        <v>3.26</v>
      </c>
      <c r="Z108" s="3">
        <v>1.4</v>
      </c>
      <c r="AA108" s="3">
        <v>0</v>
      </c>
    </row>
    <row r="109" spans="1:27" ht="60.75" x14ac:dyDescent="0.25">
      <c r="A109" s="3" t="s">
        <v>28</v>
      </c>
      <c r="B109" s="3" t="s">
        <v>29</v>
      </c>
      <c r="C109" s="3" t="s">
        <v>30</v>
      </c>
      <c r="D109" s="3" t="s">
        <v>60</v>
      </c>
      <c r="E109" s="3" t="s">
        <v>73</v>
      </c>
      <c r="F109" s="3" t="s">
        <v>175</v>
      </c>
      <c r="G109" s="3">
        <v>2024</v>
      </c>
      <c r="H109" s="3" t="str">
        <f>CONCATENATE("44210059653")</f>
        <v>44210059653</v>
      </c>
      <c r="I109" s="3" t="s">
        <v>34</v>
      </c>
      <c r="J109" s="3" t="s">
        <v>35</v>
      </c>
      <c r="K109" s="3"/>
      <c r="L109" s="3" t="s">
        <v>36</v>
      </c>
      <c r="M109" s="3" t="str">
        <f>CONCATENATE("TRNLNZ76L01B474E")</f>
        <v>TRNLNZ76L01B474E</v>
      </c>
      <c r="N109" s="3" t="s">
        <v>195</v>
      </c>
      <c r="O109" s="3" t="s">
        <v>38</v>
      </c>
      <c r="P109" s="3"/>
      <c r="Q109" s="4">
        <v>45956</v>
      </c>
      <c r="R109" s="3" t="s">
        <v>39</v>
      </c>
      <c r="S109" s="3" t="s">
        <v>40</v>
      </c>
      <c r="T109" s="3" t="s">
        <v>41</v>
      </c>
      <c r="U109" s="3"/>
      <c r="V109" s="3" t="s">
        <v>42</v>
      </c>
      <c r="W109" s="3">
        <v>386</v>
      </c>
      <c r="X109" s="3">
        <v>289.5</v>
      </c>
      <c r="Y109" s="3">
        <v>67.55</v>
      </c>
      <c r="Z109" s="3">
        <v>28.95</v>
      </c>
      <c r="AA109" s="3">
        <v>0</v>
      </c>
    </row>
    <row r="110" spans="1:27" ht="60.75" x14ac:dyDescent="0.25">
      <c r="A110" s="3" t="s">
        <v>28</v>
      </c>
      <c r="B110" s="3" t="s">
        <v>29</v>
      </c>
      <c r="C110" s="3" t="s">
        <v>30</v>
      </c>
      <c r="D110" s="3" t="s">
        <v>60</v>
      </c>
      <c r="E110" s="3" t="s">
        <v>43</v>
      </c>
      <c r="F110" s="3" t="s">
        <v>88</v>
      </c>
      <c r="G110" s="3">
        <v>2024</v>
      </c>
      <c r="H110" s="3" t="str">
        <f>CONCATENATE("44210082010")</f>
        <v>44210082010</v>
      </c>
      <c r="I110" s="3" t="s">
        <v>34</v>
      </c>
      <c r="J110" s="3" t="s">
        <v>35</v>
      </c>
      <c r="K110" s="3"/>
      <c r="L110" s="3" t="s">
        <v>36</v>
      </c>
      <c r="M110" s="3" t="str">
        <f>CONCATENATE("CCNFRC87L05B474H")</f>
        <v>CCNFRC87L05B474H</v>
      </c>
      <c r="N110" s="3" t="s">
        <v>196</v>
      </c>
      <c r="O110" s="3" t="s">
        <v>38</v>
      </c>
      <c r="P110" s="3"/>
      <c r="Q110" s="4">
        <v>45956</v>
      </c>
      <c r="R110" s="3" t="s">
        <v>39</v>
      </c>
      <c r="S110" s="3" t="s">
        <v>40</v>
      </c>
      <c r="T110" s="3" t="s">
        <v>41</v>
      </c>
      <c r="U110" s="3"/>
      <c r="V110" s="3" t="s">
        <v>42</v>
      </c>
      <c r="W110" s="3">
        <v>15.63</v>
      </c>
      <c r="X110" s="3">
        <v>11.72</v>
      </c>
      <c r="Y110" s="3">
        <v>2.74</v>
      </c>
      <c r="Z110" s="3">
        <v>1.17</v>
      </c>
      <c r="AA110" s="3">
        <v>0</v>
      </c>
    </row>
    <row r="111" spans="1:27" ht="36.75" x14ac:dyDescent="0.25">
      <c r="A111" s="3" t="s">
        <v>28</v>
      </c>
      <c r="B111" s="3" t="s">
        <v>29</v>
      </c>
      <c r="C111" s="3" t="s">
        <v>30</v>
      </c>
      <c r="D111" s="3" t="s">
        <v>60</v>
      </c>
      <c r="E111" s="3" t="s">
        <v>73</v>
      </c>
      <c r="F111" s="3" t="s">
        <v>138</v>
      </c>
      <c r="G111" s="3">
        <v>2024</v>
      </c>
      <c r="H111" s="3" t="str">
        <f>CONCATENATE("44210141741")</f>
        <v>44210141741</v>
      </c>
      <c r="I111" s="3" t="s">
        <v>34</v>
      </c>
      <c r="J111" s="3" t="s">
        <v>35</v>
      </c>
      <c r="K111" s="3"/>
      <c r="L111" s="3" t="s">
        <v>36</v>
      </c>
      <c r="M111" s="3" t="str">
        <f>CONCATENATE("02078540438")</f>
        <v>02078540438</v>
      </c>
      <c r="N111" s="3" t="s">
        <v>197</v>
      </c>
      <c r="O111" s="3" t="s">
        <v>38</v>
      </c>
      <c r="P111" s="3"/>
      <c r="Q111" s="4">
        <v>45956</v>
      </c>
      <c r="R111" s="3" t="s">
        <v>39</v>
      </c>
      <c r="S111" s="3" t="s">
        <v>40</v>
      </c>
      <c r="T111" s="3" t="s">
        <v>41</v>
      </c>
      <c r="U111" s="3"/>
      <c r="V111" s="3" t="s">
        <v>42</v>
      </c>
      <c r="W111" s="3">
        <v>17.45</v>
      </c>
      <c r="X111" s="3">
        <v>13.09</v>
      </c>
      <c r="Y111" s="3">
        <v>3.05</v>
      </c>
      <c r="Z111" s="3">
        <v>1.31</v>
      </c>
      <c r="AA111" s="3">
        <v>0</v>
      </c>
    </row>
    <row r="112" spans="1:27" ht="60.75" x14ac:dyDescent="0.25">
      <c r="A112" s="3" t="s">
        <v>28</v>
      </c>
      <c r="B112" s="3" t="s">
        <v>29</v>
      </c>
      <c r="C112" s="3" t="s">
        <v>30</v>
      </c>
      <c r="D112" s="3" t="s">
        <v>76</v>
      </c>
      <c r="E112" s="3" t="s">
        <v>198</v>
      </c>
      <c r="F112" s="3" t="s">
        <v>199</v>
      </c>
      <c r="G112" s="3">
        <v>2024</v>
      </c>
      <c r="H112" s="3" t="str">
        <f>CONCATENATE("44210306443")</f>
        <v>44210306443</v>
      </c>
      <c r="I112" s="3" t="s">
        <v>34</v>
      </c>
      <c r="J112" s="3" t="s">
        <v>35</v>
      </c>
      <c r="K112" s="3"/>
      <c r="L112" s="3" t="s">
        <v>36</v>
      </c>
      <c r="M112" s="3" t="str">
        <f>CONCATENATE("CRCLRA77P50A462V")</f>
        <v>CRCLRA77P50A462V</v>
      </c>
      <c r="N112" s="3" t="s">
        <v>200</v>
      </c>
      <c r="O112" s="3" t="s">
        <v>38</v>
      </c>
      <c r="P112" s="3"/>
      <c r="Q112" s="4">
        <v>45956</v>
      </c>
      <c r="R112" s="3" t="s">
        <v>39</v>
      </c>
      <c r="S112" s="3" t="s">
        <v>40</v>
      </c>
      <c r="T112" s="3" t="s">
        <v>41</v>
      </c>
      <c r="U112" s="3"/>
      <c r="V112" s="3" t="s">
        <v>42</v>
      </c>
      <c r="W112" s="3">
        <v>36.65</v>
      </c>
      <c r="X112" s="3">
        <v>27.49</v>
      </c>
      <c r="Y112" s="3">
        <v>6.41</v>
      </c>
      <c r="Z112" s="3">
        <v>2.75</v>
      </c>
      <c r="AA112" s="3">
        <v>0</v>
      </c>
    </row>
    <row r="113" spans="1:27" ht="72.75" x14ac:dyDescent="0.25">
      <c r="A113" s="3" t="s">
        <v>28</v>
      </c>
      <c r="B113" s="3" t="s">
        <v>29</v>
      </c>
      <c r="C113" s="3" t="s">
        <v>30</v>
      </c>
      <c r="D113" s="3" t="s">
        <v>31</v>
      </c>
      <c r="E113" s="3" t="s">
        <v>43</v>
      </c>
      <c r="F113" s="3" t="s">
        <v>44</v>
      </c>
      <c r="G113" s="3">
        <v>2024</v>
      </c>
      <c r="H113" s="3" t="str">
        <f>CONCATENATE("44210389142")</f>
        <v>44210389142</v>
      </c>
      <c r="I113" s="3" t="s">
        <v>34</v>
      </c>
      <c r="J113" s="3" t="s">
        <v>35</v>
      </c>
      <c r="K113" s="3"/>
      <c r="L113" s="3" t="s">
        <v>36</v>
      </c>
      <c r="M113" s="3" t="str">
        <f>CONCATENATE("MRNSFN86B21E882G")</f>
        <v>MRNSFN86B21E882G</v>
      </c>
      <c r="N113" s="3" t="s">
        <v>201</v>
      </c>
      <c r="O113" s="3" t="s">
        <v>38</v>
      </c>
      <c r="P113" s="3"/>
      <c r="Q113" s="4">
        <v>45956</v>
      </c>
      <c r="R113" s="3" t="s">
        <v>39</v>
      </c>
      <c r="S113" s="3" t="s">
        <v>40</v>
      </c>
      <c r="T113" s="3" t="s">
        <v>41</v>
      </c>
      <c r="U113" s="3"/>
      <c r="V113" s="3" t="s">
        <v>42</v>
      </c>
      <c r="W113" s="3">
        <v>13.08</v>
      </c>
      <c r="X113" s="3">
        <v>9.81</v>
      </c>
      <c r="Y113" s="3">
        <v>2.29</v>
      </c>
      <c r="Z113" s="3">
        <v>0.98</v>
      </c>
      <c r="AA113" s="3">
        <v>0</v>
      </c>
    </row>
    <row r="114" spans="1:27" ht="60.75" x14ac:dyDescent="0.25">
      <c r="A114" s="3" t="s">
        <v>28</v>
      </c>
      <c r="B114" s="3" t="s">
        <v>29</v>
      </c>
      <c r="C114" s="3" t="s">
        <v>30</v>
      </c>
      <c r="D114" s="3" t="s">
        <v>46</v>
      </c>
      <c r="E114" s="3" t="s">
        <v>43</v>
      </c>
      <c r="F114" s="3" t="s">
        <v>86</v>
      </c>
      <c r="G114" s="3">
        <v>2024</v>
      </c>
      <c r="H114" s="3" t="str">
        <f>CONCATENATE("44210004071")</f>
        <v>44210004071</v>
      </c>
      <c r="I114" s="3" t="s">
        <v>34</v>
      </c>
      <c r="J114" s="3" t="s">
        <v>35</v>
      </c>
      <c r="K114" s="3"/>
      <c r="L114" s="3" t="s">
        <v>36</v>
      </c>
      <c r="M114" s="3" t="str">
        <f>CONCATENATE("FRCSFN66M70F704B")</f>
        <v>FRCSFN66M70F704B</v>
      </c>
      <c r="N114" s="3" t="s">
        <v>202</v>
      </c>
      <c r="O114" s="3" t="s">
        <v>38</v>
      </c>
      <c r="P114" s="3"/>
      <c r="Q114" s="4">
        <v>45956</v>
      </c>
      <c r="R114" s="3" t="s">
        <v>39</v>
      </c>
      <c r="S114" s="3" t="s">
        <v>40</v>
      </c>
      <c r="T114" s="3" t="s">
        <v>41</v>
      </c>
      <c r="U114" s="3"/>
      <c r="V114" s="3" t="s">
        <v>42</v>
      </c>
      <c r="W114" s="3">
        <v>42</v>
      </c>
      <c r="X114" s="3">
        <v>31.5</v>
      </c>
      <c r="Y114" s="3">
        <v>7.35</v>
      </c>
      <c r="Z114" s="3">
        <v>3.15</v>
      </c>
      <c r="AA114" s="3">
        <v>0</v>
      </c>
    </row>
    <row r="115" spans="1:27" ht="60.75" x14ac:dyDescent="0.25">
      <c r="A115" s="3" t="s">
        <v>28</v>
      </c>
      <c r="B115" s="3" t="s">
        <v>29</v>
      </c>
      <c r="C115" s="3" t="s">
        <v>30</v>
      </c>
      <c r="D115" s="3" t="s">
        <v>76</v>
      </c>
      <c r="E115" s="3" t="s">
        <v>57</v>
      </c>
      <c r="F115" s="3" t="s">
        <v>94</v>
      </c>
      <c r="G115" s="3">
        <v>2024</v>
      </c>
      <c r="H115" s="3" t="str">
        <f>CONCATENATE("44210149173")</f>
        <v>44210149173</v>
      </c>
      <c r="I115" s="3" t="s">
        <v>34</v>
      </c>
      <c r="J115" s="3" t="s">
        <v>35</v>
      </c>
      <c r="K115" s="3"/>
      <c r="L115" s="3" t="s">
        <v>36</v>
      </c>
      <c r="M115" s="3" t="str">
        <f>CONCATENATE("PLTSND66R05A462B")</f>
        <v>PLTSND66R05A462B</v>
      </c>
      <c r="N115" s="3" t="s">
        <v>203</v>
      </c>
      <c r="O115" s="3" t="s">
        <v>38</v>
      </c>
      <c r="P115" s="3"/>
      <c r="Q115" s="4">
        <v>45956</v>
      </c>
      <c r="R115" s="3" t="s">
        <v>39</v>
      </c>
      <c r="S115" s="3" t="s">
        <v>40</v>
      </c>
      <c r="T115" s="3" t="s">
        <v>41</v>
      </c>
      <c r="U115" s="3"/>
      <c r="V115" s="3" t="s">
        <v>42</v>
      </c>
      <c r="W115" s="3">
        <v>174.2</v>
      </c>
      <c r="X115" s="3">
        <v>130.65</v>
      </c>
      <c r="Y115" s="3">
        <v>30.49</v>
      </c>
      <c r="Z115" s="3">
        <v>13.06</v>
      </c>
      <c r="AA115" s="3">
        <v>0</v>
      </c>
    </row>
    <row r="116" spans="1:27" ht="60.75" x14ac:dyDescent="0.25">
      <c r="A116" s="3" t="s">
        <v>28</v>
      </c>
      <c r="B116" s="3" t="s">
        <v>29</v>
      </c>
      <c r="C116" s="3" t="s">
        <v>30</v>
      </c>
      <c r="D116" s="3" t="s">
        <v>31</v>
      </c>
      <c r="E116" s="3" t="s">
        <v>43</v>
      </c>
      <c r="F116" s="3" t="s">
        <v>44</v>
      </c>
      <c r="G116" s="3">
        <v>2024</v>
      </c>
      <c r="H116" s="3" t="str">
        <f>CONCATENATE("44210312151")</f>
        <v>44210312151</v>
      </c>
      <c r="I116" s="3" t="s">
        <v>34</v>
      </c>
      <c r="J116" s="3" t="s">
        <v>35</v>
      </c>
      <c r="K116" s="3"/>
      <c r="L116" s="3" t="s">
        <v>36</v>
      </c>
      <c r="M116" s="3" t="str">
        <f>CONCATENATE("TRTGBT49R01C524S")</f>
        <v>TRTGBT49R01C524S</v>
      </c>
      <c r="N116" s="3" t="s">
        <v>204</v>
      </c>
      <c r="O116" s="3" t="s">
        <v>38</v>
      </c>
      <c r="P116" s="3"/>
      <c r="Q116" s="4">
        <v>45956</v>
      </c>
      <c r="R116" s="3" t="s">
        <v>39</v>
      </c>
      <c r="S116" s="3" t="s">
        <v>40</v>
      </c>
      <c r="T116" s="3" t="s">
        <v>41</v>
      </c>
      <c r="U116" s="3"/>
      <c r="V116" s="3" t="s">
        <v>42</v>
      </c>
      <c r="W116" s="3">
        <v>13.5</v>
      </c>
      <c r="X116" s="3">
        <v>10.130000000000001</v>
      </c>
      <c r="Y116" s="3">
        <v>2.36</v>
      </c>
      <c r="Z116" s="3">
        <v>1.01</v>
      </c>
      <c r="AA116" s="3">
        <v>0</v>
      </c>
    </row>
    <row r="117" spans="1:27" ht="60.75" x14ac:dyDescent="0.25">
      <c r="A117" s="3" t="s">
        <v>28</v>
      </c>
      <c r="B117" s="3" t="s">
        <v>29</v>
      </c>
      <c r="C117" s="3" t="s">
        <v>30</v>
      </c>
      <c r="D117" s="3" t="s">
        <v>31</v>
      </c>
      <c r="E117" s="3" t="s">
        <v>32</v>
      </c>
      <c r="F117" s="3" t="s">
        <v>33</v>
      </c>
      <c r="G117" s="3">
        <v>2024</v>
      </c>
      <c r="H117" s="3" t="str">
        <f>CONCATENATE("44210296933")</f>
        <v>44210296933</v>
      </c>
      <c r="I117" s="3" t="s">
        <v>34</v>
      </c>
      <c r="J117" s="3" t="s">
        <v>35</v>
      </c>
      <c r="K117" s="3"/>
      <c r="L117" s="3" t="s">
        <v>36</v>
      </c>
      <c r="M117" s="3" t="str">
        <f>CONCATENATE("MNFCRS92C49D451M")</f>
        <v>MNFCRS92C49D451M</v>
      </c>
      <c r="N117" s="3" t="s">
        <v>205</v>
      </c>
      <c r="O117" s="3" t="s">
        <v>38</v>
      </c>
      <c r="P117" s="3"/>
      <c r="Q117" s="4">
        <v>45956</v>
      </c>
      <c r="R117" s="3" t="s">
        <v>39</v>
      </c>
      <c r="S117" s="3" t="s">
        <v>40</v>
      </c>
      <c r="T117" s="3" t="s">
        <v>41</v>
      </c>
      <c r="U117" s="3"/>
      <c r="V117" s="3" t="s">
        <v>42</v>
      </c>
      <c r="W117" s="3">
        <v>172.95</v>
      </c>
      <c r="X117" s="3">
        <v>129.71</v>
      </c>
      <c r="Y117" s="3">
        <v>30.27</v>
      </c>
      <c r="Z117" s="3">
        <v>12.97</v>
      </c>
      <c r="AA117" s="3">
        <v>0</v>
      </c>
    </row>
    <row r="118" spans="1:27" ht="36.75" x14ac:dyDescent="0.25">
      <c r="A118" s="3" t="s">
        <v>28</v>
      </c>
      <c r="B118" s="3" t="s">
        <v>29</v>
      </c>
      <c r="C118" s="3" t="s">
        <v>30</v>
      </c>
      <c r="D118" s="3" t="s">
        <v>46</v>
      </c>
      <c r="E118" s="3" t="s">
        <v>32</v>
      </c>
      <c r="F118" s="3" t="s">
        <v>52</v>
      </c>
      <c r="G118" s="3">
        <v>2024</v>
      </c>
      <c r="H118" s="3" t="str">
        <f>CONCATENATE("44210399331")</f>
        <v>44210399331</v>
      </c>
      <c r="I118" s="3" t="s">
        <v>34</v>
      </c>
      <c r="J118" s="3" t="s">
        <v>35</v>
      </c>
      <c r="K118" s="3"/>
      <c r="L118" s="3" t="s">
        <v>36</v>
      </c>
      <c r="M118" s="3" t="str">
        <f>CONCATENATE("02323940417")</f>
        <v>02323940417</v>
      </c>
      <c r="N118" s="3" t="s">
        <v>206</v>
      </c>
      <c r="O118" s="3" t="s">
        <v>38</v>
      </c>
      <c r="P118" s="3"/>
      <c r="Q118" s="4">
        <v>45956</v>
      </c>
      <c r="R118" s="3" t="s">
        <v>39</v>
      </c>
      <c r="S118" s="3" t="s">
        <v>40</v>
      </c>
      <c r="T118" s="3" t="s">
        <v>41</v>
      </c>
      <c r="U118" s="3"/>
      <c r="V118" s="3" t="s">
        <v>42</v>
      </c>
      <c r="W118" s="3">
        <v>69.88</v>
      </c>
      <c r="X118" s="3">
        <v>52.41</v>
      </c>
      <c r="Y118" s="3">
        <v>12.23</v>
      </c>
      <c r="Z118" s="3">
        <v>5.24</v>
      </c>
      <c r="AA118" s="3">
        <v>0</v>
      </c>
    </row>
    <row r="119" spans="1:27" ht="60.75" x14ac:dyDescent="0.25">
      <c r="A119" s="3" t="s">
        <v>28</v>
      </c>
      <c r="B119" s="3" t="s">
        <v>29</v>
      </c>
      <c r="C119" s="3" t="s">
        <v>30</v>
      </c>
      <c r="D119" s="3" t="s">
        <v>46</v>
      </c>
      <c r="E119" s="3" t="s">
        <v>43</v>
      </c>
      <c r="F119" s="3" t="s">
        <v>80</v>
      </c>
      <c r="G119" s="3">
        <v>2024</v>
      </c>
      <c r="H119" s="3" t="str">
        <f>CONCATENATE("44210062343")</f>
        <v>44210062343</v>
      </c>
      <c r="I119" s="3" t="s">
        <v>34</v>
      </c>
      <c r="J119" s="3" t="s">
        <v>35</v>
      </c>
      <c r="K119" s="3"/>
      <c r="L119" s="3" t="s">
        <v>36</v>
      </c>
      <c r="M119" s="3" t="str">
        <f>CONCATENATE("BNGSRG50R27I287I")</f>
        <v>BNGSRG50R27I287I</v>
      </c>
      <c r="N119" s="3" t="s">
        <v>207</v>
      </c>
      <c r="O119" s="3" t="s">
        <v>38</v>
      </c>
      <c r="P119" s="3"/>
      <c r="Q119" s="4">
        <v>45956</v>
      </c>
      <c r="R119" s="3" t="s">
        <v>39</v>
      </c>
      <c r="S119" s="3" t="s">
        <v>40</v>
      </c>
      <c r="T119" s="3" t="s">
        <v>41</v>
      </c>
      <c r="U119" s="3"/>
      <c r="V119" s="3" t="s">
        <v>42</v>
      </c>
      <c r="W119" s="3">
        <v>68.599999999999994</v>
      </c>
      <c r="X119" s="3">
        <v>51.45</v>
      </c>
      <c r="Y119" s="3">
        <v>12.01</v>
      </c>
      <c r="Z119" s="3">
        <v>5.14</v>
      </c>
      <c r="AA119" s="3">
        <v>0</v>
      </c>
    </row>
    <row r="120" spans="1:27" ht="60.75" x14ac:dyDescent="0.25">
      <c r="A120" s="3" t="s">
        <v>28</v>
      </c>
      <c r="B120" s="3" t="s">
        <v>29</v>
      </c>
      <c r="C120" s="3" t="s">
        <v>30</v>
      </c>
      <c r="D120" s="3" t="s">
        <v>46</v>
      </c>
      <c r="E120" s="3" t="s">
        <v>43</v>
      </c>
      <c r="F120" s="3" t="s">
        <v>84</v>
      </c>
      <c r="G120" s="3">
        <v>2024</v>
      </c>
      <c r="H120" s="3" t="str">
        <f>CONCATENATE("44210005755")</f>
        <v>44210005755</v>
      </c>
      <c r="I120" s="3" t="s">
        <v>34</v>
      </c>
      <c r="J120" s="3" t="s">
        <v>35</v>
      </c>
      <c r="K120" s="3"/>
      <c r="L120" s="3" t="s">
        <v>36</v>
      </c>
      <c r="M120" s="3" t="str">
        <f>CONCATENATE("RBNFNC58D18B352S")</f>
        <v>RBNFNC58D18B352S</v>
      </c>
      <c r="N120" s="3" t="s">
        <v>208</v>
      </c>
      <c r="O120" s="3" t="s">
        <v>38</v>
      </c>
      <c r="P120" s="3"/>
      <c r="Q120" s="4">
        <v>45956</v>
      </c>
      <c r="R120" s="3" t="s">
        <v>39</v>
      </c>
      <c r="S120" s="3" t="s">
        <v>40</v>
      </c>
      <c r="T120" s="3" t="s">
        <v>41</v>
      </c>
      <c r="U120" s="3"/>
      <c r="V120" s="3" t="s">
        <v>42</v>
      </c>
      <c r="W120" s="3">
        <v>31.68</v>
      </c>
      <c r="X120" s="3">
        <v>23.76</v>
      </c>
      <c r="Y120" s="3">
        <v>5.54</v>
      </c>
      <c r="Z120" s="3">
        <v>2.38</v>
      </c>
      <c r="AA120" s="3">
        <v>0</v>
      </c>
    </row>
    <row r="121" spans="1:27" ht="60.75" x14ac:dyDescent="0.25">
      <c r="A121" s="3" t="s">
        <v>28</v>
      </c>
      <c r="B121" s="3" t="s">
        <v>29</v>
      </c>
      <c r="C121" s="3" t="s">
        <v>30</v>
      </c>
      <c r="D121" s="3" t="s">
        <v>76</v>
      </c>
      <c r="E121" s="3" t="s">
        <v>77</v>
      </c>
      <c r="F121" s="3" t="s">
        <v>78</v>
      </c>
      <c r="G121" s="3">
        <v>2024</v>
      </c>
      <c r="H121" s="3" t="str">
        <f>CONCATENATE("44210579791")</f>
        <v>44210579791</v>
      </c>
      <c r="I121" s="3" t="s">
        <v>34</v>
      </c>
      <c r="J121" s="3" t="s">
        <v>35</v>
      </c>
      <c r="K121" s="3"/>
      <c r="L121" s="3" t="s">
        <v>36</v>
      </c>
      <c r="M121" s="3" t="str">
        <f>CONCATENATE("TDILGU60R03D691J")</f>
        <v>TDILGU60R03D691J</v>
      </c>
      <c r="N121" s="3" t="s">
        <v>209</v>
      </c>
      <c r="O121" s="3" t="s">
        <v>38</v>
      </c>
      <c r="P121" s="3"/>
      <c r="Q121" s="4">
        <v>45956</v>
      </c>
      <c r="R121" s="3" t="s">
        <v>39</v>
      </c>
      <c r="S121" s="3" t="s">
        <v>40</v>
      </c>
      <c r="T121" s="3" t="s">
        <v>41</v>
      </c>
      <c r="U121" s="3"/>
      <c r="V121" s="3" t="s">
        <v>42</v>
      </c>
      <c r="W121" s="3">
        <v>21.25</v>
      </c>
      <c r="X121" s="3">
        <v>15.94</v>
      </c>
      <c r="Y121" s="3">
        <v>3.72</v>
      </c>
      <c r="Z121" s="3">
        <v>1.59</v>
      </c>
      <c r="AA121" s="3">
        <v>0</v>
      </c>
    </row>
    <row r="122" spans="1:27" ht="60.75" x14ac:dyDescent="0.25">
      <c r="A122" s="3" t="s">
        <v>28</v>
      </c>
      <c r="B122" s="3" t="s">
        <v>29</v>
      </c>
      <c r="C122" s="3" t="s">
        <v>30</v>
      </c>
      <c r="D122" s="3" t="s">
        <v>46</v>
      </c>
      <c r="E122" s="3" t="s">
        <v>32</v>
      </c>
      <c r="F122" s="3" t="s">
        <v>47</v>
      </c>
      <c r="G122" s="3">
        <v>2024</v>
      </c>
      <c r="H122" s="3" t="str">
        <f>CONCATENATE("44210702716")</f>
        <v>44210702716</v>
      </c>
      <c r="I122" s="3" t="s">
        <v>34</v>
      </c>
      <c r="J122" s="3" t="s">
        <v>35</v>
      </c>
      <c r="K122" s="3"/>
      <c r="L122" s="3" t="s">
        <v>36</v>
      </c>
      <c r="M122" s="3" t="str">
        <f>CONCATENATE("BRSGNI52S11L500M")</f>
        <v>BRSGNI52S11L500M</v>
      </c>
      <c r="N122" s="3" t="s">
        <v>210</v>
      </c>
      <c r="O122" s="3" t="s">
        <v>38</v>
      </c>
      <c r="P122" s="3"/>
      <c r="Q122" s="4">
        <v>45956</v>
      </c>
      <c r="R122" s="3" t="s">
        <v>39</v>
      </c>
      <c r="S122" s="3" t="s">
        <v>40</v>
      </c>
      <c r="T122" s="3" t="s">
        <v>41</v>
      </c>
      <c r="U122" s="3"/>
      <c r="V122" s="3" t="s">
        <v>42</v>
      </c>
      <c r="W122" s="3">
        <v>38.049999999999997</v>
      </c>
      <c r="X122" s="3">
        <v>28.54</v>
      </c>
      <c r="Y122" s="3">
        <v>6.66</v>
      </c>
      <c r="Z122" s="3">
        <v>2.85</v>
      </c>
      <c r="AA122" s="3">
        <v>0</v>
      </c>
    </row>
    <row r="123" spans="1:27" ht="36.75" x14ac:dyDescent="0.25">
      <c r="A123" s="3" t="s">
        <v>28</v>
      </c>
      <c r="B123" s="3" t="s">
        <v>29</v>
      </c>
      <c r="C123" s="3" t="s">
        <v>30</v>
      </c>
      <c r="D123" s="3" t="s">
        <v>46</v>
      </c>
      <c r="E123" s="3" t="s">
        <v>77</v>
      </c>
      <c r="F123" s="3" t="s">
        <v>211</v>
      </c>
      <c r="G123" s="3">
        <v>2024</v>
      </c>
      <c r="H123" s="3" t="str">
        <f>CONCATENATE("44210532923")</f>
        <v>44210532923</v>
      </c>
      <c r="I123" s="3" t="s">
        <v>34</v>
      </c>
      <c r="J123" s="3" t="s">
        <v>35</v>
      </c>
      <c r="K123" s="3"/>
      <c r="L123" s="3" t="s">
        <v>36</v>
      </c>
      <c r="M123" s="3" t="str">
        <f>CONCATENATE("01397120419")</f>
        <v>01397120419</v>
      </c>
      <c r="N123" s="3" t="s">
        <v>212</v>
      </c>
      <c r="O123" s="3" t="s">
        <v>38</v>
      </c>
      <c r="P123" s="3"/>
      <c r="Q123" s="4">
        <v>45956</v>
      </c>
      <c r="R123" s="3" t="s">
        <v>39</v>
      </c>
      <c r="S123" s="3" t="s">
        <v>40</v>
      </c>
      <c r="T123" s="3" t="s">
        <v>41</v>
      </c>
      <c r="U123" s="3"/>
      <c r="V123" s="3" t="s">
        <v>42</v>
      </c>
      <c r="W123" s="5">
        <v>1387.96</v>
      </c>
      <c r="X123" s="5">
        <v>1040.97</v>
      </c>
      <c r="Y123" s="3">
        <v>242.89</v>
      </c>
      <c r="Z123" s="3">
        <v>104.1</v>
      </c>
      <c r="AA123" s="3">
        <v>0</v>
      </c>
    </row>
    <row r="124" spans="1:27" ht="36.75" x14ac:dyDescent="0.25">
      <c r="A124" s="3" t="s">
        <v>28</v>
      </c>
      <c r="B124" s="3" t="s">
        <v>29</v>
      </c>
      <c r="C124" s="3" t="s">
        <v>30</v>
      </c>
      <c r="D124" s="3" t="s">
        <v>60</v>
      </c>
      <c r="E124" s="3" t="s">
        <v>43</v>
      </c>
      <c r="F124" s="3" t="s">
        <v>88</v>
      </c>
      <c r="G124" s="3">
        <v>2024</v>
      </c>
      <c r="H124" s="3" t="str">
        <f>CONCATENATE("44210644496")</f>
        <v>44210644496</v>
      </c>
      <c r="I124" s="3" t="s">
        <v>34</v>
      </c>
      <c r="J124" s="3" t="s">
        <v>35</v>
      </c>
      <c r="K124" s="3"/>
      <c r="L124" s="3" t="s">
        <v>36</v>
      </c>
      <c r="M124" s="3" t="str">
        <f>CONCATENATE("01141480432")</f>
        <v>01141480432</v>
      </c>
      <c r="N124" s="3" t="s">
        <v>213</v>
      </c>
      <c r="O124" s="3" t="s">
        <v>38</v>
      </c>
      <c r="P124" s="3"/>
      <c r="Q124" s="4">
        <v>45956</v>
      </c>
      <c r="R124" s="3" t="s">
        <v>39</v>
      </c>
      <c r="S124" s="3" t="s">
        <v>40</v>
      </c>
      <c r="T124" s="3" t="s">
        <v>41</v>
      </c>
      <c r="U124" s="3"/>
      <c r="V124" s="3" t="s">
        <v>42</v>
      </c>
      <c r="W124" s="3">
        <v>56.2</v>
      </c>
      <c r="X124" s="3">
        <v>42.15</v>
      </c>
      <c r="Y124" s="3">
        <v>9.84</v>
      </c>
      <c r="Z124" s="3">
        <v>4.21</v>
      </c>
      <c r="AA124" s="3">
        <v>0</v>
      </c>
    </row>
    <row r="125" spans="1:27" ht="60.75" x14ac:dyDescent="0.25">
      <c r="A125" s="3" t="s">
        <v>28</v>
      </c>
      <c r="B125" s="3" t="s">
        <v>29</v>
      </c>
      <c r="C125" s="3" t="s">
        <v>30</v>
      </c>
      <c r="D125" s="3" t="s">
        <v>46</v>
      </c>
      <c r="E125" s="3" t="s">
        <v>43</v>
      </c>
      <c r="F125" s="3" t="s">
        <v>49</v>
      </c>
      <c r="G125" s="3">
        <v>2024</v>
      </c>
      <c r="H125" s="3" t="str">
        <f>CONCATENATE("44210381990")</f>
        <v>44210381990</v>
      </c>
      <c r="I125" s="3" t="s">
        <v>34</v>
      </c>
      <c r="J125" s="3" t="s">
        <v>35</v>
      </c>
      <c r="K125" s="3"/>
      <c r="L125" s="3" t="s">
        <v>36</v>
      </c>
      <c r="M125" s="3" t="str">
        <f>CONCATENATE("PZZCLL36M14D488S")</f>
        <v>PZZCLL36M14D488S</v>
      </c>
      <c r="N125" s="3" t="s">
        <v>214</v>
      </c>
      <c r="O125" s="3" t="s">
        <v>38</v>
      </c>
      <c r="P125" s="3"/>
      <c r="Q125" s="4">
        <v>45956</v>
      </c>
      <c r="R125" s="3" t="s">
        <v>39</v>
      </c>
      <c r="S125" s="3" t="s">
        <v>40</v>
      </c>
      <c r="T125" s="3" t="s">
        <v>41</v>
      </c>
      <c r="U125" s="3"/>
      <c r="V125" s="3" t="s">
        <v>42</v>
      </c>
      <c r="W125" s="3">
        <v>28.72</v>
      </c>
      <c r="X125" s="3">
        <v>21.54</v>
      </c>
      <c r="Y125" s="3">
        <v>5.03</v>
      </c>
      <c r="Z125" s="3">
        <v>2.15</v>
      </c>
      <c r="AA125" s="3">
        <v>0</v>
      </c>
    </row>
    <row r="126" spans="1:27" ht="72.75" x14ac:dyDescent="0.25">
      <c r="A126" s="3" t="s">
        <v>28</v>
      </c>
      <c r="B126" s="3" t="s">
        <v>29</v>
      </c>
      <c r="C126" s="3" t="s">
        <v>30</v>
      </c>
      <c r="D126" s="3" t="s">
        <v>46</v>
      </c>
      <c r="E126" s="3" t="s">
        <v>32</v>
      </c>
      <c r="F126" s="3" t="s">
        <v>113</v>
      </c>
      <c r="G126" s="3">
        <v>2024</v>
      </c>
      <c r="H126" s="3" t="str">
        <f>CONCATENATE("44210539712")</f>
        <v>44210539712</v>
      </c>
      <c r="I126" s="3" t="s">
        <v>34</v>
      </c>
      <c r="J126" s="3" t="s">
        <v>35</v>
      </c>
      <c r="K126" s="3"/>
      <c r="L126" s="3" t="s">
        <v>36</v>
      </c>
      <c r="M126" s="3" t="str">
        <f>CONCATENATE("CCCMSM55A24D749T")</f>
        <v>CCCMSM55A24D749T</v>
      </c>
      <c r="N126" s="3" t="s">
        <v>215</v>
      </c>
      <c r="O126" s="3" t="s">
        <v>38</v>
      </c>
      <c r="P126" s="3"/>
      <c r="Q126" s="4">
        <v>45956</v>
      </c>
      <c r="R126" s="3" t="s">
        <v>39</v>
      </c>
      <c r="S126" s="3" t="s">
        <v>40</v>
      </c>
      <c r="T126" s="3" t="s">
        <v>41</v>
      </c>
      <c r="U126" s="3"/>
      <c r="V126" s="3" t="s">
        <v>42</v>
      </c>
      <c r="W126" s="3">
        <v>203.8</v>
      </c>
      <c r="X126" s="3">
        <v>152.85</v>
      </c>
      <c r="Y126" s="3">
        <v>35.67</v>
      </c>
      <c r="Z126" s="3">
        <v>15.28</v>
      </c>
      <c r="AA126" s="3">
        <v>0</v>
      </c>
    </row>
    <row r="127" spans="1:27" ht="60.75" x14ac:dyDescent="0.25">
      <c r="A127" s="3" t="s">
        <v>28</v>
      </c>
      <c r="B127" s="3" t="s">
        <v>29</v>
      </c>
      <c r="C127" s="3" t="s">
        <v>30</v>
      </c>
      <c r="D127" s="3" t="s">
        <v>46</v>
      </c>
      <c r="E127" s="3" t="s">
        <v>32</v>
      </c>
      <c r="F127" s="3" t="s">
        <v>113</v>
      </c>
      <c r="G127" s="3">
        <v>2024</v>
      </c>
      <c r="H127" s="3" t="str">
        <f>CONCATENATE("44210577316")</f>
        <v>44210577316</v>
      </c>
      <c r="I127" s="3" t="s">
        <v>34</v>
      </c>
      <c r="J127" s="3" t="s">
        <v>35</v>
      </c>
      <c r="K127" s="3"/>
      <c r="L127" s="3" t="s">
        <v>36</v>
      </c>
      <c r="M127" s="3" t="str">
        <f>CONCATENATE("MRCSFN86C17D749V")</f>
        <v>MRCSFN86C17D749V</v>
      </c>
      <c r="N127" s="3" t="s">
        <v>216</v>
      </c>
      <c r="O127" s="3" t="s">
        <v>38</v>
      </c>
      <c r="P127" s="3"/>
      <c r="Q127" s="4">
        <v>45956</v>
      </c>
      <c r="R127" s="3" t="s">
        <v>39</v>
      </c>
      <c r="S127" s="3" t="s">
        <v>40</v>
      </c>
      <c r="T127" s="3" t="s">
        <v>41</v>
      </c>
      <c r="U127" s="3"/>
      <c r="V127" s="3" t="s">
        <v>42</v>
      </c>
      <c r="W127" s="3">
        <v>16.05</v>
      </c>
      <c r="X127" s="3">
        <v>12.04</v>
      </c>
      <c r="Y127" s="3">
        <v>2.81</v>
      </c>
      <c r="Z127" s="3">
        <v>1.2</v>
      </c>
      <c r="AA127" s="3">
        <v>0</v>
      </c>
    </row>
    <row r="128" spans="1:27" ht="36.75" x14ac:dyDescent="0.25">
      <c r="A128" s="3" t="s">
        <v>28</v>
      </c>
      <c r="B128" s="3" t="s">
        <v>29</v>
      </c>
      <c r="C128" s="3" t="s">
        <v>30</v>
      </c>
      <c r="D128" s="3" t="s">
        <v>46</v>
      </c>
      <c r="E128" s="3" t="s">
        <v>57</v>
      </c>
      <c r="F128" s="3" t="s">
        <v>58</v>
      </c>
      <c r="G128" s="3">
        <v>2024</v>
      </c>
      <c r="H128" s="3" t="str">
        <f>CONCATENATE("44210592554")</f>
        <v>44210592554</v>
      </c>
      <c r="I128" s="3" t="s">
        <v>34</v>
      </c>
      <c r="J128" s="3" t="s">
        <v>35</v>
      </c>
      <c r="K128" s="3"/>
      <c r="L128" s="3" t="s">
        <v>36</v>
      </c>
      <c r="M128" s="3" t="str">
        <f>CONCATENATE("02788850416")</f>
        <v>02788850416</v>
      </c>
      <c r="N128" s="3" t="s">
        <v>217</v>
      </c>
      <c r="O128" s="3" t="s">
        <v>38</v>
      </c>
      <c r="P128" s="3"/>
      <c r="Q128" s="4">
        <v>45956</v>
      </c>
      <c r="R128" s="3" t="s">
        <v>39</v>
      </c>
      <c r="S128" s="3" t="s">
        <v>40</v>
      </c>
      <c r="T128" s="3" t="s">
        <v>41</v>
      </c>
      <c r="U128" s="3"/>
      <c r="V128" s="3" t="s">
        <v>42</v>
      </c>
      <c r="W128" s="3">
        <v>84.9</v>
      </c>
      <c r="X128" s="3">
        <v>63.68</v>
      </c>
      <c r="Y128" s="3">
        <v>14.86</v>
      </c>
      <c r="Z128" s="3">
        <v>6.36</v>
      </c>
      <c r="AA128" s="3">
        <v>0</v>
      </c>
    </row>
    <row r="129" spans="1:27" ht="72.75" x14ac:dyDescent="0.25">
      <c r="A129" s="3" t="s">
        <v>28</v>
      </c>
      <c r="B129" s="3" t="s">
        <v>29</v>
      </c>
      <c r="C129" s="3" t="s">
        <v>30</v>
      </c>
      <c r="D129" s="3" t="s">
        <v>76</v>
      </c>
      <c r="E129" s="3" t="s">
        <v>77</v>
      </c>
      <c r="F129" s="3" t="s">
        <v>78</v>
      </c>
      <c r="G129" s="3">
        <v>2024</v>
      </c>
      <c r="H129" s="3" t="str">
        <f>CONCATENATE("44210584858")</f>
        <v>44210584858</v>
      </c>
      <c r="I129" s="3" t="s">
        <v>34</v>
      </c>
      <c r="J129" s="3" t="s">
        <v>35</v>
      </c>
      <c r="K129" s="3"/>
      <c r="L129" s="3" t="s">
        <v>36</v>
      </c>
      <c r="M129" s="3" t="str">
        <f>CONCATENATE("GNNLCU96D30A252H")</f>
        <v>GNNLCU96D30A252H</v>
      </c>
      <c r="N129" s="3" t="s">
        <v>218</v>
      </c>
      <c r="O129" s="3" t="s">
        <v>38</v>
      </c>
      <c r="P129" s="3"/>
      <c r="Q129" s="4">
        <v>45956</v>
      </c>
      <c r="R129" s="3" t="s">
        <v>39</v>
      </c>
      <c r="S129" s="3" t="s">
        <v>40</v>
      </c>
      <c r="T129" s="3" t="s">
        <v>41</v>
      </c>
      <c r="U129" s="3"/>
      <c r="V129" s="3" t="s">
        <v>42</v>
      </c>
      <c r="W129" s="3">
        <v>33.35</v>
      </c>
      <c r="X129" s="3">
        <v>25.01</v>
      </c>
      <c r="Y129" s="3">
        <v>5.84</v>
      </c>
      <c r="Z129" s="3">
        <v>2.5</v>
      </c>
      <c r="AA129" s="3">
        <v>0</v>
      </c>
    </row>
    <row r="130" spans="1:27" ht="60.75" x14ac:dyDescent="0.25">
      <c r="A130" s="3" t="s">
        <v>28</v>
      </c>
      <c r="B130" s="3" t="s">
        <v>29</v>
      </c>
      <c r="C130" s="3" t="s">
        <v>30</v>
      </c>
      <c r="D130" s="3" t="s">
        <v>46</v>
      </c>
      <c r="E130" s="3" t="s">
        <v>73</v>
      </c>
      <c r="F130" s="3" t="s">
        <v>130</v>
      </c>
      <c r="G130" s="3">
        <v>2024</v>
      </c>
      <c r="H130" s="3" t="str">
        <f>CONCATENATE("44210893374")</f>
        <v>44210893374</v>
      </c>
      <c r="I130" s="3" t="s">
        <v>34</v>
      </c>
      <c r="J130" s="3" t="s">
        <v>35</v>
      </c>
      <c r="K130" s="3"/>
      <c r="L130" s="3" t="s">
        <v>36</v>
      </c>
      <c r="M130" s="3" t="str">
        <f>CONCATENATE("BSTNDR60L01H501E")</f>
        <v>BSTNDR60L01H501E</v>
      </c>
      <c r="N130" s="3" t="s">
        <v>219</v>
      </c>
      <c r="O130" s="3" t="s">
        <v>38</v>
      </c>
      <c r="P130" s="3"/>
      <c r="Q130" s="4">
        <v>45956</v>
      </c>
      <c r="R130" s="3" t="s">
        <v>39</v>
      </c>
      <c r="S130" s="3" t="s">
        <v>40</v>
      </c>
      <c r="T130" s="3" t="s">
        <v>41</v>
      </c>
      <c r="U130" s="3"/>
      <c r="V130" s="3" t="s">
        <v>42</v>
      </c>
      <c r="W130" s="3">
        <v>17.72</v>
      </c>
      <c r="X130" s="3">
        <v>13.29</v>
      </c>
      <c r="Y130" s="3">
        <v>3.1</v>
      </c>
      <c r="Z130" s="3">
        <v>1.33</v>
      </c>
      <c r="AA130" s="3">
        <v>0</v>
      </c>
    </row>
    <row r="131" spans="1:27" ht="60.75" x14ac:dyDescent="0.25">
      <c r="A131" s="3" t="s">
        <v>28</v>
      </c>
      <c r="B131" s="3" t="s">
        <v>29</v>
      </c>
      <c r="C131" s="3" t="s">
        <v>30</v>
      </c>
      <c r="D131" s="3" t="s">
        <v>46</v>
      </c>
      <c r="E131" s="3" t="s">
        <v>32</v>
      </c>
      <c r="F131" s="3" t="s">
        <v>47</v>
      </c>
      <c r="G131" s="3">
        <v>2024</v>
      </c>
      <c r="H131" s="3" t="str">
        <f>CONCATENATE("44210933253")</f>
        <v>44210933253</v>
      </c>
      <c r="I131" s="3" t="s">
        <v>34</v>
      </c>
      <c r="J131" s="3" t="s">
        <v>35</v>
      </c>
      <c r="K131" s="3"/>
      <c r="L131" s="3" t="s">
        <v>36</v>
      </c>
      <c r="M131" s="3" t="str">
        <f>CONCATENATE("BNCLRD60P05G514W")</f>
        <v>BNCLRD60P05G514W</v>
      </c>
      <c r="N131" s="3" t="s">
        <v>220</v>
      </c>
      <c r="O131" s="3" t="s">
        <v>38</v>
      </c>
      <c r="P131" s="3"/>
      <c r="Q131" s="4">
        <v>45956</v>
      </c>
      <c r="R131" s="3" t="s">
        <v>39</v>
      </c>
      <c r="S131" s="3" t="s">
        <v>40</v>
      </c>
      <c r="T131" s="3" t="s">
        <v>41</v>
      </c>
      <c r="U131" s="3"/>
      <c r="V131" s="3" t="s">
        <v>42</v>
      </c>
      <c r="W131" s="3">
        <v>28.25</v>
      </c>
      <c r="X131" s="3">
        <v>21.19</v>
      </c>
      <c r="Y131" s="3">
        <v>4.9400000000000004</v>
      </c>
      <c r="Z131" s="3">
        <v>2.12</v>
      </c>
      <c r="AA131" s="3">
        <v>0</v>
      </c>
    </row>
    <row r="132" spans="1:27" ht="36.75" x14ac:dyDescent="0.25">
      <c r="A132" s="3" t="s">
        <v>28</v>
      </c>
      <c r="B132" s="3" t="s">
        <v>29</v>
      </c>
      <c r="C132" s="3" t="s">
        <v>30</v>
      </c>
      <c r="D132" s="3" t="s">
        <v>60</v>
      </c>
      <c r="E132" s="3" t="s">
        <v>73</v>
      </c>
      <c r="F132" s="3" t="s">
        <v>159</v>
      </c>
      <c r="G132" s="3">
        <v>2024</v>
      </c>
      <c r="H132" s="3" t="str">
        <f>CONCATENATE("44210565527")</f>
        <v>44210565527</v>
      </c>
      <c r="I132" s="3" t="s">
        <v>34</v>
      </c>
      <c r="J132" s="3" t="s">
        <v>35</v>
      </c>
      <c r="K132" s="3"/>
      <c r="L132" s="3" t="s">
        <v>36</v>
      </c>
      <c r="M132" s="3" t="str">
        <f>CONCATENATE("01822020432")</f>
        <v>01822020432</v>
      </c>
      <c r="N132" s="3" t="s">
        <v>221</v>
      </c>
      <c r="O132" s="3" t="s">
        <v>38</v>
      </c>
      <c r="P132" s="3"/>
      <c r="Q132" s="4">
        <v>45956</v>
      </c>
      <c r="R132" s="3" t="s">
        <v>39</v>
      </c>
      <c r="S132" s="3" t="s">
        <v>40</v>
      </c>
      <c r="T132" s="3" t="s">
        <v>41</v>
      </c>
      <c r="U132" s="3"/>
      <c r="V132" s="3" t="s">
        <v>42</v>
      </c>
      <c r="W132" s="3">
        <v>906.48</v>
      </c>
      <c r="X132" s="3">
        <v>679.86</v>
      </c>
      <c r="Y132" s="3">
        <v>158.63</v>
      </c>
      <c r="Z132" s="3">
        <v>67.989999999999995</v>
      </c>
      <c r="AA132" s="3">
        <v>0</v>
      </c>
    </row>
    <row r="133" spans="1:27" ht="60.75" x14ac:dyDescent="0.25">
      <c r="A133" s="3" t="s">
        <v>28</v>
      </c>
      <c r="B133" s="3" t="s">
        <v>29</v>
      </c>
      <c r="C133" s="3" t="s">
        <v>30</v>
      </c>
      <c r="D133" s="3" t="s">
        <v>31</v>
      </c>
      <c r="E133" s="3" t="s">
        <v>43</v>
      </c>
      <c r="F133" s="3" t="s">
        <v>100</v>
      </c>
      <c r="G133" s="3">
        <v>2024</v>
      </c>
      <c r="H133" s="3" t="str">
        <f>CONCATENATE("44210189450")</f>
        <v>44210189450</v>
      </c>
      <c r="I133" s="3" t="s">
        <v>34</v>
      </c>
      <c r="J133" s="3" t="s">
        <v>35</v>
      </c>
      <c r="K133" s="3"/>
      <c r="L133" s="3" t="s">
        <v>36</v>
      </c>
      <c r="M133" s="3" t="str">
        <f>CONCATENATE("PLZMVT46A42I461W")</f>
        <v>PLZMVT46A42I461W</v>
      </c>
      <c r="N133" s="3" t="s">
        <v>222</v>
      </c>
      <c r="O133" s="3" t="s">
        <v>38</v>
      </c>
      <c r="P133" s="3"/>
      <c r="Q133" s="4">
        <v>45956</v>
      </c>
      <c r="R133" s="3" t="s">
        <v>39</v>
      </c>
      <c r="S133" s="3" t="s">
        <v>40</v>
      </c>
      <c r="T133" s="3" t="s">
        <v>41</v>
      </c>
      <c r="U133" s="3"/>
      <c r="V133" s="3" t="s">
        <v>42</v>
      </c>
      <c r="W133" s="3">
        <v>12.73</v>
      </c>
      <c r="X133" s="3">
        <v>9.5500000000000007</v>
      </c>
      <c r="Y133" s="3">
        <v>2.23</v>
      </c>
      <c r="Z133" s="3">
        <v>0.95</v>
      </c>
      <c r="AA133" s="3">
        <v>0</v>
      </c>
    </row>
    <row r="134" spans="1:27" ht="72.75" x14ac:dyDescent="0.25">
      <c r="A134" s="3" t="s">
        <v>28</v>
      </c>
      <c r="B134" s="3" t="s">
        <v>29</v>
      </c>
      <c r="C134" s="3" t="s">
        <v>30</v>
      </c>
      <c r="D134" s="3" t="s">
        <v>76</v>
      </c>
      <c r="E134" s="3" t="s">
        <v>32</v>
      </c>
      <c r="F134" s="3" t="s">
        <v>135</v>
      </c>
      <c r="G134" s="3">
        <v>2024</v>
      </c>
      <c r="H134" s="3" t="str">
        <f>CONCATENATE("44210320360")</f>
        <v>44210320360</v>
      </c>
      <c r="I134" s="3" t="s">
        <v>34</v>
      </c>
      <c r="J134" s="3" t="s">
        <v>35</v>
      </c>
      <c r="K134" s="3"/>
      <c r="L134" s="3" t="s">
        <v>36</v>
      </c>
      <c r="M134" s="3" t="str">
        <f>CONCATENATE("CCCGPL73D16A462R")</f>
        <v>CCCGPL73D16A462R</v>
      </c>
      <c r="N134" s="3" t="s">
        <v>223</v>
      </c>
      <c r="O134" s="3" t="s">
        <v>38</v>
      </c>
      <c r="P134" s="3"/>
      <c r="Q134" s="4">
        <v>45956</v>
      </c>
      <c r="R134" s="3" t="s">
        <v>39</v>
      </c>
      <c r="S134" s="3" t="s">
        <v>40</v>
      </c>
      <c r="T134" s="3" t="s">
        <v>41</v>
      </c>
      <c r="U134" s="3"/>
      <c r="V134" s="3" t="s">
        <v>42</v>
      </c>
      <c r="W134" s="3">
        <v>82.8</v>
      </c>
      <c r="X134" s="3">
        <v>62.1</v>
      </c>
      <c r="Y134" s="3">
        <v>14.49</v>
      </c>
      <c r="Z134" s="3">
        <v>6.21</v>
      </c>
      <c r="AA134" s="3">
        <v>0</v>
      </c>
    </row>
    <row r="135" spans="1:27" ht="72.75" x14ac:dyDescent="0.25">
      <c r="A135" s="3" t="s">
        <v>28</v>
      </c>
      <c r="B135" s="3" t="s">
        <v>29</v>
      </c>
      <c r="C135" s="3" t="s">
        <v>30</v>
      </c>
      <c r="D135" s="3" t="s">
        <v>46</v>
      </c>
      <c r="E135" s="3" t="s">
        <v>43</v>
      </c>
      <c r="F135" s="3" t="s">
        <v>84</v>
      </c>
      <c r="G135" s="3">
        <v>2024</v>
      </c>
      <c r="H135" s="3" t="str">
        <f>CONCATENATE("44210338966")</f>
        <v>44210338966</v>
      </c>
      <c r="I135" s="3" t="s">
        <v>34</v>
      </c>
      <c r="J135" s="3" t="s">
        <v>35</v>
      </c>
      <c r="K135" s="3"/>
      <c r="L135" s="3" t="s">
        <v>36</v>
      </c>
      <c r="M135" s="3" t="str">
        <f>CONCATENATE("BRZGRG51H23B352O")</f>
        <v>BRZGRG51H23B352O</v>
      </c>
      <c r="N135" s="3" t="s">
        <v>224</v>
      </c>
      <c r="O135" s="3" t="s">
        <v>38</v>
      </c>
      <c r="P135" s="3"/>
      <c r="Q135" s="4">
        <v>45956</v>
      </c>
      <c r="R135" s="3" t="s">
        <v>39</v>
      </c>
      <c r="S135" s="3" t="s">
        <v>40</v>
      </c>
      <c r="T135" s="3" t="s">
        <v>41</v>
      </c>
      <c r="U135" s="3"/>
      <c r="V135" s="3" t="s">
        <v>42</v>
      </c>
      <c r="W135" s="3">
        <v>495.27</v>
      </c>
      <c r="X135" s="3">
        <v>371.45</v>
      </c>
      <c r="Y135" s="3">
        <v>86.67</v>
      </c>
      <c r="Z135" s="3">
        <v>37.15</v>
      </c>
      <c r="AA135" s="3">
        <v>0</v>
      </c>
    </row>
    <row r="136" spans="1:27" ht="72.75" x14ac:dyDescent="0.25">
      <c r="A136" s="3" t="s">
        <v>28</v>
      </c>
      <c r="B136" s="3" t="s">
        <v>29</v>
      </c>
      <c r="C136" s="3" t="s">
        <v>30</v>
      </c>
      <c r="D136" s="3" t="s">
        <v>46</v>
      </c>
      <c r="E136" s="3" t="s">
        <v>32</v>
      </c>
      <c r="F136" s="3" t="s">
        <v>52</v>
      </c>
      <c r="G136" s="3">
        <v>2024</v>
      </c>
      <c r="H136" s="3" t="str">
        <f>CONCATENATE("44210249999")</f>
        <v>44210249999</v>
      </c>
      <c r="I136" s="3" t="s">
        <v>34</v>
      </c>
      <c r="J136" s="3" t="s">
        <v>35</v>
      </c>
      <c r="K136" s="3"/>
      <c r="L136" s="3" t="s">
        <v>36</v>
      </c>
      <c r="M136" s="3" t="str">
        <f>CONCATENATE("SRNMRA52H16B636V")</f>
        <v>SRNMRA52H16B636V</v>
      </c>
      <c r="N136" s="3" t="s">
        <v>225</v>
      </c>
      <c r="O136" s="3" t="s">
        <v>38</v>
      </c>
      <c r="P136" s="3"/>
      <c r="Q136" s="4">
        <v>45956</v>
      </c>
      <c r="R136" s="3" t="s">
        <v>39</v>
      </c>
      <c r="S136" s="3" t="s">
        <v>40</v>
      </c>
      <c r="T136" s="3" t="s">
        <v>41</v>
      </c>
      <c r="U136" s="3"/>
      <c r="V136" s="3" t="s">
        <v>42</v>
      </c>
      <c r="W136" s="3">
        <v>39.619999999999997</v>
      </c>
      <c r="X136" s="3">
        <v>29.72</v>
      </c>
      <c r="Y136" s="3">
        <v>6.93</v>
      </c>
      <c r="Z136" s="3">
        <v>2.97</v>
      </c>
      <c r="AA136" s="3">
        <v>0</v>
      </c>
    </row>
    <row r="137" spans="1:27" ht="60.75" x14ac:dyDescent="0.25">
      <c r="A137" s="3" t="s">
        <v>28</v>
      </c>
      <c r="B137" s="3" t="s">
        <v>29</v>
      </c>
      <c r="C137" s="3" t="s">
        <v>30</v>
      </c>
      <c r="D137" s="3" t="s">
        <v>46</v>
      </c>
      <c r="E137" s="3" t="s">
        <v>43</v>
      </c>
      <c r="F137" s="3" t="s">
        <v>82</v>
      </c>
      <c r="G137" s="3">
        <v>2024</v>
      </c>
      <c r="H137" s="3" t="str">
        <f>CONCATENATE("44210096093")</f>
        <v>44210096093</v>
      </c>
      <c r="I137" s="3" t="s">
        <v>34</v>
      </c>
      <c r="J137" s="3" t="s">
        <v>35</v>
      </c>
      <c r="K137" s="3"/>
      <c r="L137" s="3" t="s">
        <v>36</v>
      </c>
      <c r="M137" s="3" t="str">
        <f>CONCATENATE("PRNMLN74M68L500C")</f>
        <v>PRNMLN74M68L500C</v>
      </c>
      <c r="N137" s="3" t="s">
        <v>226</v>
      </c>
      <c r="O137" s="3" t="s">
        <v>38</v>
      </c>
      <c r="P137" s="3"/>
      <c r="Q137" s="4">
        <v>45956</v>
      </c>
      <c r="R137" s="3" t="s">
        <v>39</v>
      </c>
      <c r="S137" s="3" t="s">
        <v>40</v>
      </c>
      <c r="T137" s="3" t="s">
        <v>41</v>
      </c>
      <c r="U137" s="3"/>
      <c r="V137" s="3" t="s">
        <v>42</v>
      </c>
      <c r="W137" s="3">
        <v>48.84</v>
      </c>
      <c r="X137" s="3">
        <v>36.630000000000003</v>
      </c>
      <c r="Y137" s="3">
        <v>8.5500000000000007</v>
      </c>
      <c r="Z137" s="3">
        <v>3.66</v>
      </c>
      <c r="AA137" s="3">
        <v>0</v>
      </c>
    </row>
    <row r="138" spans="1:27" ht="60.75" x14ac:dyDescent="0.25">
      <c r="A138" s="3" t="s">
        <v>28</v>
      </c>
      <c r="B138" s="3" t="s">
        <v>29</v>
      </c>
      <c r="C138" s="3" t="s">
        <v>30</v>
      </c>
      <c r="D138" s="3" t="s">
        <v>60</v>
      </c>
      <c r="E138" s="3" t="s">
        <v>43</v>
      </c>
      <c r="F138" s="3" t="s">
        <v>63</v>
      </c>
      <c r="G138" s="3">
        <v>2024</v>
      </c>
      <c r="H138" s="3" t="str">
        <f>CONCATENATE("44210192710")</f>
        <v>44210192710</v>
      </c>
      <c r="I138" s="3" t="s">
        <v>34</v>
      </c>
      <c r="J138" s="3" t="s">
        <v>35</v>
      </c>
      <c r="K138" s="3"/>
      <c r="L138" s="3" t="s">
        <v>36</v>
      </c>
      <c r="M138" s="3" t="str">
        <f>CONCATENATE("BCCNDR74C16I436R")</f>
        <v>BCCNDR74C16I436R</v>
      </c>
      <c r="N138" s="3" t="s">
        <v>227</v>
      </c>
      <c r="O138" s="3" t="s">
        <v>38</v>
      </c>
      <c r="P138" s="3"/>
      <c r="Q138" s="4">
        <v>45956</v>
      </c>
      <c r="R138" s="3" t="s">
        <v>39</v>
      </c>
      <c r="S138" s="3" t="s">
        <v>40</v>
      </c>
      <c r="T138" s="3" t="s">
        <v>41</v>
      </c>
      <c r="U138" s="3"/>
      <c r="V138" s="3" t="s">
        <v>42</v>
      </c>
      <c r="W138" s="3">
        <v>46.39</v>
      </c>
      <c r="X138" s="3">
        <v>34.79</v>
      </c>
      <c r="Y138" s="3">
        <v>8.1199999999999992</v>
      </c>
      <c r="Z138" s="3">
        <v>3.48</v>
      </c>
      <c r="AA138" s="3">
        <v>0</v>
      </c>
    </row>
    <row r="139" spans="1:27" ht="36.75" x14ac:dyDescent="0.25">
      <c r="A139" s="3" t="s">
        <v>28</v>
      </c>
      <c r="B139" s="3" t="s">
        <v>29</v>
      </c>
      <c r="C139" s="3" t="s">
        <v>30</v>
      </c>
      <c r="D139" s="3" t="s">
        <v>76</v>
      </c>
      <c r="E139" s="3" t="s">
        <v>32</v>
      </c>
      <c r="F139" s="3" t="s">
        <v>135</v>
      </c>
      <c r="G139" s="3">
        <v>2024</v>
      </c>
      <c r="H139" s="3" t="str">
        <f>CONCATENATE("44210690838")</f>
        <v>44210690838</v>
      </c>
      <c r="I139" s="3" t="s">
        <v>34</v>
      </c>
      <c r="J139" s="3" t="s">
        <v>35</v>
      </c>
      <c r="K139" s="3"/>
      <c r="L139" s="3" t="s">
        <v>36</v>
      </c>
      <c r="M139" s="3" t="str">
        <f>CONCATENATE("01782470445")</f>
        <v>01782470445</v>
      </c>
      <c r="N139" s="3" t="s">
        <v>228</v>
      </c>
      <c r="O139" s="3" t="s">
        <v>38</v>
      </c>
      <c r="P139" s="3"/>
      <c r="Q139" s="4">
        <v>45956</v>
      </c>
      <c r="R139" s="3" t="s">
        <v>39</v>
      </c>
      <c r="S139" s="3" t="s">
        <v>40</v>
      </c>
      <c r="T139" s="3" t="s">
        <v>41</v>
      </c>
      <c r="U139" s="3"/>
      <c r="V139" s="3" t="s">
        <v>42</v>
      </c>
      <c r="W139" s="3">
        <v>15.78</v>
      </c>
      <c r="X139" s="3">
        <v>11.84</v>
      </c>
      <c r="Y139" s="3">
        <v>2.76</v>
      </c>
      <c r="Z139" s="3">
        <v>1.18</v>
      </c>
      <c r="AA139" s="3">
        <v>0</v>
      </c>
    </row>
    <row r="140" spans="1:27" ht="36.75" x14ac:dyDescent="0.25">
      <c r="A140" s="3" t="s">
        <v>28</v>
      </c>
      <c r="B140" s="3" t="s">
        <v>29</v>
      </c>
      <c r="C140" s="3" t="s">
        <v>30</v>
      </c>
      <c r="D140" s="3" t="s">
        <v>60</v>
      </c>
      <c r="E140" s="3" t="s">
        <v>43</v>
      </c>
      <c r="F140" s="3" t="s">
        <v>61</v>
      </c>
      <c r="G140" s="3">
        <v>2024</v>
      </c>
      <c r="H140" s="3" t="str">
        <f>CONCATENATE("44210404214")</f>
        <v>44210404214</v>
      </c>
      <c r="I140" s="3" t="s">
        <v>34</v>
      </c>
      <c r="J140" s="3" t="s">
        <v>35</v>
      </c>
      <c r="K140" s="3"/>
      <c r="L140" s="3" t="s">
        <v>36</v>
      </c>
      <c r="M140" s="3" t="str">
        <f>CONCATENATE("01939990436")</f>
        <v>01939990436</v>
      </c>
      <c r="N140" s="3" t="s">
        <v>229</v>
      </c>
      <c r="O140" s="3" t="s">
        <v>38</v>
      </c>
      <c r="P140" s="3"/>
      <c r="Q140" s="4">
        <v>45956</v>
      </c>
      <c r="R140" s="3" t="s">
        <v>39</v>
      </c>
      <c r="S140" s="3" t="s">
        <v>40</v>
      </c>
      <c r="T140" s="3" t="s">
        <v>41</v>
      </c>
      <c r="U140" s="3"/>
      <c r="V140" s="3" t="s">
        <v>42</v>
      </c>
      <c r="W140" s="3">
        <v>120</v>
      </c>
      <c r="X140" s="3">
        <v>90</v>
      </c>
      <c r="Y140" s="3">
        <v>21</v>
      </c>
      <c r="Z140" s="3">
        <v>9</v>
      </c>
      <c r="AA140" s="3">
        <v>0</v>
      </c>
    </row>
    <row r="141" spans="1:27" ht="36.75" x14ac:dyDescent="0.25">
      <c r="A141" s="3" t="s">
        <v>28</v>
      </c>
      <c r="B141" s="3" t="s">
        <v>29</v>
      </c>
      <c r="C141" s="3" t="s">
        <v>30</v>
      </c>
      <c r="D141" s="3" t="s">
        <v>76</v>
      </c>
      <c r="E141" s="3" t="s">
        <v>77</v>
      </c>
      <c r="F141" s="3" t="s">
        <v>78</v>
      </c>
      <c r="G141" s="3">
        <v>2024</v>
      </c>
      <c r="H141" s="3" t="str">
        <f>CONCATENATE("44210574891")</f>
        <v>44210574891</v>
      </c>
      <c r="I141" s="3" t="s">
        <v>34</v>
      </c>
      <c r="J141" s="3" t="s">
        <v>35</v>
      </c>
      <c r="K141" s="3"/>
      <c r="L141" s="3" t="s">
        <v>36</v>
      </c>
      <c r="M141" s="3" t="str">
        <f>CONCATENATE("01994610440")</f>
        <v>01994610440</v>
      </c>
      <c r="N141" s="3" t="s">
        <v>230</v>
      </c>
      <c r="O141" s="3" t="s">
        <v>38</v>
      </c>
      <c r="P141" s="3"/>
      <c r="Q141" s="4">
        <v>45956</v>
      </c>
      <c r="R141" s="3" t="s">
        <v>39</v>
      </c>
      <c r="S141" s="3" t="s">
        <v>40</v>
      </c>
      <c r="T141" s="3" t="s">
        <v>41</v>
      </c>
      <c r="U141" s="3"/>
      <c r="V141" s="3" t="s">
        <v>42</v>
      </c>
      <c r="W141" s="3">
        <v>230.22</v>
      </c>
      <c r="X141" s="3">
        <v>172.67</v>
      </c>
      <c r="Y141" s="3">
        <v>40.29</v>
      </c>
      <c r="Z141" s="3">
        <v>17.260000000000002</v>
      </c>
      <c r="AA141" s="3">
        <v>0</v>
      </c>
    </row>
    <row r="142" spans="1:27" ht="60.75" x14ac:dyDescent="0.25">
      <c r="A142" s="3" t="s">
        <v>28</v>
      </c>
      <c r="B142" s="3" t="s">
        <v>29</v>
      </c>
      <c r="C142" s="3" t="s">
        <v>30</v>
      </c>
      <c r="D142" s="3" t="s">
        <v>46</v>
      </c>
      <c r="E142" s="3" t="s">
        <v>32</v>
      </c>
      <c r="F142" s="3" t="s">
        <v>47</v>
      </c>
      <c r="G142" s="3">
        <v>2024</v>
      </c>
      <c r="H142" s="3" t="str">
        <f>CONCATENATE("44210481998")</f>
        <v>44210481998</v>
      </c>
      <c r="I142" s="3" t="s">
        <v>34</v>
      </c>
      <c r="J142" s="3" t="s">
        <v>35</v>
      </c>
      <c r="K142" s="3"/>
      <c r="L142" s="3" t="s">
        <v>36</v>
      </c>
      <c r="M142" s="3" t="str">
        <f>CONCATENATE("RTNGNN64L17G514A")</f>
        <v>RTNGNN64L17G514A</v>
      </c>
      <c r="N142" s="3" t="s">
        <v>231</v>
      </c>
      <c r="O142" s="3" t="s">
        <v>38</v>
      </c>
      <c r="P142" s="3"/>
      <c r="Q142" s="4">
        <v>45956</v>
      </c>
      <c r="R142" s="3" t="s">
        <v>39</v>
      </c>
      <c r="S142" s="3" t="s">
        <v>40</v>
      </c>
      <c r="T142" s="3" t="s">
        <v>41</v>
      </c>
      <c r="U142" s="3"/>
      <c r="V142" s="3" t="s">
        <v>42</v>
      </c>
      <c r="W142" s="3">
        <v>36.25</v>
      </c>
      <c r="X142" s="3">
        <v>27.19</v>
      </c>
      <c r="Y142" s="3">
        <v>6.34</v>
      </c>
      <c r="Z142" s="3">
        <v>2.72</v>
      </c>
      <c r="AA142" s="3">
        <v>0</v>
      </c>
    </row>
    <row r="143" spans="1:27" ht="60.75" x14ac:dyDescent="0.25">
      <c r="A143" s="3" t="s">
        <v>28</v>
      </c>
      <c r="B143" s="3" t="s">
        <v>29</v>
      </c>
      <c r="C143" s="3" t="s">
        <v>30</v>
      </c>
      <c r="D143" s="3" t="s">
        <v>46</v>
      </c>
      <c r="E143" s="3" t="s">
        <v>32</v>
      </c>
      <c r="F143" s="3" t="s">
        <v>47</v>
      </c>
      <c r="G143" s="3">
        <v>2024</v>
      </c>
      <c r="H143" s="3" t="str">
        <f>CONCATENATE("44210641484")</f>
        <v>44210641484</v>
      </c>
      <c r="I143" s="3" t="s">
        <v>34</v>
      </c>
      <c r="J143" s="3" t="s">
        <v>35</v>
      </c>
      <c r="K143" s="3"/>
      <c r="L143" s="3" t="s">
        <v>36</v>
      </c>
      <c r="M143" s="3" t="str">
        <f>CONCATENATE("LBWGRD53B27Z103H")</f>
        <v>LBWGRD53B27Z103H</v>
      </c>
      <c r="N143" s="3" t="s">
        <v>232</v>
      </c>
      <c r="O143" s="3" t="s">
        <v>38</v>
      </c>
      <c r="P143" s="3"/>
      <c r="Q143" s="4">
        <v>45956</v>
      </c>
      <c r="R143" s="3" t="s">
        <v>39</v>
      </c>
      <c r="S143" s="3" t="s">
        <v>40</v>
      </c>
      <c r="T143" s="3" t="s">
        <v>41</v>
      </c>
      <c r="U143" s="3"/>
      <c r="V143" s="3" t="s">
        <v>42</v>
      </c>
      <c r="W143" s="3">
        <v>255.58</v>
      </c>
      <c r="X143" s="3">
        <v>191.69</v>
      </c>
      <c r="Y143" s="3">
        <v>44.73</v>
      </c>
      <c r="Z143" s="3">
        <v>19.16</v>
      </c>
      <c r="AA143" s="3">
        <v>0</v>
      </c>
    </row>
    <row r="144" spans="1:27" ht="72.75" x14ac:dyDescent="0.25">
      <c r="A144" s="3" t="s">
        <v>28</v>
      </c>
      <c r="B144" s="3" t="s">
        <v>29</v>
      </c>
      <c r="C144" s="3" t="s">
        <v>30</v>
      </c>
      <c r="D144" s="3" t="s">
        <v>60</v>
      </c>
      <c r="E144" s="3" t="s">
        <v>73</v>
      </c>
      <c r="F144" s="3" t="s">
        <v>138</v>
      </c>
      <c r="G144" s="3">
        <v>2024</v>
      </c>
      <c r="H144" s="3" t="str">
        <f>CONCATENATE("44210483309")</f>
        <v>44210483309</v>
      </c>
      <c r="I144" s="3" t="s">
        <v>34</v>
      </c>
      <c r="J144" s="3" t="s">
        <v>35</v>
      </c>
      <c r="K144" s="3"/>
      <c r="L144" s="3" t="s">
        <v>36</v>
      </c>
      <c r="M144" s="3" t="str">
        <f>CONCATENATE("PZZMGN79R03L191W")</f>
        <v>PZZMGN79R03L191W</v>
      </c>
      <c r="N144" s="3" t="s">
        <v>233</v>
      </c>
      <c r="O144" s="3" t="s">
        <v>38</v>
      </c>
      <c r="P144" s="3"/>
      <c r="Q144" s="4">
        <v>45956</v>
      </c>
      <c r="R144" s="3" t="s">
        <v>39</v>
      </c>
      <c r="S144" s="3" t="s">
        <v>40</v>
      </c>
      <c r="T144" s="3" t="s">
        <v>41</v>
      </c>
      <c r="U144" s="3"/>
      <c r="V144" s="3" t="s">
        <v>42</v>
      </c>
      <c r="W144" s="3">
        <v>28.5</v>
      </c>
      <c r="X144" s="3">
        <v>21.38</v>
      </c>
      <c r="Y144" s="3">
        <v>4.99</v>
      </c>
      <c r="Z144" s="3">
        <v>2.13</v>
      </c>
      <c r="AA144" s="3">
        <v>0</v>
      </c>
    </row>
    <row r="145" spans="1:27" ht="60.75" x14ac:dyDescent="0.25">
      <c r="A145" s="3" t="s">
        <v>28</v>
      </c>
      <c r="B145" s="3" t="s">
        <v>29</v>
      </c>
      <c r="C145" s="3" t="s">
        <v>30</v>
      </c>
      <c r="D145" s="3" t="s">
        <v>76</v>
      </c>
      <c r="E145" s="3" t="s">
        <v>77</v>
      </c>
      <c r="F145" s="3" t="s">
        <v>78</v>
      </c>
      <c r="G145" s="3">
        <v>2024</v>
      </c>
      <c r="H145" s="3" t="str">
        <f>CONCATENATE("44210579239")</f>
        <v>44210579239</v>
      </c>
      <c r="I145" s="3" t="s">
        <v>34</v>
      </c>
      <c r="J145" s="3" t="s">
        <v>35</v>
      </c>
      <c r="K145" s="3"/>
      <c r="L145" s="3" t="s">
        <v>36</v>
      </c>
      <c r="M145" s="3" t="str">
        <f>CONCATENATE("CNTRTR75S05A252M")</f>
        <v>CNTRTR75S05A252M</v>
      </c>
      <c r="N145" s="3" t="s">
        <v>234</v>
      </c>
      <c r="O145" s="3" t="s">
        <v>38</v>
      </c>
      <c r="P145" s="3"/>
      <c r="Q145" s="4">
        <v>45956</v>
      </c>
      <c r="R145" s="3" t="s">
        <v>39</v>
      </c>
      <c r="S145" s="3" t="s">
        <v>40</v>
      </c>
      <c r="T145" s="3" t="s">
        <v>41</v>
      </c>
      <c r="U145" s="3"/>
      <c r="V145" s="3" t="s">
        <v>42</v>
      </c>
      <c r="W145" s="3">
        <v>81.13</v>
      </c>
      <c r="X145" s="3">
        <v>60.85</v>
      </c>
      <c r="Y145" s="3">
        <v>14.2</v>
      </c>
      <c r="Z145" s="3">
        <v>6.08</v>
      </c>
      <c r="AA145" s="3">
        <v>0</v>
      </c>
    </row>
    <row r="146" spans="1:27" ht="60.75" x14ac:dyDescent="0.25">
      <c r="A146" s="3" t="s">
        <v>28</v>
      </c>
      <c r="B146" s="3" t="s">
        <v>29</v>
      </c>
      <c r="C146" s="3" t="s">
        <v>30</v>
      </c>
      <c r="D146" s="3" t="s">
        <v>31</v>
      </c>
      <c r="E146" s="3" t="s">
        <v>77</v>
      </c>
      <c r="F146" s="3" t="s">
        <v>92</v>
      </c>
      <c r="G146" s="3">
        <v>2024</v>
      </c>
      <c r="H146" s="3" t="str">
        <f>CONCATENATE("44210003719")</f>
        <v>44210003719</v>
      </c>
      <c r="I146" s="3" t="s">
        <v>34</v>
      </c>
      <c r="J146" s="3" t="s">
        <v>35</v>
      </c>
      <c r="K146" s="3"/>
      <c r="L146" s="3" t="s">
        <v>36</v>
      </c>
      <c r="M146" s="3" t="str">
        <f>CONCATENATE("SRCGBR46B13I653L")</f>
        <v>SRCGBR46B13I653L</v>
      </c>
      <c r="N146" s="3" t="s">
        <v>235</v>
      </c>
      <c r="O146" s="3" t="s">
        <v>38</v>
      </c>
      <c r="P146" s="3"/>
      <c r="Q146" s="4">
        <v>45956</v>
      </c>
      <c r="R146" s="3" t="s">
        <v>39</v>
      </c>
      <c r="S146" s="3" t="s">
        <v>40</v>
      </c>
      <c r="T146" s="3" t="s">
        <v>41</v>
      </c>
      <c r="U146" s="3"/>
      <c r="V146" s="3" t="s">
        <v>42</v>
      </c>
      <c r="W146" s="3">
        <v>17.53</v>
      </c>
      <c r="X146" s="3">
        <v>13.15</v>
      </c>
      <c r="Y146" s="3">
        <v>3.07</v>
      </c>
      <c r="Z146" s="3">
        <v>1.31</v>
      </c>
      <c r="AA146" s="3">
        <v>0</v>
      </c>
    </row>
    <row r="147" spans="1:27" ht="60.75" x14ac:dyDescent="0.25">
      <c r="A147" s="3" t="s">
        <v>28</v>
      </c>
      <c r="B147" s="3" t="s">
        <v>29</v>
      </c>
      <c r="C147" s="3" t="s">
        <v>30</v>
      </c>
      <c r="D147" s="3" t="s">
        <v>46</v>
      </c>
      <c r="E147" s="3" t="s">
        <v>32</v>
      </c>
      <c r="F147" s="3" t="s">
        <v>47</v>
      </c>
      <c r="G147" s="3">
        <v>2024</v>
      </c>
      <c r="H147" s="3" t="str">
        <f>CONCATENATE("44210735179")</f>
        <v>44210735179</v>
      </c>
      <c r="I147" s="3" t="s">
        <v>34</v>
      </c>
      <c r="J147" s="3" t="s">
        <v>35</v>
      </c>
      <c r="K147" s="3"/>
      <c r="L147" s="3" t="s">
        <v>36</v>
      </c>
      <c r="M147" s="3" t="str">
        <f>CONCATENATE("VLPGNN60L18C830X")</f>
        <v>VLPGNN60L18C830X</v>
      </c>
      <c r="N147" s="3" t="s">
        <v>236</v>
      </c>
      <c r="O147" s="3" t="s">
        <v>38</v>
      </c>
      <c r="P147" s="3"/>
      <c r="Q147" s="4">
        <v>45956</v>
      </c>
      <c r="R147" s="3" t="s">
        <v>39</v>
      </c>
      <c r="S147" s="3" t="s">
        <v>40</v>
      </c>
      <c r="T147" s="3" t="s">
        <v>41</v>
      </c>
      <c r="U147" s="3"/>
      <c r="V147" s="3" t="s">
        <v>42</v>
      </c>
      <c r="W147" s="3">
        <v>16.600000000000001</v>
      </c>
      <c r="X147" s="3">
        <v>12.45</v>
      </c>
      <c r="Y147" s="3">
        <v>2.91</v>
      </c>
      <c r="Z147" s="3">
        <v>1.24</v>
      </c>
      <c r="AA147" s="3">
        <v>0</v>
      </c>
    </row>
    <row r="148" spans="1:27" ht="60.75" x14ac:dyDescent="0.25">
      <c r="A148" s="3" t="s">
        <v>28</v>
      </c>
      <c r="B148" s="3" t="s">
        <v>29</v>
      </c>
      <c r="C148" s="3" t="s">
        <v>30</v>
      </c>
      <c r="D148" s="3" t="s">
        <v>60</v>
      </c>
      <c r="E148" s="3" t="s">
        <v>77</v>
      </c>
      <c r="F148" s="3" t="s">
        <v>237</v>
      </c>
      <c r="G148" s="3">
        <v>2024</v>
      </c>
      <c r="H148" s="3" t="str">
        <f>CONCATENATE("44210059919")</f>
        <v>44210059919</v>
      </c>
      <c r="I148" s="3" t="s">
        <v>34</v>
      </c>
      <c r="J148" s="3" t="s">
        <v>35</v>
      </c>
      <c r="K148" s="3"/>
      <c r="L148" s="3" t="s">
        <v>36</v>
      </c>
      <c r="M148" s="3" t="str">
        <f>CONCATENATE("CRVPLG63C13I651M")</f>
        <v>CRVPLG63C13I651M</v>
      </c>
      <c r="N148" s="3" t="s">
        <v>238</v>
      </c>
      <c r="O148" s="3" t="s">
        <v>38</v>
      </c>
      <c r="P148" s="3"/>
      <c r="Q148" s="4">
        <v>45956</v>
      </c>
      <c r="R148" s="3" t="s">
        <v>39</v>
      </c>
      <c r="S148" s="3" t="s">
        <v>40</v>
      </c>
      <c r="T148" s="3" t="s">
        <v>41</v>
      </c>
      <c r="U148" s="3"/>
      <c r="V148" s="3" t="s">
        <v>42</v>
      </c>
      <c r="W148" s="3">
        <v>40.6</v>
      </c>
      <c r="X148" s="3">
        <v>30.45</v>
      </c>
      <c r="Y148" s="3">
        <v>7.11</v>
      </c>
      <c r="Z148" s="3">
        <v>3.04</v>
      </c>
      <c r="AA148" s="3">
        <v>0</v>
      </c>
    </row>
    <row r="149" spans="1:27" ht="60.75" x14ac:dyDescent="0.25">
      <c r="A149" s="3" t="s">
        <v>28</v>
      </c>
      <c r="B149" s="3" t="s">
        <v>29</v>
      </c>
      <c r="C149" s="3" t="s">
        <v>30</v>
      </c>
      <c r="D149" s="3" t="s">
        <v>46</v>
      </c>
      <c r="E149" s="3" t="s">
        <v>43</v>
      </c>
      <c r="F149" s="3" t="s">
        <v>86</v>
      </c>
      <c r="G149" s="3">
        <v>2024</v>
      </c>
      <c r="H149" s="3" t="str">
        <f>CONCATENATE("44210130546")</f>
        <v>44210130546</v>
      </c>
      <c r="I149" s="3" t="s">
        <v>34</v>
      </c>
      <c r="J149" s="3" t="s">
        <v>35</v>
      </c>
      <c r="K149" s="3"/>
      <c r="L149" s="3" t="s">
        <v>36</v>
      </c>
      <c r="M149" s="3" t="str">
        <f>CONCATENATE("NNNDNL82L16I459P")</f>
        <v>NNNDNL82L16I459P</v>
      </c>
      <c r="N149" s="3" t="s">
        <v>239</v>
      </c>
      <c r="O149" s="3" t="s">
        <v>38</v>
      </c>
      <c r="P149" s="3"/>
      <c r="Q149" s="4">
        <v>45956</v>
      </c>
      <c r="R149" s="3" t="s">
        <v>39</v>
      </c>
      <c r="S149" s="3" t="s">
        <v>40</v>
      </c>
      <c r="T149" s="3" t="s">
        <v>41</v>
      </c>
      <c r="U149" s="3"/>
      <c r="V149" s="3" t="s">
        <v>42</v>
      </c>
      <c r="W149" s="3">
        <v>23.35</v>
      </c>
      <c r="X149" s="3">
        <v>17.510000000000002</v>
      </c>
      <c r="Y149" s="3">
        <v>4.09</v>
      </c>
      <c r="Z149" s="3">
        <v>1.75</v>
      </c>
      <c r="AA149" s="3">
        <v>0</v>
      </c>
    </row>
    <row r="150" spans="1:27" ht="60.75" x14ac:dyDescent="0.25">
      <c r="A150" s="3" t="s">
        <v>28</v>
      </c>
      <c r="B150" s="3" t="s">
        <v>29</v>
      </c>
      <c r="C150" s="3" t="s">
        <v>30</v>
      </c>
      <c r="D150" s="3" t="s">
        <v>46</v>
      </c>
      <c r="E150" s="3" t="s">
        <v>43</v>
      </c>
      <c r="F150" s="3" t="s">
        <v>84</v>
      </c>
      <c r="G150" s="3">
        <v>2024</v>
      </c>
      <c r="H150" s="3" t="str">
        <f>CONCATENATE("44210117394")</f>
        <v>44210117394</v>
      </c>
      <c r="I150" s="3" t="s">
        <v>34</v>
      </c>
      <c r="J150" s="3" t="s">
        <v>35</v>
      </c>
      <c r="K150" s="3"/>
      <c r="L150" s="3" t="s">
        <v>36</v>
      </c>
      <c r="M150" s="3" t="str">
        <f>CONCATENATE("PSSPPL46S02D808F")</f>
        <v>PSSPPL46S02D808F</v>
      </c>
      <c r="N150" s="3" t="s">
        <v>240</v>
      </c>
      <c r="O150" s="3" t="s">
        <v>38</v>
      </c>
      <c r="P150" s="3"/>
      <c r="Q150" s="4">
        <v>45956</v>
      </c>
      <c r="R150" s="3" t="s">
        <v>39</v>
      </c>
      <c r="S150" s="3" t="s">
        <v>40</v>
      </c>
      <c r="T150" s="3" t="s">
        <v>41</v>
      </c>
      <c r="U150" s="3"/>
      <c r="V150" s="3" t="s">
        <v>42</v>
      </c>
      <c r="W150" s="3">
        <v>26.26</v>
      </c>
      <c r="X150" s="3">
        <v>19.7</v>
      </c>
      <c r="Y150" s="3">
        <v>4.5999999999999996</v>
      </c>
      <c r="Z150" s="3">
        <v>1.96</v>
      </c>
      <c r="AA150" s="3">
        <v>0</v>
      </c>
    </row>
    <row r="151" spans="1:27" ht="72.75" x14ac:dyDescent="0.25">
      <c r="A151" s="3" t="s">
        <v>28</v>
      </c>
      <c r="B151" s="3" t="s">
        <v>29</v>
      </c>
      <c r="C151" s="3" t="s">
        <v>30</v>
      </c>
      <c r="D151" s="3" t="s">
        <v>31</v>
      </c>
      <c r="E151" s="3" t="s">
        <v>43</v>
      </c>
      <c r="F151" s="3" t="s">
        <v>44</v>
      </c>
      <c r="G151" s="3">
        <v>2024</v>
      </c>
      <c r="H151" s="3" t="str">
        <f>CONCATENATE("44210116198")</f>
        <v>44210116198</v>
      </c>
      <c r="I151" s="3" t="s">
        <v>34</v>
      </c>
      <c r="J151" s="3" t="s">
        <v>35</v>
      </c>
      <c r="K151" s="3"/>
      <c r="L151" s="3" t="s">
        <v>36</v>
      </c>
      <c r="M151" s="3" t="str">
        <f>CONCATENATE("BLDMRA48R15D451Q")</f>
        <v>BLDMRA48R15D451Q</v>
      </c>
      <c r="N151" s="3" t="s">
        <v>241</v>
      </c>
      <c r="O151" s="3" t="s">
        <v>38</v>
      </c>
      <c r="P151" s="3"/>
      <c r="Q151" s="4">
        <v>45956</v>
      </c>
      <c r="R151" s="3" t="s">
        <v>39</v>
      </c>
      <c r="S151" s="3" t="s">
        <v>40</v>
      </c>
      <c r="T151" s="3" t="s">
        <v>41</v>
      </c>
      <c r="U151" s="3"/>
      <c r="V151" s="3" t="s">
        <v>42</v>
      </c>
      <c r="W151" s="3">
        <v>19.350000000000001</v>
      </c>
      <c r="X151" s="3">
        <v>14.51</v>
      </c>
      <c r="Y151" s="3">
        <v>3.39</v>
      </c>
      <c r="Z151" s="3">
        <v>1.45</v>
      </c>
      <c r="AA151" s="3">
        <v>0</v>
      </c>
    </row>
    <row r="152" spans="1:27" ht="72.75" x14ac:dyDescent="0.25">
      <c r="A152" s="3" t="s">
        <v>28</v>
      </c>
      <c r="B152" s="3" t="s">
        <v>29</v>
      </c>
      <c r="C152" s="3" t="s">
        <v>30</v>
      </c>
      <c r="D152" s="3" t="s">
        <v>60</v>
      </c>
      <c r="E152" s="3" t="s">
        <v>43</v>
      </c>
      <c r="F152" s="3" t="s">
        <v>88</v>
      </c>
      <c r="G152" s="3">
        <v>2024</v>
      </c>
      <c r="H152" s="3" t="str">
        <f>CONCATENATE("44210129829")</f>
        <v>44210129829</v>
      </c>
      <c r="I152" s="3" t="s">
        <v>34</v>
      </c>
      <c r="J152" s="3" t="s">
        <v>35</v>
      </c>
      <c r="K152" s="3"/>
      <c r="L152" s="3" t="s">
        <v>36</v>
      </c>
      <c r="M152" s="3" t="str">
        <f>CONCATENATE("RLABBR79D52B474D")</f>
        <v>RLABBR79D52B474D</v>
      </c>
      <c r="N152" s="3" t="s">
        <v>242</v>
      </c>
      <c r="O152" s="3" t="s">
        <v>38</v>
      </c>
      <c r="P152" s="3"/>
      <c r="Q152" s="4">
        <v>45956</v>
      </c>
      <c r="R152" s="3" t="s">
        <v>39</v>
      </c>
      <c r="S152" s="3" t="s">
        <v>40</v>
      </c>
      <c r="T152" s="3" t="s">
        <v>41</v>
      </c>
      <c r="U152" s="3"/>
      <c r="V152" s="3" t="s">
        <v>42</v>
      </c>
      <c r="W152" s="3">
        <v>17.72</v>
      </c>
      <c r="X152" s="3">
        <v>13.29</v>
      </c>
      <c r="Y152" s="3">
        <v>3.1</v>
      </c>
      <c r="Z152" s="3">
        <v>1.33</v>
      </c>
      <c r="AA152" s="3">
        <v>0</v>
      </c>
    </row>
    <row r="153" spans="1:27" ht="36.75" x14ac:dyDescent="0.25">
      <c r="A153" s="3" t="s">
        <v>28</v>
      </c>
      <c r="B153" s="3" t="s">
        <v>29</v>
      </c>
      <c r="C153" s="3" t="s">
        <v>30</v>
      </c>
      <c r="D153" s="3" t="s">
        <v>60</v>
      </c>
      <c r="E153" s="3" t="s">
        <v>43</v>
      </c>
      <c r="F153" s="3" t="s">
        <v>61</v>
      </c>
      <c r="G153" s="3">
        <v>2024</v>
      </c>
      <c r="H153" s="3" t="str">
        <f>CONCATENATE("44210118244")</f>
        <v>44210118244</v>
      </c>
      <c r="I153" s="3" t="s">
        <v>34</v>
      </c>
      <c r="J153" s="3" t="s">
        <v>35</v>
      </c>
      <c r="K153" s="3"/>
      <c r="L153" s="3" t="s">
        <v>36</v>
      </c>
      <c r="M153" s="3" t="str">
        <f>CONCATENATE("01593570433")</f>
        <v>01593570433</v>
      </c>
      <c r="N153" s="3" t="s">
        <v>243</v>
      </c>
      <c r="O153" s="3" t="s">
        <v>38</v>
      </c>
      <c r="P153" s="3"/>
      <c r="Q153" s="4">
        <v>45956</v>
      </c>
      <c r="R153" s="3" t="s">
        <v>39</v>
      </c>
      <c r="S153" s="3" t="s">
        <v>40</v>
      </c>
      <c r="T153" s="3" t="s">
        <v>41</v>
      </c>
      <c r="U153" s="3"/>
      <c r="V153" s="3" t="s">
        <v>42</v>
      </c>
      <c r="W153" s="3">
        <v>293.60000000000002</v>
      </c>
      <c r="X153" s="3">
        <v>220.2</v>
      </c>
      <c r="Y153" s="3">
        <v>51.38</v>
      </c>
      <c r="Z153" s="3">
        <v>22.02</v>
      </c>
      <c r="AA153" s="3">
        <v>0</v>
      </c>
    </row>
    <row r="154" spans="1:27" ht="60.75" x14ac:dyDescent="0.25">
      <c r="A154" s="3" t="s">
        <v>28</v>
      </c>
      <c r="B154" s="3" t="s">
        <v>29</v>
      </c>
      <c r="C154" s="3" t="s">
        <v>30</v>
      </c>
      <c r="D154" s="3" t="s">
        <v>46</v>
      </c>
      <c r="E154" s="3" t="s">
        <v>43</v>
      </c>
      <c r="F154" s="3" t="s">
        <v>55</v>
      </c>
      <c r="G154" s="3">
        <v>2024</v>
      </c>
      <c r="H154" s="3" t="str">
        <f>CONCATENATE("44210131981")</f>
        <v>44210131981</v>
      </c>
      <c r="I154" s="3" t="s">
        <v>34</v>
      </c>
      <c r="J154" s="3" t="s">
        <v>35</v>
      </c>
      <c r="K154" s="3"/>
      <c r="L154" s="3" t="s">
        <v>36</v>
      </c>
      <c r="M154" s="3" t="str">
        <f>CONCATENATE("VNCMRC91L19D749N")</f>
        <v>VNCMRC91L19D749N</v>
      </c>
      <c r="N154" s="3" t="s">
        <v>244</v>
      </c>
      <c r="O154" s="3" t="s">
        <v>38</v>
      </c>
      <c r="P154" s="3"/>
      <c r="Q154" s="4">
        <v>45956</v>
      </c>
      <c r="R154" s="3" t="s">
        <v>39</v>
      </c>
      <c r="S154" s="3" t="s">
        <v>40</v>
      </c>
      <c r="T154" s="3" t="s">
        <v>41</v>
      </c>
      <c r="U154" s="3"/>
      <c r="V154" s="3" t="s">
        <v>42</v>
      </c>
      <c r="W154" s="3">
        <v>24.27</v>
      </c>
      <c r="X154" s="3">
        <v>18.2</v>
      </c>
      <c r="Y154" s="3">
        <v>4.25</v>
      </c>
      <c r="Z154" s="3">
        <v>1.82</v>
      </c>
      <c r="AA154" s="3">
        <v>0</v>
      </c>
    </row>
    <row r="155" spans="1:27" ht="72.75" x14ac:dyDescent="0.25">
      <c r="A155" s="3" t="s">
        <v>28</v>
      </c>
      <c r="B155" s="3" t="s">
        <v>29</v>
      </c>
      <c r="C155" s="3" t="s">
        <v>30</v>
      </c>
      <c r="D155" s="3" t="s">
        <v>46</v>
      </c>
      <c r="E155" s="3" t="s">
        <v>32</v>
      </c>
      <c r="F155" s="3" t="s">
        <v>52</v>
      </c>
      <c r="G155" s="3">
        <v>2024</v>
      </c>
      <c r="H155" s="3" t="str">
        <f>CONCATENATE("44210225700")</f>
        <v>44210225700</v>
      </c>
      <c r="I155" s="3" t="s">
        <v>34</v>
      </c>
      <c r="J155" s="3" t="s">
        <v>35</v>
      </c>
      <c r="K155" s="3"/>
      <c r="L155" s="3" t="s">
        <v>36</v>
      </c>
      <c r="M155" s="3" t="str">
        <f>CONCATENATE("BNCNTN50R22B636Q")</f>
        <v>BNCNTN50R22B636Q</v>
      </c>
      <c r="N155" s="3" t="s">
        <v>245</v>
      </c>
      <c r="O155" s="3" t="s">
        <v>38</v>
      </c>
      <c r="P155" s="3"/>
      <c r="Q155" s="4">
        <v>45956</v>
      </c>
      <c r="R155" s="3" t="s">
        <v>39</v>
      </c>
      <c r="S155" s="3" t="s">
        <v>40</v>
      </c>
      <c r="T155" s="3" t="s">
        <v>41</v>
      </c>
      <c r="U155" s="3"/>
      <c r="V155" s="3" t="s">
        <v>42</v>
      </c>
      <c r="W155" s="3">
        <v>28.08</v>
      </c>
      <c r="X155" s="3">
        <v>21.06</v>
      </c>
      <c r="Y155" s="3">
        <v>4.91</v>
      </c>
      <c r="Z155" s="3">
        <v>2.11</v>
      </c>
      <c r="AA155" s="3">
        <v>0</v>
      </c>
    </row>
    <row r="156" spans="1:27" ht="72.75" x14ac:dyDescent="0.25">
      <c r="A156" s="3" t="s">
        <v>28</v>
      </c>
      <c r="B156" s="3" t="s">
        <v>29</v>
      </c>
      <c r="C156" s="3" t="s">
        <v>30</v>
      </c>
      <c r="D156" s="3" t="s">
        <v>60</v>
      </c>
      <c r="E156" s="3" t="s">
        <v>77</v>
      </c>
      <c r="F156" s="3" t="s">
        <v>237</v>
      </c>
      <c r="G156" s="3">
        <v>2024</v>
      </c>
      <c r="H156" s="3" t="str">
        <f>CONCATENATE("44210125132")</f>
        <v>44210125132</v>
      </c>
      <c r="I156" s="3" t="s">
        <v>34</v>
      </c>
      <c r="J156" s="3" t="s">
        <v>35</v>
      </c>
      <c r="K156" s="3"/>
      <c r="L156" s="3" t="s">
        <v>36</v>
      </c>
      <c r="M156" s="3" t="str">
        <f>CONCATENATE("CNSMRA39A22B474W")</f>
        <v>CNSMRA39A22B474W</v>
      </c>
      <c r="N156" s="3" t="s">
        <v>246</v>
      </c>
      <c r="O156" s="3" t="s">
        <v>38</v>
      </c>
      <c r="P156" s="3"/>
      <c r="Q156" s="4">
        <v>45956</v>
      </c>
      <c r="R156" s="3" t="s">
        <v>39</v>
      </c>
      <c r="S156" s="3" t="s">
        <v>40</v>
      </c>
      <c r="T156" s="3" t="s">
        <v>41</v>
      </c>
      <c r="U156" s="3"/>
      <c r="V156" s="3" t="s">
        <v>42</v>
      </c>
      <c r="W156" s="3">
        <v>15.92</v>
      </c>
      <c r="X156" s="3">
        <v>11.94</v>
      </c>
      <c r="Y156" s="3">
        <v>2.79</v>
      </c>
      <c r="Z156" s="3">
        <v>1.19</v>
      </c>
      <c r="AA156" s="3">
        <v>0</v>
      </c>
    </row>
    <row r="157" spans="1:27" ht="36.75" x14ac:dyDescent="0.25">
      <c r="A157" s="3" t="s">
        <v>28</v>
      </c>
      <c r="B157" s="3" t="s">
        <v>29</v>
      </c>
      <c r="C157" s="3" t="s">
        <v>30</v>
      </c>
      <c r="D157" s="3" t="s">
        <v>46</v>
      </c>
      <c r="E157" s="3" t="s">
        <v>32</v>
      </c>
      <c r="F157" s="3" t="s">
        <v>52</v>
      </c>
      <c r="G157" s="3">
        <v>2024</v>
      </c>
      <c r="H157" s="3" t="str">
        <f>CONCATENATE("44210464051")</f>
        <v>44210464051</v>
      </c>
      <c r="I157" s="3" t="s">
        <v>34</v>
      </c>
      <c r="J157" s="3" t="s">
        <v>35</v>
      </c>
      <c r="K157" s="3"/>
      <c r="L157" s="3" t="s">
        <v>36</v>
      </c>
      <c r="M157" s="3" t="str">
        <f>CONCATENATE("02825330414")</f>
        <v>02825330414</v>
      </c>
      <c r="N157" s="3" t="s">
        <v>247</v>
      </c>
      <c r="O157" s="3" t="s">
        <v>38</v>
      </c>
      <c r="P157" s="3"/>
      <c r="Q157" s="4">
        <v>45956</v>
      </c>
      <c r="R157" s="3" t="s">
        <v>39</v>
      </c>
      <c r="S157" s="3" t="s">
        <v>40</v>
      </c>
      <c r="T157" s="3" t="s">
        <v>41</v>
      </c>
      <c r="U157" s="3"/>
      <c r="V157" s="3" t="s">
        <v>42</v>
      </c>
      <c r="W157" s="3">
        <v>26.92</v>
      </c>
      <c r="X157" s="3">
        <v>20.190000000000001</v>
      </c>
      <c r="Y157" s="3">
        <v>4.71</v>
      </c>
      <c r="Z157" s="3">
        <v>2.02</v>
      </c>
      <c r="AA157" s="3">
        <v>0</v>
      </c>
    </row>
    <row r="158" spans="1:27" ht="72.75" x14ac:dyDescent="0.25">
      <c r="A158" s="3" t="s">
        <v>28</v>
      </c>
      <c r="B158" s="3" t="s">
        <v>29</v>
      </c>
      <c r="C158" s="3" t="s">
        <v>30</v>
      </c>
      <c r="D158" s="3" t="s">
        <v>76</v>
      </c>
      <c r="E158" s="3" t="s">
        <v>57</v>
      </c>
      <c r="F158" s="3" t="s">
        <v>94</v>
      </c>
      <c r="G158" s="3">
        <v>2024</v>
      </c>
      <c r="H158" s="3" t="str">
        <f>CONCATENATE("44210192041")</f>
        <v>44210192041</v>
      </c>
      <c r="I158" s="3" t="s">
        <v>34</v>
      </c>
      <c r="J158" s="3" t="s">
        <v>35</v>
      </c>
      <c r="K158" s="3"/>
      <c r="L158" s="3" t="s">
        <v>36</v>
      </c>
      <c r="M158" s="3" t="str">
        <f>CONCATENATE("MRNYRU88B16A462O")</f>
        <v>MRNYRU88B16A462O</v>
      </c>
      <c r="N158" s="3" t="s">
        <v>248</v>
      </c>
      <c r="O158" s="3" t="s">
        <v>38</v>
      </c>
      <c r="P158" s="3"/>
      <c r="Q158" s="4">
        <v>45956</v>
      </c>
      <c r="R158" s="3" t="s">
        <v>39</v>
      </c>
      <c r="S158" s="3" t="s">
        <v>40</v>
      </c>
      <c r="T158" s="3" t="s">
        <v>41</v>
      </c>
      <c r="U158" s="3"/>
      <c r="V158" s="3" t="s">
        <v>42</v>
      </c>
      <c r="W158" s="3">
        <v>534.9</v>
      </c>
      <c r="X158" s="3">
        <v>401.18</v>
      </c>
      <c r="Y158" s="3">
        <v>93.61</v>
      </c>
      <c r="Z158" s="3">
        <v>40.11</v>
      </c>
      <c r="AA158" s="3">
        <v>0</v>
      </c>
    </row>
    <row r="159" spans="1:27" ht="60.75" x14ac:dyDescent="0.25">
      <c r="A159" s="3" t="s">
        <v>28</v>
      </c>
      <c r="B159" s="3" t="s">
        <v>29</v>
      </c>
      <c r="C159" s="3" t="s">
        <v>30</v>
      </c>
      <c r="D159" s="3" t="s">
        <v>76</v>
      </c>
      <c r="E159" s="3" t="s">
        <v>77</v>
      </c>
      <c r="F159" s="3" t="s">
        <v>78</v>
      </c>
      <c r="G159" s="3">
        <v>2024</v>
      </c>
      <c r="H159" s="3" t="str">
        <f>CONCATENATE("44210557045")</f>
        <v>44210557045</v>
      </c>
      <c r="I159" s="3" t="s">
        <v>34</v>
      </c>
      <c r="J159" s="3" t="s">
        <v>35</v>
      </c>
      <c r="K159" s="3"/>
      <c r="L159" s="3" t="s">
        <v>36</v>
      </c>
      <c r="M159" s="3" t="str">
        <f>CONCATENATE("MSSNDR70P14C935Y")</f>
        <v>MSSNDR70P14C935Y</v>
      </c>
      <c r="N159" s="3" t="s">
        <v>249</v>
      </c>
      <c r="O159" s="3" t="s">
        <v>38</v>
      </c>
      <c r="P159" s="3"/>
      <c r="Q159" s="4">
        <v>45956</v>
      </c>
      <c r="R159" s="3" t="s">
        <v>39</v>
      </c>
      <c r="S159" s="3" t="s">
        <v>40</v>
      </c>
      <c r="T159" s="3" t="s">
        <v>41</v>
      </c>
      <c r="U159" s="3"/>
      <c r="V159" s="3" t="s">
        <v>42</v>
      </c>
      <c r="W159" s="3">
        <v>58.83</v>
      </c>
      <c r="X159" s="3">
        <v>44.12</v>
      </c>
      <c r="Y159" s="3">
        <v>10.3</v>
      </c>
      <c r="Z159" s="3">
        <v>4.41</v>
      </c>
      <c r="AA159" s="3">
        <v>0</v>
      </c>
    </row>
    <row r="160" spans="1:27" ht="60.75" x14ac:dyDescent="0.25">
      <c r="A160" s="3" t="s">
        <v>28</v>
      </c>
      <c r="B160" s="3" t="s">
        <v>29</v>
      </c>
      <c r="C160" s="3" t="s">
        <v>30</v>
      </c>
      <c r="D160" s="3" t="s">
        <v>46</v>
      </c>
      <c r="E160" s="3" t="s">
        <v>32</v>
      </c>
      <c r="F160" s="3" t="s">
        <v>113</v>
      </c>
      <c r="G160" s="3">
        <v>2024</v>
      </c>
      <c r="H160" s="3" t="str">
        <f>CONCATENATE("44210539126")</f>
        <v>44210539126</v>
      </c>
      <c r="I160" s="3" t="s">
        <v>34</v>
      </c>
      <c r="J160" s="3" t="s">
        <v>35</v>
      </c>
      <c r="K160" s="3"/>
      <c r="L160" s="3" t="s">
        <v>36</v>
      </c>
      <c r="M160" s="3" t="str">
        <f>CONCATENATE("CSGSDR35T22D749C")</f>
        <v>CSGSDR35T22D749C</v>
      </c>
      <c r="N160" s="3" t="s">
        <v>250</v>
      </c>
      <c r="O160" s="3" t="s">
        <v>38</v>
      </c>
      <c r="P160" s="3"/>
      <c r="Q160" s="4">
        <v>45956</v>
      </c>
      <c r="R160" s="3" t="s">
        <v>39</v>
      </c>
      <c r="S160" s="3" t="s">
        <v>40</v>
      </c>
      <c r="T160" s="3" t="s">
        <v>41</v>
      </c>
      <c r="U160" s="3"/>
      <c r="V160" s="3" t="s">
        <v>42</v>
      </c>
      <c r="W160" s="3">
        <v>104.47</v>
      </c>
      <c r="X160" s="3">
        <v>78.349999999999994</v>
      </c>
      <c r="Y160" s="3">
        <v>18.28</v>
      </c>
      <c r="Z160" s="3">
        <v>7.84</v>
      </c>
      <c r="AA160" s="3">
        <v>0</v>
      </c>
    </row>
    <row r="161" spans="1:27" ht="36.75" x14ac:dyDescent="0.25">
      <c r="A161" s="3" t="s">
        <v>28</v>
      </c>
      <c r="B161" s="3" t="s">
        <v>29</v>
      </c>
      <c r="C161" s="3" t="s">
        <v>30</v>
      </c>
      <c r="D161" s="3" t="s">
        <v>46</v>
      </c>
      <c r="E161" s="3" t="s">
        <v>73</v>
      </c>
      <c r="F161" s="3" t="s">
        <v>74</v>
      </c>
      <c r="G161" s="3">
        <v>2024</v>
      </c>
      <c r="H161" s="3" t="str">
        <f>CONCATENATE("44210340954")</f>
        <v>44210340954</v>
      </c>
      <c r="I161" s="3" t="s">
        <v>34</v>
      </c>
      <c r="J161" s="3" t="s">
        <v>35</v>
      </c>
      <c r="K161" s="3"/>
      <c r="L161" s="3" t="s">
        <v>36</v>
      </c>
      <c r="M161" s="3" t="str">
        <f>CONCATENATE("02351650417")</f>
        <v>02351650417</v>
      </c>
      <c r="N161" s="3" t="s">
        <v>251</v>
      </c>
      <c r="O161" s="3" t="s">
        <v>38</v>
      </c>
      <c r="P161" s="3"/>
      <c r="Q161" s="4">
        <v>45956</v>
      </c>
      <c r="R161" s="3" t="s">
        <v>39</v>
      </c>
      <c r="S161" s="3" t="s">
        <v>40</v>
      </c>
      <c r="T161" s="3" t="s">
        <v>41</v>
      </c>
      <c r="U161" s="3"/>
      <c r="V161" s="3" t="s">
        <v>42</v>
      </c>
      <c r="W161" s="3">
        <v>46.55</v>
      </c>
      <c r="X161" s="3">
        <v>34.909999999999997</v>
      </c>
      <c r="Y161" s="3">
        <v>8.15</v>
      </c>
      <c r="Z161" s="3">
        <v>3.49</v>
      </c>
      <c r="AA161" s="3">
        <v>0</v>
      </c>
    </row>
    <row r="162" spans="1:27" ht="60.75" x14ac:dyDescent="0.25">
      <c r="A162" s="3" t="s">
        <v>28</v>
      </c>
      <c r="B162" s="3" t="s">
        <v>29</v>
      </c>
      <c r="C162" s="3" t="s">
        <v>30</v>
      </c>
      <c r="D162" s="3" t="s">
        <v>46</v>
      </c>
      <c r="E162" s="3" t="s">
        <v>43</v>
      </c>
      <c r="F162" s="3" t="s">
        <v>84</v>
      </c>
      <c r="G162" s="3">
        <v>2024</v>
      </c>
      <c r="H162" s="3" t="str">
        <f>CONCATENATE("44210955223")</f>
        <v>44210955223</v>
      </c>
      <c r="I162" s="3" t="s">
        <v>34</v>
      </c>
      <c r="J162" s="3" t="s">
        <v>35</v>
      </c>
      <c r="K162" s="3"/>
      <c r="L162" s="3" t="s">
        <v>36</v>
      </c>
      <c r="M162" s="3" t="str">
        <f>CONCATENATE("TGNDNL89B27B352J")</f>
        <v>TGNDNL89B27B352J</v>
      </c>
      <c r="N162" s="3" t="s">
        <v>252</v>
      </c>
      <c r="O162" s="3" t="s">
        <v>38</v>
      </c>
      <c r="P162" s="3"/>
      <c r="Q162" s="4">
        <v>45956</v>
      </c>
      <c r="R162" s="3" t="s">
        <v>39</v>
      </c>
      <c r="S162" s="3" t="s">
        <v>40</v>
      </c>
      <c r="T162" s="3" t="s">
        <v>41</v>
      </c>
      <c r="U162" s="3"/>
      <c r="V162" s="3" t="s">
        <v>42</v>
      </c>
      <c r="W162" s="3">
        <v>116.83</v>
      </c>
      <c r="X162" s="3">
        <v>87.62</v>
      </c>
      <c r="Y162" s="3">
        <v>20.45</v>
      </c>
      <c r="Z162" s="3">
        <v>8.76</v>
      </c>
      <c r="AA162" s="3">
        <v>0</v>
      </c>
    </row>
    <row r="163" spans="1:27" ht="36.75" x14ac:dyDescent="0.25">
      <c r="A163" s="3" t="s">
        <v>28</v>
      </c>
      <c r="B163" s="3" t="s">
        <v>29</v>
      </c>
      <c r="C163" s="3" t="s">
        <v>30</v>
      </c>
      <c r="D163" s="3" t="s">
        <v>76</v>
      </c>
      <c r="E163" s="3" t="s">
        <v>188</v>
      </c>
      <c r="F163" s="3" t="s">
        <v>189</v>
      </c>
      <c r="G163" s="3">
        <v>2024</v>
      </c>
      <c r="H163" s="3" t="str">
        <f>CONCATENATE("44210700066")</f>
        <v>44210700066</v>
      </c>
      <c r="I163" s="3" t="s">
        <v>34</v>
      </c>
      <c r="J163" s="3" t="s">
        <v>35</v>
      </c>
      <c r="K163" s="3"/>
      <c r="L163" s="3" t="s">
        <v>36</v>
      </c>
      <c r="M163" s="3" t="str">
        <f>CONCATENATE("01716790686")</f>
        <v>01716790686</v>
      </c>
      <c r="N163" s="3" t="s">
        <v>253</v>
      </c>
      <c r="O163" s="3" t="s">
        <v>38</v>
      </c>
      <c r="P163" s="3"/>
      <c r="Q163" s="4">
        <v>45956</v>
      </c>
      <c r="R163" s="3" t="s">
        <v>39</v>
      </c>
      <c r="S163" s="3" t="s">
        <v>40</v>
      </c>
      <c r="T163" s="3" t="s">
        <v>41</v>
      </c>
      <c r="U163" s="3"/>
      <c r="V163" s="3" t="s">
        <v>42</v>
      </c>
      <c r="W163" s="3">
        <v>283.73</v>
      </c>
      <c r="X163" s="3">
        <v>212.8</v>
      </c>
      <c r="Y163" s="3">
        <v>49.65</v>
      </c>
      <c r="Z163" s="3">
        <v>21.28</v>
      </c>
      <c r="AA163" s="3">
        <v>0</v>
      </c>
    </row>
    <row r="164" spans="1:27" ht="60.75" x14ac:dyDescent="0.25">
      <c r="A164" s="3" t="s">
        <v>28</v>
      </c>
      <c r="B164" s="3" t="s">
        <v>29</v>
      </c>
      <c r="C164" s="3" t="s">
        <v>30</v>
      </c>
      <c r="D164" s="3" t="s">
        <v>46</v>
      </c>
      <c r="E164" s="3" t="s">
        <v>57</v>
      </c>
      <c r="F164" s="3" t="s">
        <v>58</v>
      </c>
      <c r="G164" s="3">
        <v>2024</v>
      </c>
      <c r="H164" s="3" t="str">
        <f>CONCATENATE("44210577621")</f>
        <v>44210577621</v>
      </c>
      <c r="I164" s="3" t="s">
        <v>34</v>
      </c>
      <c r="J164" s="3" t="s">
        <v>35</v>
      </c>
      <c r="K164" s="3"/>
      <c r="L164" s="3" t="s">
        <v>36</v>
      </c>
      <c r="M164" s="3" t="str">
        <f>CONCATENATE("PLNNGL95C07B352J")</f>
        <v>PLNNGL95C07B352J</v>
      </c>
      <c r="N164" s="3" t="s">
        <v>254</v>
      </c>
      <c r="O164" s="3" t="s">
        <v>38</v>
      </c>
      <c r="P164" s="3"/>
      <c r="Q164" s="4">
        <v>45956</v>
      </c>
      <c r="R164" s="3" t="s">
        <v>39</v>
      </c>
      <c r="S164" s="3" t="s">
        <v>40</v>
      </c>
      <c r="T164" s="3" t="s">
        <v>41</v>
      </c>
      <c r="U164" s="3"/>
      <c r="V164" s="3" t="s">
        <v>42</v>
      </c>
      <c r="W164" s="3">
        <v>45.32</v>
      </c>
      <c r="X164" s="3">
        <v>33.99</v>
      </c>
      <c r="Y164" s="3">
        <v>7.93</v>
      </c>
      <c r="Z164" s="3">
        <v>3.4</v>
      </c>
      <c r="AA164" s="3">
        <v>0</v>
      </c>
    </row>
    <row r="165" spans="1:27" ht="60.75" x14ac:dyDescent="0.25">
      <c r="A165" s="3" t="s">
        <v>28</v>
      </c>
      <c r="B165" s="3" t="s">
        <v>29</v>
      </c>
      <c r="C165" s="3" t="s">
        <v>30</v>
      </c>
      <c r="D165" s="3" t="s">
        <v>46</v>
      </c>
      <c r="E165" s="3" t="s">
        <v>43</v>
      </c>
      <c r="F165" s="3" t="s">
        <v>55</v>
      </c>
      <c r="G165" s="3">
        <v>2024</v>
      </c>
      <c r="H165" s="3" t="str">
        <f>CONCATENATE("44210521561")</f>
        <v>44210521561</v>
      </c>
      <c r="I165" s="3" t="s">
        <v>34</v>
      </c>
      <c r="J165" s="3" t="s">
        <v>35</v>
      </c>
      <c r="K165" s="3"/>
      <c r="L165" s="3" t="s">
        <v>36</v>
      </c>
      <c r="M165" s="3" t="str">
        <f>CONCATENATE("CVLFNZ59D58D749W")</f>
        <v>CVLFNZ59D58D749W</v>
      </c>
      <c r="N165" s="3" t="s">
        <v>255</v>
      </c>
      <c r="O165" s="3" t="s">
        <v>38</v>
      </c>
      <c r="P165" s="3"/>
      <c r="Q165" s="4">
        <v>45956</v>
      </c>
      <c r="R165" s="3" t="s">
        <v>39</v>
      </c>
      <c r="S165" s="3" t="s">
        <v>40</v>
      </c>
      <c r="T165" s="3" t="s">
        <v>41</v>
      </c>
      <c r="U165" s="3"/>
      <c r="V165" s="3" t="s">
        <v>42</v>
      </c>
      <c r="W165" s="3">
        <v>326.43</v>
      </c>
      <c r="X165" s="3">
        <v>244.82</v>
      </c>
      <c r="Y165" s="3">
        <v>57.13</v>
      </c>
      <c r="Z165" s="3">
        <v>24.48</v>
      </c>
      <c r="AA165" s="3">
        <v>0</v>
      </c>
    </row>
    <row r="166" spans="1:27" ht="72.75" x14ac:dyDescent="0.25">
      <c r="A166" s="3" t="s">
        <v>28</v>
      </c>
      <c r="B166" s="3" t="s">
        <v>29</v>
      </c>
      <c r="C166" s="3" t="s">
        <v>30</v>
      </c>
      <c r="D166" s="3" t="s">
        <v>46</v>
      </c>
      <c r="E166" s="3" t="s">
        <v>43</v>
      </c>
      <c r="F166" s="3" t="s">
        <v>49</v>
      </c>
      <c r="G166" s="3">
        <v>2024</v>
      </c>
      <c r="H166" s="3" t="str">
        <f>CONCATENATE("44210956239")</f>
        <v>44210956239</v>
      </c>
      <c r="I166" s="3" t="s">
        <v>34</v>
      </c>
      <c r="J166" s="3" t="s">
        <v>35</v>
      </c>
      <c r="K166" s="3"/>
      <c r="L166" s="3" t="s">
        <v>36</v>
      </c>
      <c r="M166" s="3" t="str">
        <f>CONCATENATE("DAIPRN58H69D749Q")</f>
        <v>DAIPRN58H69D749Q</v>
      </c>
      <c r="N166" s="3" t="s">
        <v>256</v>
      </c>
      <c r="O166" s="3" t="s">
        <v>38</v>
      </c>
      <c r="P166" s="3"/>
      <c r="Q166" s="4">
        <v>45956</v>
      </c>
      <c r="R166" s="3" t="s">
        <v>39</v>
      </c>
      <c r="S166" s="3" t="s">
        <v>40</v>
      </c>
      <c r="T166" s="3" t="s">
        <v>41</v>
      </c>
      <c r="U166" s="3"/>
      <c r="V166" s="3" t="s">
        <v>42</v>
      </c>
      <c r="W166" s="3">
        <v>90.3</v>
      </c>
      <c r="X166" s="3">
        <v>67.73</v>
      </c>
      <c r="Y166" s="3">
        <v>15.8</v>
      </c>
      <c r="Z166" s="3">
        <v>6.77</v>
      </c>
      <c r="AA166" s="3">
        <v>0</v>
      </c>
    </row>
    <row r="167" spans="1:27" ht="72.75" x14ac:dyDescent="0.25">
      <c r="A167" s="3" t="s">
        <v>28</v>
      </c>
      <c r="B167" s="3" t="s">
        <v>29</v>
      </c>
      <c r="C167" s="3" t="s">
        <v>30</v>
      </c>
      <c r="D167" s="3" t="s">
        <v>46</v>
      </c>
      <c r="E167" s="3" t="s">
        <v>32</v>
      </c>
      <c r="F167" s="3" t="s">
        <v>47</v>
      </c>
      <c r="G167" s="3">
        <v>2024</v>
      </c>
      <c r="H167" s="3" t="str">
        <f>CONCATENATE("44210538805")</f>
        <v>44210538805</v>
      </c>
      <c r="I167" s="3" t="s">
        <v>34</v>
      </c>
      <c r="J167" s="3" t="s">
        <v>35</v>
      </c>
      <c r="K167" s="3"/>
      <c r="L167" s="3" t="s">
        <v>36</v>
      </c>
      <c r="M167" s="3" t="str">
        <f>CONCATENATE("SRFFBA78A30D488M")</f>
        <v>SRFFBA78A30D488M</v>
      </c>
      <c r="N167" s="3" t="s">
        <v>257</v>
      </c>
      <c r="O167" s="3" t="s">
        <v>38</v>
      </c>
      <c r="P167" s="3"/>
      <c r="Q167" s="4">
        <v>45956</v>
      </c>
      <c r="R167" s="3" t="s">
        <v>39</v>
      </c>
      <c r="S167" s="3" t="s">
        <v>40</v>
      </c>
      <c r="T167" s="3" t="s">
        <v>41</v>
      </c>
      <c r="U167" s="3"/>
      <c r="V167" s="3" t="s">
        <v>42</v>
      </c>
      <c r="W167" s="3">
        <v>23.97</v>
      </c>
      <c r="X167" s="3">
        <v>17.98</v>
      </c>
      <c r="Y167" s="3">
        <v>4.1900000000000004</v>
      </c>
      <c r="Z167" s="3">
        <v>1.8</v>
      </c>
      <c r="AA167" s="3">
        <v>0</v>
      </c>
    </row>
    <row r="168" spans="1:27" ht="36.75" x14ac:dyDescent="0.25">
      <c r="A168" s="3" t="s">
        <v>28</v>
      </c>
      <c r="B168" s="3" t="s">
        <v>29</v>
      </c>
      <c r="C168" s="3" t="s">
        <v>30</v>
      </c>
      <c r="D168" s="3" t="s">
        <v>31</v>
      </c>
      <c r="E168" s="3" t="s">
        <v>43</v>
      </c>
      <c r="F168" s="3" t="s">
        <v>44</v>
      </c>
      <c r="G168" s="3">
        <v>2024</v>
      </c>
      <c r="H168" s="3" t="str">
        <f>CONCATENATE("44210675680")</f>
        <v>44210675680</v>
      </c>
      <c r="I168" s="3" t="s">
        <v>34</v>
      </c>
      <c r="J168" s="3" t="s">
        <v>35</v>
      </c>
      <c r="K168" s="3"/>
      <c r="L168" s="3" t="s">
        <v>36</v>
      </c>
      <c r="M168" s="3" t="str">
        <f>CONCATENATE("02711460424")</f>
        <v>02711460424</v>
      </c>
      <c r="N168" s="3" t="s">
        <v>258</v>
      </c>
      <c r="O168" s="3" t="s">
        <v>38</v>
      </c>
      <c r="P168" s="3"/>
      <c r="Q168" s="4">
        <v>45956</v>
      </c>
      <c r="R168" s="3" t="s">
        <v>39</v>
      </c>
      <c r="S168" s="3" t="s">
        <v>40</v>
      </c>
      <c r="T168" s="3" t="s">
        <v>41</v>
      </c>
      <c r="U168" s="3"/>
      <c r="V168" s="3" t="s">
        <v>42</v>
      </c>
      <c r="W168" s="3">
        <v>18.37</v>
      </c>
      <c r="X168" s="3">
        <v>13.78</v>
      </c>
      <c r="Y168" s="3">
        <v>3.21</v>
      </c>
      <c r="Z168" s="3">
        <v>1.38</v>
      </c>
      <c r="AA168" s="3">
        <v>0</v>
      </c>
    </row>
    <row r="169" spans="1:27" ht="36.75" x14ac:dyDescent="0.25">
      <c r="A169" s="3" t="s">
        <v>28</v>
      </c>
      <c r="B169" s="3" t="s">
        <v>29</v>
      </c>
      <c r="C169" s="3" t="s">
        <v>30</v>
      </c>
      <c r="D169" s="3" t="s">
        <v>60</v>
      </c>
      <c r="E169" s="3" t="s">
        <v>43</v>
      </c>
      <c r="F169" s="3" t="s">
        <v>61</v>
      </c>
      <c r="G169" s="3">
        <v>2024</v>
      </c>
      <c r="H169" s="3" t="str">
        <f>CONCATENATE("44210181200")</f>
        <v>44210181200</v>
      </c>
      <c r="I169" s="3" t="s">
        <v>34</v>
      </c>
      <c r="J169" s="3" t="s">
        <v>35</v>
      </c>
      <c r="K169" s="3"/>
      <c r="L169" s="3" t="s">
        <v>36</v>
      </c>
      <c r="M169" s="3" t="str">
        <f>CONCATENATE("01918100437")</f>
        <v>01918100437</v>
      </c>
      <c r="N169" s="3" t="s">
        <v>259</v>
      </c>
      <c r="O169" s="3" t="s">
        <v>38</v>
      </c>
      <c r="P169" s="3"/>
      <c r="Q169" s="4">
        <v>45956</v>
      </c>
      <c r="R169" s="3" t="s">
        <v>39</v>
      </c>
      <c r="S169" s="3" t="s">
        <v>40</v>
      </c>
      <c r="T169" s="3" t="s">
        <v>41</v>
      </c>
      <c r="U169" s="3"/>
      <c r="V169" s="3" t="s">
        <v>42</v>
      </c>
      <c r="W169" s="3">
        <v>77.7</v>
      </c>
      <c r="X169" s="3">
        <v>58.28</v>
      </c>
      <c r="Y169" s="3">
        <v>13.6</v>
      </c>
      <c r="Z169" s="3">
        <v>5.82</v>
      </c>
      <c r="AA169" s="3">
        <v>0</v>
      </c>
    </row>
    <row r="170" spans="1:27" ht="60.75" x14ac:dyDescent="0.25">
      <c r="A170" s="3" t="s">
        <v>28</v>
      </c>
      <c r="B170" s="3" t="s">
        <v>29</v>
      </c>
      <c r="C170" s="3" t="s">
        <v>30</v>
      </c>
      <c r="D170" s="3" t="s">
        <v>46</v>
      </c>
      <c r="E170" s="3" t="s">
        <v>43</v>
      </c>
      <c r="F170" s="3" t="s">
        <v>49</v>
      </c>
      <c r="G170" s="3">
        <v>2024</v>
      </c>
      <c r="H170" s="3" t="str">
        <f>CONCATENATE("44210067185")</f>
        <v>44210067185</v>
      </c>
      <c r="I170" s="3" t="s">
        <v>34</v>
      </c>
      <c r="J170" s="3" t="s">
        <v>35</v>
      </c>
      <c r="K170" s="3"/>
      <c r="L170" s="3" t="s">
        <v>36</v>
      </c>
      <c r="M170" s="3" t="str">
        <f>CONCATENATE("BRTLDN48C07D749Q")</f>
        <v>BRTLDN48C07D749Q</v>
      </c>
      <c r="N170" s="3" t="s">
        <v>260</v>
      </c>
      <c r="O170" s="3" t="s">
        <v>38</v>
      </c>
      <c r="P170" s="3"/>
      <c r="Q170" s="4">
        <v>45956</v>
      </c>
      <c r="R170" s="3" t="s">
        <v>39</v>
      </c>
      <c r="S170" s="3" t="s">
        <v>40</v>
      </c>
      <c r="T170" s="3" t="s">
        <v>41</v>
      </c>
      <c r="U170" s="3"/>
      <c r="V170" s="3" t="s">
        <v>42</v>
      </c>
      <c r="W170" s="3">
        <v>32.200000000000003</v>
      </c>
      <c r="X170" s="3">
        <v>24.15</v>
      </c>
      <c r="Y170" s="3">
        <v>5.64</v>
      </c>
      <c r="Z170" s="3">
        <v>2.41</v>
      </c>
      <c r="AA170" s="3">
        <v>0</v>
      </c>
    </row>
    <row r="171" spans="1:27" ht="60.75" x14ac:dyDescent="0.25">
      <c r="A171" s="3" t="s">
        <v>28</v>
      </c>
      <c r="B171" s="3" t="s">
        <v>29</v>
      </c>
      <c r="C171" s="3" t="s">
        <v>30</v>
      </c>
      <c r="D171" s="3" t="s">
        <v>76</v>
      </c>
      <c r="E171" s="3" t="s">
        <v>32</v>
      </c>
      <c r="F171" s="3" t="s">
        <v>135</v>
      </c>
      <c r="G171" s="3">
        <v>2024</v>
      </c>
      <c r="H171" s="3" t="str">
        <f>CONCATENATE("44210177794")</f>
        <v>44210177794</v>
      </c>
      <c r="I171" s="3" t="s">
        <v>34</v>
      </c>
      <c r="J171" s="3" t="s">
        <v>35</v>
      </c>
      <c r="K171" s="3"/>
      <c r="L171" s="3" t="s">
        <v>36</v>
      </c>
      <c r="M171" s="3" t="str">
        <f>CONCATENATE("CCCPLA68S68A462H")</f>
        <v>CCCPLA68S68A462H</v>
      </c>
      <c r="N171" s="3" t="s">
        <v>261</v>
      </c>
      <c r="O171" s="3" t="s">
        <v>38</v>
      </c>
      <c r="P171" s="3"/>
      <c r="Q171" s="4">
        <v>45956</v>
      </c>
      <c r="R171" s="3" t="s">
        <v>39</v>
      </c>
      <c r="S171" s="3" t="s">
        <v>40</v>
      </c>
      <c r="T171" s="3" t="s">
        <v>41</v>
      </c>
      <c r="U171" s="3"/>
      <c r="V171" s="3" t="s">
        <v>42</v>
      </c>
      <c r="W171" s="3">
        <v>76.33</v>
      </c>
      <c r="X171" s="3">
        <v>57.25</v>
      </c>
      <c r="Y171" s="3">
        <v>13.36</v>
      </c>
      <c r="Z171" s="3">
        <v>5.72</v>
      </c>
      <c r="AA171" s="3">
        <v>0</v>
      </c>
    </row>
    <row r="172" spans="1:27" ht="60.75" x14ac:dyDescent="0.25">
      <c r="A172" s="3" t="s">
        <v>28</v>
      </c>
      <c r="B172" s="3" t="s">
        <v>29</v>
      </c>
      <c r="C172" s="3" t="s">
        <v>30</v>
      </c>
      <c r="D172" s="3" t="s">
        <v>60</v>
      </c>
      <c r="E172" s="3" t="s">
        <v>73</v>
      </c>
      <c r="F172" s="3" t="s">
        <v>175</v>
      </c>
      <c r="G172" s="3">
        <v>2024</v>
      </c>
      <c r="H172" s="3" t="str">
        <f>CONCATENATE("44210108724")</f>
        <v>44210108724</v>
      </c>
      <c r="I172" s="3" t="s">
        <v>34</v>
      </c>
      <c r="J172" s="3" t="s">
        <v>35</v>
      </c>
      <c r="K172" s="3"/>
      <c r="L172" s="3" t="s">
        <v>36</v>
      </c>
      <c r="M172" s="3" t="str">
        <f>CONCATENATE("SNTRSE84M11E388W")</f>
        <v>SNTRSE84M11E388W</v>
      </c>
      <c r="N172" s="3" t="s">
        <v>262</v>
      </c>
      <c r="O172" s="3" t="s">
        <v>38</v>
      </c>
      <c r="P172" s="3"/>
      <c r="Q172" s="4">
        <v>45956</v>
      </c>
      <c r="R172" s="3" t="s">
        <v>39</v>
      </c>
      <c r="S172" s="3" t="s">
        <v>40</v>
      </c>
      <c r="T172" s="3" t="s">
        <v>41</v>
      </c>
      <c r="U172" s="3"/>
      <c r="V172" s="3" t="s">
        <v>42</v>
      </c>
      <c r="W172" s="3">
        <v>48.6</v>
      </c>
      <c r="X172" s="3">
        <v>36.450000000000003</v>
      </c>
      <c r="Y172" s="3">
        <v>8.51</v>
      </c>
      <c r="Z172" s="3">
        <v>3.64</v>
      </c>
      <c r="AA172" s="3">
        <v>0</v>
      </c>
    </row>
    <row r="173" spans="1:27" ht="60.75" x14ac:dyDescent="0.25">
      <c r="A173" s="3" t="s">
        <v>28</v>
      </c>
      <c r="B173" s="3" t="s">
        <v>29</v>
      </c>
      <c r="C173" s="3" t="s">
        <v>30</v>
      </c>
      <c r="D173" s="3" t="s">
        <v>31</v>
      </c>
      <c r="E173" s="3" t="s">
        <v>43</v>
      </c>
      <c r="F173" s="3" t="s">
        <v>44</v>
      </c>
      <c r="G173" s="3">
        <v>2024</v>
      </c>
      <c r="H173" s="3" t="str">
        <f>CONCATENATE("44210124705")</f>
        <v>44210124705</v>
      </c>
      <c r="I173" s="3" t="s">
        <v>34</v>
      </c>
      <c r="J173" s="3" t="s">
        <v>35</v>
      </c>
      <c r="K173" s="3"/>
      <c r="L173" s="3" t="s">
        <v>36</v>
      </c>
      <c r="M173" s="3" t="str">
        <f>CONCATENATE("SPRSVN46E59D451N")</f>
        <v>SPRSVN46E59D451N</v>
      </c>
      <c r="N173" s="3" t="s">
        <v>263</v>
      </c>
      <c r="O173" s="3" t="s">
        <v>38</v>
      </c>
      <c r="P173" s="3"/>
      <c r="Q173" s="4">
        <v>45956</v>
      </c>
      <c r="R173" s="3" t="s">
        <v>39</v>
      </c>
      <c r="S173" s="3" t="s">
        <v>40</v>
      </c>
      <c r="T173" s="3" t="s">
        <v>41</v>
      </c>
      <c r="U173" s="3"/>
      <c r="V173" s="3" t="s">
        <v>42</v>
      </c>
      <c r="W173" s="3">
        <v>44.5</v>
      </c>
      <c r="X173" s="3">
        <v>33.380000000000003</v>
      </c>
      <c r="Y173" s="3">
        <v>7.79</v>
      </c>
      <c r="Z173" s="3">
        <v>3.33</v>
      </c>
      <c r="AA173" s="3">
        <v>0</v>
      </c>
    </row>
    <row r="174" spans="1:27" ht="36.75" x14ac:dyDescent="0.25">
      <c r="A174" s="3" t="s">
        <v>28</v>
      </c>
      <c r="B174" s="3" t="s">
        <v>29</v>
      </c>
      <c r="C174" s="3" t="s">
        <v>30</v>
      </c>
      <c r="D174" s="3" t="s">
        <v>46</v>
      </c>
      <c r="E174" s="3" t="s">
        <v>73</v>
      </c>
      <c r="F174" s="3" t="s">
        <v>74</v>
      </c>
      <c r="G174" s="3">
        <v>2024</v>
      </c>
      <c r="H174" s="3" t="str">
        <f>CONCATENATE("44210331169")</f>
        <v>44210331169</v>
      </c>
      <c r="I174" s="3" t="s">
        <v>34</v>
      </c>
      <c r="J174" s="3" t="s">
        <v>35</v>
      </c>
      <c r="K174" s="3"/>
      <c r="L174" s="3" t="s">
        <v>36</v>
      </c>
      <c r="M174" s="3" t="str">
        <f>CONCATENATE("00449670413")</f>
        <v>00449670413</v>
      </c>
      <c r="N174" s="3" t="s">
        <v>264</v>
      </c>
      <c r="O174" s="3" t="s">
        <v>38</v>
      </c>
      <c r="P174" s="3"/>
      <c r="Q174" s="4">
        <v>45956</v>
      </c>
      <c r="R174" s="3" t="s">
        <v>39</v>
      </c>
      <c r="S174" s="3" t="s">
        <v>40</v>
      </c>
      <c r="T174" s="3" t="s">
        <v>41</v>
      </c>
      <c r="U174" s="3"/>
      <c r="V174" s="3" t="s">
        <v>42</v>
      </c>
      <c r="W174" s="3">
        <v>56.25</v>
      </c>
      <c r="X174" s="3">
        <v>42.19</v>
      </c>
      <c r="Y174" s="3">
        <v>9.84</v>
      </c>
      <c r="Z174" s="3">
        <v>4.22</v>
      </c>
      <c r="AA174" s="3">
        <v>0</v>
      </c>
    </row>
    <row r="175" spans="1:27" ht="60.75" x14ac:dyDescent="0.25">
      <c r="A175" s="3" t="s">
        <v>28</v>
      </c>
      <c r="B175" s="3" t="s">
        <v>29</v>
      </c>
      <c r="C175" s="3" t="s">
        <v>30</v>
      </c>
      <c r="D175" s="3" t="s">
        <v>46</v>
      </c>
      <c r="E175" s="3" t="s">
        <v>32</v>
      </c>
      <c r="F175" s="3" t="s">
        <v>47</v>
      </c>
      <c r="G175" s="3">
        <v>2024</v>
      </c>
      <c r="H175" s="3" t="str">
        <f>CONCATENATE("44210517809")</f>
        <v>44210517809</v>
      </c>
      <c r="I175" s="3" t="s">
        <v>34</v>
      </c>
      <c r="J175" s="3" t="s">
        <v>35</v>
      </c>
      <c r="K175" s="3"/>
      <c r="L175" s="3" t="s">
        <v>36</v>
      </c>
      <c r="M175" s="3" t="str">
        <f>CONCATENATE("LGILRS71L10L500L")</f>
        <v>LGILRS71L10L500L</v>
      </c>
      <c r="N175" s="3" t="s">
        <v>265</v>
      </c>
      <c r="O175" s="3" t="s">
        <v>38</v>
      </c>
      <c r="P175" s="3"/>
      <c r="Q175" s="4">
        <v>45956</v>
      </c>
      <c r="R175" s="3" t="s">
        <v>39</v>
      </c>
      <c r="S175" s="3" t="s">
        <v>40</v>
      </c>
      <c r="T175" s="3" t="s">
        <v>41</v>
      </c>
      <c r="U175" s="3"/>
      <c r="V175" s="3" t="s">
        <v>42</v>
      </c>
      <c r="W175" s="3">
        <v>15.23</v>
      </c>
      <c r="X175" s="3">
        <v>11.42</v>
      </c>
      <c r="Y175" s="3">
        <v>2.67</v>
      </c>
      <c r="Z175" s="3">
        <v>1.1399999999999999</v>
      </c>
      <c r="AA175" s="3">
        <v>0</v>
      </c>
    </row>
    <row r="176" spans="1:27" ht="36.75" x14ac:dyDescent="0.25">
      <c r="A176" s="3" t="s">
        <v>28</v>
      </c>
      <c r="B176" s="3" t="s">
        <v>29</v>
      </c>
      <c r="C176" s="3" t="s">
        <v>30</v>
      </c>
      <c r="D176" s="3" t="s">
        <v>60</v>
      </c>
      <c r="E176" s="3" t="s">
        <v>73</v>
      </c>
      <c r="F176" s="3" t="s">
        <v>138</v>
      </c>
      <c r="G176" s="3">
        <v>2024</v>
      </c>
      <c r="H176" s="3" t="str">
        <f>CONCATENATE("44210578652")</f>
        <v>44210578652</v>
      </c>
      <c r="I176" s="3" t="s">
        <v>34</v>
      </c>
      <c r="J176" s="3" t="s">
        <v>35</v>
      </c>
      <c r="K176" s="3"/>
      <c r="L176" s="3" t="s">
        <v>36</v>
      </c>
      <c r="M176" s="3" t="str">
        <f>CONCATENATE("01913780431")</f>
        <v>01913780431</v>
      </c>
      <c r="N176" s="3" t="s">
        <v>266</v>
      </c>
      <c r="O176" s="3" t="s">
        <v>38</v>
      </c>
      <c r="P176" s="3"/>
      <c r="Q176" s="4">
        <v>45956</v>
      </c>
      <c r="R176" s="3" t="s">
        <v>39</v>
      </c>
      <c r="S176" s="3" t="s">
        <v>40</v>
      </c>
      <c r="T176" s="3" t="s">
        <v>41</v>
      </c>
      <c r="U176" s="3"/>
      <c r="V176" s="3" t="s">
        <v>42</v>
      </c>
      <c r="W176" s="3">
        <v>33.58</v>
      </c>
      <c r="X176" s="3">
        <v>25.19</v>
      </c>
      <c r="Y176" s="3">
        <v>5.88</v>
      </c>
      <c r="Z176" s="3">
        <v>2.5099999999999998</v>
      </c>
      <c r="AA176" s="3">
        <v>0</v>
      </c>
    </row>
    <row r="177" spans="1:27" ht="60.75" x14ac:dyDescent="0.25">
      <c r="A177" s="3" t="s">
        <v>28</v>
      </c>
      <c r="B177" s="3" t="s">
        <v>29</v>
      </c>
      <c r="C177" s="3" t="s">
        <v>30</v>
      </c>
      <c r="D177" s="3" t="s">
        <v>60</v>
      </c>
      <c r="E177" s="3" t="s">
        <v>73</v>
      </c>
      <c r="F177" s="3" t="s">
        <v>159</v>
      </c>
      <c r="G177" s="3">
        <v>2024</v>
      </c>
      <c r="H177" s="3" t="str">
        <f>CONCATENATE("44210467229")</f>
        <v>44210467229</v>
      </c>
      <c r="I177" s="3" t="s">
        <v>34</v>
      </c>
      <c r="J177" s="3" t="s">
        <v>35</v>
      </c>
      <c r="K177" s="3"/>
      <c r="L177" s="3" t="s">
        <v>36</v>
      </c>
      <c r="M177" s="3" t="str">
        <f>CONCATENATE("GRZGCM85M11L191L")</f>
        <v>GRZGCM85M11L191L</v>
      </c>
      <c r="N177" s="3" t="s">
        <v>267</v>
      </c>
      <c r="O177" s="3" t="s">
        <v>38</v>
      </c>
      <c r="P177" s="3"/>
      <c r="Q177" s="4">
        <v>45956</v>
      </c>
      <c r="R177" s="3" t="s">
        <v>39</v>
      </c>
      <c r="S177" s="3" t="s">
        <v>40</v>
      </c>
      <c r="T177" s="3" t="s">
        <v>41</v>
      </c>
      <c r="U177" s="3"/>
      <c r="V177" s="3" t="s">
        <v>42</v>
      </c>
      <c r="W177" s="3">
        <v>268.79000000000002</v>
      </c>
      <c r="X177" s="3">
        <v>201.59</v>
      </c>
      <c r="Y177" s="3">
        <v>47.04</v>
      </c>
      <c r="Z177" s="3">
        <v>20.16</v>
      </c>
      <c r="AA177" s="3">
        <v>0</v>
      </c>
    </row>
    <row r="178" spans="1:27" ht="36.75" x14ac:dyDescent="0.25">
      <c r="A178" s="3" t="s">
        <v>28</v>
      </c>
      <c r="B178" s="3" t="s">
        <v>29</v>
      </c>
      <c r="C178" s="3" t="s">
        <v>30</v>
      </c>
      <c r="D178" s="3" t="s">
        <v>60</v>
      </c>
      <c r="E178" s="3" t="s">
        <v>73</v>
      </c>
      <c r="F178" s="3" t="s">
        <v>171</v>
      </c>
      <c r="G178" s="3">
        <v>2024</v>
      </c>
      <c r="H178" s="3" t="str">
        <f>CONCATENATE("44210360770")</f>
        <v>44210360770</v>
      </c>
      <c r="I178" s="3" t="s">
        <v>34</v>
      </c>
      <c r="J178" s="3" t="s">
        <v>35</v>
      </c>
      <c r="K178" s="3"/>
      <c r="L178" s="3" t="s">
        <v>36</v>
      </c>
      <c r="M178" s="3" t="str">
        <f>CONCATENATE("00876290438")</f>
        <v>00876290438</v>
      </c>
      <c r="N178" s="3" t="s">
        <v>268</v>
      </c>
      <c r="O178" s="3" t="s">
        <v>38</v>
      </c>
      <c r="P178" s="3"/>
      <c r="Q178" s="4">
        <v>45956</v>
      </c>
      <c r="R178" s="3" t="s">
        <v>39</v>
      </c>
      <c r="S178" s="3" t="s">
        <v>40</v>
      </c>
      <c r="T178" s="3" t="s">
        <v>41</v>
      </c>
      <c r="U178" s="3"/>
      <c r="V178" s="3" t="s">
        <v>42</v>
      </c>
      <c r="W178" s="3">
        <v>22.78</v>
      </c>
      <c r="X178" s="3">
        <v>17.09</v>
      </c>
      <c r="Y178" s="3">
        <v>3.99</v>
      </c>
      <c r="Z178" s="3">
        <v>1.7</v>
      </c>
      <c r="AA178" s="3">
        <v>0</v>
      </c>
    </row>
    <row r="179" spans="1:27" ht="36.75" x14ac:dyDescent="0.25">
      <c r="A179" s="3" t="s">
        <v>28</v>
      </c>
      <c r="B179" s="3" t="s">
        <v>29</v>
      </c>
      <c r="C179" s="3" t="s">
        <v>30</v>
      </c>
      <c r="D179" s="3" t="s">
        <v>60</v>
      </c>
      <c r="E179" s="3" t="s">
        <v>32</v>
      </c>
      <c r="F179" s="3" t="s">
        <v>269</v>
      </c>
      <c r="G179" s="3">
        <v>2024</v>
      </c>
      <c r="H179" s="3" t="str">
        <f>CONCATENATE("44210185359")</f>
        <v>44210185359</v>
      </c>
      <c r="I179" s="3" t="s">
        <v>34</v>
      </c>
      <c r="J179" s="3" t="s">
        <v>35</v>
      </c>
      <c r="K179" s="3"/>
      <c r="L179" s="3" t="s">
        <v>36</v>
      </c>
      <c r="M179" s="3" t="str">
        <f>CONCATENATE("01297060434")</f>
        <v>01297060434</v>
      </c>
      <c r="N179" s="3" t="s">
        <v>270</v>
      </c>
      <c r="O179" s="3" t="s">
        <v>38</v>
      </c>
      <c r="P179" s="3"/>
      <c r="Q179" s="4">
        <v>45956</v>
      </c>
      <c r="R179" s="3" t="s">
        <v>39</v>
      </c>
      <c r="S179" s="3" t="s">
        <v>40</v>
      </c>
      <c r="T179" s="3" t="s">
        <v>41</v>
      </c>
      <c r="U179" s="3"/>
      <c r="V179" s="3" t="s">
        <v>42</v>
      </c>
      <c r="W179" s="3">
        <v>12.65</v>
      </c>
      <c r="X179" s="3">
        <v>9.49</v>
      </c>
      <c r="Y179" s="3">
        <v>2.21</v>
      </c>
      <c r="Z179" s="3">
        <v>0.95</v>
      </c>
      <c r="AA179" s="3">
        <v>0</v>
      </c>
    </row>
    <row r="180" spans="1:27" ht="60.75" x14ac:dyDescent="0.25">
      <c r="A180" s="3" t="s">
        <v>28</v>
      </c>
      <c r="B180" s="3" t="s">
        <v>29</v>
      </c>
      <c r="C180" s="3" t="s">
        <v>30</v>
      </c>
      <c r="D180" s="3" t="s">
        <v>46</v>
      </c>
      <c r="E180" s="3" t="s">
        <v>43</v>
      </c>
      <c r="F180" s="3" t="s">
        <v>84</v>
      </c>
      <c r="G180" s="3">
        <v>2024</v>
      </c>
      <c r="H180" s="3" t="str">
        <f>CONCATENATE("44210303440")</f>
        <v>44210303440</v>
      </c>
      <c r="I180" s="3" t="s">
        <v>34</v>
      </c>
      <c r="J180" s="3" t="s">
        <v>35</v>
      </c>
      <c r="K180" s="3"/>
      <c r="L180" s="3" t="s">
        <v>36</v>
      </c>
      <c r="M180" s="3" t="str">
        <f>CONCATENATE("JHNMCS63L31Z112J")</f>
        <v>JHNMCS63L31Z112J</v>
      </c>
      <c r="N180" s="3" t="s">
        <v>271</v>
      </c>
      <c r="O180" s="3" t="s">
        <v>38</v>
      </c>
      <c r="P180" s="3"/>
      <c r="Q180" s="4">
        <v>45956</v>
      </c>
      <c r="R180" s="3" t="s">
        <v>39</v>
      </c>
      <c r="S180" s="3" t="s">
        <v>40</v>
      </c>
      <c r="T180" s="3" t="s">
        <v>41</v>
      </c>
      <c r="U180" s="3"/>
      <c r="V180" s="3" t="s">
        <v>42</v>
      </c>
      <c r="W180" s="3">
        <v>33.770000000000003</v>
      </c>
      <c r="X180" s="3">
        <v>25.33</v>
      </c>
      <c r="Y180" s="3">
        <v>5.91</v>
      </c>
      <c r="Z180" s="3">
        <v>2.5299999999999998</v>
      </c>
      <c r="AA180" s="3">
        <v>0</v>
      </c>
    </row>
    <row r="181" spans="1:27" ht="60.75" x14ac:dyDescent="0.25">
      <c r="A181" s="3" t="s">
        <v>28</v>
      </c>
      <c r="B181" s="3" t="s">
        <v>29</v>
      </c>
      <c r="C181" s="3" t="s">
        <v>30</v>
      </c>
      <c r="D181" s="3" t="s">
        <v>31</v>
      </c>
      <c r="E181" s="3" t="s">
        <v>32</v>
      </c>
      <c r="F181" s="3" t="s">
        <v>272</v>
      </c>
      <c r="G181" s="3">
        <v>2024</v>
      </c>
      <c r="H181" s="3" t="str">
        <f>CONCATENATE("44210341747")</f>
        <v>44210341747</v>
      </c>
      <c r="I181" s="3" t="s">
        <v>34</v>
      </c>
      <c r="J181" s="3" t="s">
        <v>35</v>
      </c>
      <c r="K181" s="3"/>
      <c r="L181" s="3" t="s">
        <v>36</v>
      </c>
      <c r="M181" s="3" t="str">
        <f>CONCATENATE("BNALSN75E47D451P")</f>
        <v>BNALSN75E47D451P</v>
      </c>
      <c r="N181" s="3" t="s">
        <v>273</v>
      </c>
      <c r="O181" s="3" t="s">
        <v>38</v>
      </c>
      <c r="P181" s="3"/>
      <c r="Q181" s="4">
        <v>45956</v>
      </c>
      <c r="R181" s="3" t="s">
        <v>39</v>
      </c>
      <c r="S181" s="3" t="s">
        <v>40</v>
      </c>
      <c r="T181" s="3" t="s">
        <v>41</v>
      </c>
      <c r="U181" s="3"/>
      <c r="V181" s="3" t="s">
        <v>42</v>
      </c>
      <c r="W181" s="3">
        <v>14.15</v>
      </c>
      <c r="X181" s="3">
        <v>10.61</v>
      </c>
      <c r="Y181" s="3">
        <v>2.48</v>
      </c>
      <c r="Z181" s="3">
        <v>1.06</v>
      </c>
      <c r="AA181" s="3">
        <v>0</v>
      </c>
    </row>
    <row r="182" spans="1:27" ht="60.75" x14ac:dyDescent="0.25">
      <c r="A182" s="3" t="s">
        <v>28</v>
      </c>
      <c r="B182" s="3" t="s">
        <v>29</v>
      </c>
      <c r="C182" s="3" t="s">
        <v>30</v>
      </c>
      <c r="D182" s="3" t="s">
        <v>60</v>
      </c>
      <c r="E182" s="3" t="s">
        <v>43</v>
      </c>
      <c r="F182" s="3" t="s">
        <v>61</v>
      </c>
      <c r="G182" s="3">
        <v>2024</v>
      </c>
      <c r="H182" s="3" t="str">
        <f>CONCATENATE("44210157846")</f>
        <v>44210157846</v>
      </c>
      <c r="I182" s="3" t="s">
        <v>34</v>
      </c>
      <c r="J182" s="3" t="s">
        <v>35</v>
      </c>
      <c r="K182" s="3"/>
      <c r="L182" s="3" t="s">
        <v>36</v>
      </c>
      <c r="M182" s="3" t="str">
        <f>CONCATENATE("CRTBDT54T31B398D")</f>
        <v>CRTBDT54T31B398D</v>
      </c>
      <c r="N182" s="3" t="s">
        <v>274</v>
      </c>
      <c r="O182" s="3" t="s">
        <v>38</v>
      </c>
      <c r="P182" s="3"/>
      <c r="Q182" s="4">
        <v>45956</v>
      </c>
      <c r="R182" s="3" t="s">
        <v>39</v>
      </c>
      <c r="S182" s="3" t="s">
        <v>40</v>
      </c>
      <c r="T182" s="3" t="s">
        <v>41</v>
      </c>
      <c r="U182" s="3"/>
      <c r="V182" s="3" t="s">
        <v>42</v>
      </c>
      <c r="W182" s="3">
        <v>23.3</v>
      </c>
      <c r="X182" s="3">
        <v>17.48</v>
      </c>
      <c r="Y182" s="3">
        <v>4.08</v>
      </c>
      <c r="Z182" s="3">
        <v>1.74</v>
      </c>
      <c r="AA182" s="3">
        <v>0</v>
      </c>
    </row>
    <row r="183" spans="1:27" ht="60.75" x14ac:dyDescent="0.25">
      <c r="A183" s="3" t="s">
        <v>28</v>
      </c>
      <c r="B183" s="3" t="s">
        <v>29</v>
      </c>
      <c r="C183" s="3" t="s">
        <v>30</v>
      </c>
      <c r="D183" s="3" t="s">
        <v>31</v>
      </c>
      <c r="E183" s="3" t="s">
        <v>32</v>
      </c>
      <c r="F183" s="3" t="s">
        <v>33</v>
      </c>
      <c r="G183" s="3">
        <v>2024</v>
      </c>
      <c r="H183" s="3" t="str">
        <f>CONCATENATE("44210156582")</f>
        <v>44210156582</v>
      </c>
      <c r="I183" s="3" t="s">
        <v>34</v>
      </c>
      <c r="J183" s="3" t="s">
        <v>35</v>
      </c>
      <c r="K183" s="3"/>
      <c r="L183" s="3" t="s">
        <v>36</v>
      </c>
      <c r="M183" s="3" t="str">
        <f>CONCATENATE("CSGSNO96T49D451R")</f>
        <v>CSGSNO96T49D451R</v>
      </c>
      <c r="N183" s="3" t="s">
        <v>275</v>
      </c>
      <c r="O183" s="3" t="s">
        <v>38</v>
      </c>
      <c r="P183" s="3"/>
      <c r="Q183" s="4">
        <v>45956</v>
      </c>
      <c r="R183" s="3" t="s">
        <v>39</v>
      </c>
      <c r="S183" s="3" t="s">
        <v>40</v>
      </c>
      <c r="T183" s="3" t="s">
        <v>41</v>
      </c>
      <c r="U183" s="3"/>
      <c r="V183" s="3" t="s">
        <v>42</v>
      </c>
      <c r="W183" s="3">
        <v>49.73</v>
      </c>
      <c r="X183" s="3">
        <v>37.299999999999997</v>
      </c>
      <c r="Y183" s="3">
        <v>8.6999999999999993</v>
      </c>
      <c r="Z183" s="3">
        <v>3.73</v>
      </c>
      <c r="AA183" s="3">
        <v>0</v>
      </c>
    </row>
    <row r="184" spans="1:27" ht="60.75" x14ac:dyDescent="0.25">
      <c r="A184" s="3" t="s">
        <v>28</v>
      </c>
      <c r="B184" s="3" t="s">
        <v>29</v>
      </c>
      <c r="C184" s="3" t="s">
        <v>30</v>
      </c>
      <c r="D184" s="3" t="s">
        <v>46</v>
      </c>
      <c r="E184" s="3" t="s">
        <v>43</v>
      </c>
      <c r="F184" s="3" t="s">
        <v>80</v>
      </c>
      <c r="G184" s="3">
        <v>2024</v>
      </c>
      <c r="H184" s="3" t="str">
        <f>CONCATENATE("44210196455")</f>
        <v>44210196455</v>
      </c>
      <c r="I184" s="3" t="s">
        <v>34</v>
      </c>
      <c r="J184" s="3" t="s">
        <v>35</v>
      </c>
      <c r="K184" s="3"/>
      <c r="L184" s="3" t="s">
        <v>36</v>
      </c>
      <c r="M184" s="3" t="str">
        <f>CONCATENATE("GRRMSM69C15F135K")</f>
        <v>GRRMSM69C15F135K</v>
      </c>
      <c r="N184" s="3" t="s">
        <v>276</v>
      </c>
      <c r="O184" s="3" t="s">
        <v>38</v>
      </c>
      <c r="P184" s="3"/>
      <c r="Q184" s="4">
        <v>45956</v>
      </c>
      <c r="R184" s="3" t="s">
        <v>39</v>
      </c>
      <c r="S184" s="3" t="s">
        <v>40</v>
      </c>
      <c r="T184" s="3" t="s">
        <v>41</v>
      </c>
      <c r="U184" s="3"/>
      <c r="V184" s="3" t="s">
        <v>42</v>
      </c>
      <c r="W184" s="3">
        <v>65.319999999999993</v>
      </c>
      <c r="X184" s="3">
        <v>48.99</v>
      </c>
      <c r="Y184" s="3">
        <v>11.43</v>
      </c>
      <c r="Z184" s="3">
        <v>4.9000000000000004</v>
      </c>
      <c r="AA184" s="3">
        <v>0</v>
      </c>
    </row>
    <row r="185" spans="1:27" ht="60.75" x14ac:dyDescent="0.25">
      <c r="A185" s="3" t="s">
        <v>28</v>
      </c>
      <c r="B185" s="3" t="s">
        <v>29</v>
      </c>
      <c r="C185" s="3" t="s">
        <v>30</v>
      </c>
      <c r="D185" s="3" t="s">
        <v>31</v>
      </c>
      <c r="E185" s="3" t="s">
        <v>43</v>
      </c>
      <c r="F185" s="3" t="s">
        <v>44</v>
      </c>
      <c r="G185" s="3">
        <v>2024</v>
      </c>
      <c r="H185" s="3" t="str">
        <f>CONCATENATE("44210151641")</f>
        <v>44210151641</v>
      </c>
      <c r="I185" s="3" t="s">
        <v>34</v>
      </c>
      <c r="J185" s="3" t="s">
        <v>35</v>
      </c>
      <c r="K185" s="3"/>
      <c r="L185" s="3" t="s">
        <v>36</v>
      </c>
      <c r="M185" s="3" t="str">
        <f>CONCATENATE("RCCLCU79S24D451N")</f>
        <v>RCCLCU79S24D451N</v>
      </c>
      <c r="N185" s="3" t="s">
        <v>277</v>
      </c>
      <c r="O185" s="3" t="s">
        <v>38</v>
      </c>
      <c r="P185" s="3"/>
      <c r="Q185" s="4">
        <v>45956</v>
      </c>
      <c r="R185" s="3" t="s">
        <v>39</v>
      </c>
      <c r="S185" s="3" t="s">
        <v>40</v>
      </c>
      <c r="T185" s="3" t="s">
        <v>41</v>
      </c>
      <c r="U185" s="3"/>
      <c r="V185" s="3" t="s">
        <v>42</v>
      </c>
      <c r="W185" s="3">
        <v>14.95</v>
      </c>
      <c r="X185" s="3">
        <v>11.21</v>
      </c>
      <c r="Y185" s="3">
        <v>2.62</v>
      </c>
      <c r="Z185" s="3">
        <v>1.1200000000000001</v>
      </c>
      <c r="AA185" s="3">
        <v>0</v>
      </c>
    </row>
    <row r="186" spans="1:27" ht="72.75" x14ac:dyDescent="0.25">
      <c r="A186" s="3" t="s">
        <v>28</v>
      </c>
      <c r="B186" s="3" t="s">
        <v>29</v>
      </c>
      <c r="C186" s="3" t="s">
        <v>30</v>
      </c>
      <c r="D186" s="3" t="s">
        <v>31</v>
      </c>
      <c r="E186" s="3" t="s">
        <v>43</v>
      </c>
      <c r="F186" s="3" t="s">
        <v>278</v>
      </c>
      <c r="G186" s="3">
        <v>2024</v>
      </c>
      <c r="H186" s="3" t="str">
        <f>CONCATENATE("44210129373")</f>
        <v>44210129373</v>
      </c>
      <c r="I186" s="3" t="s">
        <v>34</v>
      </c>
      <c r="J186" s="3" t="s">
        <v>35</v>
      </c>
      <c r="K186" s="3"/>
      <c r="L186" s="3" t="s">
        <v>36</v>
      </c>
      <c r="M186" s="3" t="str">
        <f>CONCATENATE("FDRNTN63B13D211V")</f>
        <v>FDRNTN63B13D211V</v>
      </c>
      <c r="N186" s="3" t="s">
        <v>279</v>
      </c>
      <c r="O186" s="3" t="s">
        <v>38</v>
      </c>
      <c r="P186" s="3"/>
      <c r="Q186" s="4">
        <v>45956</v>
      </c>
      <c r="R186" s="3" t="s">
        <v>39</v>
      </c>
      <c r="S186" s="3" t="s">
        <v>40</v>
      </c>
      <c r="T186" s="3" t="s">
        <v>41</v>
      </c>
      <c r="U186" s="3"/>
      <c r="V186" s="3" t="s">
        <v>42</v>
      </c>
      <c r="W186" s="3">
        <v>16.22</v>
      </c>
      <c r="X186" s="3">
        <v>12.17</v>
      </c>
      <c r="Y186" s="3">
        <v>2.84</v>
      </c>
      <c r="Z186" s="3">
        <v>1.21</v>
      </c>
      <c r="AA186" s="3">
        <v>0</v>
      </c>
    </row>
    <row r="187" spans="1:27" ht="60.75" x14ac:dyDescent="0.25">
      <c r="A187" s="3" t="s">
        <v>28</v>
      </c>
      <c r="B187" s="3" t="s">
        <v>29</v>
      </c>
      <c r="C187" s="3" t="s">
        <v>30</v>
      </c>
      <c r="D187" s="3" t="s">
        <v>76</v>
      </c>
      <c r="E187" s="3" t="s">
        <v>32</v>
      </c>
      <c r="F187" s="3" t="s">
        <v>150</v>
      </c>
      <c r="G187" s="3">
        <v>2024</v>
      </c>
      <c r="H187" s="3" t="str">
        <f>CONCATENATE("44210150023")</f>
        <v>44210150023</v>
      </c>
      <c r="I187" s="3" t="s">
        <v>34</v>
      </c>
      <c r="J187" s="3" t="s">
        <v>35</v>
      </c>
      <c r="K187" s="3"/>
      <c r="L187" s="3" t="s">
        <v>36</v>
      </c>
      <c r="M187" s="3" t="str">
        <f>CONCATENATE("RTNGPP50S25F509U")</f>
        <v>RTNGPP50S25F509U</v>
      </c>
      <c r="N187" s="3" t="s">
        <v>280</v>
      </c>
      <c r="O187" s="3" t="s">
        <v>38</v>
      </c>
      <c r="P187" s="3"/>
      <c r="Q187" s="4">
        <v>45956</v>
      </c>
      <c r="R187" s="3" t="s">
        <v>39</v>
      </c>
      <c r="S187" s="3" t="s">
        <v>40</v>
      </c>
      <c r="T187" s="3" t="s">
        <v>41</v>
      </c>
      <c r="U187" s="3"/>
      <c r="V187" s="3" t="s">
        <v>42</v>
      </c>
      <c r="W187" s="3">
        <v>477.72</v>
      </c>
      <c r="X187" s="3">
        <v>358.29</v>
      </c>
      <c r="Y187" s="3">
        <v>83.6</v>
      </c>
      <c r="Z187" s="3">
        <v>35.83</v>
      </c>
      <c r="AA187" s="3">
        <v>0</v>
      </c>
    </row>
    <row r="188" spans="1:27" ht="60.75" x14ac:dyDescent="0.25">
      <c r="A188" s="3" t="s">
        <v>28</v>
      </c>
      <c r="B188" s="3" t="s">
        <v>29</v>
      </c>
      <c r="C188" s="3" t="s">
        <v>30</v>
      </c>
      <c r="D188" s="3" t="s">
        <v>60</v>
      </c>
      <c r="E188" s="3" t="s">
        <v>43</v>
      </c>
      <c r="F188" s="3" t="s">
        <v>61</v>
      </c>
      <c r="G188" s="3">
        <v>2024</v>
      </c>
      <c r="H188" s="3" t="str">
        <f>CONCATENATE("44210135883")</f>
        <v>44210135883</v>
      </c>
      <c r="I188" s="3" t="s">
        <v>34</v>
      </c>
      <c r="J188" s="3" t="s">
        <v>35</v>
      </c>
      <c r="K188" s="3"/>
      <c r="L188" s="3" t="s">
        <v>36</v>
      </c>
      <c r="M188" s="3" t="str">
        <f>CONCATENATE("FCCCLD64P24I651M")</f>
        <v>FCCCLD64P24I651M</v>
      </c>
      <c r="N188" s="3" t="s">
        <v>281</v>
      </c>
      <c r="O188" s="3" t="s">
        <v>38</v>
      </c>
      <c r="P188" s="3"/>
      <c r="Q188" s="4">
        <v>45956</v>
      </c>
      <c r="R188" s="3" t="s">
        <v>39</v>
      </c>
      <c r="S188" s="3" t="s">
        <v>40</v>
      </c>
      <c r="T188" s="3" t="s">
        <v>41</v>
      </c>
      <c r="U188" s="3"/>
      <c r="V188" s="3" t="s">
        <v>42</v>
      </c>
      <c r="W188" s="3">
        <v>482.18</v>
      </c>
      <c r="X188" s="3">
        <v>361.64</v>
      </c>
      <c r="Y188" s="3">
        <v>84.38</v>
      </c>
      <c r="Z188" s="3">
        <v>36.159999999999997</v>
      </c>
      <c r="AA188" s="3">
        <v>0</v>
      </c>
    </row>
    <row r="189" spans="1:27" ht="60.75" x14ac:dyDescent="0.25">
      <c r="A189" s="3" t="s">
        <v>28</v>
      </c>
      <c r="B189" s="3" t="s">
        <v>29</v>
      </c>
      <c r="C189" s="3" t="s">
        <v>30</v>
      </c>
      <c r="D189" s="3" t="s">
        <v>60</v>
      </c>
      <c r="E189" s="3" t="s">
        <v>43</v>
      </c>
      <c r="F189" s="3" t="s">
        <v>63</v>
      </c>
      <c r="G189" s="3">
        <v>2024</v>
      </c>
      <c r="H189" s="3" t="str">
        <f>CONCATENATE("44210102438")</f>
        <v>44210102438</v>
      </c>
      <c r="I189" s="3" t="s">
        <v>34</v>
      </c>
      <c r="J189" s="3" t="s">
        <v>35</v>
      </c>
      <c r="K189" s="3"/>
      <c r="L189" s="3" t="s">
        <v>36</v>
      </c>
      <c r="M189" s="3" t="str">
        <f>CONCATENATE("GVNDLM60D22C582C")</f>
        <v>GVNDLM60D22C582C</v>
      </c>
      <c r="N189" s="3" t="s">
        <v>282</v>
      </c>
      <c r="O189" s="3" t="s">
        <v>38</v>
      </c>
      <c r="P189" s="3"/>
      <c r="Q189" s="4">
        <v>45956</v>
      </c>
      <c r="R189" s="3" t="s">
        <v>39</v>
      </c>
      <c r="S189" s="3" t="s">
        <v>40</v>
      </c>
      <c r="T189" s="3" t="s">
        <v>41</v>
      </c>
      <c r="U189" s="3"/>
      <c r="V189" s="3" t="s">
        <v>42</v>
      </c>
      <c r="W189" s="3">
        <v>20.65</v>
      </c>
      <c r="X189" s="3">
        <v>15.49</v>
      </c>
      <c r="Y189" s="3">
        <v>3.61</v>
      </c>
      <c r="Z189" s="3">
        <v>1.55</v>
      </c>
      <c r="AA189" s="3">
        <v>0</v>
      </c>
    </row>
    <row r="190" spans="1:27" ht="72.75" x14ac:dyDescent="0.25">
      <c r="A190" s="3" t="s">
        <v>28</v>
      </c>
      <c r="B190" s="3" t="s">
        <v>29</v>
      </c>
      <c r="C190" s="3" t="s">
        <v>30</v>
      </c>
      <c r="D190" s="3" t="s">
        <v>46</v>
      </c>
      <c r="E190" s="3" t="s">
        <v>32</v>
      </c>
      <c r="F190" s="3" t="s">
        <v>47</v>
      </c>
      <c r="G190" s="3">
        <v>2024</v>
      </c>
      <c r="H190" s="3" t="str">
        <f>CONCATENATE("44210459994")</f>
        <v>44210459994</v>
      </c>
      <c r="I190" s="3" t="s">
        <v>34</v>
      </c>
      <c r="J190" s="3" t="s">
        <v>35</v>
      </c>
      <c r="K190" s="3"/>
      <c r="L190" s="3" t="s">
        <v>36</v>
      </c>
      <c r="M190" s="3" t="str">
        <f>CONCATENATE("MRNMSM76T22I287R")</f>
        <v>MRNMSM76T22I287R</v>
      </c>
      <c r="N190" s="3" t="s">
        <v>283</v>
      </c>
      <c r="O190" s="3" t="s">
        <v>38</v>
      </c>
      <c r="P190" s="3"/>
      <c r="Q190" s="4">
        <v>45956</v>
      </c>
      <c r="R190" s="3" t="s">
        <v>39</v>
      </c>
      <c r="S190" s="3" t="s">
        <v>40</v>
      </c>
      <c r="T190" s="3" t="s">
        <v>41</v>
      </c>
      <c r="U190" s="3"/>
      <c r="V190" s="3" t="s">
        <v>42</v>
      </c>
      <c r="W190" s="3">
        <v>35.35</v>
      </c>
      <c r="X190" s="3">
        <v>26.51</v>
      </c>
      <c r="Y190" s="3">
        <v>6.19</v>
      </c>
      <c r="Z190" s="3">
        <v>2.65</v>
      </c>
      <c r="AA190" s="3">
        <v>0</v>
      </c>
    </row>
    <row r="191" spans="1:27" ht="60.75" x14ac:dyDescent="0.25">
      <c r="A191" s="3" t="s">
        <v>28</v>
      </c>
      <c r="B191" s="3" t="s">
        <v>29</v>
      </c>
      <c r="C191" s="3" t="s">
        <v>30</v>
      </c>
      <c r="D191" s="3" t="s">
        <v>46</v>
      </c>
      <c r="E191" s="3" t="s">
        <v>57</v>
      </c>
      <c r="F191" s="3" t="s">
        <v>58</v>
      </c>
      <c r="G191" s="3">
        <v>2024</v>
      </c>
      <c r="H191" s="3" t="str">
        <f>CONCATENATE("44210674527")</f>
        <v>44210674527</v>
      </c>
      <c r="I191" s="3" t="s">
        <v>34</v>
      </c>
      <c r="J191" s="3" t="s">
        <v>35</v>
      </c>
      <c r="K191" s="3"/>
      <c r="L191" s="3" t="s">
        <v>36</v>
      </c>
      <c r="M191" s="3" t="str">
        <f>CONCATENATE("DCRSRA83L47I459D")</f>
        <v>DCRSRA83L47I459D</v>
      </c>
      <c r="N191" s="3" t="s">
        <v>284</v>
      </c>
      <c r="O191" s="3" t="s">
        <v>38</v>
      </c>
      <c r="P191" s="3"/>
      <c r="Q191" s="4">
        <v>45956</v>
      </c>
      <c r="R191" s="3" t="s">
        <v>39</v>
      </c>
      <c r="S191" s="3" t="s">
        <v>40</v>
      </c>
      <c r="T191" s="3" t="s">
        <v>41</v>
      </c>
      <c r="U191" s="3"/>
      <c r="V191" s="3" t="s">
        <v>42</v>
      </c>
      <c r="W191" s="3">
        <v>199.2</v>
      </c>
      <c r="X191" s="3">
        <v>149.4</v>
      </c>
      <c r="Y191" s="3">
        <v>34.86</v>
      </c>
      <c r="Z191" s="3">
        <v>14.94</v>
      </c>
      <c r="AA191" s="3">
        <v>0</v>
      </c>
    </row>
    <row r="192" spans="1:27" ht="60.75" x14ac:dyDescent="0.25">
      <c r="A192" s="3" t="s">
        <v>28</v>
      </c>
      <c r="B192" s="3" t="s">
        <v>29</v>
      </c>
      <c r="C192" s="3" t="s">
        <v>30</v>
      </c>
      <c r="D192" s="3" t="s">
        <v>46</v>
      </c>
      <c r="E192" s="3" t="s">
        <v>32</v>
      </c>
      <c r="F192" s="3" t="s">
        <v>52</v>
      </c>
      <c r="G192" s="3">
        <v>2024</v>
      </c>
      <c r="H192" s="3" t="str">
        <f>CONCATENATE("44210447544")</f>
        <v>44210447544</v>
      </c>
      <c r="I192" s="3" t="s">
        <v>34</v>
      </c>
      <c r="J192" s="3" t="s">
        <v>35</v>
      </c>
      <c r="K192" s="3"/>
      <c r="L192" s="3" t="s">
        <v>36</v>
      </c>
      <c r="M192" s="3" t="str">
        <f>CONCATENATE("CRMPLA63S27I608U")</f>
        <v>CRMPLA63S27I608U</v>
      </c>
      <c r="N192" s="3" t="s">
        <v>285</v>
      </c>
      <c r="O192" s="3" t="s">
        <v>38</v>
      </c>
      <c r="P192" s="3"/>
      <c r="Q192" s="4">
        <v>45956</v>
      </c>
      <c r="R192" s="3" t="s">
        <v>39</v>
      </c>
      <c r="S192" s="3" t="s">
        <v>40</v>
      </c>
      <c r="T192" s="3" t="s">
        <v>41</v>
      </c>
      <c r="U192" s="3"/>
      <c r="V192" s="3" t="s">
        <v>42</v>
      </c>
      <c r="W192" s="3">
        <v>614.62</v>
      </c>
      <c r="X192" s="3">
        <v>460.97</v>
      </c>
      <c r="Y192" s="3">
        <v>107.56</v>
      </c>
      <c r="Z192" s="3">
        <v>46.09</v>
      </c>
      <c r="AA192" s="3">
        <v>0</v>
      </c>
    </row>
    <row r="193" spans="1:27" ht="60.75" x14ac:dyDescent="0.25">
      <c r="A193" s="3" t="s">
        <v>28</v>
      </c>
      <c r="B193" s="3" t="s">
        <v>29</v>
      </c>
      <c r="C193" s="3" t="s">
        <v>30</v>
      </c>
      <c r="D193" s="3" t="s">
        <v>46</v>
      </c>
      <c r="E193" s="3" t="s">
        <v>32</v>
      </c>
      <c r="F193" s="3" t="s">
        <v>113</v>
      </c>
      <c r="G193" s="3">
        <v>2024</v>
      </c>
      <c r="H193" s="3" t="str">
        <f>CONCATENATE("44210391213")</f>
        <v>44210391213</v>
      </c>
      <c r="I193" s="3" t="s">
        <v>34</v>
      </c>
      <c r="J193" s="3" t="s">
        <v>35</v>
      </c>
      <c r="K193" s="3"/>
      <c r="L193" s="3" t="s">
        <v>36</v>
      </c>
      <c r="M193" s="3" t="str">
        <f>CONCATENATE("PRSMRZ59M31D749J")</f>
        <v>PRSMRZ59M31D749J</v>
      </c>
      <c r="N193" s="3" t="s">
        <v>286</v>
      </c>
      <c r="O193" s="3" t="s">
        <v>38</v>
      </c>
      <c r="P193" s="3"/>
      <c r="Q193" s="4">
        <v>45956</v>
      </c>
      <c r="R193" s="3" t="s">
        <v>39</v>
      </c>
      <c r="S193" s="3" t="s">
        <v>40</v>
      </c>
      <c r="T193" s="3" t="s">
        <v>41</v>
      </c>
      <c r="U193" s="3"/>
      <c r="V193" s="3" t="s">
        <v>42</v>
      </c>
      <c r="W193" s="3">
        <v>16.420000000000002</v>
      </c>
      <c r="X193" s="3">
        <v>12.32</v>
      </c>
      <c r="Y193" s="3">
        <v>2.87</v>
      </c>
      <c r="Z193" s="3">
        <v>1.23</v>
      </c>
      <c r="AA193" s="3">
        <v>0</v>
      </c>
    </row>
    <row r="194" spans="1:27" ht="36.75" x14ac:dyDescent="0.25">
      <c r="A194" s="3" t="s">
        <v>28</v>
      </c>
      <c r="B194" s="3" t="s">
        <v>29</v>
      </c>
      <c r="C194" s="3" t="s">
        <v>30</v>
      </c>
      <c r="D194" s="3" t="s">
        <v>46</v>
      </c>
      <c r="E194" s="3" t="s">
        <v>57</v>
      </c>
      <c r="F194" s="3" t="s">
        <v>58</v>
      </c>
      <c r="G194" s="3">
        <v>2024</v>
      </c>
      <c r="H194" s="3" t="str">
        <f>CONCATENATE("44210577795")</f>
        <v>44210577795</v>
      </c>
      <c r="I194" s="3" t="s">
        <v>34</v>
      </c>
      <c r="J194" s="3" t="s">
        <v>35</v>
      </c>
      <c r="K194" s="3"/>
      <c r="L194" s="3" t="s">
        <v>36</v>
      </c>
      <c r="M194" s="3" t="str">
        <f>CONCATENATE("02638880415")</f>
        <v>02638880415</v>
      </c>
      <c r="N194" s="3" t="s">
        <v>287</v>
      </c>
      <c r="O194" s="3" t="s">
        <v>38</v>
      </c>
      <c r="P194" s="3"/>
      <c r="Q194" s="4">
        <v>45956</v>
      </c>
      <c r="R194" s="3" t="s">
        <v>39</v>
      </c>
      <c r="S194" s="3" t="s">
        <v>40</v>
      </c>
      <c r="T194" s="3" t="s">
        <v>41</v>
      </c>
      <c r="U194" s="3"/>
      <c r="V194" s="3" t="s">
        <v>42</v>
      </c>
      <c r="W194" s="3">
        <v>12.7</v>
      </c>
      <c r="X194" s="3">
        <v>9.5299999999999994</v>
      </c>
      <c r="Y194" s="3">
        <v>2.2200000000000002</v>
      </c>
      <c r="Z194" s="3">
        <v>0.95</v>
      </c>
      <c r="AA194" s="3">
        <v>0</v>
      </c>
    </row>
    <row r="195" spans="1:27" ht="60.75" x14ac:dyDescent="0.25">
      <c r="A195" s="3" t="s">
        <v>28</v>
      </c>
      <c r="B195" s="3" t="s">
        <v>29</v>
      </c>
      <c r="C195" s="3" t="s">
        <v>30</v>
      </c>
      <c r="D195" s="3" t="s">
        <v>46</v>
      </c>
      <c r="E195" s="3" t="s">
        <v>32</v>
      </c>
      <c r="F195" s="3" t="s">
        <v>47</v>
      </c>
      <c r="G195" s="3">
        <v>2024</v>
      </c>
      <c r="H195" s="3" t="str">
        <f>CONCATENATE("44210735211")</f>
        <v>44210735211</v>
      </c>
      <c r="I195" s="3" t="s">
        <v>34</v>
      </c>
      <c r="J195" s="3" t="s">
        <v>35</v>
      </c>
      <c r="K195" s="3"/>
      <c r="L195" s="3" t="s">
        <v>36</v>
      </c>
      <c r="M195" s="3" t="str">
        <f>CONCATENATE("ZPPGPP48T18L500L")</f>
        <v>ZPPGPP48T18L500L</v>
      </c>
      <c r="N195" s="3" t="s">
        <v>288</v>
      </c>
      <c r="O195" s="3" t="s">
        <v>38</v>
      </c>
      <c r="P195" s="3"/>
      <c r="Q195" s="4">
        <v>45956</v>
      </c>
      <c r="R195" s="3" t="s">
        <v>39</v>
      </c>
      <c r="S195" s="3" t="s">
        <v>40</v>
      </c>
      <c r="T195" s="3" t="s">
        <v>41</v>
      </c>
      <c r="U195" s="3"/>
      <c r="V195" s="3" t="s">
        <v>42</v>
      </c>
      <c r="W195" s="3">
        <v>32.03</v>
      </c>
      <c r="X195" s="3">
        <v>24.02</v>
      </c>
      <c r="Y195" s="3">
        <v>5.61</v>
      </c>
      <c r="Z195" s="3">
        <v>2.4</v>
      </c>
      <c r="AA195" s="3">
        <v>0</v>
      </c>
    </row>
    <row r="196" spans="1:27" ht="60.75" x14ac:dyDescent="0.25">
      <c r="A196" s="3" t="s">
        <v>28</v>
      </c>
      <c r="B196" s="3" t="s">
        <v>29</v>
      </c>
      <c r="C196" s="3" t="s">
        <v>30</v>
      </c>
      <c r="D196" s="3" t="s">
        <v>60</v>
      </c>
      <c r="E196" s="3" t="s">
        <v>43</v>
      </c>
      <c r="F196" s="3" t="s">
        <v>88</v>
      </c>
      <c r="G196" s="3">
        <v>2024</v>
      </c>
      <c r="H196" s="3" t="str">
        <f>CONCATENATE("44210257331")</f>
        <v>44210257331</v>
      </c>
      <c r="I196" s="3" t="s">
        <v>34</v>
      </c>
      <c r="J196" s="3" t="s">
        <v>35</v>
      </c>
      <c r="K196" s="3"/>
      <c r="L196" s="3" t="s">
        <v>36</v>
      </c>
      <c r="M196" s="3" t="str">
        <f>CONCATENATE("NGLGNN90P20B474S")</f>
        <v>NGLGNN90P20B474S</v>
      </c>
      <c r="N196" s="3" t="s">
        <v>289</v>
      </c>
      <c r="O196" s="3" t="s">
        <v>38</v>
      </c>
      <c r="P196" s="3"/>
      <c r="Q196" s="4">
        <v>45956</v>
      </c>
      <c r="R196" s="3" t="s">
        <v>39</v>
      </c>
      <c r="S196" s="3" t="s">
        <v>40</v>
      </c>
      <c r="T196" s="3" t="s">
        <v>41</v>
      </c>
      <c r="U196" s="3"/>
      <c r="V196" s="3" t="s">
        <v>42</v>
      </c>
      <c r="W196" s="3">
        <v>24.87</v>
      </c>
      <c r="X196" s="3">
        <v>18.649999999999999</v>
      </c>
      <c r="Y196" s="3">
        <v>4.3499999999999996</v>
      </c>
      <c r="Z196" s="3">
        <v>1.87</v>
      </c>
      <c r="AA196" s="3">
        <v>0</v>
      </c>
    </row>
    <row r="197" spans="1:27" ht="36.75" x14ac:dyDescent="0.25">
      <c r="A197" s="3" t="s">
        <v>28</v>
      </c>
      <c r="B197" s="3" t="s">
        <v>29</v>
      </c>
      <c r="C197" s="3" t="s">
        <v>30</v>
      </c>
      <c r="D197" s="3" t="s">
        <v>60</v>
      </c>
      <c r="E197" s="3" t="s">
        <v>73</v>
      </c>
      <c r="F197" s="3" t="s">
        <v>138</v>
      </c>
      <c r="G197" s="3">
        <v>2024</v>
      </c>
      <c r="H197" s="3" t="str">
        <f>CONCATENATE("44210424899")</f>
        <v>44210424899</v>
      </c>
      <c r="I197" s="3" t="s">
        <v>34</v>
      </c>
      <c r="J197" s="3" t="s">
        <v>35</v>
      </c>
      <c r="K197" s="3"/>
      <c r="L197" s="3" t="s">
        <v>36</v>
      </c>
      <c r="M197" s="3" t="str">
        <f>CONCATENATE("02005140435")</f>
        <v>02005140435</v>
      </c>
      <c r="N197" s="3" t="s">
        <v>290</v>
      </c>
      <c r="O197" s="3" t="s">
        <v>38</v>
      </c>
      <c r="P197" s="3"/>
      <c r="Q197" s="4">
        <v>45956</v>
      </c>
      <c r="R197" s="3" t="s">
        <v>39</v>
      </c>
      <c r="S197" s="3" t="s">
        <v>40</v>
      </c>
      <c r="T197" s="3" t="s">
        <v>41</v>
      </c>
      <c r="U197" s="3"/>
      <c r="V197" s="3" t="s">
        <v>42</v>
      </c>
      <c r="W197" s="3">
        <v>376.95</v>
      </c>
      <c r="X197" s="3">
        <v>282.70999999999998</v>
      </c>
      <c r="Y197" s="3">
        <v>65.97</v>
      </c>
      <c r="Z197" s="3">
        <v>28.27</v>
      </c>
      <c r="AA197" s="3">
        <v>0</v>
      </c>
    </row>
    <row r="198" spans="1:27" ht="60.75" x14ac:dyDescent="0.25">
      <c r="A198" s="3" t="s">
        <v>28</v>
      </c>
      <c r="B198" s="3" t="s">
        <v>29</v>
      </c>
      <c r="C198" s="3" t="s">
        <v>30</v>
      </c>
      <c r="D198" s="3" t="s">
        <v>46</v>
      </c>
      <c r="E198" s="3" t="s">
        <v>43</v>
      </c>
      <c r="F198" s="3" t="s">
        <v>55</v>
      </c>
      <c r="G198" s="3">
        <v>2024</v>
      </c>
      <c r="H198" s="3" t="str">
        <f>CONCATENATE("44210528111")</f>
        <v>44210528111</v>
      </c>
      <c r="I198" s="3" t="s">
        <v>34</v>
      </c>
      <c r="J198" s="3" t="s">
        <v>35</v>
      </c>
      <c r="K198" s="3"/>
      <c r="L198" s="3" t="s">
        <v>36</v>
      </c>
      <c r="M198" s="3" t="str">
        <f>CONCATENATE("CSVLNE48M62B352C")</f>
        <v>CSVLNE48M62B352C</v>
      </c>
      <c r="N198" s="3" t="s">
        <v>291</v>
      </c>
      <c r="O198" s="3" t="s">
        <v>38</v>
      </c>
      <c r="P198" s="3"/>
      <c r="Q198" s="4">
        <v>45956</v>
      </c>
      <c r="R198" s="3" t="s">
        <v>39</v>
      </c>
      <c r="S198" s="3" t="s">
        <v>40</v>
      </c>
      <c r="T198" s="3" t="s">
        <v>41</v>
      </c>
      <c r="U198" s="3"/>
      <c r="V198" s="3" t="s">
        <v>42</v>
      </c>
      <c r="W198" s="3">
        <v>140.44999999999999</v>
      </c>
      <c r="X198" s="3">
        <v>105.34</v>
      </c>
      <c r="Y198" s="3">
        <v>24.58</v>
      </c>
      <c r="Z198" s="3">
        <v>10.53</v>
      </c>
      <c r="AA198" s="3">
        <v>0</v>
      </c>
    </row>
    <row r="199" spans="1:27" ht="60.75" x14ac:dyDescent="0.25">
      <c r="A199" s="3" t="s">
        <v>28</v>
      </c>
      <c r="B199" s="3" t="s">
        <v>29</v>
      </c>
      <c r="C199" s="3" t="s">
        <v>30</v>
      </c>
      <c r="D199" s="3" t="s">
        <v>76</v>
      </c>
      <c r="E199" s="3" t="s">
        <v>77</v>
      </c>
      <c r="F199" s="3" t="s">
        <v>78</v>
      </c>
      <c r="G199" s="3">
        <v>2024</v>
      </c>
      <c r="H199" s="3" t="str">
        <f>CONCATENATE("44210585079")</f>
        <v>44210585079</v>
      </c>
      <c r="I199" s="3" t="s">
        <v>34</v>
      </c>
      <c r="J199" s="3" t="s">
        <v>35</v>
      </c>
      <c r="K199" s="3"/>
      <c r="L199" s="3" t="s">
        <v>36</v>
      </c>
      <c r="M199" s="3" t="str">
        <f>CONCATENATE("LFNQNT85E24A462S")</f>
        <v>LFNQNT85E24A462S</v>
      </c>
      <c r="N199" s="3" t="s">
        <v>292</v>
      </c>
      <c r="O199" s="3" t="s">
        <v>38</v>
      </c>
      <c r="P199" s="3"/>
      <c r="Q199" s="4">
        <v>45956</v>
      </c>
      <c r="R199" s="3" t="s">
        <v>39</v>
      </c>
      <c r="S199" s="3" t="s">
        <v>40</v>
      </c>
      <c r="T199" s="3" t="s">
        <v>41</v>
      </c>
      <c r="U199" s="3"/>
      <c r="V199" s="3" t="s">
        <v>42</v>
      </c>
      <c r="W199" s="3">
        <v>90.97</v>
      </c>
      <c r="X199" s="3">
        <v>68.23</v>
      </c>
      <c r="Y199" s="3">
        <v>15.92</v>
      </c>
      <c r="Z199" s="3">
        <v>6.82</v>
      </c>
      <c r="AA199" s="3">
        <v>0</v>
      </c>
    </row>
    <row r="200" spans="1:27" ht="36.75" x14ac:dyDescent="0.25">
      <c r="A200" s="3" t="s">
        <v>28</v>
      </c>
      <c r="B200" s="3" t="s">
        <v>29</v>
      </c>
      <c r="C200" s="3" t="s">
        <v>30</v>
      </c>
      <c r="D200" s="3" t="s">
        <v>46</v>
      </c>
      <c r="E200" s="3" t="s">
        <v>43</v>
      </c>
      <c r="F200" s="3" t="s">
        <v>82</v>
      </c>
      <c r="G200" s="3">
        <v>2024</v>
      </c>
      <c r="H200" s="3" t="str">
        <f>CONCATENATE("44210539274")</f>
        <v>44210539274</v>
      </c>
      <c r="I200" s="3" t="s">
        <v>34</v>
      </c>
      <c r="J200" s="3" t="s">
        <v>35</v>
      </c>
      <c r="K200" s="3"/>
      <c r="L200" s="3" t="s">
        <v>36</v>
      </c>
      <c r="M200" s="3" t="str">
        <f>CONCATENATE("02338940410")</f>
        <v>02338940410</v>
      </c>
      <c r="N200" s="3" t="s">
        <v>293</v>
      </c>
      <c r="O200" s="3" t="s">
        <v>38</v>
      </c>
      <c r="P200" s="3"/>
      <c r="Q200" s="4">
        <v>45956</v>
      </c>
      <c r="R200" s="3" t="s">
        <v>39</v>
      </c>
      <c r="S200" s="3" t="s">
        <v>40</v>
      </c>
      <c r="T200" s="3" t="s">
        <v>41</v>
      </c>
      <c r="U200" s="3"/>
      <c r="V200" s="3" t="s">
        <v>42</v>
      </c>
      <c r="W200" s="3">
        <v>32.83</v>
      </c>
      <c r="X200" s="3">
        <v>24.62</v>
      </c>
      <c r="Y200" s="3">
        <v>5.75</v>
      </c>
      <c r="Z200" s="3">
        <v>2.46</v>
      </c>
      <c r="AA200" s="3">
        <v>0</v>
      </c>
    </row>
    <row r="201" spans="1:27" ht="60.75" x14ac:dyDescent="0.25">
      <c r="A201" s="3" t="s">
        <v>28</v>
      </c>
      <c r="B201" s="3" t="s">
        <v>29</v>
      </c>
      <c r="C201" s="3" t="s">
        <v>30</v>
      </c>
      <c r="D201" s="3" t="s">
        <v>46</v>
      </c>
      <c r="E201" s="3" t="s">
        <v>32</v>
      </c>
      <c r="F201" s="3" t="s">
        <v>47</v>
      </c>
      <c r="G201" s="3">
        <v>2024</v>
      </c>
      <c r="H201" s="3" t="str">
        <f>CONCATENATE("44210460950")</f>
        <v>44210460950</v>
      </c>
      <c r="I201" s="3" t="s">
        <v>34</v>
      </c>
      <c r="J201" s="3" t="s">
        <v>35</v>
      </c>
      <c r="K201" s="3"/>
      <c r="L201" s="3" t="s">
        <v>36</v>
      </c>
      <c r="M201" s="3" t="str">
        <f>CONCATENATE("GRLPLA70D66F205T")</f>
        <v>GRLPLA70D66F205T</v>
      </c>
      <c r="N201" s="3" t="s">
        <v>294</v>
      </c>
      <c r="O201" s="3" t="s">
        <v>38</v>
      </c>
      <c r="P201" s="3"/>
      <c r="Q201" s="4">
        <v>45956</v>
      </c>
      <c r="R201" s="3" t="s">
        <v>39</v>
      </c>
      <c r="S201" s="3" t="s">
        <v>40</v>
      </c>
      <c r="T201" s="3" t="s">
        <v>41</v>
      </c>
      <c r="U201" s="3"/>
      <c r="V201" s="3" t="s">
        <v>42</v>
      </c>
      <c r="W201" s="3">
        <v>54.1</v>
      </c>
      <c r="X201" s="3">
        <v>40.58</v>
      </c>
      <c r="Y201" s="3">
        <v>9.4700000000000006</v>
      </c>
      <c r="Z201" s="3">
        <v>4.05</v>
      </c>
      <c r="AA201" s="3">
        <v>0</v>
      </c>
    </row>
    <row r="202" spans="1:27" ht="36.75" x14ac:dyDescent="0.25">
      <c r="A202" s="3" t="s">
        <v>28</v>
      </c>
      <c r="B202" s="3" t="s">
        <v>29</v>
      </c>
      <c r="C202" s="3" t="s">
        <v>30</v>
      </c>
      <c r="D202" s="3" t="s">
        <v>31</v>
      </c>
      <c r="E202" s="3" t="s">
        <v>32</v>
      </c>
      <c r="F202" s="3" t="s">
        <v>295</v>
      </c>
      <c r="G202" s="3">
        <v>2024</v>
      </c>
      <c r="H202" s="3" t="str">
        <f>CONCATENATE("44210529382")</f>
        <v>44210529382</v>
      </c>
      <c r="I202" s="3" t="s">
        <v>34</v>
      </c>
      <c r="J202" s="3" t="s">
        <v>35</v>
      </c>
      <c r="K202" s="3"/>
      <c r="L202" s="3" t="s">
        <v>36</v>
      </c>
      <c r="M202" s="3" t="str">
        <f>CONCATENATE("02747500425")</f>
        <v>02747500425</v>
      </c>
      <c r="N202" s="3" t="s">
        <v>296</v>
      </c>
      <c r="O202" s="3" t="s">
        <v>38</v>
      </c>
      <c r="P202" s="3"/>
      <c r="Q202" s="4">
        <v>45956</v>
      </c>
      <c r="R202" s="3" t="s">
        <v>39</v>
      </c>
      <c r="S202" s="3" t="s">
        <v>40</v>
      </c>
      <c r="T202" s="3" t="s">
        <v>41</v>
      </c>
      <c r="U202" s="3"/>
      <c r="V202" s="3" t="s">
        <v>42</v>
      </c>
      <c r="W202" s="3">
        <v>474.6</v>
      </c>
      <c r="X202" s="3">
        <v>355.95</v>
      </c>
      <c r="Y202" s="3">
        <v>83.06</v>
      </c>
      <c r="Z202" s="3">
        <v>35.590000000000003</v>
      </c>
      <c r="AA202" s="3">
        <v>0</v>
      </c>
    </row>
    <row r="203" spans="1:27" ht="72.75" x14ac:dyDescent="0.25">
      <c r="A203" s="3" t="s">
        <v>28</v>
      </c>
      <c r="B203" s="3" t="s">
        <v>29</v>
      </c>
      <c r="C203" s="3" t="s">
        <v>30</v>
      </c>
      <c r="D203" s="3" t="s">
        <v>31</v>
      </c>
      <c r="E203" s="3" t="s">
        <v>43</v>
      </c>
      <c r="F203" s="3" t="s">
        <v>44</v>
      </c>
      <c r="G203" s="3">
        <v>2024</v>
      </c>
      <c r="H203" s="3" t="str">
        <f>CONCATENATE("44210680904")</f>
        <v>44210680904</v>
      </c>
      <c r="I203" s="3" t="s">
        <v>34</v>
      </c>
      <c r="J203" s="3" t="s">
        <v>35</v>
      </c>
      <c r="K203" s="3"/>
      <c r="L203" s="3" t="s">
        <v>36</v>
      </c>
      <c r="M203" s="3" t="str">
        <f>CONCATENATE("MNTDOA54D64B474U")</f>
        <v>MNTDOA54D64B474U</v>
      </c>
      <c r="N203" s="3" t="s">
        <v>297</v>
      </c>
      <c r="O203" s="3" t="s">
        <v>38</v>
      </c>
      <c r="P203" s="3"/>
      <c r="Q203" s="4">
        <v>45956</v>
      </c>
      <c r="R203" s="3" t="s">
        <v>39</v>
      </c>
      <c r="S203" s="3" t="s">
        <v>40</v>
      </c>
      <c r="T203" s="3" t="s">
        <v>41</v>
      </c>
      <c r="U203" s="3"/>
      <c r="V203" s="3" t="s">
        <v>42</v>
      </c>
      <c r="W203" s="3">
        <v>13.67</v>
      </c>
      <c r="X203" s="3">
        <v>10.25</v>
      </c>
      <c r="Y203" s="3">
        <v>2.39</v>
      </c>
      <c r="Z203" s="3">
        <v>1.03</v>
      </c>
      <c r="AA203" s="3">
        <v>0</v>
      </c>
    </row>
    <row r="204" spans="1:27" ht="72.75" x14ac:dyDescent="0.25">
      <c r="A204" s="3" t="s">
        <v>28</v>
      </c>
      <c r="B204" s="3" t="s">
        <v>29</v>
      </c>
      <c r="C204" s="3" t="s">
        <v>30</v>
      </c>
      <c r="D204" s="3" t="s">
        <v>76</v>
      </c>
      <c r="E204" s="3" t="s">
        <v>32</v>
      </c>
      <c r="F204" s="3" t="s">
        <v>135</v>
      </c>
      <c r="G204" s="3">
        <v>2024</v>
      </c>
      <c r="H204" s="3" t="str">
        <f>CONCATENATE("44210628481")</f>
        <v>44210628481</v>
      </c>
      <c r="I204" s="3" t="s">
        <v>34</v>
      </c>
      <c r="J204" s="3" t="s">
        <v>35</v>
      </c>
      <c r="K204" s="3"/>
      <c r="L204" s="3" t="s">
        <v>36</v>
      </c>
      <c r="M204" s="3" t="str">
        <f>CONCATENATE("RPNGMR96B06A462Q")</f>
        <v>RPNGMR96B06A462Q</v>
      </c>
      <c r="N204" s="3" t="s">
        <v>298</v>
      </c>
      <c r="O204" s="3" t="s">
        <v>38</v>
      </c>
      <c r="P204" s="3"/>
      <c r="Q204" s="4">
        <v>45956</v>
      </c>
      <c r="R204" s="3" t="s">
        <v>39</v>
      </c>
      <c r="S204" s="3" t="s">
        <v>40</v>
      </c>
      <c r="T204" s="3" t="s">
        <v>41</v>
      </c>
      <c r="U204" s="3"/>
      <c r="V204" s="3" t="s">
        <v>42</v>
      </c>
      <c r="W204" s="3">
        <v>26.73</v>
      </c>
      <c r="X204" s="3">
        <v>20.05</v>
      </c>
      <c r="Y204" s="3">
        <v>4.68</v>
      </c>
      <c r="Z204" s="3">
        <v>2</v>
      </c>
      <c r="AA204" s="3">
        <v>0</v>
      </c>
    </row>
    <row r="205" spans="1:27" ht="36.75" x14ac:dyDescent="0.25">
      <c r="A205" s="3" t="s">
        <v>28</v>
      </c>
      <c r="B205" s="3" t="s">
        <v>29</v>
      </c>
      <c r="C205" s="3" t="s">
        <v>30</v>
      </c>
      <c r="D205" s="3" t="s">
        <v>76</v>
      </c>
      <c r="E205" s="3" t="s">
        <v>77</v>
      </c>
      <c r="F205" s="3" t="s">
        <v>78</v>
      </c>
      <c r="G205" s="3">
        <v>2024</v>
      </c>
      <c r="H205" s="3" t="str">
        <f>CONCATENATE("44210885461")</f>
        <v>44210885461</v>
      </c>
      <c r="I205" s="3" t="s">
        <v>34</v>
      </c>
      <c r="J205" s="3" t="s">
        <v>35</v>
      </c>
      <c r="K205" s="3"/>
      <c r="L205" s="3" t="s">
        <v>36</v>
      </c>
      <c r="M205" s="3" t="str">
        <f>CONCATENATE("02271980449")</f>
        <v>02271980449</v>
      </c>
      <c r="N205" s="3" t="s">
        <v>299</v>
      </c>
      <c r="O205" s="3" t="s">
        <v>38</v>
      </c>
      <c r="P205" s="3"/>
      <c r="Q205" s="4">
        <v>45956</v>
      </c>
      <c r="R205" s="3" t="s">
        <v>39</v>
      </c>
      <c r="S205" s="3" t="s">
        <v>40</v>
      </c>
      <c r="T205" s="3" t="s">
        <v>41</v>
      </c>
      <c r="U205" s="3"/>
      <c r="V205" s="3" t="s">
        <v>42</v>
      </c>
      <c r="W205" s="3">
        <v>167.68</v>
      </c>
      <c r="X205" s="3">
        <v>125.76</v>
      </c>
      <c r="Y205" s="3">
        <v>29.34</v>
      </c>
      <c r="Z205" s="3">
        <v>12.58</v>
      </c>
      <c r="AA205" s="3">
        <v>0</v>
      </c>
    </row>
    <row r="206" spans="1:27" ht="60.75" x14ac:dyDescent="0.25">
      <c r="A206" s="3" t="s">
        <v>28</v>
      </c>
      <c r="B206" s="3" t="s">
        <v>29</v>
      </c>
      <c r="C206" s="3" t="s">
        <v>30</v>
      </c>
      <c r="D206" s="3" t="s">
        <v>76</v>
      </c>
      <c r="E206" s="3" t="s">
        <v>77</v>
      </c>
      <c r="F206" s="3" t="s">
        <v>78</v>
      </c>
      <c r="G206" s="3">
        <v>2024</v>
      </c>
      <c r="H206" s="3" t="str">
        <f>CONCATENATE("44210584494")</f>
        <v>44210584494</v>
      </c>
      <c r="I206" s="3" t="s">
        <v>34</v>
      </c>
      <c r="J206" s="3" t="s">
        <v>35</v>
      </c>
      <c r="K206" s="3"/>
      <c r="L206" s="3" t="s">
        <v>36</v>
      </c>
      <c r="M206" s="3" t="str">
        <f>CONCATENATE("JCHCRN54M47F570P")</f>
        <v>JCHCRN54M47F570P</v>
      </c>
      <c r="N206" s="3" t="s">
        <v>300</v>
      </c>
      <c r="O206" s="3" t="s">
        <v>38</v>
      </c>
      <c r="P206" s="3"/>
      <c r="Q206" s="4">
        <v>45956</v>
      </c>
      <c r="R206" s="3" t="s">
        <v>39</v>
      </c>
      <c r="S206" s="3" t="s">
        <v>40</v>
      </c>
      <c r="T206" s="3" t="s">
        <v>41</v>
      </c>
      <c r="U206" s="3"/>
      <c r="V206" s="3" t="s">
        <v>42</v>
      </c>
      <c r="W206" s="5">
        <v>1183.5999999999999</v>
      </c>
      <c r="X206" s="3">
        <v>887.7</v>
      </c>
      <c r="Y206" s="3">
        <v>207.13</v>
      </c>
      <c r="Z206" s="3">
        <v>88.77</v>
      </c>
      <c r="AA206" s="3">
        <v>0</v>
      </c>
    </row>
    <row r="207" spans="1:27" ht="60.75" x14ac:dyDescent="0.25">
      <c r="A207" s="3" t="s">
        <v>28</v>
      </c>
      <c r="B207" s="3" t="s">
        <v>29</v>
      </c>
      <c r="C207" s="3" t="s">
        <v>30</v>
      </c>
      <c r="D207" s="3" t="s">
        <v>76</v>
      </c>
      <c r="E207" s="3" t="s">
        <v>32</v>
      </c>
      <c r="F207" s="3" t="s">
        <v>135</v>
      </c>
      <c r="G207" s="3">
        <v>2024</v>
      </c>
      <c r="H207" s="3" t="str">
        <f>CONCATENATE("44210896591")</f>
        <v>44210896591</v>
      </c>
      <c r="I207" s="3" t="s">
        <v>34</v>
      </c>
      <c r="J207" s="3" t="s">
        <v>35</v>
      </c>
      <c r="K207" s="3"/>
      <c r="L207" s="3" t="s">
        <v>36</v>
      </c>
      <c r="M207" s="3" t="str">
        <f>CONCATENATE("SLVMTT95H03A462S")</f>
        <v>SLVMTT95H03A462S</v>
      </c>
      <c r="N207" s="3" t="s">
        <v>301</v>
      </c>
      <c r="O207" s="3" t="s">
        <v>38</v>
      </c>
      <c r="P207" s="3"/>
      <c r="Q207" s="4">
        <v>45956</v>
      </c>
      <c r="R207" s="3" t="s">
        <v>39</v>
      </c>
      <c r="S207" s="3" t="s">
        <v>40</v>
      </c>
      <c r="T207" s="3" t="s">
        <v>41</v>
      </c>
      <c r="U207" s="3"/>
      <c r="V207" s="3" t="s">
        <v>42</v>
      </c>
      <c r="W207" s="3">
        <v>258.88</v>
      </c>
      <c r="X207" s="3">
        <v>194.16</v>
      </c>
      <c r="Y207" s="3">
        <v>45.3</v>
      </c>
      <c r="Z207" s="3">
        <v>19.420000000000002</v>
      </c>
      <c r="AA207" s="3">
        <v>0</v>
      </c>
    </row>
    <row r="208" spans="1:27" ht="60.75" x14ac:dyDescent="0.25">
      <c r="A208" s="3" t="s">
        <v>28</v>
      </c>
      <c r="B208" s="3" t="s">
        <v>29</v>
      </c>
      <c r="C208" s="3" t="s">
        <v>30</v>
      </c>
      <c r="D208" s="3" t="s">
        <v>76</v>
      </c>
      <c r="E208" s="3" t="s">
        <v>140</v>
      </c>
      <c r="F208" s="3" t="s">
        <v>141</v>
      </c>
      <c r="G208" s="3">
        <v>2024</v>
      </c>
      <c r="H208" s="3" t="str">
        <f>CONCATENATE("44210641153")</f>
        <v>44210641153</v>
      </c>
      <c r="I208" s="3" t="s">
        <v>34</v>
      </c>
      <c r="J208" s="3" t="s">
        <v>35</v>
      </c>
      <c r="K208" s="3"/>
      <c r="L208" s="3" t="s">
        <v>36</v>
      </c>
      <c r="M208" s="3" t="str">
        <f>CONCATENATE("GLNLSN91H27A462E")</f>
        <v>GLNLSN91H27A462E</v>
      </c>
      <c r="N208" s="3" t="s">
        <v>302</v>
      </c>
      <c r="O208" s="3" t="s">
        <v>38</v>
      </c>
      <c r="P208" s="3"/>
      <c r="Q208" s="4">
        <v>45956</v>
      </c>
      <c r="R208" s="3" t="s">
        <v>39</v>
      </c>
      <c r="S208" s="3" t="s">
        <v>40</v>
      </c>
      <c r="T208" s="3" t="s">
        <v>41</v>
      </c>
      <c r="U208" s="3"/>
      <c r="V208" s="3" t="s">
        <v>42</v>
      </c>
      <c r="W208" s="3">
        <v>62.18</v>
      </c>
      <c r="X208" s="3">
        <v>46.64</v>
      </c>
      <c r="Y208" s="3">
        <v>10.88</v>
      </c>
      <c r="Z208" s="3">
        <v>4.66</v>
      </c>
      <c r="AA208" s="3">
        <v>0</v>
      </c>
    </row>
    <row r="209" spans="1:27" ht="60.75" x14ac:dyDescent="0.25">
      <c r="A209" s="3" t="s">
        <v>28</v>
      </c>
      <c r="B209" s="3" t="s">
        <v>29</v>
      </c>
      <c r="C209" s="3" t="s">
        <v>30</v>
      </c>
      <c r="D209" s="3" t="s">
        <v>46</v>
      </c>
      <c r="E209" s="3" t="s">
        <v>43</v>
      </c>
      <c r="F209" s="3" t="s">
        <v>49</v>
      </c>
      <c r="G209" s="3">
        <v>2024</v>
      </c>
      <c r="H209" s="3" t="str">
        <f>CONCATENATE("44210163604")</f>
        <v>44210163604</v>
      </c>
      <c r="I209" s="3" t="s">
        <v>34</v>
      </c>
      <c r="J209" s="3" t="s">
        <v>35</v>
      </c>
      <c r="K209" s="3"/>
      <c r="L209" s="3" t="s">
        <v>36</v>
      </c>
      <c r="M209" s="3" t="str">
        <f>CONCATENATE("FLVRNN78H06C745V")</f>
        <v>FLVRNN78H06C745V</v>
      </c>
      <c r="N209" s="3" t="s">
        <v>303</v>
      </c>
      <c r="O209" s="3" t="s">
        <v>38</v>
      </c>
      <c r="P209" s="3"/>
      <c r="Q209" s="4">
        <v>45956</v>
      </c>
      <c r="R209" s="3" t="s">
        <v>39</v>
      </c>
      <c r="S209" s="3" t="s">
        <v>40</v>
      </c>
      <c r="T209" s="3" t="s">
        <v>41</v>
      </c>
      <c r="U209" s="3"/>
      <c r="V209" s="3" t="s">
        <v>42</v>
      </c>
      <c r="W209" s="3">
        <v>13.58</v>
      </c>
      <c r="X209" s="3">
        <v>10.19</v>
      </c>
      <c r="Y209" s="3">
        <v>2.38</v>
      </c>
      <c r="Z209" s="3">
        <v>1.01</v>
      </c>
      <c r="AA209" s="3">
        <v>0</v>
      </c>
    </row>
  </sheetData>
  <autoFilter ref="A3:AA209" xr:uid="{00000000-0001-0000-0000-000000000000}"/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 Galeazzi</cp:lastModifiedBy>
  <dcterms:created xsi:type="dcterms:W3CDTF">2025-11-13T16:37:01Z</dcterms:created>
  <dcterms:modified xsi:type="dcterms:W3CDTF">2025-11-13T16:40:15Z</dcterms:modified>
</cp:coreProperties>
</file>