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8_{C2710F20-F9BD-46C3-93F6-E8A8C4005741}" xr6:coauthVersionLast="47" xr6:coauthVersionMax="47" xr10:uidLastSave="{00000000-0000-0000-0000-000000000000}"/>
  <bookViews>
    <workbookView xWindow="390" yWindow="390" windowWidth="25065" windowHeight="8940"/>
  </bookViews>
  <sheets>
    <sheet name="DOMANDE_PAGATE_REGI_PSR_Decr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42" i="1" l="1"/>
  <c r="H1442" i="1"/>
  <c r="M1441" i="1"/>
  <c r="H1441" i="1"/>
  <c r="M1440" i="1"/>
  <c r="H1440" i="1"/>
  <c r="M1439" i="1"/>
  <c r="H1439" i="1"/>
  <c r="M1438" i="1"/>
  <c r="H1438" i="1"/>
  <c r="M1437" i="1"/>
  <c r="H1437" i="1"/>
  <c r="M1436" i="1"/>
  <c r="H1436" i="1"/>
  <c r="M1435" i="1"/>
  <c r="H1435" i="1"/>
  <c r="M1434" i="1"/>
  <c r="H1434" i="1"/>
  <c r="M1433" i="1"/>
  <c r="H1433" i="1"/>
  <c r="M1432" i="1"/>
  <c r="H1432" i="1"/>
  <c r="M1431" i="1"/>
  <c r="H1431" i="1"/>
  <c r="M1430" i="1"/>
  <c r="H1430" i="1"/>
  <c r="M1429" i="1"/>
  <c r="H1429" i="1"/>
  <c r="M1428" i="1"/>
  <c r="H1428" i="1"/>
  <c r="M1427" i="1"/>
  <c r="H1427" i="1"/>
  <c r="M1426" i="1"/>
  <c r="H1426" i="1"/>
  <c r="M1425" i="1"/>
  <c r="H1425" i="1"/>
  <c r="M1424" i="1"/>
  <c r="H1424" i="1"/>
  <c r="M1423" i="1"/>
  <c r="H1423" i="1"/>
  <c r="M1422" i="1"/>
  <c r="H1422" i="1"/>
  <c r="M1421" i="1"/>
  <c r="H1421" i="1"/>
  <c r="M1420" i="1"/>
  <c r="H1420" i="1"/>
  <c r="M1419" i="1"/>
  <c r="H1419" i="1"/>
  <c r="M1418" i="1"/>
  <c r="H1418" i="1"/>
  <c r="M1417" i="1"/>
  <c r="H1417" i="1"/>
  <c r="M1416" i="1"/>
  <c r="H1416" i="1"/>
  <c r="M1415" i="1"/>
  <c r="H1415" i="1"/>
  <c r="M1414" i="1"/>
  <c r="H1414" i="1"/>
  <c r="M1413" i="1"/>
  <c r="H1413" i="1"/>
  <c r="M1412" i="1"/>
  <c r="H1412" i="1"/>
  <c r="M1411" i="1"/>
  <c r="H1411" i="1"/>
  <c r="M1410" i="1"/>
  <c r="H1410" i="1"/>
  <c r="M1409" i="1"/>
  <c r="H1409" i="1"/>
  <c r="M1408" i="1"/>
  <c r="H1408" i="1"/>
  <c r="M1407" i="1"/>
  <c r="H1407" i="1"/>
  <c r="M1406" i="1"/>
  <c r="H1406" i="1"/>
  <c r="M1405" i="1"/>
  <c r="H1405" i="1"/>
  <c r="M1404" i="1"/>
  <c r="H1404" i="1"/>
  <c r="M1403" i="1"/>
  <c r="H1403" i="1"/>
  <c r="M1402" i="1"/>
  <c r="H1402" i="1"/>
  <c r="M1401" i="1"/>
  <c r="H1401" i="1"/>
  <c r="M1400" i="1"/>
  <c r="H1400" i="1"/>
  <c r="M1399" i="1"/>
  <c r="H1399" i="1"/>
  <c r="M1398" i="1"/>
  <c r="H1398" i="1"/>
  <c r="M1397" i="1"/>
  <c r="H1397" i="1"/>
  <c r="M1396" i="1"/>
  <c r="H1396" i="1"/>
  <c r="M1395" i="1"/>
  <c r="H1395" i="1"/>
  <c r="M1394" i="1"/>
  <c r="H1394" i="1"/>
  <c r="M1393" i="1"/>
  <c r="H1393" i="1"/>
  <c r="M1392" i="1"/>
  <c r="H1392" i="1"/>
  <c r="M1391" i="1"/>
  <c r="H1391" i="1"/>
  <c r="M1390" i="1"/>
  <c r="H1390" i="1"/>
  <c r="M1389" i="1"/>
  <c r="H1389" i="1"/>
  <c r="M1388" i="1"/>
  <c r="H1388" i="1"/>
  <c r="M1387" i="1"/>
  <c r="H1387" i="1"/>
  <c r="M1386" i="1"/>
  <c r="H1386" i="1"/>
  <c r="M1385" i="1"/>
  <c r="H1385" i="1"/>
  <c r="M1384" i="1"/>
  <c r="H1384" i="1"/>
  <c r="M1383" i="1"/>
  <c r="H1383" i="1"/>
  <c r="M1382" i="1"/>
  <c r="H1382" i="1"/>
  <c r="M1381" i="1"/>
  <c r="H1381" i="1"/>
  <c r="M1380" i="1"/>
  <c r="H1380" i="1"/>
  <c r="M1379" i="1"/>
  <c r="H1379" i="1"/>
  <c r="M1378" i="1"/>
  <c r="H1378" i="1"/>
  <c r="M1377" i="1"/>
  <c r="H1377" i="1"/>
  <c r="M1376" i="1"/>
  <c r="H1376" i="1"/>
  <c r="M1375" i="1"/>
  <c r="H1375" i="1"/>
  <c r="M1374" i="1"/>
  <c r="H1374" i="1"/>
  <c r="M1373" i="1"/>
  <c r="H1373" i="1"/>
  <c r="M1372" i="1"/>
  <c r="H1372" i="1"/>
  <c r="M1371" i="1"/>
  <c r="H1371" i="1"/>
  <c r="M1370" i="1"/>
  <c r="H1370" i="1"/>
  <c r="M1369" i="1"/>
  <c r="H1369" i="1"/>
  <c r="M1368" i="1"/>
  <c r="H1368" i="1"/>
  <c r="M1367" i="1"/>
  <c r="H1367" i="1"/>
  <c r="M1366" i="1"/>
  <c r="H1366" i="1"/>
  <c r="M1365" i="1"/>
  <c r="H1365" i="1"/>
  <c r="M1364" i="1"/>
  <c r="H1364" i="1"/>
  <c r="M1363" i="1"/>
  <c r="H1363" i="1"/>
  <c r="M1362" i="1"/>
  <c r="H1362" i="1"/>
  <c r="M1361" i="1"/>
  <c r="H1361" i="1"/>
  <c r="M1360" i="1"/>
  <c r="H1360" i="1"/>
  <c r="M1359" i="1"/>
  <c r="H1359" i="1"/>
  <c r="M1358" i="1"/>
  <c r="H1358" i="1"/>
  <c r="M1357" i="1"/>
  <c r="H1357" i="1"/>
  <c r="M1356" i="1"/>
  <c r="H1356" i="1"/>
  <c r="M1355" i="1"/>
  <c r="H1355" i="1"/>
  <c r="M1354" i="1"/>
  <c r="H1354" i="1"/>
  <c r="M1353" i="1"/>
  <c r="H1353" i="1"/>
  <c r="M1352" i="1"/>
  <c r="H1352" i="1"/>
  <c r="M1351" i="1"/>
  <c r="H1351" i="1"/>
  <c r="M1350" i="1"/>
  <c r="H1350" i="1"/>
  <c r="M1349" i="1"/>
  <c r="H1349" i="1"/>
  <c r="M1348" i="1"/>
  <c r="H1348" i="1"/>
  <c r="M1347" i="1"/>
  <c r="H1347" i="1"/>
  <c r="M1346" i="1"/>
  <c r="H1346" i="1"/>
  <c r="M1345" i="1"/>
  <c r="H1345" i="1"/>
  <c r="M1344" i="1"/>
  <c r="H1344" i="1"/>
  <c r="M1343" i="1"/>
  <c r="H1343" i="1"/>
  <c r="M1342" i="1"/>
  <c r="H1342" i="1"/>
  <c r="M1341" i="1"/>
  <c r="H1341" i="1"/>
  <c r="M1340" i="1"/>
  <c r="H1340" i="1"/>
  <c r="M1339" i="1"/>
  <c r="H1339" i="1"/>
  <c r="M1338" i="1"/>
  <c r="H1338" i="1"/>
  <c r="M1337" i="1"/>
  <c r="H1337" i="1"/>
  <c r="M1336" i="1"/>
  <c r="H1336" i="1"/>
  <c r="M1335" i="1"/>
  <c r="H1335" i="1"/>
  <c r="M1334" i="1"/>
  <c r="H1334" i="1"/>
  <c r="M1333" i="1"/>
  <c r="H1333" i="1"/>
  <c r="M1332" i="1"/>
  <c r="H1332" i="1"/>
  <c r="M1331" i="1"/>
  <c r="H1331" i="1"/>
  <c r="M1330" i="1"/>
  <c r="H1330" i="1"/>
  <c r="M1329" i="1"/>
  <c r="H1329" i="1"/>
  <c r="M1328" i="1"/>
  <c r="H1328" i="1"/>
  <c r="M1327" i="1"/>
  <c r="H1327" i="1"/>
  <c r="M1326" i="1"/>
  <c r="H1326" i="1"/>
  <c r="M1325" i="1"/>
  <c r="H1325" i="1"/>
  <c r="M1324" i="1"/>
  <c r="H1324" i="1"/>
  <c r="M1323" i="1"/>
  <c r="H1323" i="1"/>
  <c r="M1322" i="1"/>
  <c r="H1322" i="1"/>
  <c r="M1321" i="1"/>
  <c r="H1321" i="1"/>
  <c r="M1320" i="1"/>
  <c r="H1320" i="1"/>
  <c r="M1319" i="1"/>
  <c r="H1319" i="1"/>
  <c r="M1318" i="1"/>
  <c r="H1318" i="1"/>
  <c r="M1317" i="1"/>
  <c r="H1317" i="1"/>
  <c r="M1316" i="1"/>
  <c r="H1316" i="1"/>
  <c r="M1315" i="1"/>
  <c r="H1315" i="1"/>
  <c r="M1314" i="1"/>
  <c r="H1314" i="1"/>
  <c r="M1313" i="1"/>
  <c r="H1313" i="1"/>
  <c r="M1312" i="1"/>
  <c r="H1312" i="1"/>
  <c r="M1311" i="1"/>
  <c r="H1311" i="1"/>
  <c r="M1310" i="1"/>
  <c r="H1310" i="1"/>
  <c r="M1309" i="1"/>
  <c r="H1309" i="1"/>
  <c r="M1308" i="1"/>
  <c r="H1308" i="1"/>
  <c r="M1307" i="1"/>
  <c r="H1307" i="1"/>
  <c r="M1306" i="1"/>
  <c r="H1306" i="1"/>
  <c r="M1305" i="1"/>
  <c r="H1305" i="1"/>
  <c r="M1304" i="1"/>
  <c r="H1304" i="1"/>
  <c r="M1303" i="1"/>
  <c r="H1303" i="1"/>
  <c r="M1302" i="1"/>
  <c r="H1302" i="1"/>
  <c r="M1301" i="1"/>
  <c r="H1301" i="1"/>
  <c r="M1300" i="1"/>
  <c r="H1300" i="1"/>
  <c r="M1299" i="1"/>
  <c r="H1299" i="1"/>
  <c r="M1298" i="1"/>
  <c r="H1298" i="1"/>
  <c r="M1297" i="1"/>
  <c r="H1297" i="1"/>
  <c r="M1296" i="1"/>
  <c r="H1296" i="1"/>
  <c r="M1295" i="1"/>
  <c r="H1295" i="1"/>
  <c r="M1294" i="1"/>
  <c r="H1294" i="1"/>
  <c r="M1293" i="1"/>
  <c r="H1293" i="1"/>
  <c r="M1292" i="1"/>
  <c r="H1292" i="1"/>
  <c r="M1291" i="1"/>
  <c r="H1291" i="1"/>
  <c r="M1290" i="1"/>
  <c r="H1290" i="1"/>
  <c r="M1289" i="1"/>
  <c r="H1289" i="1"/>
  <c r="M1288" i="1"/>
  <c r="H1288" i="1"/>
  <c r="M1287" i="1"/>
  <c r="H1287" i="1"/>
  <c r="M1286" i="1"/>
  <c r="H1286" i="1"/>
  <c r="M1285" i="1"/>
  <c r="H1285" i="1"/>
  <c r="M1284" i="1"/>
  <c r="H1284" i="1"/>
  <c r="M1283" i="1"/>
  <c r="H1283" i="1"/>
  <c r="M1282" i="1"/>
  <c r="H1282" i="1"/>
  <c r="M1281" i="1"/>
  <c r="H1281" i="1"/>
  <c r="M1280" i="1"/>
  <c r="H1280" i="1"/>
  <c r="M1279" i="1"/>
  <c r="H1279" i="1"/>
  <c r="M1278" i="1"/>
  <c r="H1278" i="1"/>
  <c r="M1277" i="1"/>
  <c r="H1277" i="1"/>
  <c r="M1276" i="1"/>
  <c r="H1276" i="1"/>
  <c r="M1275" i="1"/>
  <c r="H1275" i="1"/>
  <c r="M1274" i="1"/>
  <c r="H1274" i="1"/>
  <c r="M1273" i="1"/>
  <c r="H1273" i="1"/>
  <c r="M1272" i="1"/>
  <c r="H1272" i="1"/>
  <c r="M1271" i="1"/>
  <c r="H1271" i="1"/>
  <c r="M1270" i="1"/>
  <c r="H1270" i="1"/>
  <c r="M1269" i="1"/>
  <c r="H1269" i="1"/>
  <c r="M1268" i="1"/>
  <c r="H1268" i="1"/>
  <c r="M1267" i="1"/>
  <c r="H1267" i="1"/>
  <c r="M1266" i="1"/>
  <c r="H1266" i="1"/>
  <c r="M1265" i="1"/>
  <c r="H1265" i="1"/>
  <c r="M1264" i="1"/>
  <c r="H1264" i="1"/>
  <c r="M1263" i="1"/>
  <c r="H1263" i="1"/>
  <c r="M1262" i="1"/>
  <c r="H1262" i="1"/>
  <c r="M1261" i="1"/>
  <c r="H1261" i="1"/>
  <c r="M1260" i="1"/>
  <c r="H1260" i="1"/>
  <c r="M1259" i="1"/>
  <c r="H1259" i="1"/>
  <c r="M1258" i="1"/>
  <c r="H1258" i="1"/>
  <c r="M1257" i="1"/>
  <c r="H1257" i="1"/>
  <c r="M1256" i="1"/>
  <c r="H1256" i="1"/>
  <c r="M1255" i="1"/>
  <c r="H1255" i="1"/>
  <c r="M1254" i="1"/>
  <c r="H1254" i="1"/>
  <c r="M1253" i="1"/>
  <c r="H1253" i="1"/>
  <c r="M1252" i="1"/>
  <c r="H1252" i="1"/>
  <c r="M1251" i="1"/>
  <c r="H1251" i="1"/>
  <c r="M1250" i="1"/>
  <c r="H1250" i="1"/>
  <c r="M1249" i="1"/>
  <c r="H1249" i="1"/>
  <c r="M1248" i="1"/>
  <c r="H1248" i="1"/>
  <c r="M1247" i="1"/>
  <c r="H1247" i="1"/>
  <c r="M1246" i="1"/>
  <c r="H1246" i="1"/>
  <c r="M1245" i="1"/>
  <c r="H1245" i="1"/>
  <c r="M1244" i="1"/>
  <c r="H1244" i="1"/>
  <c r="M1243" i="1"/>
  <c r="H1243" i="1"/>
  <c r="M1242" i="1"/>
  <c r="H1242" i="1"/>
  <c r="M1241" i="1"/>
  <c r="H1241" i="1"/>
  <c r="M1240" i="1"/>
  <c r="H1240" i="1"/>
  <c r="M1239" i="1"/>
  <c r="H1239" i="1"/>
  <c r="M1238" i="1"/>
  <c r="H1238" i="1"/>
  <c r="M1237" i="1"/>
  <c r="H1237" i="1"/>
  <c r="M1236" i="1"/>
  <c r="H1236" i="1"/>
  <c r="M1235" i="1"/>
  <c r="H1235" i="1"/>
  <c r="M1234" i="1"/>
  <c r="H1234" i="1"/>
  <c r="M1233" i="1"/>
  <c r="H1233" i="1"/>
  <c r="M1232" i="1"/>
  <c r="H1232" i="1"/>
  <c r="M1231" i="1"/>
  <c r="H1231" i="1"/>
  <c r="M1230" i="1"/>
  <c r="H1230" i="1"/>
  <c r="M1229" i="1"/>
  <c r="H1229" i="1"/>
  <c r="M1228" i="1"/>
  <c r="H1228" i="1"/>
  <c r="M1227" i="1"/>
  <c r="H1227" i="1"/>
  <c r="M1226" i="1"/>
  <c r="H1226" i="1"/>
  <c r="M1225" i="1"/>
  <c r="H1225" i="1"/>
  <c r="M1224" i="1"/>
  <c r="H1224" i="1"/>
  <c r="M1223" i="1"/>
  <c r="H1223" i="1"/>
  <c r="M1222" i="1"/>
  <c r="H1222" i="1"/>
  <c r="M1221" i="1"/>
  <c r="H1221" i="1"/>
  <c r="M1220" i="1"/>
  <c r="H1220" i="1"/>
  <c r="M1219" i="1"/>
  <c r="H1219" i="1"/>
  <c r="M1218" i="1"/>
  <c r="H1218" i="1"/>
  <c r="M1217" i="1"/>
  <c r="H1217" i="1"/>
  <c r="M1216" i="1"/>
  <c r="H1216" i="1"/>
  <c r="M1215" i="1"/>
  <c r="H1215" i="1"/>
  <c r="M1214" i="1"/>
  <c r="H1214" i="1"/>
  <c r="M1213" i="1"/>
  <c r="H1213" i="1"/>
  <c r="M1212" i="1"/>
  <c r="H1212" i="1"/>
  <c r="M1211" i="1"/>
  <c r="H1211" i="1"/>
  <c r="M1210" i="1"/>
  <c r="H1210" i="1"/>
  <c r="M1209" i="1"/>
  <c r="H1209" i="1"/>
  <c r="M1208" i="1"/>
  <c r="H1208" i="1"/>
  <c r="M1207" i="1"/>
  <c r="H1207" i="1"/>
  <c r="M1206" i="1"/>
  <c r="H1206" i="1"/>
  <c r="M1205" i="1"/>
  <c r="H1205" i="1"/>
  <c r="M1204" i="1"/>
  <c r="H1204" i="1"/>
  <c r="M1203" i="1"/>
  <c r="H1203" i="1"/>
  <c r="M1202" i="1"/>
  <c r="H1202" i="1"/>
  <c r="M1201" i="1"/>
  <c r="H1201" i="1"/>
  <c r="M1200" i="1"/>
  <c r="H1200" i="1"/>
  <c r="M1199" i="1"/>
  <c r="H1199" i="1"/>
  <c r="M1198" i="1"/>
  <c r="H1198" i="1"/>
  <c r="M1197" i="1"/>
  <c r="H1197" i="1"/>
  <c r="M1196" i="1"/>
  <c r="H1196" i="1"/>
  <c r="M1195" i="1"/>
  <c r="H1195" i="1"/>
  <c r="M1194" i="1"/>
  <c r="H1194" i="1"/>
  <c r="M1193" i="1"/>
  <c r="H1193" i="1"/>
  <c r="M1192" i="1"/>
  <c r="H1192" i="1"/>
  <c r="M1191" i="1"/>
  <c r="H1191" i="1"/>
  <c r="M1190" i="1"/>
  <c r="H1190" i="1"/>
  <c r="M1189" i="1"/>
  <c r="H1189" i="1"/>
  <c r="M1188" i="1"/>
  <c r="H1188" i="1"/>
  <c r="M1187" i="1"/>
  <c r="H1187" i="1"/>
  <c r="M1186" i="1"/>
  <c r="H1186" i="1"/>
  <c r="M1185" i="1"/>
  <c r="H1185" i="1"/>
  <c r="M1184" i="1"/>
  <c r="H1184" i="1"/>
  <c r="M1183" i="1"/>
  <c r="H1183" i="1"/>
  <c r="M1182" i="1"/>
  <c r="H1182" i="1"/>
  <c r="M1181" i="1"/>
  <c r="H1181" i="1"/>
  <c r="M1180" i="1"/>
  <c r="H1180" i="1"/>
  <c r="M1179" i="1"/>
  <c r="H1179" i="1"/>
  <c r="M1178" i="1"/>
  <c r="H1178" i="1"/>
  <c r="M1177" i="1"/>
  <c r="H1177" i="1"/>
  <c r="M1176" i="1"/>
  <c r="H1176" i="1"/>
  <c r="M1175" i="1"/>
  <c r="H1175" i="1"/>
  <c r="M1174" i="1"/>
  <c r="H1174" i="1"/>
  <c r="M1173" i="1"/>
  <c r="H1173" i="1"/>
  <c r="M1172" i="1"/>
  <c r="H1172" i="1"/>
  <c r="M1171" i="1"/>
  <c r="H1171" i="1"/>
  <c r="M1170" i="1"/>
  <c r="H1170" i="1"/>
  <c r="M1169" i="1"/>
  <c r="H1169" i="1"/>
  <c r="M1168" i="1"/>
  <c r="H1168" i="1"/>
  <c r="M1167" i="1"/>
  <c r="H1167" i="1"/>
  <c r="M1166" i="1"/>
  <c r="H1166" i="1"/>
  <c r="M1165" i="1"/>
  <c r="H1165" i="1"/>
  <c r="M1164" i="1"/>
  <c r="H1164" i="1"/>
  <c r="M1163" i="1"/>
  <c r="H1163" i="1"/>
  <c r="M1162" i="1"/>
  <c r="H1162" i="1"/>
  <c r="M1161" i="1"/>
  <c r="H1161" i="1"/>
  <c r="M1160" i="1"/>
  <c r="H1160" i="1"/>
  <c r="M1159" i="1"/>
  <c r="H1159" i="1"/>
  <c r="M1158" i="1"/>
  <c r="H1158" i="1"/>
  <c r="M1157" i="1"/>
  <c r="H1157" i="1"/>
  <c r="M1156" i="1"/>
  <c r="H1156" i="1"/>
  <c r="M1155" i="1"/>
  <c r="H1155" i="1"/>
  <c r="M1154" i="1"/>
  <c r="H1154" i="1"/>
  <c r="M1153" i="1"/>
  <c r="H1153" i="1"/>
  <c r="M1152" i="1"/>
  <c r="H1152" i="1"/>
  <c r="M1151" i="1"/>
  <c r="H1151" i="1"/>
  <c r="M1150" i="1"/>
  <c r="H1150" i="1"/>
  <c r="M1149" i="1"/>
  <c r="H1149" i="1"/>
  <c r="M1148" i="1"/>
  <c r="H1148" i="1"/>
  <c r="M1147" i="1"/>
  <c r="H1147" i="1"/>
  <c r="M1146" i="1"/>
  <c r="H1146" i="1"/>
  <c r="M1145" i="1"/>
  <c r="H1145" i="1"/>
  <c r="M1144" i="1"/>
  <c r="H1144" i="1"/>
  <c r="M1143" i="1"/>
  <c r="H1143" i="1"/>
  <c r="M1142" i="1"/>
  <c r="H1142" i="1"/>
  <c r="M1141" i="1"/>
  <c r="H1141" i="1"/>
  <c r="M1140" i="1"/>
  <c r="H1140" i="1"/>
  <c r="M1139" i="1"/>
  <c r="H1139" i="1"/>
  <c r="M1138" i="1"/>
  <c r="H1138" i="1"/>
  <c r="M1137" i="1"/>
  <c r="H1137" i="1"/>
  <c r="M1136" i="1"/>
  <c r="H1136" i="1"/>
  <c r="M1135" i="1"/>
  <c r="H1135" i="1"/>
  <c r="M1134" i="1"/>
  <c r="H1134" i="1"/>
  <c r="M1133" i="1"/>
  <c r="H1133" i="1"/>
  <c r="M1132" i="1"/>
  <c r="H1132" i="1"/>
  <c r="M1131" i="1"/>
  <c r="H1131" i="1"/>
  <c r="M1130" i="1"/>
  <c r="H1130" i="1"/>
  <c r="M1129" i="1"/>
  <c r="H1129" i="1"/>
  <c r="M1128" i="1"/>
  <c r="H1128" i="1"/>
  <c r="M1127" i="1"/>
  <c r="H1127" i="1"/>
  <c r="M1126" i="1"/>
  <c r="H1126" i="1"/>
  <c r="M1125" i="1"/>
  <c r="H1125" i="1"/>
  <c r="M1124" i="1"/>
  <c r="H1124" i="1"/>
  <c r="M1123" i="1"/>
  <c r="H1123" i="1"/>
  <c r="M1122" i="1"/>
  <c r="H1122" i="1"/>
  <c r="M1121" i="1"/>
  <c r="H1121" i="1"/>
  <c r="M1120" i="1"/>
  <c r="H1120" i="1"/>
  <c r="M1119" i="1"/>
  <c r="H1119" i="1"/>
  <c r="M1118" i="1"/>
  <c r="H1118" i="1"/>
  <c r="M1117" i="1"/>
  <c r="H1117" i="1"/>
  <c r="M1116" i="1"/>
  <c r="H1116" i="1"/>
  <c r="M1115" i="1"/>
  <c r="H1115" i="1"/>
  <c r="M1114" i="1"/>
  <c r="H1114" i="1"/>
  <c r="M1113" i="1"/>
  <c r="H1113" i="1"/>
  <c r="M1112" i="1"/>
  <c r="H1112" i="1"/>
  <c r="M1111" i="1"/>
  <c r="H1111" i="1"/>
  <c r="M1110" i="1"/>
  <c r="H1110" i="1"/>
  <c r="M1109" i="1"/>
  <c r="H1109" i="1"/>
  <c r="M1108" i="1"/>
  <c r="H1108" i="1"/>
  <c r="M1107" i="1"/>
  <c r="H1107" i="1"/>
  <c r="M1106" i="1"/>
  <c r="H1106" i="1"/>
  <c r="M1105" i="1"/>
  <c r="H1105" i="1"/>
  <c r="M1104" i="1"/>
  <c r="H1104" i="1"/>
  <c r="M1103" i="1"/>
  <c r="H1103" i="1"/>
  <c r="M1102" i="1"/>
  <c r="H1102" i="1"/>
  <c r="M1101" i="1"/>
  <c r="H1101" i="1"/>
  <c r="M1100" i="1"/>
  <c r="H1100" i="1"/>
  <c r="M1099" i="1"/>
  <c r="H1099" i="1"/>
  <c r="M1098" i="1"/>
  <c r="H1098" i="1"/>
  <c r="M1097" i="1"/>
  <c r="H1097" i="1"/>
  <c r="M1096" i="1"/>
  <c r="H1096" i="1"/>
  <c r="M1095" i="1"/>
  <c r="H1095" i="1"/>
  <c r="M1094" i="1"/>
  <c r="H1094" i="1"/>
  <c r="M1093" i="1"/>
  <c r="H1093" i="1"/>
  <c r="M1092" i="1"/>
  <c r="H1092" i="1"/>
  <c r="M1091" i="1"/>
  <c r="H1091" i="1"/>
  <c r="M1090" i="1"/>
  <c r="H1090" i="1"/>
  <c r="M1089" i="1"/>
  <c r="H1089" i="1"/>
  <c r="M1088" i="1"/>
  <c r="H1088" i="1"/>
  <c r="M1087" i="1"/>
  <c r="H1087" i="1"/>
  <c r="M1086" i="1"/>
  <c r="H1086" i="1"/>
  <c r="M1085" i="1"/>
  <c r="H1085" i="1"/>
  <c r="M1084" i="1"/>
  <c r="H1084" i="1"/>
  <c r="M1083" i="1"/>
  <c r="H1083" i="1"/>
  <c r="M1082" i="1"/>
  <c r="H1082" i="1"/>
  <c r="M1081" i="1"/>
  <c r="H1081" i="1"/>
  <c r="M1080" i="1"/>
  <c r="H1080" i="1"/>
  <c r="M1079" i="1"/>
  <c r="H1079" i="1"/>
  <c r="M1078" i="1"/>
  <c r="H1078" i="1"/>
  <c r="M1077" i="1"/>
  <c r="H1077" i="1"/>
  <c r="M1076" i="1"/>
  <c r="H1076" i="1"/>
  <c r="M1075" i="1"/>
  <c r="H1075" i="1"/>
  <c r="M1074" i="1"/>
  <c r="H1074" i="1"/>
  <c r="M1073" i="1"/>
  <c r="H1073" i="1"/>
  <c r="M1072" i="1"/>
  <c r="H1072" i="1"/>
  <c r="M1071" i="1"/>
  <c r="H1071" i="1"/>
  <c r="M1070" i="1"/>
  <c r="H1070" i="1"/>
  <c r="M1069" i="1"/>
  <c r="H1069" i="1"/>
  <c r="M1068" i="1"/>
  <c r="H1068" i="1"/>
  <c r="M1067" i="1"/>
  <c r="H1067" i="1"/>
  <c r="M1066" i="1"/>
  <c r="H1066" i="1"/>
  <c r="M1065" i="1"/>
  <c r="H1065" i="1"/>
  <c r="M1064" i="1"/>
  <c r="H1064" i="1"/>
  <c r="M1063" i="1"/>
  <c r="H1063" i="1"/>
  <c r="M1062" i="1"/>
  <c r="H1062" i="1"/>
  <c r="M1061" i="1"/>
  <c r="H1061" i="1"/>
  <c r="M1060" i="1"/>
  <c r="H1060" i="1"/>
  <c r="M1059" i="1"/>
  <c r="H1059" i="1"/>
  <c r="M1058" i="1"/>
  <c r="H1058" i="1"/>
  <c r="M1057" i="1"/>
  <c r="H1057" i="1"/>
  <c r="M1056" i="1"/>
  <c r="H1056" i="1"/>
  <c r="M1055" i="1"/>
  <c r="H1055" i="1"/>
  <c r="M1054" i="1"/>
  <c r="H1054" i="1"/>
  <c r="M1053" i="1"/>
  <c r="H1053" i="1"/>
  <c r="M1052" i="1"/>
  <c r="H1052" i="1"/>
  <c r="M1051" i="1"/>
  <c r="H1051" i="1"/>
  <c r="M1050" i="1"/>
  <c r="H1050" i="1"/>
  <c r="M1049" i="1"/>
  <c r="H1049" i="1"/>
  <c r="M1048" i="1"/>
  <c r="H1048" i="1"/>
  <c r="M1047" i="1"/>
  <c r="H1047" i="1"/>
  <c r="M1046" i="1"/>
  <c r="H1046" i="1"/>
  <c r="M1045" i="1"/>
  <c r="H1045" i="1"/>
  <c r="M1044" i="1"/>
  <c r="H1044" i="1"/>
  <c r="M1043" i="1"/>
  <c r="H1043" i="1"/>
  <c r="M1042" i="1"/>
  <c r="H1042" i="1"/>
  <c r="M1041" i="1"/>
  <c r="H1041" i="1"/>
  <c r="M1040" i="1"/>
  <c r="H1040" i="1"/>
  <c r="M1039" i="1"/>
  <c r="H1039" i="1"/>
  <c r="M1038" i="1"/>
  <c r="H1038" i="1"/>
  <c r="M1037" i="1"/>
  <c r="H1037" i="1"/>
  <c r="M1036" i="1"/>
  <c r="H1036" i="1"/>
  <c r="M1035" i="1"/>
  <c r="H1035" i="1"/>
  <c r="M1034" i="1"/>
  <c r="H1034" i="1"/>
  <c r="M1033" i="1"/>
  <c r="H1033" i="1"/>
  <c r="M1032" i="1"/>
  <c r="H1032" i="1"/>
  <c r="M1031" i="1"/>
  <c r="H1031" i="1"/>
  <c r="M1030" i="1"/>
  <c r="H1030" i="1"/>
  <c r="M1029" i="1"/>
  <c r="H1029" i="1"/>
  <c r="M1028" i="1"/>
  <c r="H1028" i="1"/>
  <c r="M1027" i="1"/>
  <c r="H1027" i="1"/>
  <c r="M1026" i="1"/>
  <c r="H1026" i="1"/>
  <c r="M1025" i="1"/>
  <c r="H1025" i="1"/>
  <c r="M1024" i="1"/>
  <c r="H1024" i="1"/>
  <c r="M1023" i="1"/>
  <c r="H1023" i="1"/>
  <c r="M1022" i="1"/>
  <c r="H1022" i="1"/>
  <c r="M1021" i="1"/>
  <c r="H1021" i="1"/>
  <c r="M1020" i="1"/>
  <c r="H1020" i="1"/>
  <c r="M1019" i="1"/>
  <c r="H1019" i="1"/>
  <c r="M1018" i="1"/>
  <c r="H1018" i="1"/>
  <c r="M1017" i="1"/>
  <c r="H1017" i="1"/>
  <c r="M1016" i="1"/>
  <c r="H1016" i="1"/>
  <c r="M1015" i="1"/>
  <c r="H1015" i="1"/>
  <c r="M1014" i="1"/>
  <c r="H1014" i="1"/>
  <c r="M1013" i="1"/>
  <c r="H1013" i="1"/>
  <c r="M1012" i="1"/>
  <c r="H1012" i="1"/>
  <c r="M1011" i="1"/>
  <c r="H1011" i="1"/>
  <c r="M1010" i="1"/>
  <c r="H1010" i="1"/>
  <c r="M1009" i="1"/>
  <c r="H1009" i="1"/>
  <c r="M1008" i="1"/>
  <c r="H1008" i="1"/>
  <c r="M1007" i="1"/>
  <c r="H1007" i="1"/>
  <c r="M1006" i="1"/>
  <c r="H1006" i="1"/>
  <c r="M1005" i="1"/>
  <c r="H1005" i="1"/>
  <c r="M1004" i="1"/>
  <c r="H1004" i="1"/>
  <c r="M1003" i="1"/>
  <c r="H1003" i="1"/>
  <c r="M1002" i="1"/>
  <c r="H1002" i="1"/>
  <c r="M1001" i="1"/>
  <c r="H1001" i="1"/>
  <c r="M1000" i="1"/>
  <c r="H1000" i="1"/>
  <c r="M999" i="1"/>
  <c r="H999" i="1"/>
  <c r="M998" i="1"/>
  <c r="H998" i="1"/>
  <c r="M997" i="1"/>
  <c r="H997" i="1"/>
  <c r="M996" i="1"/>
  <c r="H996" i="1"/>
  <c r="M995" i="1"/>
  <c r="H995" i="1"/>
  <c r="M994" i="1"/>
  <c r="H994" i="1"/>
  <c r="M993" i="1"/>
  <c r="H993" i="1"/>
  <c r="M992" i="1"/>
  <c r="H992" i="1"/>
  <c r="M991" i="1"/>
  <c r="H991" i="1"/>
  <c r="M990" i="1"/>
  <c r="H990" i="1"/>
  <c r="M989" i="1"/>
  <c r="H989" i="1"/>
  <c r="M988" i="1"/>
  <c r="H988" i="1"/>
  <c r="M987" i="1"/>
  <c r="H987" i="1"/>
  <c r="M986" i="1"/>
  <c r="H986" i="1"/>
  <c r="M985" i="1"/>
  <c r="H985" i="1"/>
  <c r="M984" i="1"/>
  <c r="H984" i="1"/>
  <c r="M983" i="1"/>
  <c r="H983" i="1"/>
  <c r="M982" i="1"/>
  <c r="H982" i="1"/>
  <c r="M981" i="1"/>
  <c r="H981" i="1"/>
  <c r="M980" i="1"/>
  <c r="H980" i="1"/>
  <c r="M979" i="1"/>
  <c r="H979" i="1"/>
  <c r="M978" i="1"/>
  <c r="H978" i="1"/>
  <c r="M977" i="1"/>
  <c r="H977" i="1"/>
  <c r="M976" i="1"/>
  <c r="H976" i="1"/>
  <c r="M975" i="1"/>
  <c r="H975" i="1"/>
  <c r="M974" i="1"/>
  <c r="H974" i="1"/>
  <c r="M973" i="1"/>
  <c r="H973" i="1"/>
  <c r="M972" i="1"/>
  <c r="H972" i="1"/>
  <c r="M971" i="1"/>
  <c r="H971" i="1"/>
  <c r="M970" i="1"/>
  <c r="H970" i="1"/>
  <c r="M969" i="1"/>
  <c r="H969" i="1"/>
  <c r="M968" i="1"/>
  <c r="H968" i="1"/>
  <c r="M967" i="1"/>
  <c r="H967" i="1"/>
  <c r="M966" i="1"/>
  <c r="H966" i="1"/>
  <c r="M965" i="1"/>
  <c r="H965" i="1"/>
  <c r="M964" i="1"/>
  <c r="H964" i="1"/>
  <c r="M963" i="1"/>
  <c r="H963" i="1"/>
  <c r="M962" i="1"/>
  <c r="H962" i="1"/>
  <c r="M961" i="1"/>
  <c r="H961" i="1"/>
  <c r="M960" i="1"/>
  <c r="H960" i="1"/>
  <c r="M959" i="1"/>
  <c r="H959" i="1"/>
  <c r="M958" i="1"/>
  <c r="H958" i="1"/>
  <c r="M957" i="1"/>
  <c r="H957" i="1"/>
  <c r="M956" i="1"/>
  <c r="H956" i="1"/>
  <c r="M955" i="1"/>
  <c r="H955" i="1"/>
  <c r="M954" i="1"/>
  <c r="H954" i="1"/>
  <c r="M953" i="1"/>
  <c r="H953" i="1"/>
  <c r="M952" i="1"/>
  <c r="H952" i="1"/>
  <c r="M951" i="1"/>
  <c r="H951" i="1"/>
  <c r="M950" i="1"/>
  <c r="H950" i="1"/>
  <c r="M949" i="1"/>
  <c r="H949" i="1"/>
  <c r="M948" i="1"/>
  <c r="H948" i="1"/>
  <c r="M947" i="1"/>
  <c r="H947" i="1"/>
  <c r="M946" i="1"/>
  <c r="H946" i="1"/>
  <c r="M945" i="1"/>
  <c r="H945" i="1"/>
  <c r="M944" i="1"/>
  <c r="H944" i="1"/>
  <c r="M943" i="1"/>
  <c r="H943" i="1"/>
  <c r="M942" i="1"/>
  <c r="H942" i="1"/>
  <c r="M941" i="1"/>
  <c r="H941" i="1"/>
  <c r="M940" i="1"/>
  <c r="H940" i="1"/>
  <c r="M939" i="1"/>
  <c r="H939" i="1"/>
  <c r="M938" i="1"/>
  <c r="H938" i="1"/>
  <c r="M937" i="1"/>
  <c r="H937" i="1"/>
  <c r="M936" i="1"/>
  <c r="H936" i="1"/>
  <c r="M935" i="1"/>
  <c r="H935" i="1"/>
  <c r="M934" i="1"/>
  <c r="H934" i="1"/>
  <c r="M933" i="1"/>
  <c r="H933" i="1"/>
  <c r="M932" i="1"/>
  <c r="H932" i="1"/>
  <c r="M931" i="1"/>
  <c r="H931" i="1"/>
  <c r="M930" i="1"/>
  <c r="H930" i="1"/>
  <c r="M929" i="1"/>
  <c r="H929" i="1"/>
  <c r="M928" i="1"/>
  <c r="H928" i="1"/>
  <c r="M927" i="1"/>
  <c r="H927" i="1"/>
  <c r="M926" i="1"/>
  <c r="H926" i="1"/>
  <c r="M925" i="1"/>
  <c r="H925" i="1"/>
  <c r="M924" i="1"/>
  <c r="H924" i="1"/>
  <c r="M923" i="1"/>
  <c r="H923" i="1"/>
  <c r="M922" i="1"/>
  <c r="H922" i="1"/>
  <c r="M921" i="1"/>
  <c r="H921" i="1"/>
  <c r="M920" i="1"/>
  <c r="H920" i="1"/>
  <c r="M919" i="1"/>
  <c r="H919" i="1"/>
  <c r="M918" i="1"/>
  <c r="H918" i="1"/>
  <c r="M917" i="1"/>
  <c r="H917" i="1"/>
  <c r="M916" i="1"/>
  <c r="H916" i="1"/>
  <c r="M915" i="1"/>
  <c r="H915" i="1"/>
  <c r="M914" i="1"/>
  <c r="H914" i="1"/>
  <c r="M913" i="1"/>
  <c r="H913" i="1"/>
  <c r="M912" i="1"/>
  <c r="H912" i="1"/>
  <c r="M911" i="1"/>
  <c r="H911" i="1"/>
  <c r="M910" i="1"/>
  <c r="H910" i="1"/>
  <c r="M909" i="1"/>
  <c r="H909" i="1"/>
  <c r="M908" i="1"/>
  <c r="H908" i="1"/>
  <c r="M907" i="1"/>
  <c r="H907" i="1"/>
  <c r="M906" i="1"/>
  <c r="H906" i="1"/>
  <c r="M905" i="1"/>
  <c r="H905" i="1"/>
  <c r="M904" i="1"/>
  <c r="H904" i="1"/>
  <c r="M903" i="1"/>
  <c r="H903" i="1"/>
  <c r="M902" i="1"/>
  <c r="H902" i="1"/>
  <c r="M901" i="1"/>
  <c r="H901" i="1"/>
  <c r="M900" i="1"/>
  <c r="H900" i="1"/>
  <c r="M899" i="1"/>
  <c r="H899" i="1"/>
  <c r="M898" i="1"/>
  <c r="H898" i="1"/>
  <c r="M897" i="1"/>
  <c r="H897" i="1"/>
  <c r="M896" i="1"/>
  <c r="H896" i="1"/>
  <c r="M895" i="1"/>
  <c r="H895" i="1"/>
  <c r="M894" i="1"/>
  <c r="H894" i="1"/>
  <c r="M893" i="1"/>
  <c r="H893" i="1"/>
  <c r="M892" i="1"/>
  <c r="H892" i="1"/>
  <c r="M891" i="1"/>
  <c r="H891" i="1"/>
  <c r="M890" i="1"/>
  <c r="H890" i="1"/>
  <c r="M889" i="1"/>
  <c r="H889" i="1"/>
  <c r="M888" i="1"/>
  <c r="H888" i="1"/>
  <c r="M887" i="1"/>
  <c r="H887" i="1"/>
  <c r="M886" i="1"/>
  <c r="H886" i="1"/>
  <c r="M885" i="1"/>
  <c r="H885" i="1"/>
  <c r="M884" i="1"/>
  <c r="H884" i="1"/>
  <c r="M883" i="1"/>
  <c r="H883" i="1"/>
  <c r="M882" i="1"/>
  <c r="H882" i="1"/>
  <c r="M881" i="1"/>
  <c r="H881" i="1"/>
  <c r="M880" i="1"/>
  <c r="H880" i="1"/>
  <c r="M879" i="1"/>
  <c r="H879" i="1"/>
  <c r="M878" i="1"/>
  <c r="H878" i="1"/>
  <c r="M877" i="1"/>
  <c r="H877" i="1"/>
  <c r="M876" i="1"/>
  <c r="H876" i="1"/>
  <c r="M875" i="1"/>
  <c r="H875" i="1"/>
  <c r="M874" i="1"/>
  <c r="H874" i="1"/>
  <c r="M873" i="1"/>
  <c r="H873" i="1"/>
  <c r="M872" i="1"/>
  <c r="H872" i="1"/>
  <c r="M871" i="1"/>
  <c r="H871" i="1"/>
  <c r="M870" i="1"/>
  <c r="H870" i="1"/>
  <c r="M869" i="1"/>
  <c r="H869" i="1"/>
  <c r="M868" i="1"/>
  <c r="H868" i="1"/>
  <c r="M867" i="1"/>
  <c r="H867" i="1"/>
  <c r="M866" i="1"/>
  <c r="H866" i="1"/>
  <c r="M865" i="1"/>
  <c r="H865" i="1"/>
  <c r="M864" i="1"/>
  <c r="H864" i="1"/>
  <c r="M863" i="1"/>
  <c r="H863" i="1"/>
  <c r="M862" i="1"/>
  <c r="H862" i="1"/>
  <c r="M861" i="1"/>
  <c r="H861" i="1"/>
  <c r="M860" i="1"/>
  <c r="H860" i="1"/>
  <c r="M859" i="1"/>
  <c r="H859" i="1"/>
  <c r="M858" i="1"/>
  <c r="H858" i="1"/>
  <c r="M857" i="1"/>
  <c r="H857" i="1"/>
  <c r="M856" i="1"/>
  <c r="H856" i="1"/>
  <c r="M855" i="1"/>
  <c r="H855" i="1"/>
  <c r="M854" i="1"/>
  <c r="H854" i="1"/>
  <c r="M853" i="1"/>
  <c r="H853" i="1"/>
  <c r="M852" i="1"/>
  <c r="H852" i="1"/>
  <c r="M851" i="1"/>
  <c r="H851" i="1"/>
  <c r="M850" i="1"/>
  <c r="H850" i="1"/>
  <c r="M849" i="1"/>
  <c r="H849" i="1"/>
  <c r="M848" i="1"/>
  <c r="H848" i="1"/>
  <c r="M847" i="1"/>
  <c r="H847" i="1"/>
  <c r="M846" i="1"/>
  <c r="H846" i="1"/>
  <c r="M845" i="1"/>
  <c r="H845" i="1"/>
  <c r="M844" i="1"/>
  <c r="H844" i="1"/>
  <c r="M843" i="1"/>
  <c r="H843" i="1"/>
  <c r="M842" i="1"/>
  <c r="H842" i="1"/>
  <c r="M841" i="1"/>
  <c r="H841" i="1"/>
  <c r="M840" i="1"/>
  <c r="H840" i="1"/>
  <c r="M839" i="1"/>
  <c r="H839" i="1"/>
  <c r="M838" i="1"/>
  <c r="H838" i="1"/>
  <c r="M837" i="1"/>
  <c r="H837" i="1"/>
  <c r="M836" i="1"/>
  <c r="H836" i="1"/>
  <c r="M835" i="1"/>
  <c r="H835" i="1"/>
  <c r="M834" i="1"/>
  <c r="H834" i="1"/>
  <c r="M833" i="1"/>
  <c r="H833" i="1"/>
  <c r="M832" i="1"/>
  <c r="H832" i="1"/>
  <c r="M831" i="1"/>
  <c r="H831" i="1"/>
  <c r="M830" i="1"/>
  <c r="H830" i="1"/>
  <c r="M829" i="1"/>
  <c r="H829" i="1"/>
  <c r="M828" i="1"/>
  <c r="H828" i="1"/>
  <c r="M827" i="1"/>
  <c r="H827" i="1"/>
  <c r="M826" i="1"/>
  <c r="H826" i="1"/>
  <c r="M825" i="1"/>
  <c r="H825" i="1"/>
  <c r="M824" i="1"/>
  <c r="H824" i="1"/>
  <c r="M823" i="1"/>
  <c r="H823" i="1"/>
  <c r="M822" i="1"/>
  <c r="H822" i="1"/>
  <c r="M821" i="1"/>
  <c r="H821" i="1"/>
  <c r="M820" i="1"/>
  <c r="H820" i="1"/>
  <c r="M819" i="1"/>
  <c r="H819" i="1"/>
  <c r="M818" i="1"/>
  <c r="H818" i="1"/>
  <c r="M817" i="1"/>
  <c r="H817" i="1"/>
  <c r="M816" i="1"/>
  <c r="H816" i="1"/>
  <c r="M815" i="1"/>
  <c r="H815" i="1"/>
  <c r="M814" i="1"/>
  <c r="H814" i="1"/>
  <c r="M813" i="1"/>
  <c r="H813" i="1"/>
  <c r="M812" i="1"/>
  <c r="H812" i="1"/>
  <c r="M811" i="1"/>
  <c r="H811" i="1"/>
  <c r="M810" i="1"/>
  <c r="H810" i="1"/>
  <c r="M809" i="1"/>
  <c r="H809" i="1"/>
  <c r="M808" i="1"/>
  <c r="H808" i="1"/>
  <c r="M807" i="1"/>
  <c r="H807" i="1"/>
  <c r="M806" i="1"/>
  <c r="H806" i="1"/>
  <c r="M805" i="1"/>
  <c r="H805" i="1"/>
  <c r="M804" i="1"/>
  <c r="H804" i="1"/>
  <c r="M803" i="1"/>
  <c r="H803" i="1"/>
  <c r="M802" i="1"/>
  <c r="H802" i="1"/>
  <c r="M801" i="1"/>
  <c r="H801" i="1"/>
  <c r="M800" i="1"/>
  <c r="H800" i="1"/>
  <c r="M799" i="1"/>
  <c r="H799" i="1"/>
  <c r="M798" i="1"/>
  <c r="H798" i="1"/>
  <c r="M797" i="1"/>
  <c r="H797" i="1"/>
  <c r="M796" i="1"/>
  <c r="H796" i="1"/>
  <c r="M795" i="1"/>
  <c r="H795" i="1"/>
  <c r="M794" i="1"/>
  <c r="H794" i="1"/>
  <c r="M793" i="1"/>
  <c r="H793" i="1"/>
  <c r="M792" i="1"/>
  <c r="H792" i="1"/>
  <c r="M791" i="1"/>
  <c r="H791" i="1"/>
  <c r="M790" i="1"/>
  <c r="H790" i="1"/>
  <c r="M789" i="1"/>
  <c r="H789" i="1"/>
  <c r="M788" i="1"/>
  <c r="H788" i="1"/>
  <c r="M787" i="1"/>
  <c r="H787" i="1"/>
  <c r="M786" i="1"/>
  <c r="H786" i="1"/>
  <c r="M785" i="1"/>
  <c r="H785" i="1"/>
  <c r="M784" i="1"/>
  <c r="H784" i="1"/>
  <c r="M783" i="1"/>
  <c r="H783" i="1"/>
  <c r="M782" i="1"/>
  <c r="H782" i="1"/>
  <c r="M781" i="1"/>
  <c r="H781" i="1"/>
  <c r="M780" i="1"/>
  <c r="H780" i="1"/>
  <c r="M779" i="1"/>
  <c r="H779" i="1"/>
  <c r="M778" i="1"/>
  <c r="H778" i="1"/>
  <c r="M777" i="1"/>
  <c r="H777" i="1"/>
  <c r="M776" i="1"/>
  <c r="H776" i="1"/>
  <c r="M775" i="1"/>
  <c r="H775" i="1"/>
  <c r="M774" i="1"/>
  <c r="H774" i="1"/>
  <c r="M773" i="1"/>
  <c r="H773" i="1"/>
  <c r="M772" i="1"/>
  <c r="H772" i="1"/>
  <c r="M771" i="1"/>
  <c r="H771" i="1"/>
  <c r="M770" i="1"/>
  <c r="H770" i="1"/>
  <c r="M769" i="1"/>
  <c r="H769" i="1"/>
  <c r="M768" i="1"/>
  <c r="H768" i="1"/>
  <c r="M767" i="1"/>
  <c r="H767" i="1"/>
  <c r="M766" i="1"/>
  <c r="H766" i="1"/>
  <c r="M765" i="1"/>
  <c r="H765" i="1"/>
  <c r="M764" i="1"/>
  <c r="H764" i="1"/>
  <c r="M763" i="1"/>
  <c r="H763" i="1"/>
  <c r="M762" i="1"/>
  <c r="H762" i="1"/>
  <c r="M761" i="1"/>
  <c r="H761" i="1"/>
  <c r="M760" i="1"/>
  <c r="H760" i="1"/>
  <c r="M759" i="1"/>
  <c r="H759" i="1"/>
  <c r="M758" i="1"/>
  <c r="H758" i="1"/>
  <c r="M757" i="1"/>
  <c r="H757" i="1"/>
  <c r="M756" i="1"/>
  <c r="H756" i="1"/>
  <c r="M755" i="1"/>
  <c r="H755" i="1"/>
  <c r="M754" i="1"/>
  <c r="H754" i="1"/>
  <c r="M753" i="1"/>
  <c r="H753" i="1"/>
  <c r="M752" i="1"/>
  <c r="H752" i="1"/>
  <c r="M751" i="1"/>
  <c r="H751" i="1"/>
  <c r="M750" i="1"/>
  <c r="H750" i="1"/>
  <c r="M749" i="1"/>
  <c r="H749" i="1"/>
  <c r="M748" i="1"/>
  <c r="H748" i="1"/>
  <c r="M747" i="1"/>
  <c r="H747" i="1"/>
  <c r="M746" i="1"/>
  <c r="H746" i="1"/>
  <c r="M745" i="1"/>
  <c r="H745" i="1"/>
  <c r="M744" i="1"/>
  <c r="H744" i="1"/>
  <c r="M743" i="1"/>
  <c r="H743" i="1"/>
  <c r="M742" i="1"/>
  <c r="H742" i="1"/>
  <c r="M741" i="1"/>
  <c r="H741" i="1"/>
  <c r="M740" i="1"/>
  <c r="H740" i="1"/>
  <c r="M739" i="1"/>
  <c r="H739" i="1"/>
  <c r="M738" i="1"/>
  <c r="H738" i="1"/>
  <c r="M737" i="1"/>
  <c r="H737" i="1"/>
  <c r="M736" i="1"/>
  <c r="H736" i="1"/>
  <c r="M735" i="1"/>
  <c r="H735" i="1"/>
  <c r="M734" i="1"/>
  <c r="H734" i="1"/>
  <c r="M733" i="1"/>
  <c r="H733" i="1"/>
  <c r="M732" i="1"/>
  <c r="H732" i="1"/>
  <c r="M731" i="1"/>
  <c r="H731" i="1"/>
  <c r="M730" i="1"/>
  <c r="H730" i="1"/>
  <c r="M729" i="1"/>
  <c r="H729" i="1"/>
  <c r="M728" i="1"/>
  <c r="H728" i="1"/>
  <c r="M727" i="1"/>
  <c r="H727" i="1"/>
  <c r="M726" i="1"/>
  <c r="H726" i="1"/>
  <c r="M725" i="1"/>
  <c r="H725" i="1"/>
  <c r="M724" i="1"/>
  <c r="H724" i="1"/>
  <c r="M723" i="1"/>
  <c r="H723" i="1"/>
  <c r="M722" i="1"/>
  <c r="H722" i="1"/>
  <c r="M721" i="1"/>
  <c r="H721" i="1"/>
  <c r="M720" i="1"/>
  <c r="H720" i="1"/>
  <c r="M719" i="1"/>
  <c r="H719" i="1"/>
  <c r="M718" i="1"/>
  <c r="H718" i="1"/>
  <c r="M717" i="1"/>
  <c r="H717" i="1"/>
  <c r="M716" i="1"/>
  <c r="H716" i="1"/>
  <c r="M715" i="1"/>
  <c r="H715" i="1"/>
  <c r="M714" i="1"/>
  <c r="H714" i="1"/>
  <c r="M713" i="1"/>
  <c r="H713" i="1"/>
  <c r="M712" i="1"/>
  <c r="H712" i="1"/>
  <c r="M711" i="1"/>
  <c r="H711" i="1"/>
  <c r="M710" i="1"/>
  <c r="H710" i="1"/>
  <c r="M709" i="1"/>
  <c r="H709" i="1"/>
  <c r="M708" i="1"/>
  <c r="H708" i="1"/>
  <c r="M707" i="1"/>
  <c r="H707" i="1"/>
  <c r="M706" i="1"/>
  <c r="H706" i="1"/>
  <c r="M705" i="1"/>
  <c r="H705" i="1"/>
  <c r="M704" i="1"/>
  <c r="H704" i="1"/>
  <c r="M703" i="1"/>
  <c r="H703" i="1"/>
  <c r="M702" i="1"/>
  <c r="H702" i="1"/>
  <c r="M701" i="1"/>
  <c r="H701" i="1"/>
  <c r="M700" i="1"/>
  <c r="H700" i="1"/>
  <c r="M699" i="1"/>
  <c r="H699" i="1"/>
  <c r="M698" i="1"/>
  <c r="H698" i="1"/>
  <c r="M697" i="1"/>
  <c r="H697" i="1"/>
  <c r="M696" i="1"/>
  <c r="H696" i="1"/>
  <c r="M695" i="1"/>
  <c r="H695" i="1"/>
  <c r="M694" i="1"/>
  <c r="H694" i="1"/>
  <c r="M693" i="1"/>
  <c r="H693" i="1"/>
  <c r="M692" i="1"/>
  <c r="H692" i="1"/>
  <c r="M691" i="1"/>
  <c r="H691" i="1"/>
  <c r="M690" i="1"/>
  <c r="H690" i="1"/>
  <c r="M689" i="1"/>
  <c r="H689" i="1"/>
  <c r="M688" i="1"/>
  <c r="H688" i="1"/>
  <c r="M687" i="1"/>
  <c r="H687" i="1"/>
  <c r="M686" i="1"/>
  <c r="H686" i="1"/>
  <c r="M685" i="1"/>
  <c r="H685" i="1"/>
  <c r="M684" i="1"/>
  <c r="H684" i="1"/>
  <c r="M683" i="1"/>
  <c r="H683" i="1"/>
  <c r="M682" i="1"/>
  <c r="H682" i="1"/>
  <c r="M681" i="1"/>
  <c r="H681" i="1"/>
  <c r="M680" i="1"/>
  <c r="H680" i="1"/>
  <c r="M679" i="1"/>
  <c r="H679" i="1"/>
  <c r="M678" i="1"/>
  <c r="H678" i="1"/>
  <c r="M677" i="1"/>
  <c r="H677" i="1"/>
  <c r="M676" i="1"/>
  <c r="H676" i="1"/>
  <c r="M675" i="1"/>
  <c r="H675" i="1"/>
  <c r="M674" i="1"/>
  <c r="H674" i="1"/>
  <c r="M673" i="1"/>
  <c r="H673" i="1"/>
  <c r="M672" i="1"/>
  <c r="H672" i="1"/>
  <c r="M671" i="1"/>
  <c r="H671" i="1"/>
  <c r="M670" i="1"/>
  <c r="H670" i="1"/>
  <c r="M669" i="1"/>
  <c r="H669" i="1"/>
  <c r="M668" i="1"/>
  <c r="H668" i="1"/>
  <c r="M667" i="1"/>
  <c r="H667" i="1"/>
  <c r="M666" i="1"/>
  <c r="H666" i="1"/>
  <c r="M665" i="1"/>
  <c r="H665" i="1"/>
  <c r="M664" i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M596" i="1"/>
  <c r="H596" i="1"/>
  <c r="M595" i="1"/>
  <c r="H595" i="1"/>
  <c r="M594" i="1"/>
  <c r="H594" i="1"/>
  <c r="M593" i="1"/>
  <c r="H593" i="1"/>
  <c r="M592" i="1"/>
  <c r="H592" i="1"/>
  <c r="M591" i="1"/>
  <c r="H591" i="1"/>
  <c r="M590" i="1"/>
  <c r="H590" i="1"/>
  <c r="M589" i="1"/>
  <c r="H589" i="1"/>
  <c r="M588" i="1"/>
  <c r="H588" i="1"/>
  <c r="M587" i="1"/>
  <c r="H587" i="1"/>
  <c r="M586" i="1"/>
  <c r="H586" i="1"/>
  <c r="M585" i="1"/>
  <c r="H585" i="1"/>
  <c r="M584" i="1"/>
  <c r="H584" i="1"/>
  <c r="M583" i="1"/>
  <c r="H583" i="1"/>
  <c r="M582" i="1"/>
  <c r="H582" i="1"/>
  <c r="M581" i="1"/>
  <c r="H581" i="1"/>
  <c r="M580" i="1"/>
  <c r="H580" i="1"/>
  <c r="M579" i="1"/>
  <c r="H579" i="1"/>
  <c r="M578" i="1"/>
  <c r="H578" i="1"/>
  <c r="M577" i="1"/>
  <c r="H577" i="1"/>
  <c r="M576" i="1"/>
  <c r="H576" i="1"/>
  <c r="M575" i="1"/>
  <c r="H575" i="1"/>
  <c r="M574" i="1"/>
  <c r="H574" i="1"/>
  <c r="M573" i="1"/>
  <c r="H573" i="1"/>
  <c r="M572" i="1"/>
  <c r="H572" i="1"/>
  <c r="M571" i="1"/>
  <c r="H571" i="1"/>
  <c r="M570" i="1"/>
  <c r="H570" i="1"/>
  <c r="M569" i="1"/>
  <c r="H569" i="1"/>
  <c r="M568" i="1"/>
  <c r="H568" i="1"/>
  <c r="M567" i="1"/>
  <c r="H567" i="1"/>
  <c r="M566" i="1"/>
  <c r="H566" i="1"/>
  <c r="M565" i="1"/>
  <c r="H565" i="1"/>
  <c r="M564" i="1"/>
  <c r="H564" i="1"/>
  <c r="M563" i="1"/>
  <c r="H563" i="1"/>
  <c r="M562" i="1"/>
  <c r="H562" i="1"/>
  <c r="M561" i="1"/>
  <c r="H561" i="1"/>
  <c r="M560" i="1"/>
  <c r="H560" i="1"/>
  <c r="M559" i="1"/>
  <c r="H559" i="1"/>
  <c r="M558" i="1"/>
  <c r="H558" i="1"/>
  <c r="M557" i="1"/>
  <c r="H557" i="1"/>
  <c r="M556" i="1"/>
  <c r="H556" i="1"/>
  <c r="M555" i="1"/>
  <c r="H555" i="1"/>
  <c r="M554" i="1"/>
  <c r="H554" i="1"/>
  <c r="M553" i="1"/>
  <c r="H553" i="1"/>
  <c r="M552" i="1"/>
  <c r="H552" i="1"/>
  <c r="M551" i="1"/>
  <c r="H551" i="1"/>
  <c r="M550" i="1"/>
  <c r="H550" i="1"/>
  <c r="M549" i="1"/>
  <c r="H549" i="1"/>
  <c r="M548" i="1"/>
  <c r="H548" i="1"/>
  <c r="M547" i="1"/>
  <c r="H547" i="1"/>
  <c r="M546" i="1"/>
  <c r="H546" i="1"/>
  <c r="M545" i="1"/>
  <c r="H545" i="1"/>
  <c r="M544" i="1"/>
  <c r="H544" i="1"/>
  <c r="M543" i="1"/>
  <c r="H543" i="1"/>
  <c r="M542" i="1"/>
  <c r="H542" i="1"/>
  <c r="M541" i="1"/>
  <c r="H541" i="1"/>
  <c r="M540" i="1"/>
  <c r="H540" i="1"/>
  <c r="M539" i="1"/>
  <c r="H539" i="1"/>
  <c r="M538" i="1"/>
  <c r="H538" i="1"/>
  <c r="M537" i="1"/>
  <c r="H537" i="1"/>
  <c r="M536" i="1"/>
  <c r="H536" i="1"/>
  <c r="M535" i="1"/>
  <c r="H535" i="1"/>
  <c r="M534" i="1"/>
  <c r="H534" i="1"/>
  <c r="M533" i="1"/>
  <c r="H533" i="1"/>
  <c r="M532" i="1"/>
  <c r="H532" i="1"/>
  <c r="M531" i="1"/>
  <c r="H531" i="1"/>
  <c r="M530" i="1"/>
  <c r="H530" i="1"/>
  <c r="M529" i="1"/>
  <c r="H529" i="1"/>
  <c r="M528" i="1"/>
  <c r="H528" i="1"/>
  <c r="M527" i="1"/>
  <c r="H527" i="1"/>
  <c r="M526" i="1"/>
  <c r="H526" i="1"/>
  <c r="M525" i="1"/>
  <c r="H525" i="1"/>
  <c r="M524" i="1"/>
  <c r="H524" i="1"/>
  <c r="M523" i="1"/>
  <c r="H523" i="1"/>
  <c r="M522" i="1"/>
  <c r="H522" i="1"/>
  <c r="M521" i="1"/>
  <c r="H521" i="1"/>
  <c r="M520" i="1"/>
  <c r="H520" i="1"/>
  <c r="M519" i="1"/>
  <c r="H519" i="1"/>
  <c r="M518" i="1"/>
  <c r="H518" i="1"/>
  <c r="M517" i="1"/>
  <c r="H517" i="1"/>
  <c r="M516" i="1"/>
  <c r="H516" i="1"/>
  <c r="M515" i="1"/>
  <c r="H515" i="1"/>
  <c r="M514" i="1"/>
  <c r="H514" i="1"/>
  <c r="M513" i="1"/>
  <c r="H513" i="1"/>
  <c r="M512" i="1"/>
  <c r="H512" i="1"/>
  <c r="M511" i="1"/>
  <c r="H511" i="1"/>
  <c r="M510" i="1"/>
  <c r="H510" i="1"/>
  <c r="M509" i="1"/>
  <c r="H509" i="1"/>
  <c r="M508" i="1"/>
  <c r="H508" i="1"/>
  <c r="M507" i="1"/>
  <c r="H507" i="1"/>
  <c r="M506" i="1"/>
  <c r="H506" i="1"/>
  <c r="M505" i="1"/>
  <c r="H505" i="1"/>
  <c r="M504" i="1"/>
  <c r="H504" i="1"/>
  <c r="M503" i="1"/>
  <c r="H503" i="1"/>
  <c r="M502" i="1"/>
  <c r="H502" i="1"/>
  <c r="M501" i="1"/>
  <c r="H501" i="1"/>
  <c r="M500" i="1"/>
  <c r="H500" i="1"/>
  <c r="M499" i="1"/>
  <c r="H499" i="1"/>
  <c r="M498" i="1"/>
  <c r="H498" i="1"/>
  <c r="M497" i="1"/>
  <c r="H497" i="1"/>
  <c r="M496" i="1"/>
  <c r="H496" i="1"/>
  <c r="M495" i="1"/>
  <c r="H495" i="1"/>
  <c r="M494" i="1"/>
  <c r="H494" i="1"/>
  <c r="M493" i="1"/>
  <c r="H493" i="1"/>
  <c r="M492" i="1"/>
  <c r="H492" i="1"/>
  <c r="M491" i="1"/>
  <c r="H491" i="1"/>
  <c r="M490" i="1"/>
  <c r="H490" i="1"/>
  <c r="M489" i="1"/>
  <c r="H489" i="1"/>
  <c r="M488" i="1"/>
  <c r="H488" i="1"/>
  <c r="M487" i="1"/>
  <c r="H487" i="1"/>
  <c r="M486" i="1"/>
  <c r="H486" i="1"/>
  <c r="M485" i="1"/>
  <c r="H485" i="1"/>
  <c r="M484" i="1"/>
  <c r="H484" i="1"/>
  <c r="M483" i="1"/>
  <c r="H483" i="1"/>
  <c r="M482" i="1"/>
  <c r="H482" i="1"/>
  <c r="M481" i="1"/>
  <c r="H481" i="1"/>
  <c r="M480" i="1"/>
  <c r="H480" i="1"/>
  <c r="M479" i="1"/>
  <c r="H479" i="1"/>
  <c r="M478" i="1"/>
  <c r="H478" i="1"/>
  <c r="M477" i="1"/>
  <c r="H477" i="1"/>
  <c r="M476" i="1"/>
  <c r="H476" i="1"/>
  <c r="M475" i="1"/>
  <c r="H475" i="1"/>
  <c r="M474" i="1"/>
  <c r="H474" i="1"/>
  <c r="M473" i="1"/>
  <c r="H473" i="1"/>
  <c r="M472" i="1"/>
  <c r="H472" i="1"/>
  <c r="M471" i="1"/>
  <c r="H471" i="1"/>
  <c r="M470" i="1"/>
  <c r="H470" i="1"/>
  <c r="M469" i="1"/>
  <c r="H469" i="1"/>
  <c r="M468" i="1"/>
  <c r="H468" i="1"/>
  <c r="M467" i="1"/>
  <c r="H467" i="1"/>
  <c r="M466" i="1"/>
  <c r="H466" i="1"/>
  <c r="M465" i="1"/>
  <c r="H465" i="1"/>
  <c r="M464" i="1"/>
  <c r="H464" i="1"/>
  <c r="M463" i="1"/>
  <c r="H463" i="1"/>
  <c r="M462" i="1"/>
  <c r="H462" i="1"/>
  <c r="M461" i="1"/>
  <c r="H461" i="1"/>
  <c r="M460" i="1"/>
  <c r="H460" i="1"/>
  <c r="M459" i="1"/>
  <c r="H459" i="1"/>
  <c r="M458" i="1"/>
  <c r="H458" i="1"/>
  <c r="M457" i="1"/>
  <c r="H457" i="1"/>
  <c r="M456" i="1"/>
  <c r="H456" i="1"/>
  <c r="M455" i="1"/>
  <c r="H455" i="1"/>
  <c r="M454" i="1"/>
  <c r="H454" i="1"/>
  <c r="M453" i="1"/>
  <c r="H453" i="1"/>
  <c r="M452" i="1"/>
  <c r="H452" i="1"/>
  <c r="M451" i="1"/>
  <c r="H451" i="1"/>
  <c r="M450" i="1"/>
  <c r="H450" i="1"/>
  <c r="M449" i="1"/>
  <c r="H449" i="1"/>
  <c r="M448" i="1"/>
  <c r="H448" i="1"/>
  <c r="M447" i="1"/>
  <c r="H447" i="1"/>
  <c r="M446" i="1"/>
  <c r="H446" i="1"/>
  <c r="M445" i="1"/>
  <c r="H445" i="1"/>
  <c r="M444" i="1"/>
  <c r="H444" i="1"/>
  <c r="M443" i="1"/>
  <c r="H443" i="1"/>
  <c r="M442" i="1"/>
  <c r="H442" i="1"/>
  <c r="M441" i="1"/>
  <c r="H441" i="1"/>
  <c r="M440" i="1"/>
  <c r="H440" i="1"/>
  <c r="M439" i="1"/>
  <c r="H439" i="1"/>
  <c r="M438" i="1"/>
  <c r="H438" i="1"/>
  <c r="M437" i="1"/>
  <c r="H437" i="1"/>
  <c r="M436" i="1"/>
  <c r="H436" i="1"/>
  <c r="M435" i="1"/>
  <c r="H435" i="1"/>
  <c r="M434" i="1"/>
  <c r="H434" i="1"/>
  <c r="M433" i="1"/>
  <c r="H433" i="1"/>
  <c r="M432" i="1"/>
  <c r="H432" i="1"/>
  <c r="M431" i="1"/>
  <c r="H431" i="1"/>
  <c r="M430" i="1"/>
  <c r="H430" i="1"/>
  <c r="M429" i="1"/>
  <c r="H429" i="1"/>
  <c r="M428" i="1"/>
  <c r="H428" i="1"/>
  <c r="M427" i="1"/>
  <c r="H427" i="1"/>
  <c r="M426" i="1"/>
  <c r="H426" i="1"/>
  <c r="M425" i="1"/>
  <c r="H425" i="1"/>
  <c r="M424" i="1"/>
  <c r="H424" i="1"/>
  <c r="M423" i="1"/>
  <c r="H423" i="1"/>
  <c r="M422" i="1"/>
  <c r="H422" i="1"/>
  <c r="M421" i="1"/>
  <c r="H421" i="1"/>
  <c r="M420" i="1"/>
  <c r="H420" i="1"/>
  <c r="M419" i="1"/>
  <c r="H419" i="1"/>
  <c r="M418" i="1"/>
  <c r="H418" i="1"/>
  <c r="M417" i="1"/>
  <c r="H417" i="1"/>
  <c r="M416" i="1"/>
  <c r="H416" i="1"/>
  <c r="M415" i="1"/>
  <c r="H415" i="1"/>
  <c r="M414" i="1"/>
  <c r="H414" i="1"/>
  <c r="M413" i="1"/>
  <c r="H413" i="1"/>
  <c r="M412" i="1"/>
  <c r="H412" i="1"/>
  <c r="M411" i="1"/>
  <c r="H411" i="1"/>
  <c r="M410" i="1"/>
  <c r="H410" i="1"/>
  <c r="M409" i="1"/>
  <c r="H409" i="1"/>
  <c r="M408" i="1"/>
  <c r="H408" i="1"/>
  <c r="M407" i="1"/>
  <c r="H407" i="1"/>
  <c r="M406" i="1"/>
  <c r="H406" i="1"/>
  <c r="M405" i="1"/>
  <c r="H405" i="1"/>
  <c r="M404" i="1"/>
  <c r="H404" i="1"/>
  <c r="M403" i="1"/>
  <c r="H403" i="1"/>
  <c r="M402" i="1"/>
  <c r="H402" i="1"/>
  <c r="M401" i="1"/>
  <c r="H401" i="1"/>
  <c r="M400" i="1"/>
  <c r="H400" i="1"/>
  <c r="M399" i="1"/>
  <c r="H399" i="1"/>
  <c r="M398" i="1"/>
  <c r="H398" i="1"/>
  <c r="M397" i="1"/>
  <c r="H397" i="1"/>
  <c r="M396" i="1"/>
  <c r="H396" i="1"/>
  <c r="M395" i="1"/>
  <c r="H395" i="1"/>
  <c r="M394" i="1"/>
  <c r="H394" i="1"/>
  <c r="M393" i="1"/>
  <c r="H393" i="1"/>
  <c r="M392" i="1"/>
  <c r="H392" i="1"/>
  <c r="M391" i="1"/>
  <c r="H391" i="1"/>
  <c r="M390" i="1"/>
  <c r="H390" i="1"/>
  <c r="M389" i="1"/>
  <c r="H389" i="1"/>
  <c r="M388" i="1"/>
  <c r="H388" i="1"/>
  <c r="M387" i="1"/>
  <c r="H387" i="1"/>
  <c r="M386" i="1"/>
  <c r="H386" i="1"/>
  <c r="M385" i="1"/>
  <c r="H385" i="1"/>
  <c r="M384" i="1"/>
  <c r="H384" i="1"/>
  <c r="M383" i="1"/>
  <c r="H383" i="1"/>
  <c r="M382" i="1"/>
  <c r="H382" i="1"/>
  <c r="M381" i="1"/>
  <c r="H381" i="1"/>
  <c r="M380" i="1"/>
  <c r="H380" i="1"/>
  <c r="M379" i="1"/>
  <c r="H379" i="1"/>
  <c r="M378" i="1"/>
  <c r="H378" i="1"/>
  <c r="M377" i="1"/>
  <c r="H377" i="1"/>
  <c r="M376" i="1"/>
  <c r="H376" i="1"/>
  <c r="M375" i="1"/>
  <c r="H375" i="1"/>
  <c r="M374" i="1"/>
  <c r="H374" i="1"/>
  <c r="M373" i="1"/>
  <c r="H373" i="1"/>
  <c r="M372" i="1"/>
  <c r="H372" i="1"/>
  <c r="M371" i="1"/>
  <c r="H371" i="1"/>
  <c r="M370" i="1"/>
  <c r="H370" i="1"/>
  <c r="M369" i="1"/>
  <c r="H369" i="1"/>
  <c r="M368" i="1"/>
  <c r="H368" i="1"/>
  <c r="M367" i="1"/>
  <c r="H367" i="1"/>
  <c r="M366" i="1"/>
  <c r="H366" i="1"/>
  <c r="M365" i="1"/>
  <c r="H365" i="1"/>
  <c r="M364" i="1"/>
  <c r="H364" i="1"/>
  <c r="M363" i="1"/>
  <c r="H363" i="1"/>
  <c r="M362" i="1"/>
  <c r="H362" i="1"/>
  <c r="M361" i="1"/>
  <c r="H361" i="1"/>
  <c r="M360" i="1"/>
  <c r="H360" i="1"/>
  <c r="M359" i="1"/>
  <c r="H359" i="1"/>
  <c r="M358" i="1"/>
  <c r="H358" i="1"/>
  <c r="M357" i="1"/>
  <c r="H357" i="1"/>
  <c r="M356" i="1"/>
  <c r="H356" i="1"/>
  <c r="M355" i="1"/>
  <c r="H355" i="1"/>
  <c r="M354" i="1"/>
  <c r="H354" i="1"/>
  <c r="M353" i="1"/>
  <c r="H353" i="1"/>
  <c r="M352" i="1"/>
  <c r="H352" i="1"/>
  <c r="M351" i="1"/>
  <c r="H351" i="1"/>
  <c r="M350" i="1"/>
  <c r="H350" i="1"/>
  <c r="M349" i="1"/>
  <c r="H349" i="1"/>
  <c r="M348" i="1"/>
  <c r="H348" i="1"/>
  <c r="M347" i="1"/>
  <c r="H347" i="1"/>
  <c r="M346" i="1"/>
  <c r="H346" i="1"/>
  <c r="M345" i="1"/>
  <c r="H345" i="1"/>
  <c r="M344" i="1"/>
  <c r="H344" i="1"/>
  <c r="M343" i="1"/>
  <c r="H343" i="1"/>
  <c r="M342" i="1"/>
  <c r="H342" i="1"/>
  <c r="M341" i="1"/>
  <c r="H341" i="1"/>
  <c r="M340" i="1"/>
  <c r="H340" i="1"/>
  <c r="M339" i="1"/>
  <c r="H339" i="1"/>
  <c r="M338" i="1"/>
  <c r="H338" i="1"/>
  <c r="M337" i="1"/>
  <c r="H337" i="1"/>
  <c r="M336" i="1"/>
  <c r="H336" i="1"/>
  <c r="M335" i="1"/>
  <c r="H335" i="1"/>
  <c r="M334" i="1"/>
  <c r="H334" i="1"/>
  <c r="M333" i="1"/>
  <c r="H333" i="1"/>
  <c r="M332" i="1"/>
  <c r="H332" i="1"/>
  <c r="M331" i="1"/>
  <c r="H331" i="1"/>
  <c r="M330" i="1"/>
  <c r="H330" i="1"/>
  <c r="M329" i="1"/>
  <c r="H329" i="1"/>
  <c r="M328" i="1"/>
  <c r="H328" i="1"/>
  <c r="M327" i="1"/>
  <c r="H327" i="1"/>
  <c r="M326" i="1"/>
  <c r="H326" i="1"/>
  <c r="M325" i="1"/>
  <c r="H325" i="1"/>
  <c r="M324" i="1"/>
  <c r="H324" i="1"/>
  <c r="M323" i="1"/>
  <c r="H323" i="1"/>
  <c r="M322" i="1"/>
  <c r="H322" i="1"/>
  <c r="M321" i="1"/>
  <c r="H321" i="1"/>
  <c r="M320" i="1"/>
  <c r="H320" i="1"/>
  <c r="M319" i="1"/>
  <c r="H319" i="1"/>
  <c r="M318" i="1"/>
  <c r="H318" i="1"/>
  <c r="M317" i="1"/>
  <c r="H317" i="1"/>
  <c r="M316" i="1"/>
  <c r="H316" i="1"/>
  <c r="M315" i="1"/>
  <c r="H315" i="1"/>
  <c r="M314" i="1"/>
  <c r="H314" i="1"/>
  <c r="M313" i="1"/>
  <c r="H313" i="1"/>
  <c r="M312" i="1"/>
  <c r="H312" i="1"/>
  <c r="M311" i="1"/>
  <c r="H311" i="1"/>
  <c r="M310" i="1"/>
  <c r="H310" i="1"/>
  <c r="M309" i="1"/>
  <c r="H309" i="1"/>
  <c r="M308" i="1"/>
  <c r="H308" i="1"/>
  <c r="M307" i="1"/>
  <c r="H307" i="1"/>
  <c r="M306" i="1"/>
  <c r="H306" i="1"/>
  <c r="M305" i="1"/>
  <c r="H305" i="1"/>
  <c r="M304" i="1"/>
  <c r="H304" i="1"/>
  <c r="M303" i="1"/>
  <c r="H303" i="1"/>
  <c r="M302" i="1"/>
  <c r="H302" i="1"/>
  <c r="M301" i="1"/>
  <c r="H301" i="1"/>
  <c r="M300" i="1"/>
  <c r="H300" i="1"/>
  <c r="M299" i="1"/>
  <c r="H299" i="1"/>
  <c r="M298" i="1"/>
  <c r="H298" i="1"/>
  <c r="M297" i="1"/>
  <c r="H297" i="1"/>
  <c r="M296" i="1"/>
  <c r="H296" i="1"/>
  <c r="M295" i="1"/>
  <c r="H295" i="1"/>
  <c r="M294" i="1"/>
  <c r="H294" i="1"/>
  <c r="M293" i="1"/>
  <c r="H293" i="1"/>
  <c r="M292" i="1"/>
  <c r="H292" i="1"/>
  <c r="M291" i="1"/>
  <c r="H291" i="1"/>
  <c r="M290" i="1"/>
  <c r="H290" i="1"/>
  <c r="M289" i="1"/>
  <c r="H289" i="1"/>
  <c r="M288" i="1"/>
  <c r="H288" i="1"/>
  <c r="M287" i="1"/>
  <c r="H287" i="1"/>
  <c r="M286" i="1"/>
  <c r="H286" i="1"/>
  <c r="M285" i="1"/>
  <c r="H285" i="1"/>
  <c r="M284" i="1"/>
  <c r="H284" i="1"/>
  <c r="M283" i="1"/>
  <c r="H283" i="1"/>
  <c r="M282" i="1"/>
  <c r="H282" i="1"/>
  <c r="M281" i="1"/>
  <c r="H281" i="1"/>
  <c r="M280" i="1"/>
  <c r="H280" i="1"/>
  <c r="M279" i="1"/>
  <c r="H279" i="1"/>
  <c r="M278" i="1"/>
  <c r="H278" i="1"/>
  <c r="M277" i="1"/>
  <c r="H277" i="1"/>
  <c r="M276" i="1"/>
  <c r="H276" i="1"/>
  <c r="M275" i="1"/>
  <c r="H275" i="1"/>
  <c r="M274" i="1"/>
  <c r="H274" i="1"/>
  <c r="M273" i="1"/>
  <c r="H273" i="1"/>
  <c r="M272" i="1"/>
  <c r="H272" i="1"/>
  <c r="M271" i="1"/>
  <c r="H271" i="1"/>
  <c r="M270" i="1"/>
  <c r="H270" i="1"/>
  <c r="M269" i="1"/>
  <c r="H269" i="1"/>
  <c r="M268" i="1"/>
  <c r="H268" i="1"/>
  <c r="M267" i="1"/>
  <c r="H267" i="1"/>
  <c r="M266" i="1"/>
  <c r="H266" i="1"/>
  <c r="M265" i="1"/>
  <c r="H265" i="1"/>
  <c r="M264" i="1"/>
  <c r="H264" i="1"/>
  <c r="M263" i="1"/>
  <c r="H263" i="1"/>
  <c r="M262" i="1"/>
  <c r="H262" i="1"/>
  <c r="M261" i="1"/>
  <c r="H261" i="1"/>
  <c r="M260" i="1"/>
  <c r="H260" i="1"/>
  <c r="M259" i="1"/>
  <c r="H259" i="1"/>
  <c r="M258" i="1"/>
  <c r="H258" i="1"/>
  <c r="M257" i="1"/>
  <c r="H257" i="1"/>
  <c r="M256" i="1"/>
  <c r="H256" i="1"/>
  <c r="M255" i="1"/>
  <c r="H255" i="1"/>
  <c r="M254" i="1"/>
  <c r="H254" i="1"/>
  <c r="M253" i="1"/>
  <c r="H253" i="1"/>
  <c r="M252" i="1"/>
  <c r="H252" i="1"/>
  <c r="M251" i="1"/>
  <c r="H251" i="1"/>
  <c r="M250" i="1"/>
  <c r="H250" i="1"/>
  <c r="M249" i="1"/>
  <c r="H249" i="1"/>
  <c r="M248" i="1"/>
  <c r="H248" i="1"/>
  <c r="M247" i="1"/>
  <c r="H247" i="1"/>
  <c r="M246" i="1"/>
  <c r="H246" i="1"/>
  <c r="M245" i="1"/>
  <c r="H245" i="1"/>
  <c r="M244" i="1"/>
  <c r="H244" i="1"/>
  <c r="M243" i="1"/>
  <c r="H243" i="1"/>
  <c r="M242" i="1"/>
  <c r="H242" i="1"/>
  <c r="M241" i="1"/>
  <c r="H241" i="1"/>
  <c r="M240" i="1"/>
  <c r="H240" i="1"/>
  <c r="M239" i="1"/>
  <c r="H239" i="1"/>
  <c r="M238" i="1"/>
  <c r="H238" i="1"/>
  <c r="M237" i="1"/>
  <c r="H237" i="1"/>
  <c r="M236" i="1"/>
  <c r="H236" i="1"/>
  <c r="M235" i="1"/>
  <c r="H235" i="1"/>
  <c r="M234" i="1"/>
  <c r="H234" i="1"/>
  <c r="M233" i="1"/>
  <c r="H233" i="1"/>
  <c r="M232" i="1"/>
  <c r="H232" i="1"/>
  <c r="M231" i="1"/>
  <c r="H231" i="1"/>
  <c r="M230" i="1"/>
  <c r="H230" i="1"/>
  <c r="M229" i="1"/>
  <c r="H229" i="1"/>
  <c r="M228" i="1"/>
  <c r="H228" i="1"/>
  <c r="M227" i="1"/>
  <c r="H227" i="1"/>
  <c r="M226" i="1"/>
  <c r="H226" i="1"/>
  <c r="M225" i="1"/>
  <c r="H225" i="1"/>
  <c r="M224" i="1"/>
  <c r="H224" i="1"/>
  <c r="M223" i="1"/>
  <c r="H223" i="1"/>
  <c r="M222" i="1"/>
  <c r="H222" i="1"/>
  <c r="M221" i="1"/>
  <c r="H221" i="1"/>
  <c r="M220" i="1"/>
  <c r="H220" i="1"/>
  <c r="M219" i="1"/>
  <c r="H219" i="1"/>
  <c r="M218" i="1"/>
  <c r="H218" i="1"/>
  <c r="M217" i="1"/>
  <c r="H217" i="1"/>
  <c r="M216" i="1"/>
  <c r="H216" i="1"/>
  <c r="M215" i="1"/>
  <c r="H215" i="1"/>
  <c r="M214" i="1"/>
  <c r="H214" i="1"/>
  <c r="M213" i="1"/>
  <c r="H213" i="1"/>
  <c r="M212" i="1"/>
  <c r="H212" i="1"/>
  <c r="M211" i="1"/>
  <c r="H211" i="1"/>
  <c r="M210" i="1"/>
  <c r="H210" i="1"/>
  <c r="M209" i="1"/>
  <c r="H209" i="1"/>
  <c r="M208" i="1"/>
  <c r="H208" i="1"/>
  <c r="M207" i="1"/>
  <c r="H207" i="1"/>
  <c r="M206" i="1"/>
  <c r="H206" i="1"/>
  <c r="M205" i="1"/>
  <c r="H205" i="1"/>
  <c r="M204" i="1"/>
  <c r="H204" i="1"/>
  <c r="M203" i="1"/>
  <c r="H203" i="1"/>
  <c r="M202" i="1"/>
  <c r="H202" i="1"/>
  <c r="M201" i="1"/>
  <c r="H201" i="1"/>
  <c r="M200" i="1"/>
  <c r="H200" i="1"/>
  <c r="M199" i="1"/>
  <c r="H199" i="1"/>
  <c r="M198" i="1"/>
  <c r="H198" i="1"/>
  <c r="M197" i="1"/>
  <c r="H197" i="1"/>
  <c r="M196" i="1"/>
  <c r="H196" i="1"/>
  <c r="M195" i="1"/>
  <c r="H195" i="1"/>
  <c r="M194" i="1"/>
  <c r="H194" i="1"/>
  <c r="M193" i="1"/>
  <c r="H193" i="1"/>
  <c r="M192" i="1"/>
  <c r="H192" i="1"/>
  <c r="M191" i="1"/>
  <c r="H191" i="1"/>
  <c r="M190" i="1"/>
  <c r="H190" i="1"/>
  <c r="M189" i="1"/>
  <c r="H189" i="1"/>
  <c r="M188" i="1"/>
  <c r="H188" i="1"/>
  <c r="M187" i="1"/>
  <c r="H187" i="1"/>
  <c r="M186" i="1"/>
  <c r="H186" i="1"/>
  <c r="M185" i="1"/>
  <c r="H185" i="1"/>
  <c r="M184" i="1"/>
  <c r="H184" i="1"/>
  <c r="M183" i="1"/>
  <c r="H183" i="1"/>
  <c r="M182" i="1"/>
  <c r="H182" i="1"/>
  <c r="M181" i="1"/>
  <c r="H181" i="1"/>
  <c r="M180" i="1"/>
  <c r="H180" i="1"/>
  <c r="M179" i="1"/>
  <c r="H179" i="1"/>
  <c r="M178" i="1"/>
  <c r="H178" i="1"/>
  <c r="M177" i="1"/>
  <c r="H177" i="1"/>
  <c r="M176" i="1"/>
  <c r="H176" i="1"/>
  <c r="M175" i="1"/>
  <c r="H175" i="1"/>
  <c r="M174" i="1"/>
  <c r="H174" i="1"/>
  <c r="M173" i="1"/>
  <c r="H173" i="1"/>
  <c r="M172" i="1"/>
  <c r="H172" i="1"/>
  <c r="M171" i="1"/>
  <c r="H171" i="1"/>
  <c r="M170" i="1"/>
  <c r="H170" i="1"/>
  <c r="M169" i="1"/>
  <c r="H169" i="1"/>
  <c r="M168" i="1"/>
  <c r="H168" i="1"/>
  <c r="M167" i="1"/>
  <c r="H167" i="1"/>
  <c r="M166" i="1"/>
  <c r="H166" i="1"/>
  <c r="M165" i="1"/>
  <c r="H165" i="1"/>
  <c r="M164" i="1"/>
  <c r="H164" i="1"/>
  <c r="M163" i="1"/>
  <c r="H163" i="1"/>
  <c r="M162" i="1"/>
  <c r="H162" i="1"/>
  <c r="M161" i="1"/>
  <c r="H161" i="1"/>
  <c r="M160" i="1"/>
  <c r="H160" i="1"/>
  <c r="M159" i="1"/>
  <c r="H159" i="1"/>
  <c r="M158" i="1"/>
  <c r="H158" i="1"/>
  <c r="M157" i="1"/>
  <c r="H157" i="1"/>
  <c r="M156" i="1"/>
  <c r="H156" i="1"/>
  <c r="M155" i="1"/>
  <c r="H155" i="1"/>
  <c r="M154" i="1"/>
  <c r="H154" i="1"/>
  <c r="M153" i="1"/>
  <c r="H153" i="1"/>
  <c r="M152" i="1"/>
  <c r="H152" i="1"/>
  <c r="M151" i="1"/>
  <c r="H151" i="1"/>
  <c r="M150" i="1"/>
  <c r="H150" i="1"/>
  <c r="M149" i="1"/>
  <c r="H149" i="1"/>
  <c r="M148" i="1"/>
  <c r="H148" i="1"/>
  <c r="M147" i="1"/>
  <c r="H147" i="1"/>
  <c r="M146" i="1"/>
  <c r="H146" i="1"/>
  <c r="M145" i="1"/>
  <c r="H145" i="1"/>
  <c r="M144" i="1"/>
  <c r="H144" i="1"/>
  <c r="M143" i="1"/>
  <c r="H143" i="1"/>
  <c r="M142" i="1"/>
  <c r="H142" i="1"/>
  <c r="M141" i="1"/>
  <c r="H141" i="1"/>
  <c r="M140" i="1"/>
  <c r="H140" i="1"/>
  <c r="M139" i="1"/>
  <c r="H139" i="1"/>
  <c r="M138" i="1"/>
  <c r="H138" i="1"/>
  <c r="M137" i="1"/>
  <c r="H137" i="1"/>
  <c r="M136" i="1"/>
  <c r="H136" i="1"/>
  <c r="M135" i="1"/>
  <c r="H135" i="1"/>
  <c r="M134" i="1"/>
  <c r="H134" i="1"/>
  <c r="M133" i="1"/>
  <c r="H133" i="1"/>
  <c r="M132" i="1"/>
  <c r="H132" i="1"/>
  <c r="M131" i="1"/>
  <c r="H131" i="1"/>
  <c r="M130" i="1"/>
  <c r="H130" i="1"/>
  <c r="M129" i="1"/>
  <c r="H129" i="1"/>
  <c r="M128" i="1"/>
  <c r="H128" i="1"/>
  <c r="M127" i="1"/>
  <c r="H127" i="1"/>
  <c r="M126" i="1"/>
  <c r="H126" i="1"/>
  <c r="M125" i="1"/>
  <c r="H125" i="1"/>
  <c r="M124" i="1"/>
  <c r="H124" i="1"/>
  <c r="M123" i="1"/>
  <c r="H123" i="1"/>
  <c r="M122" i="1"/>
  <c r="H122" i="1"/>
  <c r="M121" i="1"/>
  <c r="H121" i="1"/>
  <c r="M120" i="1"/>
  <c r="H120" i="1"/>
  <c r="M119" i="1"/>
  <c r="H119" i="1"/>
  <c r="M118" i="1"/>
  <c r="H118" i="1"/>
  <c r="M117" i="1"/>
  <c r="H117" i="1"/>
  <c r="M116" i="1"/>
  <c r="H116" i="1"/>
  <c r="M115" i="1"/>
  <c r="H115" i="1"/>
  <c r="M114" i="1"/>
  <c r="H114" i="1"/>
  <c r="M113" i="1"/>
  <c r="H113" i="1"/>
  <c r="M112" i="1"/>
  <c r="H112" i="1"/>
  <c r="M111" i="1"/>
  <c r="H111" i="1"/>
  <c r="M110" i="1"/>
  <c r="H110" i="1"/>
  <c r="M109" i="1"/>
  <c r="H109" i="1"/>
  <c r="M108" i="1"/>
  <c r="H108" i="1"/>
  <c r="M107" i="1"/>
  <c r="H107" i="1"/>
  <c r="M106" i="1"/>
  <c r="H106" i="1"/>
  <c r="M105" i="1"/>
  <c r="H105" i="1"/>
  <c r="M104" i="1"/>
  <c r="H104" i="1"/>
  <c r="M103" i="1"/>
  <c r="H103" i="1"/>
  <c r="M102" i="1"/>
  <c r="H102" i="1"/>
  <c r="M101" i="1"/>
  <c r="H101" i="1"/>
  <c r="M100" i="1"/>
  <c r="H100" i="1"/>
  <c r="M99" i="1"/>
  <c r="H99" i="1"/>
  <c r="M98" i="1"/>
  <c r="H98" i="1"/>
  <c r="M97" i="1"/>
  <c r="H97" i="1"/>
  <c r="M96" i="1"/>
  <c r="H96" i="1"/>
  <c r="M95" i="1"/>
  <c r="H95" i="1"/>
  <c r="M94" i="1"/>
  <c r="H94" i="1"/>
  <c r="M93" i="1"/>
  <c r="H93" i="1"/>
  <c r="M92" i="1"/>
  <c r="H92" i="1"/>
  <c r="M91" i="1"/>
  <c r="H91" i="1"/>
  <c r="M90" i="1"/>
  <c r="H90" i="1"/>
  <c r="M89" i="1"/>
  <c r="H89" i="1"/>
  <c r="M88" i="1"/>
  <c r="H88" i="1"/>
  <c r="M87" i="1"/>
  <c r="H87" i="1"/>
  <c r="M86" i="1"/>
  <c r="H86" i="1"/>
  <c r="M85" i="1"/>
  <c r="H85" i="1"/>
  <c r="M84" i="1"/>
  <c r="H84" i="1"/>
  <c r="M83" i="1"/>
  <c r="H83" i="1"/>
  <c r="M82" i="1"/>
  <c r="H82" i="1"/>
  <c r="M81" i="1"/>
  <c r="H81" i="1"/>
  <c r="M80" i="1"/>
  <c r="H80" i="1"/>
  <c r="M79" i="1"/>
  <c r="H79" i="1"/>
  <c r="M78" i="1"/>
  <c r="H78" i="1"/>
  <c r="M77" i="1"/>
  <c r="H77" i="1"/>
  <c r="M76" i="1"/>
  <c r="H76" i="1"/>
  <c r="M75" i="1"/>
  <c r="H75" i="1"/>
  <c r="M74" i="1"/>
  <c r="H74" i="1"/>
  <c r="M73" i="1"/>
  <c r="H73" i="1"/>
  <c r="M72" i="1"/>
  <c r="H72" i="1"/>
  <c r="M71" i="1"/>
  <c r="H71" i="1"/>
  <c r="M70" i="1"/>
  <c r="H70" i="1"/>
  <c r="M69" i="1"/>
  <c r="H69" i="1"/>
  <c r="M68" i="1"/>
  <c r="H68" i="1"/>
  <c r="M67" i="1"/>
  <c r="H67" i="1"/>
  <c r="M66" i="1"/>
  <c r="H66" i="1"/>
  <c r="M65" i="1"/>
  <c r="H65" i="1"/>
  <c r="M64" i="1"/>
  <c r="H64" i="1"/>
  <c r="M63" i="1"/>
  <c r="H63" i="1"/>
  <c r="M62" i="1"/>
  <c r="H62" i="1"/>
  <c r="M61" i="1"/>
  <c r="H61" i="1"/>
  <c r="M60" i="1"/>
  <c r="H60" i="1"/>
  <c r="M59" i="1"/>
  <c r="H59" i="1"/>
  <c r="M58" i="1"/>
  <c r="H58" i="1"/>
  <c r="M57" i="1"/>
  <c r="H57" i="1"/>
  <c r="M56" i="1"/>
  <c r="H56" i="1"/>
  <c r="M55" i="1"/>
  <c r="H55" i="1"/>
  <c r="M54" i="1"/>
  <c r="H54" i="1"/>
  <c r="M53" i="1"/>
  <c r="H53" i="1"/>
  <c r="M52" i="1"/>
  <c r="H52" i="1"/>
  <c r="M51" i="1"/>
  <c r="H51" i="1"/>
  <c r="M50" i="1"/>
  <c r="H50" i="1"/>
  <c r="M49" i="1"/>
  <c r="H49" i="1"/>
  <c r="M48" i="1"/>
  <c r="H48" i="1"/>
  <c r="M47" i="1"/>
  <c r="H47" i="1"/>
  <c r="M46" i="1"/>
  <c r="H46" i="1"/>
  <c r="M45" i="1"/>
  <c r="H45" i="1"/>
  <c r="M44" i="1"/>
  <c r="H44" i="1"/>
  <c r="M43" i="1"/>
  <c r="H43" i="1"/>
  <c r="M42" i="1"/>
  <c r="H42" i="1"/>
  <c r="M41" i="1"/>
  <c r="H41" i="1"/>
  <c r="M40" i="1"/>
  <c r="H40" i="1"/>
  <c r="M39" i="1"/>
  <c r="H39" i="1"/>
  <c r="M38" i="1"/>
  <c r="H38" i="1"/>
  <c r="M37" i="1"/>
  <c r="H37" i="1"/>
  <c r="M36" i="1"/>
  <c r="H36" i="1"/>
  <c r="M35" i="1"/>
  <c r="H35" i="1"/>
  <c r="M34" i="1"/>
  <c r="H34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M5" i="1"/>
  <c r="H5" i="1"/>
  <c r="M4" i="1"/>
  <c r="H4" i="1"/>
</calcChain>
</file>

<file path=xl/sharedStrings.xml><?xml version="1.0" encoding="utf-8"?>
<sst xmlns="http://schemas.openxmlformats.org/spreadsheetml/2006/main" count="21630" uniqueCount="1571">
  <si>
    <t>Domande Pagate Decreto 780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</si>
  <si>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</si>
  <si>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</si>
  <si>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</si>
  <si>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</si>
  <si>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</si>
  <si>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</si>
  <si>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</si>
  <si>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</si>
  <si>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</si>
  <si>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</si>
  <si>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</si>
  <si>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</si>
  <si>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</si>
  <si>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</si>
  <si>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</si>
  <si>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</si>
  <si>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</si>
  <si>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</si>
  <si>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</si>
  <si>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</si>
  <si>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</si>
  <si>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Tipologia di Strumento Finanziario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</si>
  <si>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</si>
  <si>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</si>
  <si>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</si>
  <si>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</si>
  <si>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</si>
  <si>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</si>
  <si>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a Superficie</t>
  </si>
  <si>
    <t>MARCHE</t>
  </si>
  <si>
    <t>SERV. DEC. AGRICOLTURA E ALIMENTAZIONE - PESARO</t>
  </si>
  <si>
    <t>CAA Coldiretti srl</t>
  </si>
  <si>
    <t>CAA Coldiretti - PESARO E URBINO - 010</t>
  </si>
  <si>
    <t>NO</t>
  </si>
  <si>
    <t>PSR 2014/2022</t>
  </si>
  <si>
    <t>11 11.2 4b</t>
  </si>
  <si>
    <t>CECCHINI VERONICA</t>
  </si>
  <si>
    <t>Anticipo</t>
  </si>
  <si>
    <t>Erogata</t>
  </si>
  <si>
    <t>Co-Finanziato</t>
  </si>
  <si>
    <t>Ordinario</t>
  </si>
  <si>
    <t>GRASSI LILIANA</t>
  </si>
  <si>
    <t>Fondi EURI</t>
  </si>
  <si>
    <t>CAA Coldiretti - PESARO E URBINO - 001</t>
  </si>
  <si>
    <t>CONTI ANGELA</t>
  </si>
  <si>
    <t>CAA LiberiAgricoltori srl già CAA AGCI srl</t>
  </si>
  <si>
    <t>CAA LiberiAgricoltori - PESARO E URBINO - 002</t>
  </si>
  <si>
    <t>SOCIETA' AGRICOLA LAZZARINI S.S.</t>
  </si>
  <si>
    <t>SERV. DEC. AGRICOLTURA E ALIM. - MACERATA</t>
  </si>
  <si>
    <t>CAA degli Agricoltori Srl</t>
  </si>
  <si>
    <t>CAA Degli Agricoltori - ANCONA - 102</t>
  </si>
  <si>
    <t>MACCARI LUCA</t>
  </si>
  <si>
    <t>CAA CIA srl</t>
  </si>
  <si>
    <t>CAA CIA - PESARO E URBINO - 008</t>
  </si>
  <si>
    <t>MORRI PIETRO</t>
  </si>
  <si>
    <t>CAA Coldiretti - PESARO E URBINO - 007</t>
  </si>
  <si>
    <t>PACI PAOLO</t>
  </si>
  <si>
    <t>SERV. DEC. AGRICOLTURA E ALIMENTAZIONE - ANCONA</t>
  </si>
  <si>
    <t>CAA CIA - ANCONA - 005</t>
  </si>
  <si>
    <t>LUMINATI ALESSANDRA</t>
  </si>
  <si>
    <t>AGEA.ASR.2025.1089039</t>
  </si>
  <si>
    <t>Saldo</t>
  </si>
  <si>
    <t>SERV. DEC. AGRICOLTURA E ALIM. -ASCOLI PICENO</t>
  </si>
  <si>
    <t>CAA AGRISERVIZI s.r.l.</t>
  </si>
  <si>
    <t>CAA AGRISERVIZI - LATINA - 001</t>
  </si>
  <si>
    <t>10 10.1 4a</t>
  </si>
  <si>
    <t>CAMAIANI PIETRO PAOLO</t>
  </si>
  <si>
    <t>Istruttoria Automatica</t>
  </si>
  <si>
    <t>CAA Coldiretti - MACERATA - 009</t>
  </si>
  <si>
    <t>CRUCIANI ALBERTO</t>
  </si>
  <si>
    <t>CAA Coldiretti - MACERATA - 007</t>
  </si>
  <si>
    <t>PUCCIARELLI ROSANNA</t>
  </si>
  <si>
    <t>PRIORI GIANCARLO</t>
  </si>
  <si>
    <t>CAA-CAF AGRI S.R.L.</t>
  </si>
  <si>
    <t>CAA CAF AGRI - ANCONA - 223</t>
  </si>
  <si>
    <t>MATRICARDI GINO</t>
  </si>
  <si>
    <t>ZENOBI LEONELLO</t>
  </si>
  <si>
    <t>CAA Coldiretti - MACERATA - 017</t>
  </si>
  <si>
    <t>LATTANZI SANDRA</t>
  </si>
  <si>
    <t>CAA CIA - ASCOLI PICENO - 004</t>
  </si>
  <si>
    <t>HAAKSMAN MARK SANDER</t>
  </si>
  <si>
    <t>CAA CIA - PESARO E URBINO - 002</t>
  </si>
  <si>
    <t>TIBONI GIANCARLO</t>
  </si>
  <si>
    <t>CAA CAF AGRI - ANCONA - 225</t>
  </si>
  <si>
    <t>SOCIETA AGRICOLA LA VILLA S.S</t>
  </si>
  <si>
    <t>CAA Coldiretti - MACERATA - 008</t>
  </si>
  <si>
    <t>SALVATORI PAOLO</t>
  </si>
  <si>
    <t>VITALETTI LEONARDO</t>
  </si>
  <si>
    <t>MURA SALVATORE</t>
  </si>
  <si>
    <t>NARDI CARLO</t>
  </si>
  <si>
    <t>CAA Confagricoltura srl</t>
  </si>
  <si>
    <t>CAA Confagricoltura - MACERATA - 001</t>
  </si>
  <si>
    <t>EPIFANI GIACOMO</t>
  </si>
  <si>
    <t>CAA Confagricoltura - ASCOLI PICENO - 001</t>
  </si>
  <si>
    <t>21 MARZO SOCIETA' AGRICOLA SEMPLICE</t>
  </si>
  <si>
    <t>CAA Coldiretti - ANCONA - 002</t>
  </si>
  <si>
    <t>SOCIETA' AGRICOLA "IL PICCHIO BIO" DI TROTTINI SARA E PICCHIO MICHELE</t>
  </si>
  <si>
    <t>CAA Coldiretti - ANCONA - 008</t>
  </si>
  <si>
    <t>BALDINI DIEGO</t>
  </si>
  <si>
    <t>CAA Coldiretti - ANCONA - 003</t>
  </si>
  <si>
    <t>FRATUS RICCARDO</t>
  </si>
  <si>
    <t>CAA Coldiretti - ANCONA - 006</t>
  </si>
  <si>
    <t>FUCILI FRANCO</t>
  </si>
  <si>
    <t>IN PROPRIO</t>
  </si>
  <si>
    <t>LE CORTI DEI FARFENSI SOCIETA' AGRICOLA SRL</t>
  </si>
  <si>
    <t>CAA Confagricoltura - ANCONA - 001</t>
  </si>
  <si>
    <t>LOMBARDI ANTONIETTA</t>
  </si>
  <si>
    <t>CAA LiberiAgricoltori - PESARO E URBINO - 001</t>
  </si>
  <si>
    <t>MAGNANI RENZO</t>
  </si>
  <si>
    <t>MARCHETTI MAURIZIO</t>
  </si>
  <si>
    <t>CAA Confagricoltura - PESARO E URBINO - 001</t>
  </si>
  <si>
    <t>MARCOLINI ANGELO</t>
  </si>
  <si>
    <t>MARIANI FRANCESCO MASSIMO</t>
  </si>
  <si>
    <t>MENTUCCI MARCO</t>
  </si>
  <si>
    <t>CAA Coldiretti - PESARO E URBINO - 008</t>
  </si>
  <si>
    <t>SALTARELLI MAURO</t>
  </si>
  <si>
    <t>SOCIETA' AGRICOLA PIRANO DI MARIO MANCINI S.S.</t>
  </si>
  <si>
    <t>SOCIETA' AGRICOLA CA' VALENTINO S.S.</t>
  </si>
  <si>
    <t>ALESSANDRO ARCHIBUGI E ROMANA A. M. MONTEMARANI S.S. SOCIETA' AGRICOLA</t>
  </si>
  <si>
    <t>BASTARI MIRCO</t>
  </si>
  <si>
    <t>COLLEONORATO SOCIETA' AGRICOLA S.S.</t>
  </si>
  <si>
    <t>ACUTI MARIA CHIARA</t>
  </si>
  <si>
    <t>CAA CIA - ANCONA - 002</t>
  </si>
  <si>
    <t>TIBERI GIANCARLO</t>
  </si>
  <si>
    <t>SOCIETA' AGRICOLA LA FOLLONICA DI FIORENZA LEONARDO E BRECCIAROLI LORE</t>
  </si>
  <si>
    <t>CAA LiberiAgricoltori - MACERATA - 003</t>
  </si>
  <si>
    <t>TASSO LUCIANA</t>
  </si>
  <si>
    <t>RICCIOTTI BIO SOCIETA' AGRICOLA S.S.</t>
  </si>
  <si>
    <t>CAA LiberiAgricoltori - MACERATA - 006</t>
  </si>
  <si>
    <t>SOCIETA' AGRICOLA PACIAROTTI LEONARDO E C. SOCIETA' SEMPLICE</t>
  </si>
  <si>
    <t>CAA LiberiAgricoltori - MACERATA - 001</t>
  </si>
  <si>
    <t>BIANCHI MARCO</t>
  </si>
  <si>
    <t>MOCHI CINZIA</t>
  </si>
  <si>
    <t>SOCIETA' AGRICOLA CAMPANELLI SOCIETA' A RESPONSABILITA' LIMITATA</t>
  </si>
  <si>
    <t>PICCININI FRANCO</t>
  </si>
  <si>
    <t>CAA CIA - MACERATA - 001</t>
  </si>
  <si>
    <t>CERVIGNI GILDO</t>
  </si>
  <si>
    <t>AGRI-BIO COLCERASA DI GABRIELLI GERMANO E C. SOCIETA AGRICOLA SEMPLICE</t>
  </si>
  <si>
    <t>PALMIERI SERGIO</t>
  </si>
  <si>
    <t>CAA LiberiAgricoltori - MACERATA - 002</t>
  </si>
  <si>
    <t>WOLF HEIKE ULRIKE</t>
  </si>
  <si>
    <t>CAA Coldiretti - FERMO - 001</t>
  </si>
  <si>
    <t>CASA FARO SOCIETA' AGRICOLA SEMPLICE</t>
  </si>
  <si>
    <t>BOTTICELLI DOMENICO</t>
  </si>
  <si>
    <t>CAA UNICAA srl</t>
  </si>
  <si>
    <t>CAA UNICAA - ASCOLI PICENO - 004</t>
  </si>
  <si>
    <t>CHERRI D'ACQUAVIVA SOCIETA' AGRICOLA A RESPONSABILITA' LIMITATA SEMPLI</t>
  </si>
  <si>
    <t>LOSAVIO BENEDETTA</t>
  </si>
  <si>
    <t>SI</t>
  </si>
  <si>
    <t>CORI CARLITTO RAUL</t>
  </si>
  <si>
    <t>SOCIETA' AGRICOLA AGOSTINI - SOCIETA' SEMPLICE</t>
  </si>
  <si>
    <t>SALVUCCI SESTO</t>
  </si>
  <si>
    <t>CAA Coldiretti - PESARO E URBINO - 013</t>
  </si>
  <si>
    <t>OMICCIOLI SAMUELE</t>
  </si>
  <si>
    <t>TEODORI DANIELE</t>
  </si>
  <si>
    <t>MANCINI AUGUSTO</t>
  </si>
  <si>
    <t>MANOCCHI DANIELE</t>
  </si>
  <si>
    <t>CAA Coldiretti - ASCOLI PICENO - 040</t>
  </si>
  <si>
    <t>RECCHI ALDO</t>
  </si>
  <si>
    <t>SALVUCCI PIERGIOVANNI</t>
  </si>
  <si>
    <t>RICCI MICHELE</t>
  </si>
  <si>
    <t>GENTILUCCI RICCARDO</t>
  </si>
  <si>
    <t>ROSSI LUCA</t>
  </si>
  <si>
    <t>SCALBI LORENA</t>
  </si>
  <si>
    <t>TRIPPETTA GIOVANNI</t>
  </si>
  <si>
    <t>AGOSTINI FEDERICO</t>
  </si>
  <si>
    <t>FRANCIONI PATRIZIA</t>
  </si>
  <si>
    <t>CIANI OMAR</t>
  </si>
  <si>
    <t>LINFOZZI LOREDANA</t>
  </si>
  <si>
    <t>GAMBINI-ROSSANO LUCA</t>
  </si>
  <si>
    <t>GASPARONI SERENA</t>
  </si>
  <si>
    <t>CAA CIA - PESARO E URBINO - 005</t>
  </si>
  <si>
    <t>CAMPANELLI LORENZO</t>
  </si>
  <si>
    <t>MARTINES FABIO</t>
  </si>
  <si>
    <t>TELSER SABINE</t>
  </si>
  <si>
    <t>GROSSI MARIA-GRAZIELLA</t>
  </si>
  <si>
    <t>GIORGETTI SILVIA</t>
  </si>
  <si>
    <t>CAA Coldiretti - PESARO E URBINO - 006</t>
  </si>
  <si>
    <t>DE BERNARDI ISACCO</t>
  </si>
  <si>
    <t>CAA CIA - ASCOLI PICENO - 001</t>
  </si>
  <si>
    <t>AZIENDA AGRICOLA GRANARO SOC. AGR. SEMPL</t>
  </si>
  <si>
    <t>TENUTA DI FRA' SOCIETA' AGRICOLA S.S.</t>
  </si>
  <si>
    <t>TROVARELLI CHIARA</t>
  </si>
  <si>
    <t>FABBRANI JLENIA</t>
  </si>
  <si>
    <t>CANCELLIERI LUIGI</t>
  </si>
  <si>
    <t>PIERSIMONI RENELLA</t>
  </si>
  <si>
    <t>CONCORDIA DEBORA</t>
  </si>
  <si>
    <t>CAMPIONI DANILO</t>
  </si>
  <si>
    <t>SECCHIAROLI MASSIMO</t>
  </si>
  <si>
    <t>DOTTORI DAVID</t>
  </si>
  <si>
    <t>VALENTINI FILIPPO</t>
  </si>
  <si>
    <t>MAGGIA MANUELA</t>
  </si>
  <si>
    <t>LUCERNA MARA</t>
  </si>
  <si>
    <t>VITALI ANDREA</t>
  </si>
  <si>
    <t>COLLEOLIVI DI MANIERI MARTINA E C. SOCIETA' SEMPLICE AGRICOLA</t>
  </si>
  <si>
    <t>TOZZI TONINO</t>
  </si>
  <si>
    <t>VINCENTI EMANUELA</t>
  </si>
  <si>
    <t>BABINA ANNA</t>
  </si>
  <si>
    <t>BANCI SERAFINO</t>
  </si>
  <si>
    <t>CANCELLIERI ANDREA</t>
  </si>
  <si>
    <t>CHIAPPINI ALESSANDRO</t>
  </si>
  <si>
    <t>CAPPELLETTI MICHELE</t>
  </si>
  <si>
    <t>CAA CIA - ANCONA - 001</t>
  </si>
  <si>
    <t>BELLOMO LAURA</t>
  </si>
  <si>
    <t>CAA LiberiAgricoltori - MACERATA - 005</t>
  </si>
  <si>
    <t>SOCIETA AGRICOLA FERRANTI GIULIA S.S.</t>
  </si>
  <si>
    <t>FULGENZI VALENTINA</t>
  </si>
  <si>
    <t>TONI TIZIANA</t>
  </si>
  <si>
    <t>BILANCIONI LUCIANO</t>
  </si>
  <si>
    <t>CARNAROLI ANDREA</t>
  </si>
  <si>
    <t>PILARTZ OLIVER ALEXANDER GEREON NICOLAS</t>
  </si>
  <si>
    <t>SOCIETA' AGRICOLA COLLE DIVINO S.S.</t>
  </si>
  <si>
    <t>SOCIETA' AGRICOLA ARPINI AMALIA E C. S.S.</t>
  </si>
  <si>
    <t>CAPPONI LUCA</t>
  </si>
  <si>
    <t>SOCIETA' AGRICOLA CECI SOCIETA' SEMPLICE</t>
  </si>
  <si>
    <t>FRANCIA DANIELE</t>
  </si>
  <si>
    <t>CAA CAF AGRI - MACERATA - 224</t>
  </si>
  <si>
    <t>MONTANARI SILVIA</t>
  </si>
  <si>
    <t>CAVERNI MARCO</t>
  </si>
  <si>
    <t>DI COSIMO ANDREA</t>
  </si>
  <si>
    <t>AGRO SRL - SOCIETA' AGRICOLA</t>
  </si>
  <si>
    <t>CARRARA SAVERIO INTI</t>
  </si>
  <si>
    <t>TODOG S.R.L.</t>
  </si>
  <si>
    <t>DUCHI ENRICO</t>
  </si>
  <si>
    <t>ANTEK S.R.L. SOCIETA' AGRICOLA</t>
  </si>
  <si>
    <t>LANCIOTTI FABRIZIO</t>
  </si>
  <si>
    <t>DAMIANI MAGGIE</t>
  </si>
  <si>
    <t>MOLINI E PASTIFICI 1875 SOCIETA' AGRICOLA A R.L.</t>
  </si>
  <si>
    <t>MATTIOLI GIUSEPPE</t>
  </si>
  <si>
    <t>FAILONI ROCCO</t>
  </si>
  <si>
    <t>SOCIETA' AGRICOLA IL CASONE SOC. SEMPLICE</t>
  </si>
  <si>
    <t>SOCIETA' AGRICOLA LE MACCHIE DI SILVETTI MARIA LUISA E RICCARDO SOCIET</t>
  </si>
  <si>
    <t>CAA CIA - PESARO E URBINO - 003</t>
  </si>
  <si>
    <t>NASONI GIANCARLO</t>
  </si>
  <si>
    <t>MANUNTA ANTONIO FRANCESCO</t>
  </si>
  <si>
    <t>PRATELLI ORIETTA</t>
  </si>
  <si>
    <t>LELLI LUCIANO</t>
  </si>
  <si>
    <t>SOCIETA' AGRICOLA SEMPLICE TERRE DI SERRAPETRONA</t>
  </si>
  <si>
    <t>CAA Coldiretti - ANCONA - 004</t>
  </si>
  <si>
    <t>CONTI PIERA</t>
  </si>
  <si>
    <t>MURRI GIORGIO</t>
  </si>
  <si>
    <t>MARINANGELI MARIANNA</t>
  </si>
  <si>
    <t>CAA Coldiretti - ASCOLI PICENO - 015</t>
  </si>
  <si>
    <t>FATTORIA SOCIALE MONTEPACINI SOCIETA' COOPERATIVA SOCIALE</t>
  </si>
  <si>
    <t>BAIA DI BARTOLACCI R.&amp;C. SOC.AGR.</t>
  </si>
  <si>
    <t>ANSUINELLI PIETRO</t>
  </si>
  <si>
    <t>CAA CAF AGRI - ANCONA - 221</t>
  </si>
  <si>
    <t>OPERA SOCIETA' COOPERATIVA SOCIALE ONLUS SOC COOP PA</t>
  </si>
  <si>
    <t>MANCINI BERARDINO</t>
  </si>
  <si>
    <t>SERRA PASQUALE GESUINO</t>
  </si>
  <si>
    <t>LORENZETTI MARTINA</t>
  </si>
  <si>
    <t>CAA CAF AGRI - ASCOLI PICENO - 223</t>
  </si>
  <si>
    <t>DI PAULI LUIGINO</t>
  </si>
  <si>
    <t>LIGI MAURIZIO</t>
  </si>
  <si>
    <t>BOCCHETTI ENRICO E SANDRO SOCIETA' AGRICOLA SOCIETA' SEMPLICE</t>
  </si>
  <si>
    <t>SOCIETA' AGRICOLA ALLEGRETTI S.S.</t>
  </si>
  <si>
    <t>MALTEMPO DENIS</t>
  </si>
  <si>
    <t>FUNARI FRANCO</t>
  </si>
  <si>
    <t>MATTEUCCI VALTER</t>
  </si>
  <si>
    <t>CAA UNICAA - ASCOLI PICENO - 003</t>
  </si>
  <si>
    <t>ANTOLINI ETTORE</t>
  </si>
  <si>
    <t>SABBATINI MANUEL</t>
  </si>
  <si>
    <t>CASAGRANDE-CONTI SANDRO</t>
  </si>
  <si>
    <t>SPALLACCI DAVIDE</t>
  </si>
  <si>
    <t>CAPORALI FLAVIANA</t>
  </si>
  <si>
    <t>BONDI DANIELA</t>
  </si>
  <si>
    <t>SOCIETA' AGRICOLA LA VECCHIA CISTERNA S.S.</t>
  </si>
  <si>
    <t>SOCIETA' AGRICOLA NOBILI NEVIO S.S.</t>
  </si>
  <si>
    <t>CAA Coldiretti - ASCOLI PICENO - 025</t>
  </si>
  <si>
    <t>BERDUCCI ROSSANO</t>
  </si>
  <si>
    <t>PETRACCI MARIA-CRISTINA</t>
  </si>
  <si>
    <t>CAA Coldiretti - MACERATA - 010</t>
  </si>
  <si>
    <t>F.LLI MACCARONI BIO DI MACCARONI TONINO E MARCO S.S - SOCIETA' AGRICOL</t>
  </si>
  <si>
    <t>COCCETTI MADDALENA</t>
  </si>
  <si>
    <t>SOCIETA' AGRICOLA MASTROCOLA S.S.</t>
  </si>
  <si>
    <t>CRAIA FEDERICO</t>
  </si>
  <si>
    <t>CUCCHI BEATRICE</t>
  </si>
  <si>
    <t>FRASCARELLI MARIA PAOLA</t>
  </si>
  <si>
    <t>MASCIOLI ROBERTO</t>
  </si>
  <si>
    <t>DI GIACOMO ANNA MARIA</t>
  </si>
  <si>
    <t>BICCARI GIANPIERO</t>
  </si>
  <si>
    <t>DAMIA PACIARINI VALERIO</t>
  </si>
  <si>
    <t>CAA Coldiretti - MACERATA - 018</t>
  </si>
  <si>
    <t>AGRO-FORESTALE FONTI VALLEBONA SAS DI ANTONELLI LUCA E C</t>
  </si>
  <si>
    <t>PRIMA FONTE SOCIETA AGRICOLA SEMPLICE</t>
  </si>
  <si>
    <t>PICCHIO GENNY</t>
  </si>
  <si>
    <t>PETTINARI VITTORIO</t>
  </si>
  <si>
    <t>BARIGELLI GUIDO</t>
  </si>
  <si>
    <t>RICCI SERENA</t>
  </si>
  <si>
    <t>SANNA GIOVANNI</t>
  </si>
  <si>
    <t>CAMOSCI TONINO</t>
  </si>
  <si>
    <t>MORETTI OTELLO</t>
  </si>
  <si>
    <t>PANDOLFI MORENO</t>
  </si>
  <si>
    <t>PAZZELLI FRANCESCO</t>
  </si>
  <si>
    <t>SEPI-CAMERESI VALERIO</t>
  </si>
  <si>
    <t>BENEDETTI LUCA</t>
  </si>
  <si>
    <t>SOCIETA' AGRICOLA CAPPELLETTI GIULIANO E BERNARDI ROBERTO S.S.</t>
  </si>
  <si>
    <t>BERARDI FABRIZIO</t>
  </si>
  <si>
    <t>BARCHETTA MONIA</t>
  </si>
  <si>
    <t>GUERRA LEONARDO</t>
  </si>
  <si>
    <t>PERONI ADRIANO</t>
  </si>
  <si>
    <t>IL SOGNO SOCIETA' AGRICOLA S.R.L.</t>
  </si>
  <si>
    <t>ALESSANDRINI LOREDANA</t>
  </si>
  <si>
    <t>SOCIETA' AGRICOLA MONDO RURALE S.S.</t>
  </si>
  <si>
    <t>ROSSI GIANLUCA</t>
  </si>
  <si>
    <t>CAA CIA - PESARO E URBINO - 001</t>
  </si>
  <si>
    <t>PIOBBICI ROSANNA</t>
  </si>
  <si>
    <t>CAVALLINI FABRIZIO</t>
  </si>
  <si>
    <t>STECA ROSSANA</t>
  </si>
  <si>
    <t>CANDELLORI EMIDIO</t>
  </si>
  <si>
    <t>DI SILVESTRO ANTONIO</t>
  </si>
  <si>
    <t>D'AGOSTINO PIO</t>
  </si>
  <si>
    <t>GIUDICI FILIPPO</t>
  </si>
  <si>
    <t>SFUGGITI DANILO</t>
  </si>
  <si>
    <t>GATTARI DOMENICO</t>
  </si>
  <si>
    <t>GRILLI ADAMO</t>
  </si>
  <si>
    <t>ROSSINI RAFFAELE</t>
  </si>
  <si>
    <t>SOCIETA' AGRICOLA TOMBACCIA S.S.</t>
  </si>
  <si>
    <t>CORRADETTI MICHELE</t>
  </si>
  <si>
    <t>SOCIETA' AGRICOLA ANTOLINI S.S.</t>
  </si>
  <si>
    <t>BARUFFI IVANA</t>
  </si>
  <si>
    <t>ROVERSI GIOVANNI BATTISTA</t>
  </si>
  <si>
    <t>GIAMPIERI GIUSEPPE</t>
  </si>
  <si>
    <t>D'AVANZO ALESSANDRO</t>
  </si>
  <si>
    <t>COOPERATIVA ALL.E PROD.DI MONTELAGO SOCIETA' COOPERATIVA AGRICOLA</t>
  </si>
  <si>
    <t>BASSO GIULIO</t>
  </si>
  <si>
    <t>PASSATEMPO GIOVANNA</t>
  </si>
  <si>
    <t>CALDARIGI NICOLAS</t>
  </si>
  <si>
    <t>SERRE ALTE S.R.L. SOCIETA' AGRICOLA</t>
  </si>
  <si>
    <t>SOCIETA' AGRICOLA RIPOSATI GIANNINO E ALDER JANETTE ELISABETH SOCIETA'</t>
  </si>
  <si>
    <t>PAOLETTI JACOPO</t>
  </si>
  <si>
    <t>SOCIETA' AGRICOLA GINORETTI S.S.</t>
  </si>
  <si>
    <t>SOCIETA AGRICOLA IL FRUTTETO S.S.</t>
  </si>
  <si>
    <t>VALLESI ANTONIO</t>
  </si>
  <si>
    <t>SOCIETA' AGRICOLA BIOLIVE S.S.</t>
  </si>
  <si>
    <t>SOCIETA' AGRICOLA MONTEGEMMO DI ZEPPA FILIPPO &amp; C. S.A.S.</t>
  </si>
  <si>
    <t>PIEROTTI PATRIZIA</t>
  </si>
  <si>
    <t>GASPARRONI MARTA</t>
  </si>
  <si>
    <t>SOCIETA' SEMPLICE AGRICOLA DI SABATINI LILLIANA &amp; FIGLI</t>
  </si>
  <si>
    <t>BARBAROSSA ARGILIA</t>
  </si>
  <si>
    <t>BIOSANI SOCIETA' AGRICOLA SEMPLICE</t>
  </si>
  <si>
    <t>SOCIETA AGRICOLA RE DOMENICO E C SS</t>
  </si>
  <si>
    <t>CAA Liberi Prof.</t>
  </si>
  <si>
    <t>CAA Liberi Prof. - PESARO E URBINO - 001</t>
  </si>
  <si>
    <t>LA MOIA DEI FRATELLI RUZZICONI SOCIETA' SEMPLICE AGRICOLA</t>
  </si>
  <si>
    <t>SOCIETA' AGRICOLA SCISCIANI SOCIETA' SEMPLICE</t>
  </si>
  <si>
    <t>SOTGIA LUCIANO</t>
  </si>
  <si>
    <t>ALESSANDRI DOMENICO</t>
  </si>
  <si>
    <t>CAVALLINI FIORENZA</t>
  </si>
  <si>
    <t>CINGOLANI GIUSEPPINA</t>
  </si>
  <si>
    <t>SOCIETA'AGRICOLA TENUTA SOL ALTO S.A.S. DI SGARIGLIA NICOLETTA &amp; C.</t>
  </si>
  <si>
    <t>ZAMPONI ERALDO</t>
  </si>
  <si>
    <t>MORLACCO MAURILIO</t>
  </si>
  <si>
    <t>SOCIETA' AGRICOLA MASSIGNANOAGRICOLA S.S.</t>
  </si>
  <si>
    <t>SOCIETA' AGRICOLA VERDENUNA S.S.</t>
  </si>
  <si>
    <t>GODEHUS EVA</t>
  </si>
  <si>
    <t>LEARDINI EUGENIO</t>
  </si>
  <si>
    <t>SOCIETA' AGRICOLA RANCH LA ROTA S.S</t>
  </si>
  <si>
    <t>ARMELLINI NICOLA</t>
  </si>
  <si>
    <t>PIERLUIGI GIACOMO</t>
  </si>
  <si>
    <t>BASILISSI LUCIA</t>
  </si>
  <si>
    <t>PENSERINI PAOLO</t>
  </si>
  <si>
    <t>BARTOLINI MICHELA</t>
  </si>
  <si>
    <t>LUCARINI MILENA</t>
  </si>
  <si>
    <t>NARDINI MARIA GRAZIA</t>
  </si>
  <si>
    <t>AZIENDA AGRICOLA GLI ULIVI SOCIETA' AGRICOLA SEMPLICE DI GEMINIANI ADR</t>
  </si>
  <si>
    <t>GUARDATI CINZIA</t>
  </si>
  <si>
    <t>CAA Coldiretti - MACERATA - 002</t>
  </si>
  <si>
    <t>SOCIETA' AGRICOLA MASSACCESI S.S.</t>
  </si>
  <si>
    <t>BALDONCINI ELENA</t>
  </si>
  <si>
    <t>MICUCCI ERMANNO</t>
  </si>
  <si>
    <t>BRANCHESI CLAUDIA</t>
  </si>
  <si>
    <t>NARDI RITA</t>
  </si>
  <si>
    <t>SOCIETA' AGRICOLA STAFFOLANI DI STAFFOLANI HERICA E C. S.S.</t>
  </si>
  <si>
    <t>GRAZIADEI MATTIA</t>
  </si>
  <si>
    <t>SI.GI. DI PAPA GIULIANA &amp; C. SAS</t>
  </si>
  <si>
    <t>PERGOLESI MAURO</t>
  </si>
  <si>
    <t>SILVI FABIO</t>
  </si>
  <si>
    <t>MISICI ALESSANDRO</t>
  </si>
  <si>
    <t>FRATELLI FILIPPONI E BASTARI SOC.SEMPLICE AGRICOLA</t>
  </si>
  <si>
    <t>CONFORTI NOVELLO</t>
  </si>
  <si>
    <t>NARDI DANIELA</t>
  </si>
  <si>
    <t>CERVIGNI CARLOS RAUL</t>
  </si>
  <si>
    <t>MACCARI MARCO</t>
  </si>
  <si>
    <t>MACCARI ANDREA</t>
  </si>
  <si>
    <t>PENNESI MASSIMILIANO</t>
  </si>
  <si>
    <t>CASTRACANE DEGLI ANTELMINELLI CASTRUCCIO</t>
  </si>
  <si>
    <t>AZIENDA AGRICOLA MIRANO S.S.</t>
  </si>
  <si>
    <t>BATTISTELLI ALDO E F.LLI SOCIETA'AGRICOLA SOCIETA'SEMPLICE</t>
  </si>
  <si>
    <t>CALLI LUCIANA</t>
  </si>
  <si>
    <t>ROSSETTI VINCENZO</t>
  </si>
  <si>
    <t>CAA Coldiretti - ASCOLI PICENO - 030</t>
  </si>
  <si>
    <t>SOCIETA' AGRICOLA CAPECCI G. &amp; IOANA SOCIETA' SEMPLICE</t>
  </si>
  <si>
    <t>CARDELLINI FABRIZIO</t>
  </si>
  <si>
    <t>CAUWENBERG JACOBA THEODORA WILHELMINA</t>
  </si>
  <si>
    <t>CINI-MARACCI GIUSEPPE</t>
  </si>
  <si>
    <t>SOCIETA AGRICOLA FERRANTI VALENTINO E UMBERTO</t>
  </si>
  <si>
    <t>CHERCHI PIERO FRANCO</t>
  </si>
  <si>
    <t>MARCONI GABRIELE</t>
  </si>
  <si>
    <t>SOCIETA' AGRICOLA A&amp;S FABRIZI S.S.</t>
  </si>
  <si>
    <t>CUGURU MARIO</t>
  </si>
  <si>
    <t>AGRICOLA SANTA LUCIA DI PELLICCIONI FRANCESCO &amp; C. S.A.S.</t>
  </si>
  <si>
    <t>STROPPA CAMILLA</t>
  </si>
  <si>
    <t>ANTOLINI PAOLO</t>
  </si>
  <si>
    <t>CORRADETTI MAIKA</t>
  </si>
  <si>
    <t>BILLO FARM S.R.L. - SOCIETA' AGRICOLA</t>
  </si>
  <si>
    <t>EMERA SOCIETA' AGRICOLA SEMPLICE</t>
  </si>
  <si>
    <t>MANCINI MAURO</t>
  </si>
  <si>
    <t>ZAMPONI ENRICO</t>
  </si>
  <si>
    <t>COZZI ALESSANDRO</t>
  </si>
  <si>
    <t>AZIENDA AGRICOLA LA CISTERNA DI VISSANI ENRICO &amp; STEFANO SOCIETA' SEMP</t>
  </si>
  <si>
    <t>FIORAVANTI ANGELAPIA</t>
  </si>
  <si>
    <t>CONTI TONINO</t>
  </si>
  <si>
    <t>CAA CIA - PESARO E URBINO - 006</t>
  </si>
  <si>
    <t>CAVINA PAOLA</t>
  </si>
  <si>
    <t>BONFIGLI LEONARDO</t>
  </si>
  <si>
    <t>SOCIETA' AGRICOLA "COLLINA" DI IPPOLITI LORENZO E VALERIO S.S.</t>
  </si>
  <si>
    <t>SOCIETA' AGRICOLA NONNU LUI' DI GUGLIELMI ANTONIO &amp; ILARIA</t>
  </si>
  <si>
    <t>VINCIGUERRA ANTONIO</t>
  </si>
  <si>
    <t>CAA Coldiretti - VITERBO - 007</t>
  </si>
  <si>
    <t>SOCIETA' AGRICOLA SEMPLICE PALES</t>
  </si>
  <si>
    <t>VINCENZETTI SIMONA</t>
  </si>
  <si>
    <t>BUSBANI PAOLO</t>
  </si>
  <si>
    <t>BERNARDI MANUEL</t>
  </si>
  <si>
    <t>GIRONELLI LUIGI</t>
  </si>
  <si>
    <t>CAA CIA - ANCONA - 004</t>
  </si>
  <si>
    <t>CANZIAN MASSIMO</t>
  </si>
  <si>
    <t>MELANDRI FEDERICO CHABLIS</t>
  </si>
  <si>
    <t>PIERINI MONICA</t>
  </si>
  <si>
    <t>PRELATO SOCIETA' AGRICOLA A RESPONSABILITA' LIMITATA</t>
  </si>
  <si>
    <t>LANDI LUCIANO</t>
  </si>
  <si>
    <t>LATTANZI BORIS</t>
  </si>
  <si>
    <t>BERNACCHI MARIA-CRISTINA</t>
  </si>
  <si>
    <t>MENGONI VALENTINA</t>
  </si>
  <si>
    <t>CAVERNI SOCIETA' AGRICOLA SEMPLICE</t>
  </si>
  <si>
    <t>LOCCI ARTEMIO</t>
  </si>
  <si>
    <t>LOCCI SANDRO</t>
  </si>
  <si>
    <t>BEZZI LUISA</t>
  </si>
  <si>
    <t>BIGOTTI EVA</t>
  </si>
  <si>
    <t>CAA Coldiretti - PESARO E URBINO - 004</t>
  </si>
  <si>
    <t>SOCIETA' AGRICOLA MANENTI ENRICO E STEFANO S.S.</t>
  </si>
  <si>
    <t>SCATTOLINI ELEUTERIO</t>
  </si>
  <si>
    <t>PIRA FEDERICO</t>
  </si>
  <si>
    <t>SOCIETA' AGRICOLA TELLUS SOCIETA' SEMPLICE</t>
  </si>
  <si>
    <t>PAROLE DI ZUCCA SOCIETA' AGRICOLA SS</t>
  </si>
  <si>
    <t>SOCIETA AGRICOLA L OLMO S.S.</t>
  </si>
  <si>
    <t>SOCIETA' AGRICOLA TERRE VERDI S.S.</t>
  </si>
  <si>
    <t>CARDINI ANTONIO</t>
  </si>
  <si>
    <t>AMBROGI ALBA</t>
  </si>
  <si>
    <t>AZ.AGRO-ZOOTECNICA F.LLI SERRA DI G.P.G. SOCIETA' AGRICOLA S.S.</t>
  </si>
  <si>
    <t>CARPINETI SANDRINO</t>
  </si>
  <si>
    <t>CASALE FORTI SOCIETA AGRICOLA SEMPLICE</t>
  </si>
  <si>
    <t>NOVELLO MARCO</t>
  </si>
  <si>
    <t>FATTORIA BRIGNONI SOCIETA' AGRICOLA DI BRIGNONI ALICE &amp; C. S.A.S.</t>
  </si>
  <si>
    <t>CHIESA MARCO GIUSEPPE</t>
  </si>
  <si>
    <t>SOCIETA' AGRICOLA EREDI CECCOLINI TERESA S.S.</t>
  </si>
  <si>
    <t>AZ. AGR. SAN MARTINO SOLFANELLI G. &amp; C SAS SOC. AGR.</t>
  </si>
  <si>
    <t>SERFILIPPI PATRIZIA</t>
  </si>
  <si>
    <t>AVALTRONI MARCO E CLAUDIO SOCIETA'AGRICOLA SEMPLICE</t>
  </si>
  <si>
    <t>JOYTHIMAYANANDA UMAHAR</t>
  </si>
  <si>
    <t>MAGAGNINI DANIELA</t>
  </si>
  <si>
    <t>MAZZIERI IVANO</t>
  </si>
  <si>
    <t>MARINELLI GIGLIOLA</t>
  </si>
  <si>
    <t>PALAZZESI FRANCESCO</t>
  </si>
  <si>
    <t>FEDERICI GIUSEPPE</t>
  </si>
  <si>
    <t>ATTIANESE BARBARA</t>
  </si>
  <si>
    <t>BIAGIOLA GIANCARLO</t>
  </si>
  <si>
    <t>MB SOCIETA' AGRICOLA S.S.</t>
  </si>
  <si>
    <t>HINTEREGGER FRIEDRICH</t>
  </si>
  <si>
    <t>FERRETTI ADRIANA</t>
  </si>
  <si>
    <t>CAA Coldiretti - ANCONA - 005</t>
  </si>
  <si>
    <t>SMARGIASSI SERGIO</t>
  </si>
  <si>
    <t>SALTARELLI GIANCARLO</t>
  </si>
  <si>
    <t>SOCIETA' AGRICOLA CASTELROSINO DI PREMARINI E CANTALUPO SOCIETA' SEMPL</t>
  </si>
  <si>
    <t>MICHETTI NUNZIO SALVATORE</t>
  </si>
  <si>
    <t>RUCCI ANGIOLINA</t>
  </si>
  <si>
    <t>SOC. AGR. GABBI DI MICHETTI ROBERTO &amp; C. S.S.</t>
  </si>
  <si>
    <t>CAA CIA - ASCOLI PICENO - 005</t>
  </si>
  <si>
    <t>REMIA GIACOMO</t>
  </si>
  <si>
    <t>CHIESI FABIO</t>
  </si>
  <si>
    <t>SCAGNOLI PAMELA</t>
  </si>
  <si>
    <t>POLOZZI CRISTIAN</t>
  </si>
  <si>
    <t>CAA CIA - PESARO E URBINO - 007</t>
  </si>
  <si>
    <t>LA VALLETTA SOCIETA AGRICOLA SEMPLICE DI MAISANO PAOLO E C</t>
  </si>
  <si>
    <t>CAA UNICAA - PESARO E URBINO - 003</t>
  </si>
  <si>
    <t>MARTELLI ZENO</t>
  </si>
  <si>
    <t>BERARDI VINCENZO</t>
  </si>
  <si>
    <t>FE.MA. S.A.S. DI GOLINELLI STEFANO &amp; C.</t>
  </si>
  <si>
    <t>SOCIETA' AGRICOLA TERRE DELLA SERRA S.A.S. DI LUCIA LUCCERINI</t>
  </si>
  <si>
    <t>GUGLIELMI MASSIMO</t>
  </si>
  <si>
    <t>SCODERONI MARSILIO</t>
  </si>
  <si>
    <t>SOCIETA' AGRICOLA NOVILARA S.R.L.</t>
  </si>
  <si>
    <t>SOCIETA' AGRICOLA SAN LORENZO S.S.</t>
  </si>
  <si>
    <t>FORMICA LUCA</t>
  </si>
  <si>
    <t>SOCIETA' AGRICOLAS F.LLI PALMAS S.S.</t>
  </si>
  <si>
    <t>OTTAVIANI MIRCO</t>
  </si>
  <si>
    <t>SEVERINI SILVANO</t>
  </si>
  <si>
    <t>VALENTINI ALESSANDRO</t>
  </si>
  <si>
    <t>ROSSINI PIETRO-GIUSEPPE</t>
  </si>
  <si>
    <t>TIBERI SIMONE</t>
  </si>
  <si>
    <t>MORETTI DOMENICA</t>
  </si>
  <si>
    <t>SOCIETA' AGRICOLA ZIA ZOE SS.</t>
  </si>
  <si>
    <t>MISICI FRANCO</t>
  </si>
  <si>
    <t>SOCIETA' AGRICOLA LOCALITA' VALLE ROSA DI FARNETI ALESSANDRO, FARNETI</t>
  </si>
  <si>
    <t>PANTALONI FEDERICA</t>
  </si>
  <si>
    <t>SISTI GIULIANA</t>
  </si>
  <si>
    <t>SOC.AGR.COLLECCHIO DI TAMANTI CATERINA, TOSI ILARIA, TAMANTI RENZO, TO</t>
  </si>
  <si>
    <t>LIBERINI GIORGIO</t>
  </si>
  <si>
    <t>BENVENUTI DIEGO</t>
  </si>
  <si>
    <t>VILLA TOMBOLINA S.S. SOCIETA' AGRICOLA</t>
  </si>
  <si>
    <t>MECCHI GIULIANA</t>
  </si>
  <si>
    <t>CORVATTA BEATRICE</t>
  </si>
  <si>
    <t>ARRAGONI VINCENZO</t>
  </si>
  <si>
    <t>BURATTI ILARIA</t>
  </si>
  <si>
    <t>VALENTINI GABRIELE</t>
  </si>
  <si>
    <t>CACCHIARELLI TERESA</t>
  </si>
  <si>
    <t>SOCIETA' AGRICOLA BIOSIBILLA SOCIETA' SEMPLICE</t>
  </si>
  <si>
    <t>CERTELLI GABRIELLA</t>
  </si>
  <si>
    <t>SOCIETA' AGRICOLA SEMPLICE MACERETO</t>
  </si>
  <si>
    <t>SOCIETA' AGRICOLA "LA VESCIARIA" S.S.</t>
  </si>
  <si>
    <t>LANA FRANCESCO</t>
  </si>
  <si>
    <t>FATTORI FRANCESCO</t>
  </si>
  <si>
    <t>GUARDABASSI DAVID</t>
  </si>
  <si>
    <t>MOSCHELLA UMBERTO</t>
  </si>
  <si>
    <t>GALIE' FERNANDO</t>
  </si>
  <si>
    <t>ALEANDRI VALENTINO</t>
  </si>
  <si>
    <t>FONTEABETI SOCIETA' AGRICOLA S.R.L.</t>
  </si>
  <si>
    <t>CICCONOFRI LAURA</t>
  </si>
  <si>
    <t>SOCIETA' AGRICOLA COLLARSONE DI FONDATO NICOLA DIGNANI MATTEO E C. S.</t>
  </si>
  <si>
    <t>BONCI DEL BENE NICCOLO'</t>
  </si>
  <si>
    <t>FABI GIOVANNA</t>
  </si>
  <si>
    <t>SOCIETA' AGRICOLA LE MEZZELUNE DI MENGUCCI FRANCESCA E C SOCIETA' SEMP</t>
  </si>
  <si>
    <t>CAVALLERI ALBERTO</t>
  </si>
  <si>
    <t>TOPI STEFANO</t>
  </si>
  <si>
    <t>STEFANELLI FRANCESCA ROMANA</t>
  </si>
  <si>
    <t>AURELI CLAUDIA</t>
  </si>
  <si>
    <t>GRESTINI MARIA LUISA</t>
  </si>
  <si>
    <t>FILIPPONI GIORGIO</t>
  </si>
  <si>
    <t>FORCONI FRANCESCA</t>
  </si>
  <si>
    <t>SOCIETA' AGRICOLA SAN GERMANO S.S.</t>
  </si>
  <si>
    <t>FONTE PAROLLA SOCIETA' AGRICOLA S.S.</t>
  </si>
  <si>
    <t>SOCIETA AGRICOLA MORICHELLI D'ALTEMPS S.S.</t>
  </si>
  <si>
    <t>MARZIALETTI EMANUEL</t>
  </si>
  <si>
    <t>SOCIETA' AGRICOLA SAN DONATO DI ARSENI CATIA &amp; C SNC</t>
  </si>
  <si>
    <t>GUIDARELLI PIERO</t>
  </si>
  <si>
    <t>TERRA MADRE SOCIETA' AGRICOLA S.S.</t>
  </si>
  <si>
    <t>CASAGRANDE-CONTI SONIA</t>
  </si>
  <si>
    <t>SOCIETA' AGRICOLA MARI STEFANO E C. S.S.</t>
  </si>
  <si>
    <t>GHERARDI MANUEL</t>
  </si>
  <si>
    <t>CIACCI PAOLO</t>
  </si>
  <si>
    <t>DURANTI SAUL</t>
  </si>
  <si>
    <t>PATRIZI PAOLA</t>
  </si>
  <si>
    <t>SABBATINI LUCIA</t>
  </si>
  <si>
    <t>PROPERZI ISABELLA</t>
  </si>
  <si>
    <t>MARINI MICHELE</t>
  </si>
  <si>
    <t>LA MATTINA RITA</t>
  </si>
  <si>
    <t>ROBERTI ROBERTO</t>
  </si>
  <si>
    <t>CINGOLANI GIOVANNI</t>
  </si>
  <si>
    <t>VANUCCI MIRCO</t>
  </si>
  <si>
    <t>GERMANI ANTONIO</t>
  </si>
  <si>
    <t>PIERONI MAURIZIO</t>
  </si>
  <si>
    <t>MERLINI MARIO</t>
  </si>
  <si>
    <t>MATTIOLI GESSICA</t>
  </si>
  <si>
    <t>FRATELLI LAURI S.S.AGRICOLA</t>
  </si>
  <si>
    <t>SOCIETA' AGRICOLA BETA DI TAGLIARINI FRANCESCO E TAGLIARINI GABRIELE S</t>
  </si>
  <si>
    <t>LEONI STEFANO</t>
  </si>
  <si>
    <t>SOLOA ADRIANA ELIZABETH</t>
  </si>
  <si>
    <t>CARDINALI GIULIANO</t>
  </si>
  <si>
    <t>VIGNETO BRUTI LIBERATI SOCIETA AGRICOLA SEMPLICE</t>
  </si>
  <si>
    <t>PAPAVERO MAURIZIO</t>
  </si>
  <si>
    <t>MIRA MIRELLA</t>
  </si>
  <si>
    <t>ESPOSTO FORMICA DANIELA</t>
  </si>
  <si>
    <t>CRISPICIANI MARCO</t>
  </si>
  <si>
    <t>CAPRI GABRIELLA</t>
  </si>
  <si>
    <t>TENUTA CIUMINE' DI BERNETTI N. E S. SOCIETA' AGRICOLA SEMPLICE</t>
  </si>
  <si>
    <t>FIUMI SERMATTEI FILIPPO</t>
  </si>
  <si>
    <t>BECCERICA ENRICO</t>
  </si>
  <si>
    <t>LIGUORI GIUSEPPE</t>
  </si>
  <si>
    <t>QUACOS SOC.SEMPLICE AGRICOLA</t>
  </si>
  <si>
    <t>SALTARELLI LUCA</t>
  </si>
  <si>
    <t>BIONDI FERNANDO</t>
  </si>
  <si>
    <t>SOCIETA' AGRICOLA MONTE PRODO DI COZZI ALESSANDRO E MARANI PIERLUIGI S</t>
  </si>
  <si>
    <t>SOCIETA' AGRICOLA F.LLI BRAVI S.S.</t>
  </si>
  <si>
    <t>GALLETTI NADIA</t>
  </si>
  <si>
    <t>RICOTTI FILIPPO</t>
  </si>
  <si>
    <t>GRADL SIMON</t>
  </si>
  <si>
    <t>ABURTO GONZALEZ JESICA ANDREA</t>
  </si>
  <si>
    <t>CORRADINI LIDOVINA</t>
  </si>
  <si>
    <t>AZIENDA AGRICOLA PIERUCCI DENIS E MASSIMO SOC. SEMPLICE AGRICOLA</t>
  </si>
  <si>
    <t>HOSCHEK JOHANNA</t>
  </si>
  <si>
    <t>MAZZANTI GIORGIO</t>
  </si>
  <si>
    <t>TASSI UMBERTO</t>
  </si>
  <si>
    <t>AZIENDA AGRARIA S.GIOVANNI DI MICHETTI MARCELLO &amp; C. S.S.</t>
  </si>
  <si>
    <t>SMARGIASSI LUCIANO</t>
  </si>
  <si>
    <t>ROSSI DAVIDE</t>
  </si>
  <si>
    <t>CIACCI GIORGINA</t>
  </si>
  <si>
    <t>AMILENI LUCIANO</t>
  </si>
  <si>
    <t>ANGELONI ROSELLA</t>
  </si>
  <si>
    <t>CIACCI ALESSANDRO</t>
  </si>
  <si>
    <t>ACCATTOLI MARINA</t>
  </si>
  <si>
    <t>GNASSI MARCELLO</t>
  </si>
  <si>
    <t>ASTOLFI VALERIO</t>
  </si>
  <si>
    <t>SOCIETA' AGRICOLA FAGGETI DI DIOTALEVI LUANA E C. S.S.</t>
  </si>
  <si>
    <t>SANTONI SANTE</t>
  </si>
  <si>
    <t>BALZI CLAUDIO</t>
  </si>
  <si>
    <t>SOCIETA' AGRICOLA CA' LANTE S.S.</t>
  </si>
  <si>
    <t>ITALIA SELVATICA S.R.L. AGRICOLA SEMPLIFICATA</t>
  </si>
  <si>
    <t>SOCIETA' AGRICOLA CA' MIGNONE S.R.L.</t>
  </si>
  <si>
    <t>SOCIETA' AGRICOLA F.LLI SPINACI S.S.</t>
  </si>
  <si>
    <t>PASQUINI ANNUNZIATA</t>
  </si>
  <si>
    <t>NICODEMI GIORGIO</t>
  </si>
  <si>
    <t>PELITI FRANCESCA</t>
  </si>
  <si>
    <t>SCANDALI TAMARA</t>
  </si>
  <si>
    <t>MIRIZZI GIANLUCA</t>
  </si>
  <si>
    <t>PANCOTTI A. E C. - S.S. SOC.AGR.</t>
  </si>
  <si>
    <t>MARCACCINI ROBERTO</t>
  </si>
  <si>
    <t>MORETTI GIORGIO</t>
  </si>
  <si>
    <t>SOC.AGRICOLA SCLAVI M.F.G. S.S.</t>
  </si>
  <si>
    <t>ALESSANDRONI MARIA-PAOLA</t>
  </si>
  <si>
    <t>SQUADRONI SOCIETA' AGRICOLA SEMPLICE</t>
  </si>
  <si>
    <t>NONNI PAOLO</t>
  </si>
  <si>
    <t>AZIENDA AGRARIA ANTINORI MARIA E ANTINORI GRAZIELLA SOCIETA' SEMPLICE</t>
  </si>
  <si>
    <t>MICHETTI LUIGI</t>
  </si>
  <si>
    <t>CIONCO DANIELE</t>
  </si>
  <si>
    <t>AZ.AGR CAU &amp; SPADA DI SPADA ANTONINO E C SOC AGR</t>
  </si>
  <si>
    <t>FAGOTTI ALESSANDRA</t>
  </si>
  <si>
    <t>AZ.AGRICOLA CONTI &amp; MONTESI S.S. SOCIETA' AGRICOLA</t>
  </si>
  <si>
    <t>ALOISI ALESSANDRO</t>
  </si>
  <si>
    <t>BERTINAT PIERLUIGI</t>
  </si>
  <si>
    <t>QUINTILI GRETA</t>
  </si>
  <si>
    <t>SOCIETA' AGRICOLA PAIARDINI DI PAIARDINI TINO &amp; C. S.S.</t>
  </si>
  <si>
    <t>LARGHETTI GIOVANNI</t>
  </si>
  <si>
    <t>PALOSSI LUCA</t>
  </si>
  <si>
    <t>VENTURINI ANTONIO</t>
  </si>
  <si>
    <t>VENTURINI VIRGINIA</t>
  </si>
  <si>
    <t>RAFFEINER JACOB</t>
  </si>
  <si>
    <t>MARTINELLI LUCIO</t>
  </si>
  <si>
    <t>CIANDRINI SILVANA</t>
  </si>
  <si>
    <t>CONTI ENZO</t>
  </si>
  <si>
    <t>FADDA LUCIANO E MARIO SOCIETA' SEMPLICE</t>
  </si>
  <si>
    <t>MONTANARI MARCO</t>
  </si>
  <si>
    <t>LA SAPIENZA SOC.AGR.DI A.SAGRIPANTI &amp; C. SAS</t>
  </si>
  <si>
    <t>CIARROCCHI ROBERTO</t>
  </si>
  <si>
    <t>MORA YUSILAYDIS</t>
  </si>
  <si>
    <t>FILIPPONI FRANCESCO</t>
  </si>
  <si>
    <t>BAIONI ALESSANDRA</t>
  </si>
  <si>
    <t>AGROMONTE S.R.L. - SOCEITA' AGRICOLA</t>
  </si>
  <si>
    <t>SOCIETA' AGRICOLA PIAN DELLE MURA DI FABRINI LORENZO E C. S. S.</t>
  </si>
  <si>
    <t>LATTANZI ADRIANO</t>
  </si>
  <si>
    <t>VIOSA SOCIETA AGRICOLA SEMPLICE</t>
  </si>
  <si>
    <t>ANGELONI ROSA</t>
  </si>
  <si>
    <t>BRUGNOLA ROBERTO</t>
  </si>
  <si>
    <t>DEL BIANCO GIUSEPPE</t>
  </si>
  <si>
    <t>BERRIES OFFIDA SOCIETA' AGRICOLA SEMPLICE</t>
  </si>
  <si>
    <t>BOTTEGA ELISABETTA</t>
  </si>
  <si>
    <t>CORRADINI FEDERICO</t>
  </si>
  <si>
    <t>DE-SANTIS EUSEBIO</t>
  </si>
  <si>
    <t>FIORINI MARCO</t>
  </si>
  <si>
    <t>LATINI FIORELLA</t>
  </si>
  <si>
    <t>GENTILI FERNANDO</t>
  </si>
  <si>
    <t>LA FONTE DELLE FARANGHE SOCIETA' SEMPLICE AGRICOLA</t>
  </si>
  <si>
    <t>PIERINI GIOVANNI</t>
  </si>
  <si>
    <t>SOCIETA'AGRICOLA EREDI DI PIEROTTI QUINTO</t>
  </si>
  <si>
    <t>MAGNANI LUCIANO</t>
  </si>
  <si>
    <t>VALLORANI ROSA</t>
  </si>
  <si>
    <t>NATALINI ELENA</t>
  </si>
  <si>
    <t>VITALI PINO</t>
  </si>
  <si>
    <t>CROCERI FARM SOCIETA' AGRICOLA SEMPLICE</t>
  </si>
  <si>
    <t>SOCIETA' AGRICOLA MUSONE SRL</t>
  </si>
  <si>
    <t>MANCINI LARA</t>
  </si>
  <si>
    <t>PACIFICI MASSIMO</t>
  </si>
  <si>
    <t>DURASTANTI ROMOLO</t>
  </si>
  <si>
    <t>QUARESIMA PAOLO</t>
  </si>
  <si>
    <t>MURRI CESARE AUGUSTO</t>
  </si>
  <si>
    <t>ROZZI ANNA MARIA COSTANZA</t>
  </si>
  <si>
    <t>CECCOLINI DAVIDE</t>
  </si>
  <si>
    <t>APRILETTI RODOLFO</t>
  </si>
  <si>
    <t>CAA CIA - ASCOLI PICENO - 006</t>
  </si>
  <si>
    <t>SILVESTRI PIERLUIGI</t>
  </si>
  <si>
    <t>UDODA LILIIA</t>
  </si>
  <si>
    <t>SOCIETA' AGRICOLA COSTE DEL SOLE DI GARBINI LUCIA E ROSSI FOSCO MARIA</t>
  </si>
  <si>
    <t>ROMITI MARIKA</t>
  </si>
  <si>
    <t>AMADORI ANNA-MARIA</t>
  </si>
  <si>
    <t>AZIENDA VINICOLA UMANI RONCHI SPA</t>
  </si>
  <si>
    <t>AGRARIA 1906 SNC DI PRETELLI FRANCESCO E DE ANGELI GIORGIA SOCIETA' AG</t>
  </si>
  <si>
    <t>MUCCICHINI MICHELA</t>
  </si>
  <si>
    <t>STRAPPA LUIGI</t>
  </si>
  <si>
    <t>CAA CAF AGRI - ANCONA - 224</t>
  </si>
  <si>
    <t>POLVERARI ROSETTA</t>
  </si>
  <si>
    <t>AGRIFABER SOCIETA' AGRICOLA A R.L.</t>
  </si>
  <si>
    <t>CAA CAF AGRI - FERMO - 222</t>
  </si>
  <si>
    <t>BORDONI PAOLO</t>
  </si>
  <si>
    <t>COLLETTA FABIO</t>
  </si>
  <si>
    <t>AZIENDA AGRICOLA BARTOLACCI DI PIERINI MONICA E MATTEO SOCIETA' AGRICO</t>
  </si>
  <si>
    <t>DI VAIRA GHERARDO</t>
  </si>
  <si>
    <t>CAA Coldiretti - ASCOLI PICENO - 010</t>
  </si>
  <si>
    <t>FARAOTTI GIOVANNI</t>
  </si>
  <si>
    <t>BRACONI GIULIANO</t>
  </si>
  <si>
    <t>BOLLANTE FABIO</t>
  </si>
  <si>
    <t>SOCIETA' AGRICOLA VILLA MANU' DI ALLEGRINI SOC. SEMPLICE</t>
  </si>
  <si>
    <t>ANGELONI GIULIANA</t>
  </si>
  <si>
    <t>ANTICA GASTRONOMIA DI ANDREOZZI SANDRA &amp; C. - S.N.C.</t>
  </si>
  <si>
    <t>DEL BALZO RUITI GOFFREDO</t>
  </si>
  <si>
    <t>SILVESTRI FRANCESCO</t>
  </si>
  <si>
    <t>CARBONI ROSSANA</t>
  </si>
  <si>
    <t>FEDERICI PIERLUCA</t>
  </si>
  <si>
    <t>LE RADICI SOCIETA' AGRICOLA S.R.L.S.</t>
  </si>
  <si>
    <t>FELICI LEOPARDO</t>
  </si>
  <si>
    <t>BETTI MAURIZIO</t>
  </si>
  <si>
    <t>AZ.AGR.CA' ROSINO SOCIETA' SEMPLICE</t>
  </si>
  <si>
    <t>STRACCIA JULIO GIUSEPPE</t>
  </si>
  <si>
    <t>CANDELLORI FEDERICA</t>
  </si>
  <si>
    <t>UGOLINI ANTONIO</t>
  </si>
  <si>
    <t>FATTOBENE SIMONE</t>
  </si>
  <si>
    <t>FRATINI GABRIELE</t>
  </si>
  <si>
    <t>DURO FRANCA</t>
  </si>
  <si>
    <t>ISTITUTO DI ISTRUZIONE SUPERIORE MOREA VIVARELLI</t>
  </si>
  <si>
    <t>FATTORI GIULIA</t>
  </si>
  <si>
    <t>COLMAGGIORE SOCIETA' AGRICOLA S.S.</t>
  </si>
  <si>
    <t>CELESTRI LORENZA</t>
  </si>
  <si>
    <t>LUCARELLI ALBERTO</t>
  </si>
  <si>
    <t>BONCI SIMONE</t>
  </si>
  <si>
    <t>PACI COSTRUZIONI SRL</t>
  </si>
  <si>
    <t>LIMONCELLI MASSIMO</t>
  </si>
  <si>
    <t>LOSANI CATERINA</t>
  </si>
  <si>
    <t>ALESSANDRELLI STEFANO</t>
  </si>
  <si>
    <t>LAZZARI ELIA</t>
  </si>
  <si>
    <t>MASSI PATRIZIO</t>
  </si>
  <si>
    <t>CAUCCI GABRIELE</t>
  </si>
  <si>
    <t>MARI STEFANO</t>
  </si>
  <si>
    <t>MARZIALI CARLO</t>
  </si>
  <si>
    <t>GUGLIELMI AMELIA</t>
  </si>
  <si>
    <t>SOCIETA' AGRICOLA MIRKO MATTANA S.S.</t>
  </si>
  <si>
    <t>IACOZZI MASSIMO</t>
  </si>
  <si>
    <t>SOCIETA' AGRICOLA SCAGNETTI DI SCAGNETTI FRANCESCO E C. S.S.</t>
  </si>
  <si>
    <t>STRACCIO ALESSANDRA</t>
  </si>
  <si>
    <t>BACCHI FEDERICA</t>
  </si>
  <si>
    <t>SOCIETA' AGRICOLA CECCARONI MOROTTI BIO SOCIETA' SEMPLICE</t>
  </si>
  <si>
    <t>CIMINARI MASSIMILIANO</t>
  </si>
  <si>
    <t>PAGANELLI GIACOMO</t>
  </si>
  <si>
    <t>SOCIETA' AGRICOLA DI SPILIMBERGO SOCIETA' SEMPLICE</t>
  </si>
  <si>
    <t>SEPI FORTUNATO</t>
  </si>
  <si>
    <t>CALINI PAOLA</t>
  </si>
  <si>
    <t>BARBONI FABIO</t>
  </si>
  <si>
    <t>COTECHINI SAURO</t>
  </si>
  <si>
    <t>AZIENDA "SAN BENEDETTO" DI FEDELI GIOVANNINO E C. SOCIETA' AGRICOLA S.</t>
  </si>
  <si>
    <t>GMG AGROFORESTALE SAS DI MARINOZZI GINO &amp; C.</t>
  </si>
  <si>
    <t>FLORES CASTILLO ANA</t>
  </si>
  <si>
    <t>SOCIETA' AGRICOLA SEMPLICE PFM VALPOTENZA</t>
  </si>
  <si>
    <t>BALDUCCI MARIO</t>
  </si>
  <si>
    <t>BIOFAVOLE SOCIETA' AGRICOLA SEMPLICE</t>
  </si>
  <si>
    <t>SERFILIPPI GALEAZZO</t>
  </si>
  <si>
    <t>FRAPISELLI PAOLO</t>
  </si>
  <si>
    <t>PIERFEDERICI TOMMASO</t>
  </si>
  <si>
    <t>VALERI GIUSEPPE</t>
  </si>
  <si>
    <t>BETTI SERENA</t>
  </si>
  <si>
    <t>CUCCULELLI DAVIDE</t>
  </si>
  <si>
    <t>BROCCOLI TIZIANA</t>
  </si>
  <si>
    <t>SOCIETA' AGRICOLA FONTANELLE S.S.</t>
  </si>
  <si>
    <t>BRUSCIA MIRCO</t>
  </si>
  <si>
    <t>ALLEGRANZA BULHAK JELSKI MARIA SOFIA</t>
  </si>
  <si>
    <t>ABBRUCIATI LIBERO</t>
  </si>
  <si>
    <t>VAN ZALINGEN NICOLE SUZANNE</t>
  </si>
  <si>
    <t>SOCIETA' AGRICOLA QUI VOGLIO SOCIETA' SEMPLICE</t>
  </si>
  <si>
    <t>BONCI FRANCESCO</t>
  </si>
  <si>
    <t>AGOSTI TIZIANO</t>
  </si>
  <si>
    <t>SOCIETA' AGRICOLA FIORELLI D. E G. S.S.</t>
  </si>
  <si>
    <t>MARCHESANA SOCIETA' COOPERATIVA AGRICOLA</t>
  </si>
  <si>
    <t>DELLASSANTA MORENA</t>
  </si>
  <si>
    <t>AZ.AGR. E AGRITURISTICA 'LAGA NORD' DI ASCENZIO E FAUSTA SANTINI S.S.</t>
  </si>
  <si>
    <t>FERRI ROSALBA</t>
  </si>
  <si>
    <t>AMICI BARTOLOMEO</t>
  </si>
  <si>
    <t>PETRELLI PATRIZIA</t>
  </si>
  <si>
    <t>MAYER DAVID PETER</t>
  </si>
  <si>
    <t>TORTELLI &amp; MEDICI SOCIETA' AGRICOLA S.S.</t>
  </si>
  <si>
    <t>BELARDINI MILIANO E FRANCESCO SOC.SEMP.</t>
  </si>
  <si>
    <t>MARCHETTI SIMONE</t>
  </si>
  <si>
    <t>AGOSTINELLI SANDRO</t>
  </si>
  <si>
    <t>SEPI EMANUELE</t>
  </si>
  <si>
    <t>CAA UNICAA - ANCONA - 003</t>
  </si>
  <si>
    <t>TURCHI LORENZO</t>
  </si>
  <si>
    <t>S.S. AGRICOLA ROSSETTI MICHELE &amp; C.</t>
  </si>
  <si>
    <t>DELL'UOMO ALBERTO</t>
  </si>
  <si>
    <t>CAMPANELLI REMO</t>
  </si>
  <si>
    <t>MARTELLI DAVIDE</t>
  </si>
  <si>
    <t>CIARROCCHI ANTONIO</t>
  </si>
  <si>
    <t>MONTEROTTI CLAUDIO</t>
  </si>
  <si>
    <t>MARANI MATTIA</t>
  </si>
  <si>
    <t>MARINI MATTIA</t>
  </si>
  <si>
    <t>AGOSTINI E PAOLETTI SOCIETA' AGRICOLA SEMPLICE</t>
  </si>
  <si>
    <t>MARI DANILO</t>
  </si>
  <si>
    <t>VERDICCHIO DAVID</t>
  </si>
  <si>
    <t>BERNETTI MAURO E MANNOZZI ARGENTINA</t>
  </si>
  <si>
    <t>SOCIETA' AGRICOLA LA SPIGA D'ORO DI CATTARULLA ALESSIO S.S.</t>
  </si>
  <si>
    <t>PIERANGELI LUCIANA</t>
  </si>
  <si>
    <t>FOLIGNA LAVINIA</t>
  </si>
  <si>
    <t>PRIMIZIE DI FATTORIA DI NAZZARI ANTONELLO E PERONI ELISA SOCIETA' SEMP</t>
  </si>
  <si>
    <t>SOLARIA S.S. - SOCIETA' AGRICOLA</t>
  </si>
  <si>
    <t>DOLCE FRANCO</t>
  </si>
  <si>
    <t>IL MASTINO SS</t>
  </si>
  <si>
    <t>GIAMPAOLI LORIS</t>
  </si>
  <si>
    <t>GAUDENZI FRANCESCO</t>
  </si>
  <si>
    <t>MARINI GIOVANNI</t>
  </si>
  <si>
    <t>MARSILI STEFANO</t>
  </si>
  <si>
    <t>SILVESTRUCCI SAMUELE</t>
  </si>
  <si>
    <t>TEMPESTINI FRANCESCO</t>
  </si>
  <si>
    <t>LUZI WILLIAM</t>
  </si>
  <si>
    <t>CECCHINI SAMUELE</t>
  </si>
  <si>
    <t>SOCIETA'AGRICOLA "PONTE ETE" DI LUPI EVA &amp; C.S.S.</t>
  </si>
  <si>
    <t>MAUGHELLI BEATRICE</t>
  </si>
  <si>
    <t>SOCIETA' AGRICOLA MASCIANO S.S.</t>
  </si>
  <si>
    <t>SOCIETA' AGRICOLA "LA CORTE" DI CONTI GIULIANO &amp; C S.S.</t>
  </si>
  <si>
    <t>OTTAVIANI GIACOMO</t>
  </si>
  <si>
    <t>VELENOSI ERCOLE</t>
  </si>
  <si>
    <t>BRICCA PIERANGELO</t>
  </si>
  <si>
    <t>BONAZZOLI GIAMPIETRO</t>
  </si>
  <si>
    <t>SOCIETA' AGRICOLA IL PODERE DELLA LUPA DI BARTOLINI PAOLA &amp; C. S.S.</t>
  </si>
  <si>
    <t>SOCIETA' AGRICOLA ORADEI FERNANDO E VALENTINO SS</t>
  </si>
  <si>
    <t>PENSALFINI MARCO</t>
  </si>
  <si>
    <t>GASPARI LORIS</t>
  </si>
  <si>
    <t>SPINSANTI ANDREA</t>
  </si>
  <si>
    <t>SERRA PIETRO</t>
  </si>
  <si>
    <t>RAFFAELI MARCO</t>
  </si>
  <si>
    <t>CARLINI GIUSEPPE</t>
  </si>
  <si>
    <t>AQUILI ALESSANDRO</t>
  </si>
  <si>
    <t>SOCIETA' AGRICOLA MICARELLI FRANCESCO &amp; C. S.S.</t>
  </si>
  <si>
    <t>VALERI NICOLA</t>
  </si>
  <si>
    <t>PANDOLFI MATTEO</t>
  </si>
  <si>
    <t>FILONI MARIA CRISTINA</t>
  </si>
  <si>
    <t>APPOLLONI LUCA</t>
  </si>
  <si>
    <t>MICCI GILBERTO</t>
  </si>
  <si>
    <t>FALCITELLI ELENA</t>
  </si>
  <si>
    <t>CERERE SOCIETA' CONSORTILE A R.L.</t>
  </si>
  <si>
    <t>BETTI GIAMPIERO</t>
  </si>
  <si>
    <t>MASSACCESI ANDREA</t>
  </si>
  <si>
    <t>GIANCARLO COPPOLA - CIAO NONNO S.R.L.</t>
  </si>
  <si>
    <t>ANIMOBONO MIRELLA</t>
  </si>
  <si>
    <t>GELMI MARA</t>
  </si>
  <si>
    <t>CAPONI &amp; MARSILI SOCIETA' SEMPLICE AGRICOLA</t>
  </si>
  <si>
    <t>TRONELLI GIUSEPPA</t>
  </si>
  <si>
    <t>FATTORI LUCIA</t>
  </si>
  <si>
    <t>MOGLIANETTI MARCELLO</t>
  </si>
  <si>
    <t>MANNA FRANCESCA</t>
  </si>
  <si>
    <t>NEBBIA ROBERTA</t>
  </si>
  <si>
    <t>FIORELLI STEFANO</t>
  </si>
  <si>
    <t>CORDELLA MANUEL</t>
  </si>
  <si>
    <t>FORESI MASSIMO</t>
  </si>
  <si>
    <t>SOC.AGR. C &amp; C DI OTTAVIANI CLAUDIO E OTTAVIANI CHANDRA SOC.SEMPL.</t>
  </si>
  <si>
    <t>SOC.AGR.TERRA DEI SOGNI DI BRUNI ANDREA E AMORI GRETA SOC.SEMPL.</t>
  </si>
  <si>
    <t>DELLAVEDOVA DAVIDE</t>
  </si>
  <si>
    <t>VITTORI FRANCESCO</t>
  </si>
  <si>
    <t>ORTENZI GIOVANNI</t>
  </si>
  <si>
    <t>PIERONI FRANCESCO</t>
  </si>
  <si>
    <t>PIANTONI GABRIELE</t>
  </si>
  <si>
    <t>FUNARI MANUEL</t>
  </si>
  <si>
    <t>ONESTA PATRIZIA</t>
  </si>
  <si>
    <t>YESI FOOD S.R.L. SOCIETA' AGRICOLA</t>
  </si>
  <si>
    <t>PERUGINI PIERPAOLO</t>
  </si>
  <si>
    <t>BERNACCONI DELIO</t>
  </si>
  <si>
    <t>ARBAU PIERO E SALVATORE SOC SEMPLICE</t>
  </si>
  <si>
    <t>BALDASSARRI SIMONE</t>
  </si>
  <si>
    <t>AMICO LUCIA</t>
  </si>
  <si>
    <t>BINANTI EMANUELE</t>
  </si>
  <si>
    <t>EREDI VERDICCHIO FILIPPO</t>
  </si>
  <si>
    <t>SCARPACCI ENRICO</t>
  </si>
  <si>
    <t>ALBERICI ALBERTO</t>
  </si>
  <si>
    <t>ORSINI EZIO</t>
  </si>
  <si>
    <t>EREDI CONTIGIANI PIERDOMENICO DI CONTIGIANI MARCO, ELISA E PACIONI LIA</t>
  </si>
  <si>
    <t>MENSA' PATRIZIO</t>
  </si>
  <si>
    <t>ERCOLI SILVANO</t>
  </si>
  <si>
    <t>LAURI ROLDANO</t>
  </si>
  <si>
    <t>FATTORINI PAOLA</t>
  </si>
  <si>
    <t>AGUZZI PIER NICCOLO'</t>
  </si>
  <si>
    <t>BINI RENATO</t>
  </si>
  <si>
    <t>MENCACCINI BRUNO</t>
  </si>
  <si>
    <t>MATTIOLI LUCA</t>
  </si>
  <si>
    <t>DE ANGELIS GIULIANA</t>
  </si>
  <si>
    <t>GUERRA ANTONELLO</t>
  </si>
  <si>
    <t>ROCCETTI SIMONETTA</t>
  </si>
  <si>
    <t>CORSUCCI DENIS</t>
  </si>
  <si>
    <t>SOCIETA' AGRICOLA CAL BIANCHINO SOCIETA' SEMPLICE DI MINNETTI LUIGIA E</t>
  </si>
  <si>
    <t>VIGLIETTI ANTONIO</t>
  </si>
  <si>
    <t>LE SPIAZZETTE SOCIETA' AGRICOLA SEMPLICE</t>
  </si>
  <si>
    <t>TIBURZI GINO</t>
  </si>
  <si>
    <t>STRIAN KERSTIN INGEBORG MARIA</t>
  </si>
  <si>
    <t>CIARIMBOLI PAOLO</t>
  </si>
  <si>
    <t>MAROTA SOCIETA' AGRICOLA SEMPLICE</t>
  </si>
  <si>
    <t>MONTALBINI ANGELO</t>
  </si>
  <si>
    <t>L'OASI DI PIERINO SOCIETA' AGRICOLA SEMPLICE</t>
  </si>
  <si>
    <t>BOINEGA LUIGI</t>
  </si>
  <si>
    <t>CAPPONI AURELIO</t>
  </si>
  <si>
    <t>CAA CIA - PERUGIA - 007</t>
  </si>
  <si>
    <t>LODDO LORENZO</t>
  </si>
  <si>
    <t>MANI MARCO</t>
  </si>
  <si>
    <t>PREDIA S.R.L. SOCIETA' AGRICOLA</t>
  </si>
  <si>
    <t>GABRIELLI LILIANA</t>
  </si>
  <si>
    <t>GAUDENZI VIRGINIA</t>
  </si>
  <si>
    <t>RAZZETTI ANNA MARIA</t>
  </si>
  <si>
    <t>CAA CIA - ASCOLI PICENO - 002</t>
  </si>
  <si>
    <t>VAN ROY TOMMY PAUL</t>
  </si>
  <si>
    <t>GERMOGLI SAS DI MATTIONI MADDALENA SOCIETA' AGRICOLA</t>
  </si>
  <si>
    <t>ORSINI ANDREA</t>
  </si>
  <si>
    <t>BARBA GIUSEPPINA</t>
  </si>
  <si>
    <t>POLETTI PAULE</t>
  </si>
  <si>
    <t>PECCI DANIELE</t>
  </si>
  <si>
    <t>VALENTI MARISA</t>
  </si>
  <si>
    <t>VAN DEN BOSSCHE JASMINE LOUISE</t>
  </si>
  <si>
    <t>SOCIETA' AGRICOLA FELIZIANI SOCIETA' SEMPLICE</t>
  </si>
  <si>
    <t>AGRIMATELICA SOCIETA' AGRICOLA A R.L.</t>
  </si>
  <si>
    <t>FANELLI CARLA</t>
  </si>
  <si>
    <t>ROSSINI FRANCESCO</t>
  </si>
  <si>
    <t>ROSSI FOSCA</t>
  </si>
  <si>
    <t>SOCIETA' AGRICOLA CONTRADA CONTRO GUALDO DI ROMMOZZI ALDO, POLIDO RO A</t>
  </si>
  <si>
    <t>CARBONI SIMONA</t>
  </si>
  <si>
    <t>SOCIETA' AGRICOLA LA COLLINA DEGLI ULIVI S.S.</t>
  </si>
  <si>
    <t>MELUCCI ALESSIA</t>
  </si>
  <si>
    <t>AGRICOLA ROCCHETTA SOCIETA' AGRICOLA A R.L.</t>
  </si>
  <si>
    <t>ROMITI PIETRO</t>
  </si>
  <si>
    <t>LE CANA' SOCIETA' AGRICOLA SEMPLICE</t>
  </si>
  <si>
    <t>BARTOCCI GUIDO</t>
  </si>
  <si>
    <t>CHIARUCCI TOMMASO</t>
  </si>
  <si>
    <t>NATMESSNIG MICHAEL</t>
  </si>
  <si>
    <t>MICHEL JURGEN</t>
  </si>
  <si>
    <t>TENUTE IL CRINALE DI QUITADAMO MICHELE SOCIETA' AGRICOLA SEMPLICE</t>
  </si>
  <si>
    <t>RANALDI ELISA</t>
  </si>
  <si>
    <t>GUIDUCCI FABIOLA</t>
  </si>
  <si>
    <t>TORRETTI ANGELA</t>
  </si>
  <si>
    <t>AIUDI PIERINA</t>
  </si>
  <si>
    <t>ANSOVINI LUCA</t>
  </si>
  <si>
    <t>LA FRATERNITA' SOCIETA' COOPERATIVA SOCIALE A R.L.</t>
  </si>
  <si>
    <t>SOCIETA' BIO AGRICOLA MIA S.R.L.C.R.</t>
  </si>
  <si>
    <t>BARTOLUCCI MARISA</t>
  </si>
  <si>
    <t>DUGGENTO PAOLO</t>
  </si>
  <si>
    <t>SOLARI MARIA CRISTINA</t>
  </si>
  <si>
    <t>SOCIETA' AGRICOLA "NUCES"SOCIETA' SEMPLICE</t>
  </si>
  <si>
    <t>PANICCIA' MARCO</t>
  </si>
  <si>
    <t>SOCIETA' AGRICOLA STAURACUS SOCIETA' SEMPLICE</t>
  </si>
  <si>
    <t>WEISSANG FRAUKE HEDWIG</t>
  </si>
  <si>
    <t>MESCHINI MARIO</t>
  </si>
  <si>
    <t>PISAPIA VALENTINA</t>
  </si>
  <si>
    <t>SOCIETA' AGRICOLA COLLI DEI VASI SOCIETA' SEMPLICE</t>
  </si>
  <si>
    <t>CURZI SARA</t>
  </si>
  <si>
    <t>VAN DER HEIJDEN PAUL ARJAN</t>
  </si>
  <si>
    <t>MANIZZA CHIARA</t>
  </si>
  <si>
    <t>PUCCIARELLI MAURO</t>
  </si>
  <si>
    <t>SOCIETA' AGRICOLA SEMPLICE SCALA</t>
  </si>
  <si>
    <t>VAN DEURSEN THOMAS</t>
  </si>
  <si>
    <t>DE LUCA ANDREA</t>
  </si>
  <si>
    <t>MAGNATERRA ANDREA</t>
  </si>
  <si>
    <t>ANGELINI MARIA GRAZIA</t>
  </si>
  <si>
    <t>MONTI ANTONIO</t>
  </si>
  <si>
    <t>AMA - AQUILONE COOPERATIVA SOCIALE</t>
  </si>
  <si>
    <t>SOCIETA' AGRICOLA SEMPLICE LA CASETTA</t>
  </si>
  <si>
    <t>AURELI BARBARA</t>
  </si>
  <si>
    <t>CARUCCI ANGELO</t>
  </si>
  <si>
    <t>BENEDETTI LEONARDO</t>
  </si>
  <si>
    <t>CUCCULELLI ANTONIO</t>
  </si>
  <si>
    <t>IAIANI ANGELO</t>
  </si>
  <si>
    <t>PALAZZETTI GIOVANNA</t>
  </si>
  <si>
    <t>CARBONE DOMENICO</t>
  </si>
  <si>
    <t>MARCUCCI PRIMO</t>
  </si>
  <si>
    <t>LE FONTI DEL GIANO SOC. COOP.</t>
  </si>
  <si>
    <t>SOCIETA' AGRICOLA FAMIGLIA RUFFINI S.S.</t>
  </si>
  <si>
    <t>CARNAROLI EMANUELE</t>
  </si>
  <si>
    <t>SOCIETA' AGRICOLA BIOLOGICA IL LAGO NELLA VALLE DI GUGLIELMI FABRIZIO</t>
  </si>
  <si>
    <t>SALCEDO MANCINI DANIEL</t>
  </si>
  <si>
    <t>TORRESI MASSIMILIANO</t>
  </si>
  <si>
    <t>ARDUINI TIZIANA</t>
  </si>
  <si>
    <t>FOSSA MICHELE</t>
  </si>
  <si>
    <t>GABRIELLI SANTE</t>
  </si>
  <si>
    <t>MADONNA DELLE API &amp; C. SOCIETA' IN ACCOMANDITA SEMPLICE DI GIANLORENZO</t>
  </si>
  <si>
    <t>CIACCI BENEDETTO</t>
  </si>
  <si>
    <t>SERRA MARIA CECILIA</t>
  </si>
  <si>
    <t>AZIENDA AGRICOLA CA' MADDALENA SOCIETA' SEMPLICE</t>
  </si>
  <si>
    <t>ANGELONI LUCA</t>
  </si>
  <si>
    <t>BUSETTO LUISA</t>
  </si>
  <si>
    <t>ANDREOLI GIULIANO</t>
  </si>
  <si>
    <t>GIOVAGNOLI STEFANIA</t>
  </si>
  <si>
    <t>RAGNINI ALESSANDRA</t>
  </si>
  <si>
    <t>PAOLONI LAURA</t>
  </si>
  <si>
    <t>SOCIETA' AGRICOLA NATURALMENTE S.S.</t>
  </si>
  <si>
    <t>FRATTA ANDREA</t>
  </si>
  <si>
    <t>ANTONELLI PAOLA</t>
  </si>
  <si>
    <t>SOCIETA' AGRICOLA LA TORRE S.S.</t>
  </si>
  <si>
    <t>PIANI EMILIA</t>
  </si>
  <si>
    <t>CASA BRILLA SOCIETA' AGRICOLA SEMPLICE</t>
  </si>
  <si>
    <t>PEDICONI GIOVANNI</t>
  </si>
  <si>
    <t>CENTANNI ELISA E DANIELA SOCIETA SEMPLICE AGRICOLA</t>
  </si>
  <si>
    <t>CINTI ROSELLA</t>
  </si>
  <si>
    <t>RONCONI VALERIA</t>
  </si>
  <si>
    <t>ROCCI DUILIA</t>
  </si>
  <si>
    <t>PAOLETTI GABRIELE</t>
  </si>
  <si>
    <t>PAPIRI FEDERICO</t>
  </si>
  <si>
    <t>TOMASSINI SARA</t>
  </si>
  <si>
    <t>SOCIETA AGRICOLA ALFIERI PANDOLFI S.S.</t>
  </si>
  <si>
    <t>SOCIETA' AGRICOLA FERIOLI DI FERIOLI RICCARDO &amp; C. S.S.</t>
  </si>
  <si>
    <t>SOCIETA AGRICOLA I NANI DI BARBONI FABIO E C. S.S.</t>
  </si>
  <si>
    <t>TODINI ADORNA</t>
  </si>
  <si>
    <t>VISSANI PAOLO</t>
  </si>
  <si>
    <t>NASTASI GIUSEPPE</t>
  </si>
  <si>
    <t>AGRITODERI SOCIETA' AGRICOLA S.S.</t>
  </si>
  <si>
    <t>AGOSTINELLI GIANLUCA</t>
  </si>
  <si>
    <t>BALDONI ANDREA</t>
  </si>
  <si>
    <t>TORRIANI FRANCESCO</t>
  </si>
  <si>
    <t>FIORAVANTI TERESA</t>
  </si>
  <si>
    <t>CIPRIANI SAMUELA</t>
  </si>
  <si>
    <t>BARTOCCI SILVANO</t>
  </si>
  <si>
    <t>EUSEBI CRISTIAN</t>
  </si>
  <si>
    <t>SOCIETA' AGRICOLA TENIMENTI MAGNAMASSA SRL-SOCIO UNICO</t>
  </si>
  <si>
    <t>AZIENDA AGRICOLA DI CINTIO GIROLAMO E MARIA S.S.</t>
  </si>
  <si>
    <t>MAIOLI RONNIE</t>
  </si>
  <si>
    <t>SOCIETA' AGRICOLA CA' MARIOTTO S.S.</t>
  </si>
  <si>
    <t>SOCIETA' AGRICOLA VANGELISTA LUCA S.N.C. DI LUCA VANGELISTA</t>
  </si>
  <si>
    <t>BORGO LA ROVERE SOCIETA' AGRICOLA S.S.</t>
  </si>
  <si>
    <t>ARCEVIA BIO SOCIETA' AGRICOLA S.R.L.</t>
  </si>
  <si>
    <t>SOCIETA AGRICOLA FORESTERIA S.OLIVIERO S.S.</t>
  </si>
  <si>
    <t>GABRIELLI VENANZO</t>
  </si>
  <si>
    <t>CIRIACI ALESSANDRO</t>
  </si>
  <si>
    <t>MICOZZI LUCA</t>
  </si>
  <si>
    <t>SACCO GIULIA</t>
  </si>
  <si>
    <t>MASS-HANS VALDIFIORI DI CIPRIANI MASSIMO &amp; C. S.A.S. - SOCIETA'AG RICO</t>
  </si>
  <si>
    <t>SBRICCOLI ANDREA</t>
  </si>
  <si>
    <t>AZIENDA AGRICOLA GLI OLMI S.S.</t>
  </si>
  <si>
    <t>CARRARA PIERO ALBERTO</t>
  </si>
  <si>
    <t>NATURA PIU' DI CINESI MARIA TERESA &amp; C. SNC</t>
  </si>
  <si>
    <t>CARZEDDA MARCO</t>
  </si>
  <si>
    <t>PONZI TERESA</t>
  </si>
  <si>
    <t>PICCININI MARIO</t>
  </si>
  <si>
    <t>LA FATTORIA SOLARE DI MANNO D. E ANTOLINI E.SOC.AGR.SEMPLICE</t>
  </si>
  <si>
    <t>SOCIETA' AGRICOLA ALESIANI DI ALESIANI MAURO E C. S.S.</t>
  </si>
  <si>
    <t>AZ.AGR. MATER AMABILIS DI CATERINA E NICOLA COPPARI SOCIETA' AGRICOLA</t>
  </si>
  <si>
    <t>AGR.ESTE SOC.AGRICOLA SRLS</t>
  </si>
  <si>
    <t>ANTONELLI ERMENEGILDO</t>
  </si>
  <si>
    <t>BALDUCCI MATTEO</t>
  </si>
  <si>
    <t>BELLOCCHI FABRIZIO</t>
  </si>
  <si>
    <t>ANTOGNOLI GABRIELE</t>
  </si>
  <si>
    <t>DONNINI GIOVANNI</t>
  </si>
  <si>
    <t>BULZICCO ANNA</t>
  </si>
  <si>
    <t>CERESCIOLI GIULIANO</t>
  </si>
  <si>
    <t>MANASSE GIOVANNI</t>
  </si>
  <si>
    <t>BENEDETTI GABRIELE</t>
  </si>
  <si>
    <t>SOCIETA' AGRICOLA VONO MATTIA MARTA E RICCI LETIZIA SOCIETA' SEMPLICE</t>
  </si>
  <si>
    <t>LAI LAURA</t>
  </si>
  <si>
    <t>BIOCCO MARIA</t>
  </si>
  <si>
    <t>MONTANARI ANGELO</t>
  </si>
  <si>
    <t>CARFAGNA GINA</t>
  </si>
  <si>
    <t>BECCERICA UMBERTO</t>
  </si>
  <si>
    <t>LAMBERTUCCI PAOLO</t>
  </si>
  <si>
    <t>IL PROFUMO DEL PASCOLO SOCIETA' AGRICOLA SEMPLICE DI FORTI HELENA E C.</t>
  </si>
  <si>
    <t>DI FELICE CLAUDIO</t>
  </si>
  <si>
    <t>MORETTI STEFANIA</t>
  </si>
  <si>
    <t>TRENTA VALENTINA</t>
  </si>
  <si>
    <t>MEI CRISTIAN</t>
  </si>
  <si>
    <t>SOCIETA'AGRICOLA BELVEDERE</t>
  </si>
  <si>
    <t>BACCHI GIANLUCA</t>
  </si>
  <si>
    <t>LA FONTE BIO SOC. AGRICOLA</t>
  </si>
  <si>
    <t>PARADISI TERENZIO</t>
  </si>
  <si>
    <t>SALVATORI MANUEL</t>
  </si>
  <si>
    <t>GIRASOLI S.S. - SOCIETA' AGRICOLA</t>
  </si>
  <si>
    <t>MARCONI ANGELA</t>
  </si>
  <si>
    <t>CASOLI FRANCESCO</t>
  </si>
  <si>
    <t>CARZEDDA DIEGO</t>
  </si>
  <si>
    <t>SOCIETA' AGRICOLA POGGIO IMPERIALE MARCHE DI DARI LUCIA &amp; C. S.A. S.</t>
  </si>
  <si>
    <t>SOCIETA AGRICOLA MERCORELLI S.S.</t>
  </si>
  <si>
    <t>KRUSI STEFANIA CLAUDIA</t>
  </si>
  <si>
    <t>LE TRE QUERCE SOCIETA' SEMPLICE DI CARDINALI MARCO &amp; F.LLI CERNETTI</t>
  </si>
  <si>
    <t>COOP. SOCIALE SAN MICHELE ARCANGELO</t>
  </si>
  <si>
    <t>FERRETTI MASSIMO</t>
  </si>
  <si>
    <t>ALESSANDRINI ALDO</t>
  </si>
  <si>
    <t>DE ANGELIS DOMENICO</t>
  </si>
  <si>
    <t>MANENTI MARCO</t>
  </si>
  <si>
    <t>OLIVEIRA DE SOUZA VANESSA</t>
  </si>
  <si>
    <t>SOC. AGR. F.LLI CANCELLIERI S.S.</t>
  </si>
  <si>
    <t>CIACCI ANGELO</t>
  </si>
  <si>
    <t>DOMINICI ROBERTINO</t>
  </si>
  <si>
    <t>PRETELLI FRANCESCO</t>
  </si>
  <si>
    <t>LA PIEVE SOCIETA' AGRICOLA S.S.</t>
  </si>
  <si>
    <t>BIONDI PIERINO</t>
  </si>
  <si>
    <t>BUGLIONI CLELIA</t>
  </si>
  <si>
    <t>CARDELLA ROSSANA</t>
  </si>
  <si>
    <t>MARINI DANIELA</t>
  </si>
  <si>
    <t>LATINI MASSIMO</t>
  </si>
  <si>
    <t>ROCCHI FRANCA</t>
  </si>
  <si>
    <t>SPECCHIA MARIA GABRIELLA</t>
  </si>
  <si>
    <t>SPERANDIO LORIANO</t>
  </si>
  <si>
    <t>GHILARDI TANIA</t>
  </si>
  <si>
    <t>GIULIETTI MARCO</t>
  </si>
  <si>
    <t>MORI MASSIMO</t>
  </si>
  <si>
    <t>BERNARDI MIRCO</t>
  </si>
  <si>
    <t>BETTI DANIELE</t>
  </si>
  <si>
    <t>MARZIALETTI FRANCESCO</t>
  </si>
  <si>
    <t>ARE AGRICOLTURA SOCIETA' SEMPLICE AGRICOLA DI DE STEFANO GIOVANNA E C.</t>
  </si>
  <si>
    <t>SOCIETA' AGRICOLA FRATELLI BECCERICA S.S.</t>
  </si>
  <si>
    <t>CAA CIA - ANCONA - 003</t>
  </si>
  <si>
    <t>GIARDINI FEDERICO</t>
  </si>
  <si>
    <t>GIULIANI ELENA</t>
  </si>
  <si>
    <t>SOCIETA' AGRICOLA TENUTA BIAGIOLI SOCIETA' SEMPLICE</t>
  </si>
  <si>
    <t>BRANDI AURORA</t>
  </si>
  <si>
    <t>SPENDOLINI FRANCESCA</t>
  </si>
  <si>
    <t>CAPRADOSSI SIMONA</t>
  </si>
  <si>
    <t>SOCIETA' AGRICOLA LA SELVA COLLI DEL VENTO S.S.</t>
  </si>
  <si>
    <t>PALMIERI NICOLA</t>
  </si>
  <si>
    <t>CARDONA FEDERICO</t>
  </si>
  <si>
    <t>PETROLATI MANUELE</t>
  </si>
  <si>
    <t>RIPOSATI STEFANO</t>
  </si>
  <si>
    <t>TIBERI CRISTIAN</t>
  </si>
  <si>
    <t>IACCHINI STEFANO</t>
  </si>
  <si>
    <t>STROPPA SILVANA</t>
  </si>
  <si>
    <t>TAURUS S. S. AGRICOLA DI CAPITANI E. &amp; C</t>
  </si>
  <si>
    <t>AZIENDA AGRICOLA DI FURLANI MICHELA SAS</t>
  </si>
  <si>
    <t>SPERANDIO STEFANO</t>
  </si>
  <si>
    <t>BRAVI ALESSANDRO</t>
  </si>
  <si>
    <t>SGRECCIA ALESSANDRO</t>
  </si>
  <si>
    <t>VENTURI ROBERTO</t>
  </si>
  <si>
    <t>GRELLI ILARIA</t>
  </si>
  <si>
    <t>8 8.1 5e</t>
  </si>
  <si>
    <t>CESARONI GIULIANO</t>
  </si>
  <si>
    <t>AGEA.ASR.2025.1073082</t>
  </si>
  <si>
    <t>COMPAGNUCCI ALEX</t>
  </si>
  <si>
    <t>PASCUCCI LORENZO</t>
  </si>
  <si>
    <t>CORRADINI LUIGI</t>
  </si>
  <si>
    <t>TANCINI ORAZIO</t>
  </si>
  <si>
    <t>SOCIETA' AGRICOLA F.LLI MICONI S.S.</t>
  </si>
  <si>
    <t>SEBASTIANI MARCO</t>
  </si>
  <si>
    <t>SOCIETA AGRICOLA AGRIBAU S.S.</t>
  </si>
  <si>
    <t>VENERABILE CONFRATERNITA CORPUS DOMINI</t>
  </si>
  <si>
    <t>AVVERSARI MASSIMO</t>
  </si>
  <si>
    <t>SOCIETA' AGRICOLA LA VISCIOLA S.S.</t>
  </si>
  <si>
    <t>PRIORI MARCELLO</t>
  </si>
  <si>
    <t>MAZZANTI GIOVANNI</t>
  </si>
  <si>
    <t>MARASCO MANUELA</t>
  </si>
  <si>
    <t>RAFFEINER MARIA HELENE</t>
  </si>
  <si>
    <t>CASAMURATA SOCIETA' AGRICOLA</t>
  </si>
  <si>
    <t>STELLA MASSIMO</t>
  </si>
  <si>
    <t>IOZZI GIOVANNI</t>
  </si>
  <si>
    <t>PIAGGESI LUCA</t>
  </si>
  <si>
    <t>GAGLIARDINI STEFANO</t>
  </si>
  <si>
    <t>BORRONI GIORGIO</t>
  </si>
  <si>
    <t>POLIDORI FRANCO</t>
  </si>
  <si>
    <t>PALMUCCI GIORGIO</t>
  </si>
  <si>
    <t>MINNUCCI GIANLUCA</t>
  </si>
  <si>
    <t>RICCI LUCA</t>
  </si>
  <si>
    <t>SOCIETA' AGRICOLA IL CASONE DI INNOCENZI ROBERTA &amp; C. S.S.</t>
  </si>
  <si>
    <t>VITIVINICOLA BONCI GIUSEPPE E C. SAS</t>
  </si>
  <si>
    <t>ZAGAGLINI PIERALBERTO</t>
  </si>
  <si>
    <t>URTINI GIOVANNI</t>
  </si>
  <si>
    <t>SOCIETA' AGRICOLA PODERE L'INFINITO S.A.S. DI SIMONETTI MARCO &amp; C.</t>
  </si>
  <si>
    <t>SOCIETA' AGRICOLA DI SVILUPPO ZOOTECNICO S.R.L.</t>
  </si>
  <si>
    <t>RAFFAELI GIULIA</t>
  </si>
  <si>
    <t>AZ. AGR. MILESI FERRETTI CLOTILDE EREDI</t>
  </si>
  <si>
    <t>CAA Coldiretti - ANCONA - 001</t>
  </si>
  <si>
    <t>RAMAZZOTTI ANDREA</t>
  </si>
  <si>
    <t>GUERRIERI FERNANDA</t>
  </si>
  <si>
    <t>AZIENDA AGRICOLA DUE EMME DI VENANZI MASSIMO E MAURIZIO S.S.</t>
  </si>
  <si>
    <t>FATTORIA VESPRINI SOCIETA' AGRICOLA SEMPLICE</t>
  </si>
  <si>
    <t>MARASCA MARIO E MARASCA ANGELO SOCIETA'SEMPLICE</t>
  </si>
  <si>
    <t>CERVELLINI GIANLUCA</t>
  </si>
  <si>
    <t>RUFFINI MARIA-AUSILIA</t>
  </si>
  <si>
    <t>FADDA MELCHIORRE</t>
  </si>
  <si>
    <t>MARCONI STEFANO</t>
  </si>
  <si>
    <t>SILENZI SIMONE</t>
  </si>
  <si>
    <t>SGALLA SAMUELA</t>
  </si>
  <si>
    <t>MANCINI GABRIELE</t>
  </si>
  <si>
    <t>PAOLONI GIUSEPPA</t>
  </si>
  <si>
    <t>PALAZZETTI FABRIZIO</t>
  </si>
  <si>
    <t>LE GINESTRE S.A.S. DI CINGOLANI PAOLO &amp; C.</t>
  </si>
  <si>
    <t>TILLI CATERINA</t>
  </si>
  <si>
    <t>GIANNOTTI ORFEO</t>
  </si>
  <si>
    <t>SPARVOLI GIULIO</t>
  </si>
  <si>
    <t>GNASSI VINICIO</t>
  </si>
  <si>
    <t>SOCIETA' AGRICOLA HERBIO S.S.</t>
  </si>
  <si>
    <t>STORTINI DAVIDE</t>
  </si>
  <si>
    <t>LIBANORE ENRICO</t>
  </si>
  <si>
    <t>CANCELLIERI RAIMONDO</t>
  </si>
  <si>
    <t>VITA FILIPPO</t>
  </si>
  <si>
    <t>VENNARUCCI MATTEO</t>
  </si>
  <si>
    <t>AMICO ROSARIO</t>
  </si>
  <si>
    <t>CACCHIARELLI ANDREA</t>
  </si>
  <si>
    <t>PATREGNANI SAURO</t>
  </si>
  <si>
    <t>NOCI AMELIA</t>
  </si>
  <si>
    <t>DILETTI ROBERTO</t>
  </si>
  <si>
    <t>DE BELLIS SARA</t>
  </si>
  <si>
    <t>MANCINI VILBERTO</t>
  </si>
  <si>
    <t>MERCURIO GIUDITTA</t>
  </si>
  <si>
    <t>FRATTARI SABRINA</t>
  </si>
  <si>
    <t>IL GENTIL VERDE SOCIETA' AGRICOLA - SOCIETA' SEMPLICE</t>
  </si>
  <si>
    <t>MATTEI DANILO</t>
  </si>
  <si>
    <t>SERAFINI MIRCO</t>
  </si>
  <si>
    <t>SVEGLIATI MARCO</t>
  </si>
  <si>
    <t>CESETTI MARIELLA</t>
  </si>
  <si>
    <t>CARDINALI ANTONIO</t>
  </si>
  <si>
    <t>SOCIETA' SEMPLICE AGRICOLA VAGNI</t>
  </si>
  <si>
    <t>FATTORIA NONNO FELICE SOCIETA' SEMPLICE AGRICOLA</t>
  </si>
  <si>
    <t>VISSANI GRAZIELLA</t>
  </si>
  <si>
    <t>SOCIETA' AGRICOLA VILLA VIOLA S.S.</t>
  </si>
  <si>
    <t>SOCIETA' AGRICOLA TENUTA COLPAOLA S.R.L.</t>
  </si>
  <si>
    <t>SOCIETA' AGRICOLA IL GELSO SRL</t>
  </si>
  <si>
    <t>SOCIETA AGRICOLA TERRA MADRE S.S.</t>
  </si>
  <si>
    <t>PACESCHI EMANUELE</t>
  </si>
  <si>
    <t>MARZIALI LEA</t>
  </si>
  <si>
    <t>SCIARRESI LORENZO</t>
  </si>
  <si>
    <t>TURCHI MARIA</t>
  </si>
  <si>
    <t>PANDOLFI VASCO</t>
  </si>
  <si>
    <t>SOCIETA' AGRICOLA ROSA MARIA SOCIETA' SEMPLICE</t>
  </si>
  <si>
    <t>URBINATI GIOVANNA</t>
  </si>
  <si>
    <t>PARASACCHI REMO</t>
  </si>
  <si>
    <t>PHARMAFIT AGT SRL SOCIETA AGRICOLA</t>
  </si>
  <si>
    <t>RAGNUCCI ANTINISCA</t>
  </si>
  <si>
    <t>CAMILETTI VITTORIO</t>
  </si>
  <si>
    <t>KOSSIGNANO DI PELLEI DAVIDE &amp; C. SAS SOCIETA' AGRI</t>
  </si>
  <si>
    <t>LE BASI SOCIETA' SEMPLICE AGRICOLA</t>
  </si>
  <si>
    <t>TAMBELLA MARIA LUCIA</t>
  </si>
  <si>
    <t>CATANI DOMENICO</t>
  </si>
  <si>
    <t>AGOSTINI MARINA</t>
  </si>
  <si>
    <t>PIERSIGILLI RAFFAELE</t>
  </si>
  <si>
    <t>MAGGIORI GIANCARLO</t>
  </si>
  <si>
    <t>CIABOCO MARCELLO</t>
  </si>
  <si>
    <t>SOCIETA AGRICOLA LA PICCOLA VIOLA S.S.</t>
  </si>
  <si>
    <t>CURTI CLAUDIO</t>
  </si>
  <si>
    <t>SOCIETA' AGRICOLA GENTILESCHI ANDREA E CONTIGIANI CINZIA S.S</t>
  </si>
  <si>
    <t>MARINUCCI NENELLA</t>
  </si>
  <si>
    <t>VALENTINI ITALO</t>
  </si>
  <si>
    <t>EGIDI GIOVANNI</t>
  </si>
  <si>
    <t>BACCANARI LUCA</t>
  </si>
  <si>
    <t>SOCIETA' AGRICOLA LA COLLINA S.S.</t>
  </si>
  <si>
    <t>SOCIETA' AGRICOLA TERRADIMUCCIA SOCIETA'A RESPONSABILITA' LIMITATA SEM</t>
  </si>
  <si>
    <t>SOCIETA' AGRICOLA TORRAIMUNI EREDI CARLA BOTTALIGA DI MAURIZIO CONTE E</t>
  </si>
  <si>
    <t>SOCIETA' AGRICOLA LA COCCINELLA DI MICOZZI FEDERICA &amp; C. S.S</t>
  </si>
  <si>
    <t>SOCIETA' AGRICOLA TODO S.S.</t>
  </si>
  <si>
    <t>NASONI EMILIO</t>
  </si>
  <si>
    <t>MICHELETTI CARLO</t>
  </si>
  <si>
    <t>FORESTALE FIUNGO SOCIETA' AGRICOLA S.A.S DI ALESSANDRO E RICCARDO NICO</t>
  </si>
  <si>
    <t>SOC. AGRICOLA ZIGHINI DI ANDREA TERZIGLIO E FRANCESCO PAZZI SOC. SEMPL</t>
  </si>
  <si>
    <t>LANCIANESE LUCIANO</t>
  </si>
  <si>
    <t>CAMILETTI CLAUDIO</t>
  </si>
  <si>
    <t>VEDDOVI ENZO</t>
  </si>
  <si>
    <t>ZITTI MARCO</t>
  </si>
  <si>
    <t>NATALINI MARIA</t>
  </si>
  <si>
    <t>OTTAVIANI DILETTA</t>
  </si>
  <si>
    <t>MIETTI IGNAZIO</t>
  </si>
  <si>
    <t>PURINI MARIO</t>
  </si>
  <si>
    <t>AGUZZI MARZIO</t>
  </si>
  <si>
    <t>PESARESI LUCA</t>
  </si>
  <si>
    <t>CANTARELLI PIERPAOLO</t>
  </si>
  <si>
    <t>PARMEGIANI ROBERTO</t>
  </si>
  <si>
    <t>CASAGRANDE SANDRO</t>
  </si>
  <si>
    <t>SOCIETA' AGRICOLA LE SODERE DI MOSCATELLI SEBASTIANO E ARPINI AMALIA S</t>
  </si>
  <si>
    <t>LUCARINI ANDREA</t>
  </si>
  <si>
    <t>SANTINELLI GIOVANNI</t>
  </si>
  <si>
    <t>MAGNADORSA SOCIETA' AGRICOLA FORESTALE A R.L.</t>
  </si>
  <si>
    <t>MARIANI LAURA</t>
  </si>
  <si>
    <t>CORFIATI LEOPOLDO</t>
  </si>
  <si>
    <t>FINO ANDREA</t>
  </si>
  <si>
    <t>PEYRON BERNARDINO ENRICO MARIA</t>
  </si>
  <si>
    <t>POLONI AMELIA</t>
  </si>
  <si>
    <t>CONIGLI CRISTIAN</t>
  </si>
  <si>
    <t>SIMONCINI MARISA</t>
  </si>
  <si>
    <t>SOCIETA' AGRICOLA COLOCCINI DI CAPOVILLA VITTORIO E LORENZO SOCIE TA'</t>
  </si>
  <si>
    <t>SOCIETA' AGRICOLA CASTIGLIONI S.S. DI BISCI ALBERTO E AUGUSTO</t>
  </si>
  <si>
    <t>ZIZZI FRANCESCO</t>
  </si>
  <si>
    <t>CERULLI MASSIMO</t>
  </si>
  <si>
    <t>BULDRIGHINI ROBERTO</t>
  </si>
  <si>
    <t>PAOLONI SILVANO</t>
  </si>
  <si>
    <t>BALLINI SAURO</t>
  </si>
  <si>
    <t>DUCHI ALVINO</t>
  </si>
  <si>
    <t>GENTILETTI MIRYAM</t>
  </si>
  <si>
    <t>CUTINI GIUSEPPE</t>
  </si>
  <si>
    <t>SOCIETA' AGRICOLA MARILA S.S.</t>
  </si>
  <si>
    <t>SPINSANTI ORNELLA</t>
  </si>
  <si>
    <t>BACCHI MAURO</t>
  </si>
  <si>
    <t>DI GIROLAMI MARIANO</t>
  </si>
  <si>
    <t>EREDI DI AZIENDA AGRICOLA OASI BELLALUCE DI SAVELLI ELIO S.S.</t>
  </si>
  <si>
    <t>ANGELINI FRANCESCA MARIA</t>
  </si>
  <si>
    <t>MATTEUCCI TERZO</t>
  </si>
  <si>
    <t>SOCIETA' AGRICOLA BUCCHINI DAVIDE E ROMANI STEFANIA S.S.</t>
  </si>
  <si>
    <t>GUERRA LAURA</t>
  </si>
  <si>
    <t>PIEROZZI ROBERTO</t>
  </si>
  <si>
    <t>FARAONI RAFFAELE</t>
  </si>
  <si>
    <t>CARPINETI MICHELE</t>
  </si>
  <si>
    <t>VERGARI CLAUDIA</t>
  </si>
  <si>
    <t>CAA LiberiAgricoltori - MACERATA - 004</t>
  </si>
  <si>
    <t>EREDI RIPANI MODESTO DI TARDELLA GIANNIN A E RIPAN</t>
  </si>
  <si>
    <t>SILENZI MAURO</t>
  </si>
  <si>
    <t>MASSACCI LUCA</t>
  </si>
  <si>
    <t>AZIENDA AGRICOLA VITTORI DI PALOMBI MARISA - SOCIETA' AGRICOLA SE MPLI</t>
  </si>
  <si>
    <t>MAZZARELLI LUCIANO</t>
  </si>
  <si>
    <t>MAZZARELLI SIMONE</t>
  </si>
  <si>
    <t>LEONARDI RITA</t>
  </si>
  <si>
    <t>MICHELI SIMONETTA</t>
  </si>
  <si>
    <t>MORONI FRANCESCO</t>
  </si>
  <si>
    <t>MORBIDELLI MARIELLA</t>
  </si>
  <si>
    <t>SOCIETA'AGRICOLA SUN DI MARCHETTI SHARON LESLIE &amp; C. SAS</t>
  </si>
  <si>
    <t>MANOCCHI DAVIDE</t>
  </si>
  <si>
    <t>SOCIETA' AGRICOLA FLORIS SEBASTIANO E ANTONIO GIUSEPPE S.S.</t>
  </si>
  <si>
    <t>SOCIETA AGRICOLA BOZZI S.S.</t>
  </si>
  <si>
    <t>CASTIGLIONI FRANCESCO</t>
  </si>
  <si>
    <t>ROMALDINI MAURO</t>
  </si>
  <si>
    <t>GIUSTOZZI ELEONORA</t>
  </si>
  <si>
    <t>SOCIETA' AGRICOLA LA RINASCITA DI BONIFAZI BARBARA E C. S.S.</t>
  </si>
  <si>
    <t>PASQUALI PIETRO</t>
  </si>
  <si>
    <t>MANCINELLI GIOVANNI E CICCONOFRI MATILDE SOC. SEMPLICE</t>
  </si>
  <si>
    <t>SOCIETA' AGRICOLA DELLAVENZA SOCIETA' SEMPLICE</t>
  </si>
  <si>
    <t>SOCIETA' AGRICOLA FARA ANGELO E BRUNO SOCIETA' SEMPLICE</t>
  </si>
  <si>
    <t>GIROLOMONI GIOVANNI-BATTISTA</t>
  </si>
  <si>
    <t>SERFILIPPI MAURIZIO</t>
  </si>
  <si>
    <t>FERRINI MATTIA</t>
  </si>
  <si>
    <t>GIRALDI ALBERTO</t>
  </si>
  <si>
    <t>GIULIANI PRIMO</t>
  </si>
  <si>
    <t>GRASSELLI NERIO</t>
  </si>
  <si>
    <t>DES DORIDES MASSIMO</t>
  </si>
  <si>
    <t>CAA CIA - PERUGIA - 001</t>
  </si>
  <si>
    <t>AZIENDA AGRICOLA DELLE MONACHE SOCIETA' SEMPLICE AGRICOLA</t>
  </si>
  <si>
    <t>SOCIETA' AGRICOLA ALMA DI CATALINI MARCO &amp; ALICE SNC</t>
  </si>
  <si>
    <t>AZIENDA AGRICOLA F.LLI PACI DI FRANCESCO, ENZO ED ERINO PACI S.S.</t>
  </si>
  <si>
    <t>MANFREDI CLARISSA</t>
  </si>
  <si>
    <t>CAA Coldiretti - TERAMO - 005</t>
  </si>
  <si>
    <t>SOCIETA' AGRICOLA BARONE DI CORNACCHIA DI FILIPPO CATERINA S.S.</t>
  </si>
  <si>
    <t>MACCARI ANTONIO</t>
  </si>
  <si>
    <t>ALLEGREZZA COSETTA</t>
  </si>
  <si>
    <t>SALACOTTI MARIO</t>
  </si>
  <si>
    <t>PASCUCCI FRANCESCA</t>
  </si>
  <si>
    <t>SCOCCO GIANCARLO</t>
  </si>
  <si>
    <t>SILLA RICCARDO</t>
  </si>
  <si>
    <t>BORGIA EUGENIO</t>
  </si>
  <si>
    <t>DARABA MARIA CRISTINA</t>
  </si>
  <si>
    <t>SOCIETA' AGRICOLA M.E.C.A.G.A.P. DI CIPPITELLI GIULIA E C. SAS</t>
  </si>
  <si>
    <t>TENUTA COLLE CARUFO SOCIETA' AGRICOLA SEMPLICE</t>
  </si>
  <si>
    <t>CAPRIOTTI GABRIELE &amp; SPINOZZI BRUNA</t>
  </si>
  <si>
    <t>SOCIETA AGRICOLA BIOLOGICA ISOLA DELLA PIEVE S.S.</t>
  </si>
  <si>
    <t>CORRADETTI DAVIDE</t>
  </si>
  <si>
    <t>PAOLI PAOLO</t>
  </si>
  <si>
    <t>CANCELLIERI DAVID</t>
  </si>
  <si>
    <t>ZAMPONI IOLANDA</t>
  </si>
  <si>
    <t>AZIENDA AGRICOLA ROSEGG DI EGGENS SUSAN &amp; C. SOCIETA' SEMPLICE</t>
  </si>
  <si>
    <t>BALOCCHI ROBERTO</t>
  </si>
  <si>
    <t>BOLOGNINI MARTA</t>
  </si>
  <si>
    <t>SALVATORI MANFREDO</t>
  </si>
  <si>
    <t>BACCHIOCCHI ISABELLA</t>
  </si>
  <si>
    <t>AZIENDA AGRICOLA RICCIONI SS</t>
  </si>
  <si>
    <t>SOC.AGR.FARINELLI ELENA E LUCIANO</t>
  </si>
  <si>
    <t>D'ANGELO MARIA</t>
  </si>
  <si>
    <t>SOCIETA' AGRICOLA SAMSARA S.R.L.</t>
  </si>
  <si>
    <t>AZ. AGR. MONTACUTO DI PAOLO PASQUINI E ISAREMA MARGHERITA CIONI SOCIET</t>
  </si>
  <si>
    <t>PACI FLAVIO</t>
  </si>
  <si>
    <t>CERRACCHIO VALERIO</t>
  </si>
  <si>
    <t>CICCARELLI MARTINA</t>
  </si>
  <si>
    <t>FONDAZIONE DI RELIGIONE MARIA SOFIA GIUSTINIANI BANDINI - MA.SO.G I.BA</t>
  </si>
  <si>
    <t>AMADIO FRANCESCO</t>
  </si>
  <si>
    <t>FALCITELLI MARIA</t>
  </si>
  <si>
    <t>CARCIANI MATTEO</t>
  </si>
  <si>
    <t>SOCIETA AGRICOLA VALLEMONA SOCIETA SEMPLICE</t>
  </si>
  <si>
    <t>ROSSI EMIDIO</t>
  </si>
  <si>
    <t>SOCIETA AGRICOLA L'ORTO DELLA NONNA S.S.</t>
  </si>
  <si>
    <t>SOCIETA' AGRICOLA ELEO-SAN SOCIETA' SEMPLICE</t>
  </si>
  <si>
    <t>PARMEGIANI GABRIELE</t>
  </si>
  <si>
    <t>SOCIETA' AGRICOLA LA MANDRIOLA S.S.</t>
  </si>
  <si>
    <t>FRATINI MICHELE</t>
  </si>
  <si>
    <t>SOCIETA AGRICOLA FIORACCIA S.S.</t>
  </si>
  <si>
    <t>MONACHESI PAOLA</t>
  </si>
  <si>
    <t>MARANGONI CHIARA</t>
  </si>
  <si>
    <t>MARUCCI ROSSELLA</t>
  </si>
  <si>
    <t>TARDIOLI MARIA GRAZIA</t>
  </si>
  <si>
    <t>SPALLACCI GIORDANO</t>
  </si>
  <si>
    <t>MARTINELLI ANTONIO</t>
  </si>
  <si>
    <t>BORRONI GIULIA</t>
  </si>
  <si>
    <t>SOCIETA' AGRICOLA - FORESTALE IRCR MACERATA - SRL</t>
  </si>
  <si>
    <t>FERRI ALESSANDRA</t>
  </si>
  <si>
    <t>GIULIANI MAURIZIO</t>
  </si>
  <si>
    <t>PEPICELLI GIACOMO</t>
  </si>
  <si>
    <t>RANZUGLIA LORENZO</t>
  </si>
  <si>
    <t>SANTILLI MARIA</t>
  </si>
  <si>
    <t>GUERRA MARCO</t>
  </si>
  <si>
    <t>MONTICELLI ODA</t>
  </si>
  <si>
    <t>PE ANDREA</t>
  </si>
  <si>
    <t>SOC. AGR. CHIARAMONI NAZARENO E PIO S.S.</t>
  </si>
  <si>
    <t>CATALINI LOREDANA</t>
  </si>
  <si>
    <t>SOCIETA' AGRICOLA NERI DI NERI ROBERTO E C. S.S.</t>
  </si>
  <si>
    <t>SOCIETA' AGRICOLA 'NZAPA' DI FARABOLLINI GIACOMO SOCIETA' SEMPLICE</t>
  </si>
  <si>
    <t>SOCIETA' AGRICOLA SAN DIEGO S.N.C. DI PENNESI GIUSEPPE CARLO E C.</t>
  </si>
  <si>
    <t>BELARDINELLI CLAUDIO</t>
  </si>
  <si>
    <t>SOCIETA AGRICOLA BIOLOGICA FILENI S.R.L.</t>
  </si>
  <si>
    <t>SOCIETA' AGRICOLA 4R BIO DI RAGGI MAURO E BRANDI ADALGISA SOCIETA' SEM</t>
  </si>
  <si>
    <t>UGUCCIONI CORRADO</t>
  </si>
  <si>
    <t>AGRIDEA SNC DI RUGGERI VITTORIO &amp; C. SOCIETA' AGRICOLA</t>
  </si>
  <si>
    <t>AGRICOLA PATRIGNONI DI PATRIGNONI A. &amp; C. S.A.S.</t>
  </si>
  <si>
    <t>MICHELE SOCIETA' AGRICOLA SEMPLICE</t>
  </si>
  <si>
    <t>NALDONI GIUSEPPE</t>
  </si>
  <si>
    <t>CARBINI ROBERTO</t>
  </si>
  <si>
    <t>REMONDINA SOPHIA</t>
  </si>
  <si>
    <t>BALDISSERRI CINZIA</t>
  </si>
  <si>
    <t>MEZZANOTTE SANDRINO</t>
  </si>
  <si>
    <t>CICILIANI BASILIO</t>
  </si>
  <si>
    <t>MOCHI II SOCIETA' AGRICOLA S.S.</t>
  </si>
  <si>
    <t>CAPPELLI ANNA</t>
  </si>
  <si>
    <t>AZIENDA AGRICOLA CERVANELLO S.S.</t>
  </si>
  <si>
    <t>SANTINI GIORGIO</t>
  </si>
  <si>
    <t>SANNA GIUSEPPE</t>
  </si>
  <si>
    <t>ROSORANI NADIA</t>
  </si>
  <si>
    <t>AZIENDA AGRICOLA GRILLI GIUSTI S.S.</t>
  </si>
  <si>
    <t>CIMARELLI GIOVANNI</t>
  </si>
  <si>
    <t>PICCARI MASSIMILIANO</t>
  </si>
  <si>
    <t>SOCIETA' AGRICOLA AZIENDA AGRITURISTICA CA' CIRIGIOLO S.S.</t>
  </si>
  <si>
    <t>VALLORANI MARIA LUIGINA</t>
  </si>
  <si>
    <t>MISICI MARIO</t>
  </si>
  <si>
    <t>ANTONINI ANNA-MARIA</t>
  </si>
  <si>
    <t>SCARABOTTI STEFANIA</t>
  </si>
  <si>
    <t>FUSARI LUCA</t>
  </si>
  <si>
    <t>LAVANNA GILBERTO</t>
  </si>
  <si>
    <t>GENTILINI MARCO</t>
  </si>
  <si>
    <t>PALLOTTINI GIACINTO SALVATORE</t>
  </si>
  <si>
    <t>ANTINORI SILVIA</t>
  </si>
  <si>
    <t>SOCIETA' AGRICOLA MARGHERITA S.S.</t>
  </si>
  <si>
    <t>LIBERTI ALESSIO</t>
  </si>
  <si>
    <t>AZIENDA AGRICOLA SAN CESARIO DI PESCI SABINA E NARDELLA MICHELE</t>
  </si>
  <si>
    <t>SCANDURA MAURO</t>
  </si>
  <si>
    <t>STROLOGO DOMENICO</t>
  </si>
  <si>
    <t>PEDINI ROBERTO</t>
  </si>
  <si>
    <t>LA QUERCIA DI MARTARELLI VITTORIO E C. SOCIETA SEMPLICE</t>
  </si>
  <si>
    <t>LAPPONI CARLO</t>
  </si>
  <si>
    <t>LEONI SILVANO</t>
  </si>
  <si>
    <t>RUSTICHELLI PAOLO</t>
  </si>
  <si>
    <t>MARI MATTEO</t>
  </si>
  <si>
    <t>PIERSANTI LUIGI</t>
  </si>
  <si>
    <t>CARZEDDA CARLO</t>
  </si>
  <si>
    <t>PIRISI PEPPINO</t>
  </si>
  <si>
    <t>EMERALD SOCIETA' AGRICOLA S.S.</t>
  </si>
  <si>
    <t>RADICI SOCIETA' AGRICOLA SEMPLICE DI FIORANI MARIA CHIARA &amp; C.</t>
  </si>
  <si>
    <t>GATTI PAOLO</t>
  </si>
  <si>
    <t>CERVIGNI DIONISIO</t>
  </si>
  <si>
    <t>CALAMANTE STEFANIA</t>
  </si>
  <si>
    <t>MAZZIERI RENZO</t>
  </si>
  <si>
    <t>DE CARLI SARA</t>
  </si>
  <si>
    <t>AGABITI NICOLO'</t>
  </si>
  <si>
    <t>CENTIONI SILVIO</t>
  </si>
  <si>
    <t>LENZI RICCARDO</t>
  </si>
  <si>
    <t>BUGUGNOLI SAMANTA</t>
  </si>
  <si>
    <t>SOCIETA' AGRICOLA CIELO MARCHIGIANO S.S.</t>
  </si>
  <si>
    <t>CICCONI MASSIMILIANO</t>
  </si>
  <si>
    <t>CAPITANI FEDERICO</t>
  </si>
  <si>
    <t>MARCHETTI RICCARDO</t>
  </si>
  <si>
    <t>BINDELLI-MINARDI SOCIETA' AGRICOLA S.R.L.</t>
  </si>
  <si>
    <t>VALLORANI DANIELE</t>
  </si>
  <si>
    <t>SOTGIA PIETRO GIORGIO GIUSEPPE</t>
  </si>
  <si>
    <t>SOCIETA' AGRICOLA FRATELLI ROSSETTI SOCIETA' SEMPLICE</t>
  </si>
  <si>
    <t>SOCIETA AGRICOLA FATTORIA ANTICA DIMORA S.S.</t>
  </si>
  <si>
    <t>BARBETTI LORIS</t>
  </si>
  <si>
    <t>PAPA GIULIANA CARLA E NICOLA</t>
  </si>
  <si>
    <t>CAA UNSIC s.r.l.</t>
  </si>
  <si>
    <t>CAA UNSIC - ASCOLI PICENO - 001</t>
  </si>
  <si>
    <t>GIUDICI SOCIETA' AGRICOLA</t>
  </si>
  <si>
    <t>SOCIETA' AGRICOLA LA COLLINA DELLE GRAZIE S.S.</t>
  </si>
  <si>
    <t>SOC.AGR.LA CRISMEA DI SORICHETTA MARIA GIOVANNA E CROCETTI CRISTIANO S</t>
  </si>
  <si>
    <t>LEONI ANDREA</t>
  </si>
  <si>
    <t>NUCCI ANDREA</t>
  </si>
  <si>
    <t>POLO 9 SOC.COOP.SOCIALE-IMP.SOC.</t>
  </si>
  <si>
    <t>CHIARICI GABRIELE</t>
  </si>
  <si>
    <t>GUAZZAROTTI DIEGO</t>
  </si>
  <si>
    <t>GIACINTI GIULIANA</t>
  </si>
  <si>
    <t>AZIENDA SERRONE SOCIETA' AGRICOLA SEMPLICE DI FELIZIANI FEDERICO E C.</t>
  </si>
  <si>
    <t>BARBATO BEATRICE</t>
  </si>
  <si>
    <t>SOCIETA' AGRICOLA SOLINI ADRIA E TAMARA S.S.</t>
  </si>
  <si>
    <t>BELLUCCI SARA</t>
  </si>
  <si>
    <t>BEI MATTIA</t>
  </si>
  <si>
    <t>FANTUZI MATTEO</t>
  </si>
  <si>
    <t>GUARDABASSI DANIELE</t>
  </si>
  <si>
    <t>ANGELI SIMONE</t>
  </si>
  <si>
    <t>BORDI MARZIO</t>
  </si>
  <si>
    <t>SALVUCCI ONELIA</t>
  </si>
  <si>
    <t>DE ANGELIS PIETRO</t>
  </si>
  <si>
    <t>MARAVIGLIA SAURO</t>
  </si>
  <si>
    <t>RANUCCI TIZIANA</t>
  </si>
  <si>
    <t>MAROZZI CRISTIANO</t>
  </si>
  <si>
    <t>MASCIARELLI VALENTINA</t>
  </si>
  <si>
    <t>TOMASSINI LUCA</t>
  </si>
  <si>
    <t>ROBERTI ANNA</t>
  </si>
  <si>
    <t>CARDINI VALENTINO</t>
  </si>
  <si>
    <t>CAPPONI MATTEO</t>
  </si>
  <si>
    <t>CAVALIERE ERRANTE DI EREDI FRANCESCO ILARI</t>
  </si>
  <si>
    <t>FILODIVINO SOCIETA' AGRICOLA FORESTALE S.R.L.</t>
  </si>
  <si>
    <t>GIONNI GINA</t>
  </si>
  <si>
    <t>GIOMMETTI ELENA</t>
  </si>
  <si>
    <t>MATTIOLI ALESSANDRO</t>
  </si>
  <si>
    <t>LAURI PAOLO</t>
  </si>
  <si>
    <t>SOCIETA' AGRICOLA ECCE POMO DI GUERRA MARCO E SERRAZANETTI DIANA-ISABE</t>
  </si>
  <si>
    <t>SOCIETA' AGRICOLA BRACCI S.S.</t>
  </si>
  <si>
    <t>SOCIETA' AGRICOLA PIERONI S.S.</t>
  </si>
  <si>
    <t>SOCIETA' COOPERATIVA SOCIALE A RESPONSABILITA' LIMITATA BERTA '80</t>
  </si>
  <si>
    <t>PALMAS BACHISIO</t>
  </si>
  <si>
    <t>POMPILI PAOLO</t>
  </si>
  <si>
    <t>CATINCA ALEXANDRA MIHAELA</t>
  </si>
  <si>
    <t>MERELLI MARCELLO</t>
  </si>
  <si>
    <t>SCUPPA RICCARDO</t>
  </si>
  <si>
    <t>AZIENDA AGRICOLA IL GELSO DEI F.LLI COFANI DI COFANI ALESSANDRO COFANI</t>
  </si>
  <si>
    <t>MACK JONATHAN PETER</t>
  </si>
  <si>
    <t>SARGENTI GIORDANO</t>
  </si>
  <si>
    <t>PAZZELLI STEFANO</t>
  </si>
  <si>
    <t>SACCHI NAZZARENO</t>
  </si>
  <si>
    <t>TROBBIANI GIULIANO</t>
  </si>
  <si>
    <t>GIONNI LUCA</t>
  </si>
  <si>
    <t>SANTINI CONCETTA</t>
  </si>
  <si>
    <t>MARONI LAURA</t>
  </si>
  <si>
    <t>CARSETTI ROLANDO</t>
  </si>
  <si>
    <t>AGAMENNONE MARCO</t>
  </si>
  <si>
    <t>DI MASCIO VINCENZA</t>
  </si>
  <si>
    <t>TUCCINI ANGELO</t>
  </si>
  <si>
    <t>SOCIETA' AGRICOLA "FATTORIA DEI SIBILLINI" SOC. SEMPLICE</t>
  </si>
  <si>
    <t>DE ANGELIS SERGIO</t>
  </si>
  <si>
    <t>CORBELLI LUIGINO</t>
  </si>
  <si>
    <t>PARADISOINCOLLINA SOCIETA'AGRICOLA S.S.</t>
  </si>
  <si>
    <t>COMPAGNUCCI SERENELLA</t>
  </si>
  <si>
    <t>PIERANGELI LAURA</t>
  </si>
  <si>
    <t>SOCIETA' AGRICOLA MAURI DOMENICO E C. S.S.</t>
  </si>
  <si>
    <t>CARZEDDA GIAN MARIA</t>
  </si>
  <si>
    <t>BICCARI FABRIZIO</t>
  </si>
  <si>
    <t>AGRIHOUSE LA SERRA S.R.L. SOCIETA' AGRICOLA</t>
  </si>
  <si>
    <t>MATTEI LIVIANA</t>
  </si>
  <si>
    <t>CARLINI PIO</t>
  </si>
  <si>
    <t>SOCIETA' AGRICOLA RAIKA BIO S.S.</t>
  </si>
  <si>
    <t>CENSI BUFFARINI FILIPPO</t>
  </si>
  <si>
    <t>ANDREOLI MASSIMILIANO</t>
  </si>
  <si>
    <t>BASSI ELENA</t>
  </si>
  <si>
    <t>CIOCCOLONI FRANCESCO</t>
  </si>
  <si>
    <t>FABI LEONARDO</t>
  </si>
  <si>
    <t>PALMIERI FILIPPO</t>
  </si>
  <si>
    <t>ROSATI GINO</t>
  </si>
  <si>
    <t>SOCIETA' AGRICOLA TERRA E SOLE BOSCARINI SRL</t>
  </si>
  <si>
    <t>DALL'OSSO LUCA</t>
  </si>
  <si>
    <t>SOCIETA'AGRICOLA LA MARCA DI SCAGNETTI FRANCESCO E C. SOC. SEMPLICE</t>
  </si>
  <si>
    <t>DONAIRES MOLINA ANA</t>
  </si>
  <si>
    <t>ANIBALDI CINZIA</t>
  </si>
  <si>
    <t>SOCIETA' AGRICOLA SU CASARU DI PORCU ANTONIO E GIUSEPPE S.S.</t>
  </si>
  <si>
    <t>SOCIETA' AGRICOLA PINTUS MARIO &amp; FRANCESCO S.S.</t>
  </si>
  <si>
    <t>GIANNUZZI LUCA</t>
  </si>
  <si>
    <t>SOCIETA' AGRICOLA TRIFOGLIO BIANCO S.S.</t>
  </si>
  <si>
    <t>SOCIETA' AGRI HABILIS COOPERATIVA AGRICOLA</t>
  </si>
  <si>
    <t>DIBIAGI ADELMO</t>
  </si>
  <si>
    <t>ALEANDRI SIMONA</t>
  </si>
  <si>
    <t>ALESIANI GIORGIO</t>
  </si>
  <si>
    <t>SARGENTI MARTINO</t>
  </si>
  <si>
    <t>SANCHIONI ALESSANDRO</t>
  </si>
  <si>
    <t>LA SANTOREGGIA SOCIETA' AGRICOLA DI LATTAZI ELISA E MICHELE S. S</t>
  </si>
  <si>
    <t>SOCIETA' AGRICOLA ARCANGELI JACOPO S.S.</t>
  </si>
  <si>
    <t>BALDARELLI FRANCESCO</t>
  </si>
  <si>
    <t>CASTIGLIONI LAVINIA</t>
  </si>
  <si>
    <t>TODERI FEDERICO</t>
  </si>
  <si>
    <t>JANSTA SVATOPLUK</t>
  </si>
  <si>
    <t>BOTTA FRANCESCA</t>
  </si>
  <si>
    <t>ORAZIETTI GIACOMO</t>
  </si>
  <si>
    <t>MARSILI FRANCESCO</t>
  </si>
  <si>
    <t>SCAGNETTI ROSARIA</t>
  </si>
  <si>
    <t>SOCIETA' AGRICOLA ALBEROTONDO DI POLVERE MICHELANGELO E C. S.S.</t>
  </si>
  <si>
    <t>CARBINI PATRIZIA</t>
  </si>
  <si>
    <t>'C.I.P.S.E.' COOP.VA INTERREGIONALE PRODUZIONE SEMENTI ELETT</t>
  </si>
  <si>
    <t>AZIENDA AGRICOLA RIO BERTO S.S. DI TAMANTI RENZO, TOSI GIUSEPPE E VIRG</t>
  </si>
  <si>
    <t>SACCOMANDI MARCO</t>
  </si>
  <si>
    <t>LESTI ANTONELLO</t>
  </si>
  <si>
    <t>MORELLI PAOLA</t>
  </si>
  <si>
    <t>MONTEDORO CESARE</t>
  </si>
  <si>
    <t>PIETRINI SANDRA</t>
  </si>
  <si>
    <t>NIBI SALVATORE</t>
  </si>
  <si>
    <t>SOCIETA' AGRICOLA SEPI ANGELICA E CATERINA S.S.</t>
  </si>
  <si>
    <t>VERDI COLLINE SOC. AGRICOLA S.S</t>
  </si>
  <si>
    <t>VERDUCCI ROBERTO</t>
  </si>
  <si>
    <t>ALOISI RICCARDO</t>
  </si>
  <si>
    <t>SOCIETA' AGRICOLA LUCARINI AUGUSTO E C.S.S.</t>
  </si>
  <si>
    <t>CASE BASSE S.S.A.</t>
  </si>
  <si>
    <t>SOCIETA' AGRICOLA MONTANARI DI MICHETTI NUNZIO SALVATORE &amp; C S.S.</t>
  </si>
  <si>
    <t>MARASCA ROBERTA</t>
  </si>
  <si>
    <t>SASSAROLI NICOLA</t>
  </si>
  <si>
    <t>BELLEGGIA 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</si>
</sst>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42"/>
  <sheetViews>
    <sheetView showGridLines="0" tabSelected="1" workbookViewId="0">
      <selection sqref="A1:AA1"/>
    </sheetView>
  </sheetViews>
  <sheetFormatPr defaultRowHeight="15" x14ac:dyDescent="0.25"/>
  <cols>
    <col min="1" max="1" width="15.5703125" style="1" bestFit="1" customWidth="1"/>
    <col min="2" max="2" width="16.28515625" style="1" bestFit="1" customWidth="1"/>
    <col min="3" max="3" width="7.28515625" style="1" bestFit="1" customWidth="1"/>
    <col min="4" max="4" width="36.5703125" style="1" bestFit="1" customWidth="1"/>
    <col min="5" max="5" width="32.42578125" style="1" bestFit="1" customWidth="1"/>
    <col min="6" max="6" width="36.42578125" style="1" bestFit="1" customWidth="1"/>
    <col min="7" max="7" width="8.42578125" style="1" bestFit="1" customWidth="1"/>
    <col min="8" max="8" width="12.7109375" style="1" bestFit="1" customWidth="1"/>
    <col min="9" max="9" width="21.140625" style="1" bestFit="1" customWidth="1"/>
    <col min="10" max="10" width="20.140625" style="1" bestFit="1" customWidth="1"/>
    <col min="11" max="12" width="17" style="1" bestFit="1" customWidth="1"/>
    <col min="13" max="13" width="4.42578125" style="1" bestFit="1" customWidth="1"/>
    <col min="14" max="14" width="36.5703125" style="1" bestFit="1" customWidth="1"/>
    <col min="15" max="15" width="18.42578125" style="1" bestFit="1" customWidth="1"/>
    <col min="16" max="16" width="18.85546875" style="1" bestFit="1" customWidth="1"/>
    <col min="17" max="17" width="23" style="1" bestFit="1" customWidth="1"/>
    <col min="18" max="18" width="16.28515625" style="1" bestFit="1" customWidth="1"/>
    <col min="19" max="19" width="17.85546875" style="1" bestFit="1" customWidth="1"/>
    <col min="20" max="20" width="20.28515625" style="1" bestFit="1" customWidth="1"/>
    <col min="21" max="21" width="4.85546875" style="1" bestFit="1" customWidth="1"/>
    <col min="22" max="22" width="25.7109375" style="1" bestFit="1" customWidth="1"/>
    <col min="23" max="23" width="18.42578125" style="1" bestFit="1" customWidth="1"/>
    <col min="24" max="24" width="24.5703125" style="1" bestFit="1" customWidth="1"/>
    <col min="25" max="26" width="27.140625" style="1" bestFit="1" customWidth="1"/>
    <col min="27" max="27" width="33.85546875" style="1" bestFit="1" customWidth="1"/>
    <col min="28" max="16384" width="9.140625" style="1"/>
  </cols>
  <sheetData>
    <row r="1" spans="1:27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ht="24.75" x14ac:dyDescent="0.25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>
        <v>2025</v>
      </c>
      <c r="H4" s="3" t="str">
        <f>CONCATENATE("54240642972")</f>
        <v>54240642972</v>
      </c>
      <c r="I4" s="3" t="s">
        <v>34</v>
      </c>
      <c r="J4" s="3" t="s">
        <v>35</v>
      </c>
      <c r="K4" s="3"/>
      <c r="L4" s="3" t="s">
        <v>36</v>
      </c>
      <c r="M4" s="3" t="str">
        <f>CONCATENATE("CCCVNC66M63I287P")</f>
        <v>CCCVNC66M63I287P</v>
      </c>
      <c r="N4" s="3" t="s">
        <v>37</v>
      </c>
      <c r="O4" s="3" t="s">
        <v>38</v>
      </c>
      <c r="P4" s="3"/>
      <c r="Q4" s="4">
        <v>45944</v>
      </c>
      <c r="R4" s="3" t="s">
        <v>39</v>
      </c>
      <c r="S4" s="3" t="s">
        <v>38</v>
      </c>
      <c r="T4" s="3" t="s">
        <v>40</v>
      </c>
      <c r="U4" s="3"/>
      <c r="V4" s="3" t="s">
        <v>41</v>
      </c>
      <c r="W4" s="5">
        <v>2399.7600000000002</v>
      </c>
      <c r="X4" s="5">
        <v>1799.82</v>
      </c>
      <c r="Y4" s="3">
        <v>419.96</v>
      </c>
      <c r="Z4" s="3">
        <v>179.98</v>
      </c>
      <c r="AA4" s="3">
        <v>0</v>
      </c>
    </row>
    <row r="5" spans="1:27" ht="24.75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>
        <v>2025</v>
      </c>
      <c r="H5" s="3" t="str">
        <f>CONCATENATE("54240643152")</f>
        <v>54240643152</v>
      </c>
      <c r="I5" s="3" t="s">
        <v>34</v>
      </c>
      <c r="J5" s="3" t="s">
        <v>35</v>
      </c>
      <c r="K5" s="3"/>
      <c r="L5" s="3" t="s">
        <v>36</v>
      </c>
      <c r="M5" s="3" t="str">
        <f>CONCATENATE("GRSLLN64P65I287V")</f>
        <v>GRSLLN64P65I287V</v>
      </c>
      <c r="N5" s="3" t="s">
        <v>42</v>
      </c>
      <c r="O5" s="3" t="s">
        <v>38</v>
      </c>
      <c r="P5" s="3"/>
      <c r="Q5" s="4">
        <v>45944</v>
      </c>
      <c r="R5" s="3" t="s">
        <v>39</v>
      </c>
      <c r="S5" s="3" t="s">
        <v>38</v>
      </c>
      <c r="T5" s="3" t="s">
        <v>43</v>
      </c>
      <c r="U5" s="3"/>
      <c r="V5" s="3" t="s">
        <v>41</v>
      </c>
      <c r="W5" s="5">
        <v>5553.03</v>
      </c>
      <c r="X5" s="5">
        <v>5553.03</v>
      </c>
      <c r="Y5" s="3">
        <v>0</v>
      </c>
      <c r="Z5" s="3">
        <v>0</v>
      </c>
      <c r="AA5" s="3">
        <v>0</v>
      </c>
    </row>
    <row r="6" spans="1:27" ht="24.75" x14ac:dyDescent="0.25">
      <c r="A6" s="3" t="s">
        <v>28</v>
      </c>
      <c r="B6" s="3" t="s">
        <v>29</v>
      </c>
      <c r="C6" s="3" t="s">
        <v>30</v>
      </c>
      <c r="D6" s="3" t="s">
        <v>31</v>
      </c>
      <c r="E6" s="3" t="s">
        <v>32</v>
      </c>
      <c r="F6" s="3" t="s">
        <v>44</v>
      </c>
      <c r="G6" s="3">
        <v>2025</v>
      </c>
      <c r="H6" s="3" t="str">
        <f>CONCATENATE("54240539319")</f>
        <v>54240539319</v>
      </c>
      <c r="I6" s="3" t="s">
        <v>34</v>
      </c>
      <c r="J6" s="3" t="s">
        <v>35</v>
      </c>
      <c r="K6" s="3"/>
      <c r="L6" s="3" t="s">
        <v>36</v>
      </c>
      <c r="M6" s="3" t="str">
        <f>CONCATENATE("CNTNGL64H58D749U")</f>
        <v>CNTNGL64H58D749U</v>
      </c>
      <c r="N6" s="3" t="s">
        <v>45</v>
      </c>
      <c r="O6" s="3" t="s">
        <v>38</v>
      </c>
      <c r="P6" s="3"/>
      <c r="Q6" s="4">
        <v>45944</v>
      </c>
      <c r="R6" s="3" t="s">
        <v>39</v>
      </c>
      <c r="S6" s="3" t="s">
        <v>38</v>
      </c>
      <c r="T6" s="3" t="s">
        <v>43</v>
      </c>
      <c r="U6" s="3"/>
      <c r="V6" s="3" t="s">
        <v>41</v>
      </c>
      <c r="W6" s="5">
        <v>1949.31</v>
      </c>
      <c r="X6" s="5">
        <v>1949.31</v>
      </c>
      <c r="Y6" s="3">
        <v>0</v>
      </c>
      <c r="Z6" s="3">
        <v>0</v>
      </c>
      <c r="AA6" s="3">
        <v>0</v>
      </c>
    </row>
    <row r="7" spans="1:27" ht="24.75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46</v>
      </c>
      <c r="F7" s="3" t="s">
        <v>47</v>
      </c>
      <c r="G7" s="3">
        <v>2025</v>
      </c>
      <c r="H7" s="3" t="str">
        <f>CONCATENATE("54240512654")</f>
        <v>54240512654</v>
      </c>
      <c r="I7" s="3" t="s">
        <v>34</v>
      </c>
      <c r="J7" s="3" t="s">
        <v>35</v>
      </c>
      <c r="K7" s="3"/>
      <c r="L7" s="3" t="s">
        <v>36</v>
      </c>
      <c r="M7" s="3" t="str">
        <f>CONCATENATE("02599330418")</f>
        <v>02599330418</v>
      </c>
      <c r="N7" s="3" t="s">
        <v>48</v>
      </c>
      <c r="O7" s="3" t="s">
        <v>38</v>
      </c>
      <c r="P7" s="3"/>
      <c r="Q7" s="4">
        <v>45944</v>
      </c>
      <c r="R7" s="3" t="s">
        <v>39</v>
      </c>
      <c r="S7" s="3" t="s">
        <v>38</v>
      </c>
      <c r="T7" s="3" t="s">
        <v>43</v>
      </c>
      <c r="U7" s="3"/>
      <c r="V7" s="3" t="s">
        <v>41</v>
      </c>
      <c r="W7" s="5">
        <v>5191.04</v>
      </c>
      <c r="X7" s="5">
        <v>5191.04</v>
      </c>
      <c r="Y7" s="3">
        <v>0</v>
      </c>
      <c r="Z7" s="3">
        <v>0</v>
      </c>
      <c r="AA7" s="3">
        <v>0</v>
      </c>
    </row>
    <row r="8" spans="1:27" x14ac:dyDescent="0.25">
      <c r="A8" s="3" t="s">
        <v>28</v>
      </c>
      <c r="B8" s="3" t="s">
        <v>29</v>
      </c>
      <c r="C8" s="3" t="s">
        <v>30</v>
      </c>
      <c r="D8" s="3" t="s">
        <v>49</v>
      </c>
      <c r="E8" s="3" t="s">
        <v>50</v>
      </c>
      <c r="F8" s="3" t="s">
        <v>51</v>
      </c>
      <c r="G8" s="3">
        <v>2025</v>
      </c>
      <c r="H8" s="3" t="str">
        <f>CONCATENATE("54240637162")</f>
        <v>54240637162</v>
      </c>
      <c r="I8" s="3" t="s">
        <v>34</v>
      </c>
      <c r="J8" s="3" t="s">
        <v>35</v>
      </c>
      <c r="K8" s="3"/>
      <c r="L8" s="3" t="s">
        <v>36</v>
      </c>
      <c r="M8" s="3" t="str">
        <f>CONCATENATE("MCCLCU70B14B474K")</f>
        <v>MCCLCU70B14B474K</v>
      </c>
      <c r="N8" s="3" t="s">
        <v>52</v>
      </c>
      <c r="O8" s="3" t="s">
        <v>38</v>
      </c>
      <c r="P8" s="3"/>
      <c r="Q8" s="4">
        <v>45944</v>
      </c>
      <c r="R8" s="3" t="s">
        <v>39</v>
      </c>
      <c r="S8" s="3" t="s">
        <v>38</v>
      </c>
      <c r="T8" s="3" t="s">
        <v>43</v>
      </c>
      <c r="U8" s="3"/>
      <c r="V8" s="3" t="s">
        <v>41</v>
      </c>
      <c r="W8" s="5">
        <v>2185.12</v>
      </c>
      <c r="X8" s="5">
        <v>2185.12</v>
      </c>
      <c r="Y8" s="3">
        <v>0</v>
      </c>
      <c r="Z8" s="3">
        <v>0</v>
      </c>
      <c r="AA8" s="3">
        <v>0</v>
      </c>
    </row>
    <row r="9" spans="1:27" ht="24.75" x14ac:dyDescent="0.25">
      <c r="A9" s="3" t="s">
        <v>28</v>
      </c>
      <c r="B9" s="3" t="s">
        <v>29</v>
      </c>
      <c r="C9" s="3" t="s">
        <v>30</v>
      </c>
      <c r="D9" s="3" t="s">
        <v>31</v>
      </c>
      <c r="E9" s="3" t="s">
        <v>53</v>
      </c>
      <c r="F9" s="3" t="s">
        <v>54</v>
      </c>
      <c r="G9" s="3">
        <v>2025</v>
      </c>
      <c r="H9" s="3" t="str">
        <f>CONCATENATE("54240521796")</f>
        <v>54240521796</v>
      </c>
      <c r="I9" s="3" t="s">
        <v>34</v>
      </c>
      <c r="J9" s="3" t="s">
        <v>35</v>
      </c>
      <c r="K9" s="3"/>
      <c r="L9" s="3" t="s">
        <v>36</v>
      </c>
      <c r="M9" s="3" t="str">
        <f>CONCATENATE("MRRPTR57C30I460M")</f>
        <v>MRRPTR57C30I460M</v>
      </c>
      <c r="N9" s="3" t="s">
        <v>55</v>
      </c>
      <c r="O9" s="3" t="s">
        <v>38</v>
      </c>
      <c r="P9" s="3"/>
      <c r="Q9" s="4">
        <v>45944</v>
      </c>
      <c r="R9" s="3" t="s">
        <v>39</v>
      </c>
      <c r="S9" s="3" t="s">
        <v>38</v>
      </c>
      <c r="T9" s="3" t="s">
        <v>43</v>
      </c>
      <c r="U9" s="3"/>
      <c r="V9" s="3" t="s">
        <v>41</v>
      </c>
      <c r="W9" s="5">
        <v>2924.09</v>
      </c>
      <c r="X9" s="5">
        <v>2924.09</v>
      </c>
      <c r="Y9" s="3">
        <v>0</v>
      </c>
      <c r="Z9" s="3">
        <v>0</v>
      </c>
      <c r="AA9" s="3">
        <v>0</v>
      </c>
    </row>
    <row r="10" spans="1:27" ht="24.75" x14ac:dyDescent="0.25">
      <c r="A10" s="3" t="s">
        <v>28</v>
      </c>
      <c r="B10" s="3" t="s">
        <v>29</v>
      </c>
      <c r="C10" s="3" t="s">
        <v>30</v>
      </c>
      <c r="D10" s="3" t="s">
        <v>31</v>
      </c>
      <c r="E10" s="3" t="s">
        <v>32</v>
      </c>
      <c r="F10" s="3" t="s">
        <v>56</v>
      </c>
      <c r="G10" s="3">
        <v>2025</v>
      </c>
      <c r="H10" s="3" t="str">
        <f>CONCATENATE("54240565355")</f>
        <v>54240565355</v>
      </c>
      <c r="I10" s="3" t="s">
        <v>34</v>
      </c>
      <c r="J10" s="3" t="s">
        <v>35</v>
      </c>
      <c r="K10" s="3"/>
      <c r="L10" s="3" t="s">
        <v>36</v>
      </c>
      <c r="M10" s="3" t="str">
        <f>CONCATENATE("PCAPLA55R01F310N")</f>
        <v>PCAPLA55R01F310N</v>
      </c>
      <c r="N10" s="3" t="s">
        <v>57</v>
      </c>
      <c r="O10" s="3" t="s">
        <v>38</v>
      </c>
      <c r="P10" s="3"/>
      <c r="Q10" s="4">
        <v>45944</v>
      </c>
      <c r="R10" s="3" t="s">
        <v>39</v>
      </c>
      <c r="S10" s="3" t="s">
        <v>38</v>
      </c>
      <c r="T10" s="3" t="s">
        <v>43</v>
      </c>
      <c r="U10" s="3"/>
      <c r="V10" s="3" t="s">
        <v>41</v>
      </c>
      <c r="W10" s="5">
        <v>17859.259999999998</v>
      </c>
      <c r="X10" s="5">
        <v>17859.259999999998</v>
      </c>
      <c r="Y10" s="3">
        <v>0</v>
      </c>
      <c r="Z10" s="3">
        <v>0</v>
      </c>
      <c r="AA10" s="3">
        <v>0</v>
      </c>
    </row>
    <row r="11" spans="1:27" ht="24.75" x14ac:dyDescent="0.25">
      <c r="A11" s="3" t="s">
        <v>28</v>
      </c>
      <c r="B11" s="3" t="s">
        <v>29</v>
      </c>
      <c r="C11" s="3" t="s">
        <v>30</v>
      </c>
      <c r="D11" s="3" t="s">
        <v>58</v>
      </c>
      <c r="E11" s="3" t="s">
        <v>53</v>
      </c>
      <c r="F11" s="3" t="s">
        <v>59</v>
      </c>
      <c r="G11" s="3">
        <v>2024</v>
      </c>
      <c r="H11" s="3" t="str">
        <f>CONCATENATE("44240367605")</f>
        <v>44240367605</v>
      </c>
      <c r="I11" s="3" t="s">
        <v>34</v>
      </c>
      <c r="J11" s="3" t="s">
        <v>35</v>
      </c>
      <c r="K11" s="3"/>
      <c r="L11" s="3" t="s">
        <v>36</v>
      </c>
      <c r="M11" s="3" t="str">
        <f>CONCATENATE("LMNLSN58B55L500G")</f>
        <v>LMNLSN58B55L500G</v>
      </c>
      <c r="N11" s="3" t="s">
        <v>60</v>
      </c>
      <c r="O11" s="3" t="s">
        <v>41</v>
      </c>
      <c r="P11" s="3" t="s">
        <v>61</v>
      </c>
      <c r="Q11" s="4">
        <v>45932</v>
      </c>
      <c r="R11" s="3" t="s">
        <v>39</v>
      </c>
      <c r="S11" s="3" t="s">
        <v>62</v>
      </c>
      <c r="T11" s="3" t="s">
        <v>40</v>
      </c>
      <c r="U11" s="3"/>
      <c r="V11" s="3" t="s">
        <v>41</v>
      </c>
      <c r="W11" s="5">
        <v>1375.38</v>
      </c>
      <c r="X11" s="5">
        <v>1031.54</v>
      </c>
      <c r="Y11" s="3">
        <v>240.69</v>
      </c>
      <c r="Z11" s="3">
        <v>103.15</v>
      </c>
      <c r="AA11" s="3">
        <v>0</v>
      </c>
    </row>
    <row r="12" spans="1:27" ht="24.75" x14ac:dyDescent="0.25">
      <c r="A12" s="3" t="s">
        <v>28</v>
      </c>
      <c r="B12" s="3" t="s">
        <v>29</v>
      </c>
      <c r="C12" s="3" t="s">
        <v>30</v>
      </c>
      <c r="D12" s="3" t="s">
        <v>63</v>
      </c>
      <c r="E12" s="3" t="s">
        <v>64</v>
      </c>
      <c r="F12" s="3" t="s">
        <v>65</v>
      </c>
      <c r="G12" s="3">
        <v>2024</v>
      </c>
      <c r="H12" s="3" t="str">
        <f>CONCATENATE("44240148997")</f>
        <v>44240148997</v>
      </c>
      <c r="I12" s="3" t="s">
        <v>34</v>
      </c>
      <c r="J12" s="3" t="s">
        <v>35</v>
      </c>
      <c r="K12" s="3"/>
      <c r="L12" s="3" t="s">
        <v>66</v>
      </c>
      <c r="M12" s="3" t="str">
        <f>CONCATENATE("CMNPRP80M24A462N")</f>
        <v>CMNPRP80M24A462N</v>
      </c>
      <c r="N12" s="3" t="s">
        <v>67</v>
      </c>
      <c r="O12" s="3" t="s">
        <v>68</v>
      </c>
      <c r="P12" s="3"/>
      <c r="Q12" s="4">
        <v>45944</v>
      </c>
      <c r="R12" s="3" t="s">
        <v>39</v>
      </c>
      <c r="S12" s="3" t="s">
        <v>62</v>
      </c>
      <c r="T12" s="3" t="s">
        <v>40</v>
      </c>
      <c r="U12" s="3"/>
      <c r="V12" s="3" t="s">
        <v>41</v>
      </c>
      <c r="W12" s="3">
        <v>35.4</v>
      </c>
      <c r="X12" s="3">
        <v>18.760000000000002</v>
      </c>
      <c r="Y12" s="3">
        <v>11.65</v>
      </c>
      <c r="Z12" s="3">
        <v>4.99</v>
      </c>
      <c r="AA12" s="3">
        <v>0</v>
      </c>
    </row>
    <row r="13" spans="1:27" x14ac:dyDescent="0.25">
      <c r="A13" s="3" t="s">
        <v>28</v>
      </c>
      <c r="B13" s="3" t="s">
        <v>29</v>
      </c>
      <c r="C13" s="3" t="s">
        <v>30</v>
      </c>
      <c r="D13" s="3" t="s">
        <v>49</v>
      </c>
      <c r="E13" s="3" t="s">
        <v>32</v>
      </c>
      <c r="F13" s="3" t="s">
        <v>69</v>
      </c>
      <c r="G13" s="3">
        <v>2024</v>
      </c>
      <c r="H13" s="3" t="str">
        <f>CONCATENATE("44240227395")</f>
        <v>44240227395</v>
      </c>
      <c r="I13" s="3" t="s">
        <v>34</v>
      </c>
      <c r="J13" s="3" t="s">
        <v>35</v>
      </c>
      <c r="K13" s="3"/>
      <c r="L13" s="3" t="s">
        <v>66</v>
      </c>
      <c r="M13" s="3" t="str">
        <f>CONCATENATE("CRCLRT81H18L191M")</f>
        <v>CRCLRT81H18L191M</v>
      </c>
      <c r="N13" s="3" t="s">
        <v>70</v>
      </c>
      <c r="O13" s="3" t="s">
        <v>68</v>
      </c>
      <c r="P13" s="3"/>
      <c r="Q13" s="4">
        <v>45944</v>
      </c>
      <c r="R13" s="3" t="s">
        <v>39</v>
      </c>
      <c r="S13" s="3" t="s">
        <v>62</v>
      </c>
      <c r="T13" s="3" t="s">
        <v>40</v>
      </c>
      <c r="U13" s="3"/>
      <c r="V13" s="3" t="s">
        <v>41</v>
      </c>
      <c r="W13" s="5">
        <v>3471.6</v>
      </c>
      <c r="X13" s="5">
        <v>1839.95</v>
      </c>
      <c r="Y13" s="5">
        <v>1142.1600000000001</v>
      </c>
      <c r="Z13" s="3">
        <v>489.49</v>
      </c>
      <c r="AA13" s="3">
        <v>0</v>
      </c>
    </row>
    <row r="14" spans="1:27" x14ac:dyDescent="0.25">
      <c r="A14" s="3" t="s">
        <v>28</v>
      </c>
      <c r="B14" s="3" t="s">
        <v>29</v>
      </c>
      <c r="C14" s="3" t="s">
        <v>30</v>
      </c>
      <c r="D14" s="3" t="s">
        <v>49</v>
      </c>
      <c r="E14" s="3" t="s">
        <v>32</v>
      </c>
      <c r="F14" s="3" t="s">
        <v>71</v>
      </c>
      <c r="G14" s="3">
        <v>2025</v>
      </c>
      <c r="H14" s="3" t="str">
        <f>CONCATENATE("54240584802")</f>
        <v>54240584802</v>
      </c>
      <c r="I14" s="3" t="s">
        <v>34</v>
      </c>
      <c r="J14" s="3" t="s">
        <v>35</v>
      </c>
      <c r="K14" s="3"/>
      <c r="L14" s="3" t="s">
        <v>36</v>
      </c>
      <c r="M14" s="3" t="str">
        <f>CONCATENATE("PCCRNN54M45B398S")</f>
        <v>PCCRNN54M45B398S</v>
      </c>
      <c r="N14" s="3" t="s">
        <v>72</v>
      </c>
      <c r="O14" s="3" t="s">
        <v>38</v>
      </c>
      <c r="P14" s="3"/>
      <c r="Q14" s="4">
        <v>45944</v>
      </c>
      <c r="R14" s="3" t="s">
        <v>39</v>
      </c>
      <c r="S14" s="3" t="s">
        <v>38</v>
      </c>
      <c r="T14" s="3" t="s">
        <v>43</v>
      </c>
      <c r="U14" s="3"/>
      <c r="V14" s="3" t="s">
        <v>41</v>
      </c>
      <c r="W14" s="5">
        <v>2211.12</v>
      </c>
      <c r="X14" s="5">
        <v>2211.12</v>
      </c>
      <c r="Y14" s="3">
        <v>0</v>
      </c>
      <c r="Z14" s="3">
        <v>0</v>
      </c>
      <c r="AA14" s="3">
        <v>0</v>
      </c>
    </row>
    <row r="15" spans="1:27" ht="24.75" x14ac:dyDescent="0.25">
      <c r="A15" s="3" t="s">
        <v>28</v>
      </c>
      <c r="B15" s="3" t="s">
        <v>29</v>
      </c>
      <c r="C15" s="3" t="s">
        <v>30</v>
      </c>
      <c r="D15" s="3" t="s">
        <v>58</v>
      </c>
      <c r="E15" s="3" t="s">
        <v>53</v>
      </c>
      <c r="F15" s="3" t="s">
        <v>59</v>
      </c>
      <c r="G15" s="3">
        <v>2025</v>
      </c>
      <c r="H15" s="3" t="str">
        <f>CONCATENATE("54240584901")</f>
        <v>54240584901</v>
      </c>
      <c r="I15" s="3" t="s">
        <v>34</v>
      </c>
      <c r="J15" s="3" t="s">
        <v>35</v>
      </c>
      <c r="K15" s="3"/>
      <c r="L15" s="3" t="s">
        <v>36</v>
      </c>
      <c r="M15" s="3" t="str">
        <f>CONCATENATE("PRRGCR73H22E388I")</f>
        <v>PRRGCR73H22E388I</v>
      </c>
      <c r="N15" s="3" t="s">
        <v>73</v>
      </c>
      <c r="O15" s="3" t="s">
        <v>38</v>
      </c>
      <c r="P15" s="3"/>
      <c r="Q15" s="4">
        <v>45944</v>
      </c>
      <c r="R15" s="3" t="s">
        <v>39</v>
      </c>
      <c r="S15" s="3" t="s">
        <v>38</v>
      </c>
      <c r="T15" s="3" t="s">
        <v>43</v>
      </c>
      <c r="U15" s="3"/>
      <c r="V15" s="3" t="s">
        <v>41</v>
      </c>
      <c r="W15" s="5">
        <v>4461.6099999999997</v>
      </c>
      <c r="X15" s="5">
        <v>4461.6099999999997</v>
      </c>
      <c r="Y15" s="3">
        <v>0</v>
      </c>
      <c r="Z15" s="3">
        <v>0</v>
      </c>
      <c r="AA15" s="3">
        <v>0</v>
      </c>
    </row>
    <row r="16" spans="1:27" ht="24.75" x14ac:dyDescent="0.25">
      <c r="A16" s="3" t="s">
        <v>28</v>
      </c>
      <c r="B16" s="3" t="s">
        <v>29</v>
      </c>
      <c r="C16" s="3" t="s">
        <v>30</v>
      </c>
      <c r="D16" s="3" t="s">
        <v>31</v>
      </c>
      <c r="E16" s="3" t="s">
        <v>74</v>
      </c>
      <c r="F16" s="3" t="s">
        <v>75</v>
      </c>
      <c r="G16" s="3">
        <v>2025</v>
      </c>
      <c r="H16" s="3" t="str">
        <f>CONCATENATE("54240585130")</f>
        <v>54240585130</v>
      </c>
      <c r="I16" s="3" t="s">
        <v>34</v>
      </c>
      <c r="J16" s="3" t="s">
        <v>35</v>
      </c>
      <c r="K16" s="3"/>
      <c r="L16" s="3" t="s">
        <v>36</v>
      </c>
      <c r="M16" s="3" t="str">
        <f>CONCATENATE("MTRGNI53H28D691E")</f>
        <v>MTRGNI53H28D691E</v>
      </c>
      <c r="N16" s="3" t="s">
        <v>76</v>
      </c>
      <c r="O16" s="3" t="s">
        <v>38</v>
      </c>
      <c r="P16" s="3"/>
      <c r="Q16" s="4">
        <v>45944</v>
      </c>
      <c r="R16" s="3" t="s">
        <v>39</v>
      </c>
      <c r="S16" s="3" t="s">
        <v>38</v>
      </c>
      <c r="T16" s="3" t="s">
        <v>43</v>
      </c>
      <c r="U16" s="3"/>
      <c r="V16" s="3" t="s">
        <v>41</v>
      </c>
      <c r="W16" s="5">
        <v>1026.31</v>
      </c>
      <c r="X16" s="5">
        <v>1026.31</v>
      </c>
      <c r="Y16" s="3">
        <v>0</v>
      </c>
      <c r="Z16" s="3">
        <v>0</v>
      </c>
      <c r="AA16" s="3">
        <v>0</v>
      </c>
    </row>
    <row r="17" spans="1:27" ht="24.75" x14ac:dyDescent="0.25">
      <c r="A17" s="3" t="s">
        <v>28</v>
      </c>
      <c r="B17" s="3" t="s">
        <v>29</v>
      </c>
      <c r="C17" s="3" t="s">
        <v>30</v>
      </c>
      <c r="D17" s="3" t="s">
        <v>31</v>
      </c>
      <c r="E17" s="3" t="s">
        <v>74</v>
      </c>
      <c r="F17" s="3" t="s">
        <v>75</v>
      </c>
      <c r="G17" s="3">
        <v>2025</v>
      </c>
      <c r="H17" s="3" t="str">
        <f>CONCATENATE("54240585312")</f>
        <v>54240585312</v>
      </c>
      <c r="I17" s="3" t="s">
        <v>34</v>
      </c>
      <c r="J17" s="3" t="s">
        <v>35</v>
      </c>
      <c r="K17" s="3"/>
      <c r="L17" s="3" t="s">
        <v>36</v>
      </c>
      <c r="M17" s="3" t="str">
        <f>CONCATENATE("ZNBLLL60P03E351Z")</f>
        <v>ZNBLLL60P03E351Z</v>
      </c>
      <c r="N17" s="3" t="s">
        <v>77</v>
      </c>
      <c r="O17" s="3" t="s">
        <v>38</v>
      </c>
      <c r="P17" s="3"/>
      <c r="Q17" s="4">
        <v>45944</v>
      </c>
      <c r="R17" s="3" t="s">
        <v>39</v>
      </c>
      <c r="S17" s="3" t="s">
        <v>38</v>
      </c>
      <c r="T17" s="3" t="s">
        <v>43</v>
      </c>
      <c r="U17" s="3"/>
      <c r="V17" s="3" t="s">
        <v>41</v>
      </c>
      <c r="W17" s="5">
        <v>2496.6799999999998</v>
      </c>
      <c r="X17" s="5">
        <v>2496.6799999999998</v>
      </c>
      <c r="Y17" s="3">
        <v>0</v>
      </c>
      <c r="Z17" s="3">
        <v>0</v>
      </c>
      <c r="AA17" s="3">
        <v>0</v>
      </c>
    </row>
    <row r="18" spans="1:27" ht="60.75" x14ac:dyDescent="0.25">
      <c r="A18" s="3" t="s">
        <v>28</v>
      </c>
      <c r="B18" s="3" t="s">
        <v>29</v>
      </c>
      <c r="C18" s="3" t="s">
        <v>30</v>
      </c>
      <c r="D18" s="3" t="s">
        <v>49</v>
      </c>
      <c r="E18" s="3" t="s">
        <v>32</v>
      </c>
      <c r="F18" s="3" t="s">
        <v>78</v>
      </c>
      <c r="G18" s="3">
        <v>2025</v>
      </c>
      <c r="H18" s="3" t="str">
        <f>CONCATENATE("54240592565")</f>
        <v>54240592565</v>
      </c>
      <c r="I18" s="3" t="s">
        <v>34</v>
      </c>
      <c r="J18" s="3" t="s">
        <v>35</v>
      </c>
      <c r="K18" s="3"/>
      <c r="L18" s="3" t="s">
        <v>36</v>
      </c>
      <c r="M18" s="3" t="str">
        <f>CONCATENATE("LTTSDR60M44L814J")</f>
        <v>LTTSDR60M44L814J</v>
      </c>
      <c r="N18" s="3" t="s">
        <v>79</v>
      </c>
      <c r="O18" s="3" t="s">
        <v>38</v>
      </c>
      <c r="P18" s="3"/>
      <c r="Q18" s="4">
        <v>45944</v>
      </c>
      <c r="R18" s="3" t="s">
        <v>39</v>
      </c>
      <c r="S18" s="3" t="s">
        <v>38</v>
      </c>
      <c r="T18" s="3" t="s">
        <v>43</v>
      </c>
      <c r="U18" s="3"/>
      <c r="V18" s="3" t="s">
        <v>41</v>
      </c>
      <c r="W18" s="5">
        <v>4620.96</v>
      </c>
      <c r="X18" s="5">
        <v>4620.96</v>
      </c>
      <c r="Y18" s="3">
        <v>0</v>
      </c>
      <c r="Z18" s="3">
        <v>0</v>
      </c>
      <c r="AA18" s="3">
        <v>0</v>
      </c>
    </row>
    <row r="19" spans="1:27" ht="60.75" x14ac:dyDescent="0.25">
      <c r="A19" s="3" t="s">
        <v>28</v>
      </c>
      <c r="B19" s="3" t="s">
        <v>29</v>
      </c>
      <c r="C19" s="3" t="s">
        <v>30</v>
      </c>
      <c r="D19" s="3" t="s">
        <v>63</v>
      </c>
      <c r="E19" s="3" t="s">
        <v>53</v>
      </c>
      <c r="F19" s="3" t="s">
        <v>80</v>
      </c>
      <c r="G19" s="3">
        <v>2025</v>
      </c>
      <c r="H19" s="3" t="str">
        <f>CONCATENATE("54240587359")</f>
        <v>54240587359</v>
      </c>
      <c r="I19" s="3" t="s">
        <v>34</v>
      </c>
      <c r="J19" s="3" t="s">
        <v>35</v>
      </c>
      <c r="K19" s="3"/>
      <c r="L19" s="3" t="s">
        <v>36</v>
      </c>
      <c r="M19" s="3" t="str">
        <f>CONCATENATE("HKSMKS74C18Z126D")</f>
        <v>HKSMKS74C18Z126D</v>
      </c>
      <c r="N19" s="3" t="s">
        <v>81</v>
      </c>
      <c r="O19" s="3" t="s">
        <v>38</v>
      </c>
      <c r="P19" s="3"/>
      <c r="Q19" s="4">
        <v>45944</v>
      </c>
      <c r="R19" s="3" t="s">
        <v>39</v>
      </c>
      <c r="S19" s="3" t="s">
        <v>38</v>
      </c>
      <c r="T19" s="3" t="s">
        <v>43</v>
      </c>
      <c r="U19" s="3"/>
      <c r="V19" s="3" t="s">
        <v>41</v>
      </c>
      <c r="W19" s="3">
        <v>220.29</v>
      </c>
      <c r="X19" s="3">
        <v>220.29</v>
      </c>
      <c r="Y19" s="3">
        <v>0</v>
      </c>
      <c r="Z19" s="3">
        <v>0</v>
      </c>
      <c r="AA19" s="3">
        <v>0</v>
      </c>
    </row>
    <row r="20" spans="1:27" ht="60.75" x14ac:dyDescent="0.25">
      <c r="A20" s="3" t="s">
        <v>28</v>
      </c>
      <c r="B20" s="3" t="s">
        <v>29</v>
      </c>
      <c r="C20" s="3" t="s">
        <v>30</v>
      </c>
      <c r="D20" s="3" t="s">
        <v>31</v>
      </c>
      <c r="E20" s="3" t="s">
        <v>53</v>
      </c>
      <c r="F20" s="3" t="s">
        <v>82</v>
      </c>
      <c r="G20" s="3">
        <v>2025</v>
      </c>
      <c r="H20" s="3" t="str">
        <f>CONCATENATE("54240585809")</f>
        <v>54240585809</v>
      </c>
      <c r="I20" s="3" t="s">
        <v>34</v>
      </c>
      <c r="J20" s="3" t="s">
        <v>35</v>
      </c>
      <c r="K20" s="3"/>
      <c r="L20" s="3" t="s">
        <v>36</v>
      </c>
      <c r="M20" s="3" t="str">
        <f>CONCATENATE("TBNGCR36E29L078Q")</f>
        <v>TBNGCR36E29L078Q</v>
      </c>
      <c r="N20" s="3" t="s">
        <v>83</v>
      </c>
      <c r="O20" s="3" t="s">
        <v>38</v>
      </c>
      <c r="P20" s="3"/>
      <c r="Q20" s="4">
        <v>45944</v>
      </c>
      <c r="R20" s="3" t="s">
        <v>39</v>
      </c>
      <c r="S20" s="3" t="s">
        <v>38</v>
      </c>
      <c r="T20" s="3" t="s">
        <v>43</v>
      </c>
      <c r="U20" s="3"/>
      <c r="V20" s="3" t="s">
        <v>41</v>
      </c>
      <c r="W20" s="5">
        <v>1685.92</v>
      </c>
      <c r="X20" s="5">
        <v>1685.92</v>
      </c>
      <c r="Y20" s="3">
        <v>0</v>
      </c>
      <c r="Z20" s="3">
        <v>0</v>
      </c>
      <c r="AA20" s="3">
        <v>0</v>
      </c>
    </row>
    <row r="21" spans="1:27" ht="36.75" x14ac:dyDescent="0.25">
      <c r="A21" s="3" t="s">
        <v>28</v>
      </c>
      <c r="B21" s="3" t="s">
        <v>29</v>
      </c>
      <c r="C21" s="3" t="s">
        <v>30</v>
      </c>
      <c r="D21" s="3" t="s">
        <v>58</v>
      </c>
      <c r="E21" s="3" t="s">
        <v>74</v>
      </c>
      <c r="F21" s="3" t="s">
        <v>84</v>
      </c>
      <c r="G21" s="3">
        <v>2025</v>
      </c>
      <c r="H21" s="3" t="str">
        <f>CONCATENATE("54240585973")</f>
        <v>54240585973</v>
      </c>
      <c r="I21" s="3" t="s">
        <v>34</v>
      </c>
      <c r="J21" s="3" t="s">
        <v>35</v>
      </c>
      <c r="K21" s="3"/>
      <c r="L21" s="3" t="s">
        <v>36</v>
      </c>
      <c r="M21" s="3" t="str">
        <f>CONCATENATE("02681040420")</f>
        <v>02681040420</v>
      </c>
      <c r="N21" s="3" t="s">
        <v>85</v>
      </c>
      <c r="O21" s="3" t="s">
        <v>38</v>
      </c>
      <c r="P21" s="3"/>
      <c r="Q21" s="4">
        <v>45944</v>
      </c>
      <c r="R21" s="3" t="s">
        <v>39</v>
      </c>
      <c r="S21" s="3" t="s">
        <v>38</v>
      </c>
      <c r="T21" s="3" t="s">
        <v>43</v>
      </c>
      <c r="U21" s="3"/>
      <c r="V21" s="3" t="s">
        <v>41</v>
      </c>
      <c r="W21" s="5">
        <v>2434.4699999999998</v>
      </c>
      <c r="X21" s="5">
        <v>2434.4699999999998</v>
      </c>
      <c r="Y21" s="3">
        <v>0</v>
      </c>
      <c r="Z21" s="3">
        <v>0</v>
      </c>
      <c r="AA21" s="3">
        <v>0</v>
      </c>
    </row>
    <row r="22" spans="1:27" ht="48.75" x14ac:dyDescent="0.25">
      <c r="A22" s="3" t="s">
        <v>28</v>
      </c>
      <c r="B22" s="3" t="s">
        <v>29</v>
      </c>
      <c r="C22" s="3" t="s">
        <v>30</v>
      </c>
      <c r="D22" s="3" t="s">
        <v>49</v>
      </c>
      <c r="E22" s="3" t="s">
        <v>32</v>
      </c>
      <c r="F22" s="3" t="s">
        <v>86</v>
      </c>
      <c r="G22" s="3">
        <v>2025</v>
      </c>
      <c r="H22" s="3" t="str">
        <f>CONCATENATE("54240586799")</f>
        <v>54240586799</v>
      </c>
      <c r="I22" s="3" t="s">
        <v>34</v>
      </c>
      <c r="J22" s="3" t="s">
        <v>35</v>
      </c>
      <c r="K22" s="3"/>
      <c r="L22" s="3" t="s">
        <v>36</v>
      </c>
      <c r="M22" s="3" t="str">
        <f>CONCATENATE("SLVPLA69L13L366X")</f>
        <v>SLVPLA69L13L366X</v>
      </c>
      <c r="N22" s="3" t="s">
        <v>87</v>
      </c>
      <c r="O22" s="3" t="s">
        <v>38</v>
      </c>
      <c r="P22" s="3"/>
      <c r="Q22" s="4">
        <v>45944</v>
      </c>
      <c r="R22" s="3" t="s">
        <v>39</v>
      </c>
      <c r="S22" s="3" t="s">
        <v>38</v>
      </c>
      <c r="T22" s="3" t="s">
        <v>43</v>
      </c>
      <c r="U22" s="3"/>
      <c r="V22" s="3" t="s">
        <v>41</v>
      </c>
      <c r="W22" s="3">
        <v>691.94</v>
      </c>
      <c r="X22" s="3">
        <v>691.94</v>
      </c>
      <c r="Y22" s="3">
        <v>0</v>
      </c>
      <c r="Z22" s="3">
        <v>0</v>
      </c>
      <c r="AA22" s="3">
        <v>0</v>
      </c>
    </row>
    <row r="23" spans="1:27" ht="60.75" x14ac:dyDescent="0.25">
      <c r="A23" s="3" t="s">
        <v>28</v>
      </c>
      <c r="B23" s="3" t="s">
        <v>29</v>
      </c>
      <c r="C23" s="3" t="s">
        <v>30</v>
      </c>
      <c r="D23" s="3" t="s">
        <v>58</v>
      </c>
      <c r="E23" s="3" t="s">
        <v>53</v>
      </c>
      <c r="F23" s="3" t="s">
        <v>59</v>
      </c>
      <c r="G23" s="3">
        <v>2025</v>
      </c>
      <c r="H23" s="3" t="str">
        <f>CONCATENATE("54240587045")</f>
        <v>54240587045</v>
      </c>
      <c r="I23" s="3" t="s">
        <v>34</v>
      </c>
      <c r="J23" s="3" t="s">
        <v>35</v>
      </c>
      <c r="K23" s="3"/>
      <c r="L23" s="3" t="s">
        <v>36</v>
      </c>
      <c r="M23" s="3" t="str">
        <f>CONCATENATE("VTLLRD83M18D451C")</f>
        <v>VTLLRD83M18D451C</v>
      </c>
      <c r="N23" s="3" t="s">
        <v>88</v>
      </c>
      <c r="O23" s="3" t="s">
        <v>38</v>
      </c>
      <c r="P23" s="3"/>
      <c r="Q23" s="4">
        <v>45944</v>
      </c>
      <c r="R23" s="3" t="s">
        <v>39</v>
      </c>
      <c r="S23" s="3" t="s">
        <v>38</v>
      </c>
      <c r="T23" s="3" t="s">
        <v>43</v>
      </c>
      <c r="U23" s="3"/>
      <c r="V23" s="3" t="s">
        <v>41</v>
      </c>
      <c r="W23" s="5">
        <v>1453.12</v>
      </c>
      <c r="X23" s="5">
        <v>1453.12</v>
      </c>
      <c r="Y23" s="3">
        <v>0</v>
      </c>
      <c r="Z23" s="3">
        <v>0</v>
      </c>
      <c r="AA23" s="3">
        <v>0</v>
      </c>
    </row>
    <row r="24" spans="1:27" ht="72.75" x14ac:dyDescent="0.25">
      <c r="A24" s="3" t="s">
        <v>28</v>
      </c>
      <c r="B24" s="3" t="s">
        <v>29</v>
      </c>
      <c r="C24" s="3" t="s">
        <v>30</v>
      </c>
      <c r="D24" s="3" t="s">
        <v>58</v>
      </c>
      <c r="E24" s="3" t="s">
        <v>53</v>
      </c>
      <c r="F24" s="3" t="s">
        <v>59</v>
      </c>
      <c r="G24" s="3">
        <v>2025</v>
      </c>
      <c r="H24" s="3" t="str">
        <f>CONCATENATE("54240587748")</f>
        <v>54240587748</v>
      </c>
      <c r="I24" s="3" t="s">
        <v>34</v>
      </c>
      <c r="J24" s="3" t="s">
        <v>35</v>
      </c>
      <c r="K24" s="3"/>
      <c r="L24" s="3" t="s">
        <v>36</v>
      </c>
      <c r="M24" s="3" t="str">
        <f>CONCATENATE("MRUSVT68R14A978E")</f>
        <v>MRUSVT68R14A978E</v>
      </c>
      <c r="N24" s="3" t="s">
        <v>89</v>
      </c>
      <c r="O24" s="3" t="s">
        <v>38</v>
      </c>
      <c r="P24" s="3"/>
      <c r="Q24" s="4">
        <v>45944</v>
      </c>
      <c r="R24" s="3" t="s">
        <v>39</v>
      </c>
      <c r="S24" s="3" t="s">
        <v>38</v>
      </c>
      <c r="T24" s="3" t="s">
        <v>43</v>
      </c>
      <c r="U24" s="3"/>
      <c r="V24" s="3" t="s">
        <v>41</v>
      </c>
      <c r="W24" s="5">
        <v>9845.42</v>
      </c>
      <c r="X24" s="5">
        <v>9845.42</v>
      </c>
      <c r="Y24" s="3">
        <v>0</v>
      </c>
      <c r="Z24" s="3">
        <v>0</v>
      </c>
      <c r="AA24" s="3">
        <v>0</v>
      </c>
    </row>
    <row r="25" spans="1:27" ht="60.75" x14ac:dyDescent="0.25">
      <c r="A25" s="3" t="s">
        <v>28</v>
      </c>
      <c r="B25" s="3" t="s">
        <v>29</v>
      </c>
      <c r="C25" s="3" t="s">
        <v>30</v>
      </c>
      <c r="D25" s="3" t="s">
        <v>31</v>
      </c>
      <c r="E25" s="3" t="s">
        <v>32</v>
      </c>
      <c r="F25" s="3" t="s">
        <v>44</v>
      </c>
      <c r="G25" s="3">
        <v>2025</v>
      </c>
      <c r="H25" s="3" t="str">
        <f>CONCATENATE("54240591484")</f>
        <v>54240591484</v>
      </c>
      <c r="I25" s="3" t="s">
        <v>34</v>
      </c>
      <c r="J25" s="3" t="s">
        <v>35</v>
      </c>
      <c r="K25" s="3"/>
      <c r="L25" s="3" t="s">
        <v>36</v>
      </c>
      <c r="M25" s="3" t="str">
        <f>CONCATENATE("NRDCRL65D10L498M")</f>
        <v>NRDCRL65D10L498M</v>
      </c>
      <c r="N25" s="3" t="s">
        <v>90</v>
      </c>
      <c r="O25" s="3" t="s">
        <v>38</v>
      </c>
      <c r="P25" s="3"/>
      <c r="Q25" s="4">
        <v>45944</v>
      </c>
      <c r="R25" s="3" t="s">
        <v>39</v>
      </c>
      <c r="S25" s="3" t="s">
        <v>38</v>
      </c>
      <c r="T25" s="3" t="s">
        <v>43</v>
      </c>
      <c r="U25" s="3"/>
      <c r="V25" s="3" t="s">
        <v>41</v>
      </c>
      <c r="W25" s="5">
        <v>1007.84</v>
      </c>
      <c r="X25" s="5">
        <v>1007.84</v>
      </c>
      <c r="Y25" s="3">
        <v>0</v>
      </c>
      <c r="Z25" s="3">
        <v>0</v>
      </c>
      <c r="AA25" s="3">
        <v>0</v>
      </c>
    </row>
    <row r="26" spans="1:27" ht="72.75" x14ac:dyDescent="0.25">
      <c r="A26" s="3" t="s">
        <v>28</v>
      </c>
      <c r="B26" s="3" t="s">
        <v>29</v>
      </c>
      <c r="C26" s="3" t="s">
        <v>30</v>
      </c>
      <c r="D26" s="3" t="s">
        <v>49</v>
      </c>
      <c r="E26" s="3" t="s">
        <v>91</v>
      </c>
      <c r="F26" s="3" t="s">
        <v>92</v>
      </c>
      <c r="G26" s="3">
        <v>2025</v>
      </c>
      <c r="H26" s="3" t="str">
        <f>CONCATENATE("54240605060")</f>
        <v>54240605060</v>
      </c>
      <c r="I26" s="3" t="s">
        <v>34</v>
      </c>
      <c r="J26" s="3" t="s">
        <v>35</v>
      </c>
      <c r="K26" s="3"/>
      <c r="L26" s="3" t="s">
        <v>36</v>
      </c>
      <c r="M26" s="3" t="str">
        <f>CONCATENATE("PFNGCM94A03B474G")</f>
        <v>PFNGCM94A03B474G</v>
      </c>
      <c r="N26" s="3" t="s">
        <v>93</v>
      </c>
      <c r="O26" s="3" t="s">
        <v>38</v>
      </c>
      <c r="P26" s="3"/>
      <c r="Q26" s="4">
        <v>45944</v>
      </c>
      <c r="R26" s="3" t="s">
        <v>39</v>
      </c>
      <c r="S26" s="3" t="s">
        <v>38</v>
      </c>
      <c r="T26" s="3" t="s">
        <v>43</v>
      </c>
      <c r="U26" s="3"/>
      <c r="V26" s="3" t="s">
        <v>41</v>
      </c>
      <c r="W26" s="5">
        <v>17256.82</v>
      </c>
      <c r="X26" s="5">
        <v>17256.82</v>
      </c>
      <c r="Y26" s="3">
        <v>0</v>
      </c>
      <c r="Z26" s="3">
        <v>0</v>
      </c>
      <c r="AA26" s="3">
        <v>0</v>
      </c>
    </row>
    <row r="27" spans="1:27" ht="36.75" x14ac:dyDescent="0.25">
      <c r="A27" s="3" t="s">
        <v>28</v>
      </c>
      <c r="B27" s="3" t="s">
        <v>29</v>
      </c>
      <c r="C27" s="3" t="s">
        <v>30</v>
      </c>
      <c r="D27" s="3" t="s">
        <v>63</v>
      </c>
      <c r="E27" s="3" t="s">
        <v>91</v>
      </c>
      <c r="F27" s="3" t="s">
        <v>94</v>
      </c>
      <c r="G27" s="3">
        <v>2025</v>
      </c>
      <c r="H27" s="3" t="str">
        <f>CONCATENATE("54240588084")</f>
        <v>54240588084</v>
      </c>
      <c r="I27" s="3" t="s">
        <v>34</v>
      </c>
      <c r="J27" s="3" t="s">
        <v>35</v>
      </c>
      <c r="K27" s="3"/>
      <c r="L27" s="3" t="s">
        <v>36</v>
      </c>
      <c r="M27" s="3" t="str">
        <f>CONCATENATE("02560180446")</f>
        <v>02560180446</v>
      </c>
      <c r="N27" s="3" t="s">
        <v>95</v>
      </c>
      <c r="O27" s="3" t="s">
        <v>38</v>
      </c>
      <c r="P27" s="3"/>
      <c r="Q27" s="4">
        <v>45944</v>
      </c>
      <c r="R27" s="3" t="s">
        <v>39</v>
      </c>
      <c r="S27" s="3" t="s">
        <v>38</v>
      </c>
      <c r="T27" s="3" t="s">
        <v>43</v>
      </c>
      <c r="U27" s="3"/>
      <c r="V27" s="3" t="s">
        <v>41</v>
      </c>
      <c r="W27" s="5">
        <v>5168.6400000000003</v>
      </c>
      <c r="X27" s="5">
        <v>5168.6400000000003</v>
      </c>
      <c r="Y27" s="3">
        <v>0</v>
      </c>
      <c r="Z27" s="3">
        <v>0</v>
      </c>
      <c r="AA27" s="3">
        <v>0</v>
      </c>
    </row>
    <row r="28" spans="1:27" ht="36.75" x14ac:dyDescent="0.25">
      <c r="A28" s="3" t="s">
        <v>28</v>
      </c>
      <c r="B28" s="3" t="s">
        <v>29</v>
      </c>
      <c r="C28" s="3" t="s">
        <v>30</v>
      </c>
      <c r="D28" s="3" t="s">
        <v>58</v>
      </c>
      <c r="E28" s="3" t="s">
        <v>32</v>
      </c>
      <c r="F28" s="3" t="s">
        <v>96</v>
      </c>
      <c r="G28" s="3">
        <v>2025</v>
      </c>
      <c r="H28" s="3" t="str">
        <f>CONCATENATE("54240588795")</f>
        <v>54240588795</v>
      </c>
      <c r="I28" s="3" t="s">
        <v>34</v>
      </c>
      <c r="J28" s="3" t="s">
        <v>35</v>
      </c>
      <c r="K28" s="3"/>
      <c r="L28" s="3" t="s">
        <v>36</v>
      </c>
      <c r="M28" s="3" t="str">
        <f>CONCATENATE("02964410423")</f>
        <v>02964410423</v>
      </c>
      <c r="N28" s="3" t="s">
        <v>97</v>
      </c>
      <c r="O28" s="3" t="s">
        <v>38</v>
      </c>
      <c r="P28" s="3"/>
      <c r="Q28" s="4">
        <v>45944</v>
      </c>
      <c r="R28" s="3" t="s">
        <v>39</v>
      </c>
      <c r="S28" s="3" t="s">
        <v>38</v>
      </c>
      <c r="T28" s="3" t="s">
        <v>43</v>
      </c>
      <c r="U28" s="3"/>
      <c r="V28" s="3" t="s">
        <v>41</v>
      </c>
      <c r="W28" s="5">
        <v>14022.88</v>
      </c>
      <c r="X28" s="5">
        <v>14022.88</v>
      </c>
      <c r="Y28" s="3">
        <v>0</v>
      </c>
      <c r="Z28" s="3">
        <v>0</v>
      </c>
      <c r="AA28" s="3">
        <v>0</v>
      </c>
    </row>
    <row r="29" spans="1:27" ht="60.75" x14ac:dyDescent="0.25">
      <c r="A29" s="3" t="s">
        <v>28</v>
      </c>
      <c r="B29" s="3" t="s">
        <v>29</v>
      </c>
      <c r="C29" s="3" t="s">
        <v>30</v>
      </c>
      <c r="D29" s="3" t="s">
        <v>58</v>
      </c>
      <c r="E29" s="3" t="s">
        <v>32</v>
      </c>
      <c r="F29" s="3" t="s">
        <v>98</v>
      </c>
      <c r="G29" s="3">
        <v>2024</v>
      </c>
      <c r="H29" s="3" t="str">
        <f>CONCATENATE("44240084499")</f>
        <v>44240084499</v>
      </c>
      <c r="I29" s="3" t="s">
        <v>34</v>
      </c>
      <c r="J29" s="3" t="s">
        <v>35</v>
      </c>
      <c r="K29" s="3"/>
      <c r="L29" s="3" t="s">
        <v>36</v>
      </c>
      <c r="M29" s="3" t="str">
        <f>CONCATENATE("BLDDGI90S25A271A")</f>
        <v>BLDDGI90S25A271A</v>
      </c>
      <c r="N29" s="3" t="s">
        <v>99</v>
      </c>
      <c r="O29" s="3" t="s">
        <v>41</v>
      </c>
      <c r="P29" s="3" t="s">
        <v>61</v>
      </c>
      <c r="Q29" s="4">
        <v>45932</v>
      </c>
      <c r="R29" s="3" t="s">
        <v>39</v>
      </c>
      <c r="S29" s="3" t="s">
        <v>62</v>
      </c>
      <c r="T29" s="3" t="s">
        <v>40</v>
      </c>
      <c r="U29" s="3"/>
      <c r="V29" s="3" t="s">
        <v>41</v>
      </c>
      <c r="W29" s="3">
        <v>189.67</v>
      </c>
      <c r="X29" s="3">
        <v>142.25</v>
      </c>
      <c r="Y29" s="3">
        <v>33.19</v>
      </c>
      <c r="Z29" s="3">
        <v>14.23</v>
      </c>
      <c r="AA29" s="3">
        <v>0</v>
      </c>
    </row>
    <row r="30" spans="1:27" ht="60.75" x14ac:dyDescent="0.25">
      <c r="A30" s="3" t="s">
        <v>28</v>
      </c>
      <c r="B30" s="3" t="s">
        <v>29</v>
      </c>
      <c r="C30" s="3" t="s">
        <v>30</v>
      </c>
      <c r="D30" s="3" t="s">
        <v>58</v>
      </c>
      <c r="E30" s="3" t="s">
        <v>32</v>
      </c>
      <c r="F30" s="3" t="s">
        <v>100</v>
      </c>
      <c r="G30" s="3">
        <v>2024</v>
      </c>
      <c r="H30" s="3" t="str">
        <f>CONCATENATE("44240366888")</f>
        <v>44240366888</v>
      </c>
      <c r="I30" s="3" t="s">
        <v>34</v>
      </c>
      <c r="J30" s="3" t="s">
        <v>35</v>
      </c>
      <c r="K30" s="3"/>
      <c r="L30" s="3" t="s">
        <v>36</v>
      </c>
      <c r="M30" s="3" t="str">
        <f>CONCATENATE("FRTRCR71M28C618V")</f>
        <v>FRTRCR71M28C618V</v>
      </c>
      <c r="N30" s="3" t="s">
        <v>101</v>
      </c>
      <c r="O30" s="3" t="s">
        <v>41</v>
      </c>
      <c r="P30" s="3" t="s">
        <v>61</v>
      </c>
      <c r="Q30" s="4">
        <v>45932</v>
      </c>
      <c r="R30" s="3" t="s">
        <v>39</v>
      </c>
      <c r="S30" s="3" t="s">
        <v>62</v>
      </c>
      <c r="T30" s="3" t="s">
        <v>40</v>
      </c>
      <c r="U30" s="3"/>
      <c r="V30" s="3" t="s">
        <v>41</v>
      </c>
      <c r="W30" s="5">
        <v>2013.55</v>
      </c>
      <c r="X30" s="5">
        <v>1510.16</v>
      </c>
      <c r="Y30" s="3">
        <v>352.37</v>
      </c>
      <c r="Z30" s="3">
        <v>151.02000000000001</v>
      </c>
      <c r="AA30" s="3">
        <v>0</v>
      </c>
    </row>
    <row r="31" spans="1:27" ht="60.75" x14ac:dyDescent="0.25">
      <c r="A31" s="3" t="s">
        <v>28</v>
      </c>
      <c r="B31" s="3" t="s">
        <v>29</v>
      </c>
      <c r="C31" s="3" t="s">
        <v>30</v>
      </c>
      <c r="D31" s="3" t="s">
        <v>58</v>
      </c>
      <c r="E31" s="3" t="s">
        <v>32</v>
      </c>
      <c r="F31" s="3" t="s">
        <v>102</v>
      </c>
      <c r="G31" s="3">
        <v>2024</v>
      </c>
      <c r="H31" s="3" t="str">
        <f>CONCATENATE("44240217065")</f>
        <v>44240217065</v>
      </c>
      <c r="I31" s="3" t="s">
        <v>34</v>
      </c>
      <c r="J31" s="3" t="s">
        <v>35</v>
      </c>
      <c r="K31" s="3"/>
      <c r="L31" s="3" t="s">
        <v>36</v>
      </c>
      <c r="M31" s="3" t="str">
        <f>CONCATENATE("FCLFNC70E05A329L")</f>
        <v>FCLFNC70E05A329L</v>
      </c>
      <c r="N31" s="3" t="s">
        <v>103</v>
      </c>
      <c r="O31" s="3" t="s">
        <v>41</v>
      </c>
      <c r="P31" s="3" t="s">
        <v>61</v>
      </c>
      <c r="Q31" s="4">
        <v>45932</v>
      </c>
      <c r="R31" s="3" t="s">
        <v>39</v>
      </c>
      <c r="S31" s="3" t="s">
        <v>62</v>
      </c>
      <c r="T31" s="3" t="s">
        <v>40</v>
      </c>
      <c r="U31" s="3"/>
      <c r="V31" s="3" t="s">
        <v>41</v>
      </c>
      <c r="W31" s="5">
        <v>75458.12</v>
      </c>
      <c r="X31" s="5">
        <v>56593.59</v>
      </c>
      <c r="Y31" s="5">
        <v>13205.17</v>
      </c>
      <c r="Z31" s="5">
        <v>5659.36</v>
      </c>
      <c r="AA31" s="3">
        <v>0</v>
      </c>
    </row>
    <row r="32" spans="1:27" ht="60.75" x14ac:dyDescent="0.25">
      <c r="A32" s="3" t="s">
        <v>28</v>
      </c>
      <c r="B32" s="3" t="s">
        <v>29</v>
      </c>
      <c r="C32" s="3" t="s">
        <v>30</v>
      </c>
      <c r="D32" s="3" t="s">
        <v>58</v>
      </c>
      <c r="E32" s="3" t="s">
        <v>32</v>
      </c>
      <c r="F32" s="3" t="s">
        <v>102</v>
      </c>
      <c r="G32" s="3">
        <v>2024</v>
      </c>
      <c r="H32" s="3" t="str">
        <f>CONCATENATE("44240215648")</f>
        <v>44240215648</v>
      </c>
      <c r="I32" s="3" t="s">
        <v>34</v>
      </c>
      <c r="J32" s="3" t="s">
        <v>35</v>
      </c>
      <c r="K32" s="3"/>
      <c r="L32" s="3" t="s">
        <v>36</v>
      </c>
      <c r="M32" s="3" t="str">
        <f>CONCATENATE("FCLFNC70E05A329L")</f>
        <v>FCLFNC70E05A329L</v>
      </c>
      <c r="N32" s="3" t="s">
        <v>103</v>
      </c>
      <c r="O32" s="3" t="s">
        <v>41</v>
      </c>
      <c r="P32" s="3" t="s">
        <v>61</v>
      </c>
      <c r="Q32" s="4">
        <v>45932</v>
      </c>
      <c r="R32" s="3" t="s">
        <v>39</v>
      </c>
      <c r="S32" s="3" t="s">
        <v>62</v>
      </c>
      <c r="T32" s="3" t="s">
        <v>40</v>
      </c>
      <c r="U32" s="3"/>
      <c r="V32" s="3" t="s">
        <v>41</v>
      </c>
      <c r="W32" s="5">
        <v>16876.27</v>
      </c>
      <c r="X32" s="5">
        <v>12657.2</v>
      </c>
      <c r="Y32" s="5">
        <v>2953.35</v>
      </c>
      <c r="Z32" s="5">
        <v>1265.72</v>
      </c>
      <c r="AA32" s="3">
        <v>0</v>
      </c>
    </row>
    <row r="33" spans="1:27" ht="36.75" x14ac:dyDescent="0.25">
      <c r="A33" s="3" t="s">
        <v>28</v>
      </c>
      <c r="B33" s="3" t="s">
        <v>29</v>
      </c>
      <c r="C33" s="3" t="s">
        <v>30</v>
      </c>
      <c r="D33" s="3" t="s">
        <v>63</v>
      </c>
      <c r="E33" s="3" t="s">
        <v>104</v>
      </c>
      <c r="F33" s="3" t="s">
        <v>104</v>
      </c>
      <c r="G33" s="3">
        <v>2024</v>
      </c>
      <c r="H33" s="3" t="str">
        <f>CONCATENATE("44240241958")</f>
        <v>44240241958</v>
      </c>
      <c r="I33" s="3" t="s">
        <v>34</v>
      </c>
      <c r="J33" s="3" t="s">
        <v>35</v>
      </c>
      <c r="K33" s="3"/>
      <c r="L33" s="3" t="s">
        <v>36</v>
      </c>
      <c r="M33" s="3" t="str">
        <f>CONCATENATE("01582430441")</f>
        <v>01582430441</v>
      </c>
      <c r="N33" s="3" t="s">
        <v>105</v>
      </c>
      <c r="O33" s="3" t="s">
        <v>41</v>
      </c>
      <c r="P33" s="3" t="s">
        <v>61</v>
      </c>
      <c r="Q33" s="4">
        <v>45932</v>
      </c>
      <c r="R33" s="3" t="s">
        <v>39</v>
      </c>
      <c r="S33" s="3" t="s">
        <v>62</v>
      </c>
      <c r="T33" s="3" t="s">
        <v>40</v>
      </c>
      <c r="U33" s="3"/>
      <c r="V33" s="3" t="s">
        <v>41</v>
      </c>
      <c r="W33" s="5">
        <v>10279.83</v>
      </c>
      <c r="X33" s="5">
        <v>7709.87</v>
      </c>
      <c r="Y33" s="5">
        <v>1798.97</v>
      </c>
      <c r="Z33" s="3">
        <v>770.99</v>
      </c>
      <c r="AA33" s="3">
        <v>0</v>
      </c>
    </row>
    <row r="34" spans="1:27" ht="60.75" x14ac:dyDescent="0.25">
      <c r="A34" s="3" t="s">
        <v>28</v>
      </c>
      <c r="B34" s="3" t="s">
        <v>29</v>
      </c>
      <c r="C34" s="3" t="s">
        <v>30</v>
      </c>
      <c r="D34" s="3" t="s">
        <v>58</v>
      </c>
      <c r="E34" s="3" t="s">
        <v>91</v>
      </c>
      <c r="F34" s="3" t="s">
        <v>106</v>
      </c>
      <c r="G34" s="3">
        <v>2024</v>
      </c>
      <c r="H34" s="3" t="str">
        <f>CONCATENATE("44240118313")</f>
        <v>44240118313</v>
      </c>
      <c r="I34" s="3" t="s">
        <v>34</v>
      </c>
      <c r="J34" s="3" t="s">
        <v>35</v>
      </c>
      <c r="K34" s="3"/>
      <c r="L34" s="3" t="s">
        <v>36</v>
      </c>
      <c r="M34" s="3" t="str">
        <f>CONCATENATE("LMBNNT68R70A271P")</f>
        <v>LMBNNT68R70A271P</v>
      </c>
      <c r="N34" s="3" t="s">
        <v>107</v>
      </c>
      <c r="O34" s="3" t="s">
        <v>41</v>
      </c>
      <c r="P34" s="3" t="s">
        <v>61</v>
      </c>
      <c r="Q34" s="4">
        <v>45932</v>
      </c>
      <c r="R34" s="3" t="s">
        <v>39</v>
      </c>
      <c r="S34" s="3" t="s">
        <v>62</v>
      </c>
      <c r="T34" s="3" t="s">
        <v>40</v>
      </c>
      <c r="U34" s="3"/>
      <c r="V34" s="3" t="s">
        <v>41</v>
      </c>
      <c r="W34" s="5">
        <v>2820.9</v>
      </c>
      <c r="X34" s="5">
        <v>2115.6799999999998</v>
      </c>
      <c r="Y34" s="3">
        <v>493.66</v>
      </c>
      <c r="Z34" s="3">
        <v>211.56</v>
      </c>
      <c r="AA34" s="3">
        <v>0</v>
      </c>
    </row>
    <row r="35" spans="1:27" ht="72.75" x14ac:dyDescent="0.25">
      <c r="A35" s="3" t="s">
        <v>28</v>
      </c>
      <c r="B35" s="3" t="s">
        <v>29</v>
      </c>
      <c r="C35" s="3" t="s">
        <v>30</v>
      </c>
      <c r="D35" s="3" t="s">
        <v>31</v>
      </c>
      <c r="E35" s="3" t="s">
        <v>46</v>
      </c>
      <c r="F35" s="3" t="s">
        <v>108</v>
      </c>
      <c r="G35" s="3">
        <v>2024</v>
      </c>
      <c r="H35" s="3" t="str">
        <f>CONCATENATE("44240319960")</f>
        <v>44240319960</v>
      </c>
      <c r="I35" s="3" t="s">
        <v>34</v>
      </c>
      <c r="J35" s="3" t="s">
        <v>35</v>
      </c>
      <c r="K35" s="3"/>
      <c r="L35" s="3" t="s">
        <v>36</v>
      </c>
      <c r="M35" s="3" t="str">
        <f>CONCATENATE("MGNRNZ56M20G479H")</f>
        <v>MGNRNZ56M20G479H</v>
      </c>
      <c r="N35" s="3" t="s">
        <v>109</v>
      </c>
      <c r="O35" s="3" t="s">
        <v>41</v>
      </c>
      <c r="P35" s="3" t="s">
        <v>61</v>
      </c>
      <c r="Q35" s="4">
        <v>45932</v>
      </c>
      <c r="R35" s="3" t="s">
        <v>39</v>
      </c>
      <c r="S35" s="3" t="s">
        <v>62</v>
      </c>
      <c r="T35" s="3" t="s">
        <v>40</v>
      </c>
      <c r="U35" s="3"/>
      <c r="V35" s="3" t="s">
        <v>41</v>
      </c>
      <c r="W35" s="5">
        <v>95850.45</v>
      </c>
      <c r="X35" s="5">
        <v>71887.839999999997</v>
      </c>
      <c r="Y35" s="5">
        <v>16773.830000000002</v>
      </c>
      <c r="Z35" s="5">
        <v>7188.78</v>
      </c>
      <c r="AA35" s="3">
        <v>0</v>
      </c>
    </row>
    <row r="36" spans="1:27" ht="72.75" x14ac:dyDescent="0.25">
      <c r="A36" s="3" t="s">
        <v>28</v>
      </c>
      <c r="B36" s="3" t="s">
        <v>29</v>
      </c>
      <c r="C36" s="3" t="s">
        <v>30</v>
      </c>
      <c r="D36" s="3" t="s">
        <v>58</v>
      </c>
      <c r="E36" s="3" t="s">
        <v>91</v>
      </c>
      <c r="F36" s="3" t="s">
        <v>106</v>
      </c>
      <c r="G36" s="3">
        <v>2024</v>
      </c>
      <c r="H36" s="3" t="str">
        <f>CONCATENATE("44240241974")</f>
        <v>44240241974</v>
      </c>
      <c r="I36" s="3" t="s">
        <v>34</v>
      </c>
      <c r="J36" s="3" t="s">
        <v>35</v>
      </c>
      <c r="K36" s="3"/>
      <c r="L36" s="3" t="s">
        <v>36</v>
      </c>
      <c r="M36" s="3" t="str">
        <f>CONCATENATE("MRCMRZ58H10A271H")</f>
        <v>MRCMRZ58H10A271H</v>
      </c>
      <c r="N36" s="3" t="s">
        <v>110</v>
      </c>
      <c r="O36" s="3" t="s">
        <v>41</v>
      </c>
      <c r="P36" s="3" t="s">
        <v>61</v>
      </c>
      <c r="Q36" s="4">
        <v>45932</v>
      </c>
      <c r="R36" s="3" t="s">
        <v>39</v>
      </c>
      <c r="S36" s="3" t="s">
        <v>62</v>
      </c>
      <c r="T36" s="3" t="s">
        <v>40</v>
      </c>
      <c r="U36" s="3"/>
      <c r="V36" s="3" t="s">
        <v>41</v>
      </c>
      <c r="W36" s="5">
        <v>7936.58</v>
      </c>
      <c r="X36" s="5">
        <v>5952.44</v>
      </c>
      <c r="Y36" s="5">
        <v>1388.9</v>
      </c>
      <c r="Z36" s="3">
        <v>595.24</v>
      </c>
      <c r="AA36" s="3">
        <v>0</v>
      </c>
    </row>
    <row r="37" spans="1:27" ht="60.75" x14ac:dyDescent="0.25">
      <c r="A37" s="3" t="s">
        <v>28</v>
      </c>
      <c r="B37" s="3" t="s">
        <v>29</v>
      </c>
      <c r="C37" s="3" t="s">
        <v>30</v>
      </c>
      <c r="D37" s="3" t="s">
        <v>31</v>
      </c>
      <c r="E37" s="3" t="s">
        <v>91</v>
      </c>
      <c r="F37" s="3" t="s">
        <v>111</v>
      </c>
      <c r="G37" s="3">
        <v>2024</v>
      </c>
      <c r="H37" s="3" t="str">
        <f>CONCATENATE("44240237477")</f>
        <v>44240237477</v>
      </c>
      <c r="I37" s="3" t="s">
        <v>34</v>
      </c>
      <c r="J37" s="3" t="s">
        <v>35</v>
      </c>
      <c r="K37" s="3"/>
      <c r="L37" s="3" t="s">
        <v>36</v>
      </c>
      <c r="M37" s="3" t="str">
        <f>CONCATENATE("MRCNGL30M28I285D")</f>
        <v>MRCNGL30M28I285D</v>
      </c>
      <c r="N37" s="3" t="s">
        <v>112</v>
      </c>
      <c r="O37" s="3" t="s">
        <v>41</v>
      </c>
      <c r="P37" s="3" t="s">
        <v>61</v>
      </c>
      <c r="Q37" s="4">
        <v>45932</v>
      </c>
      <c r="R37" s="3" t="s">
        <v>39</v>
      </c>
      <c r="S37" s="3" t="s">
        <v>62</v>
      </c>
      <c r="T37" s="3" t="s">
        <v>40</v>
      </c>
      <c r="U37" s="3"/>
      <c r="V37" s="3" t="s">
        <v>41</v>
      </c>
      <c r="W37" s="5">
        <v>4834.01</v>
      </c>
      <c r="X37" s="5">
        <v>3625.51</v>
      </c>
      <c r="Y37" s="3">
        <v>845.95</v>
      </c>
      <c r="Z37" s="3">
        <v>362.55</v>
      </c>
      <c r="AA37" s="3">
        <v>0</v>
      </c>
    </row>
    <row r="38" spans="1:27" ht="60.75" x14ac:dyDescent="0.25">
      <c r="A38" s="3" t="s">
        <v>28</v>
      </c>
      <c r="B38" s="3" t="s">
        <v>29</v>
      </c>
      <c r="C38" s="3" t="s">
        <v>30</v>
      </c>
      <c r="D38" s="3" t="s">
        <v>31</v>
      </c>
      <c r="E38" s="3" t="s">
        <v>104</v>
      </c>
      <c r="F38" s="3" t="s">
        <v>104</v>
      </c>
      <c r="G38" s="3">
        <v>2024</v>
      </c>
      <c r="H38" s="3" t="str">
        <f>CONCATENATE("44240070977")</f>
        <v>44240070977</v>
      </c>
      <c r="I38" s="3" t="s">
        <v>34</v>
      </c>
      <c r="J38" s="3" t="s">
        <v>35</v>
      </c>
      <c r="K38" s="3"/>
      <c r="L38" s="3" t="s">
        <v>36</v>
      </c>
      <c r="M38" s="3" t="str">
        <f>CONCATENATE("MRNFNC68C21I459Z")</f>
        <v>MRNFNC68C21I459Z</v>
      </c>
      <c r="N38" s="3" t="s">
        <v>113</v>
      </c>
      <c r="O38" s="3" t="s">
        <v>41</v>
      </c>
      <c r="P38" s="3" t="s">
        <v>61</v>
      </c>
      <c r="Q38" s="4">
        <v>45932</v>
      </c>
      <c r="R38" s="3" t="s">
        <v>39</v>
      </c>
      <c r="S38" s="3" t="s">
        <v>62</v>
      </c>
      <c r="T38" s="3" t="s">
        <v>40</v>
      </c>
      <c r="U38" s="3"/>
      <c r="V38" s="3" t="s">
        <v>41</v>
      </c>
      <c r="W38" s="5">
        <v>6688.2</v>
      </c>
      <c r="X38" s="5">
        <v>5016.1499999999996</v>
      </c>
      <c r="Y38" s="5">
        <v>1170.44</v>
      </c>
      <c r="Z38" s="3">
        <v>501.61</v>
      </c>
      <c r="AA38" s="3">
        <v>0</v>
      </c>
    </row>
    <row r="39" spans="1:27" ht="60.75" x14ac:dyDescent="0.25">
      <c r="A39" s="3" t="s">
        <v>28</v>
      </c>
      <c r="B39" s="3" t="s">
        <v>29</v>
      </c>
      <c r="C39" s="3" t="s">
        <v>30</v>
      </c>
      <c r="D39" s="3" t="s">
        <v>58</v>
      </c>
      <c r="E39" s="3" t="s">
        <v>91</v>
      </c>
      <c r="F39" s="3" t="s">
        <v>106</v>
      </c>
      <c r="G39" s="3">
        <v>2024</v>
      </c>
      <c r="H39" s="3" t="str">
        <f>CONCATENATE("44240131019")</f>
        <v>44240131019</v>
      </c>
      <c r="I39" s="3" t="s">
        <v>34</v>
      </c>
      <c r="J39" s="3" t="s">
        <v>35</v>
      </c>
      <c r="K39" s="3"/>
      <c r="L39" s="3" t="s">
        <v>36</v>
      </c>
      <c r="M39" s="3" t="str">
        <f>CONCATENATE("MNTMRC82C08I608Y")</f>
        <v>MNTMRC82C08I608Y</v>
      </c>
      <c r="N39" s="3" t="s">
        <v>114</v>
      </c>
      <c r="O39" s="3" t="s">
        <v>41</v>
      </c>
      <c r="P39" s="3" t="s">
        <v>61</v>
      </c>
      <c r="Q39" s="4">
        <v>45932</v>
      </c>
      <c r="R39" s="3" t="s">
        <v>39</v>
      </c>
      <c r="S39" s="3" t="s">
        <v>62</v>
      </c>
      <c r="T39" s="3" t="s">
        <v>40</v>
      </c>
      <c r="U39" s="3"/>
      <c r="V39" s="3" t="s">
        <v>41</v>
      </c>
      <c r="W39" s="5">
        <v>3789.81</v>
      </c>
      <c r="X39" s="5">
        <v>2842.36</v>
      </c>
      <c r="Y39" s="3">
        <v>663.22</v>
      </c>
      <c r="Z39" s="3">
        <v>284.23</v>
      </c>
      <c r="AA39" s="3">
        <v>0</v>
      </c>
    </row>
    <row r="40" spans="1:27" ht="60.75" x14ac:dyDescent="0.25">
      <c r="A40" s="3" t="s">
        <v>28</v>
      </c>
      <c r="B40" s="3" t="s">
        <v>29</v>
      </c>
      <c r="C40" s="3" t="s">
        <v>30</v>
      </c>
      <c r="D40" s="3" t="s">
        <v>31</v>
      </c>
      <c r="E40" s="3" t="s">
        <v>32</v>
      </c>
      <c r="F40" s="3" t="s">
        <v>115</v>
      </c>
      <c r="G40" s="3">
        <v>2024</v>
      </c>
      <c r="H40" s="3" t="str">
        <f>CONCATENATE("44240048163")</f>
        <v>44240048163</v>
      </c>
      <c r="I40" s="3" t="s">
        <v>34</v>
      </c>
      <c r="J40" s="3" t="s">
        <v>35</v>
      </c>
      <c r="K40" s="3"/>
      <c r="L40" s="3" t="s">
        <v>36</v>
      </c>
      <c r="M40" s="3" t="str">
        <f>CONCATENATE("SLTMRA60M31I459G")</f>
        <v>SLTMRA60M31I459G</v>
      </c>
      <c r="N40" s="3" t="s">
        <v>116</v>
      </c>
      <c r="O40" s="3" t="s">
        <v>41</v>
      </c>
      <c r="P40" s="3" t="s">
        <v>61</v>
      </c>
      <c r="Q40" s="4">
        <v>45932</v>
      </c>
      <c r="R40" s="3" t="s">
        <v>39</v>
      </c>
      <c r="S40" s="3" t="s">
        <v>62</v>
      </c>
      <c r="T40" s="3" t="s">
        <v>40</v>
      </c>
      <c r="U40" s="3"/>
      <c r="V40" s="3" t="s">
        <v>41</v>
      </c>
      <c r="W40" s="5">
        <v>50843.41</v>
      </c>
      <c r="X40" s="5">
        <v>38132.559999999998</v>
      </c>
      <c r="Y40" s="5">
        <v>8897.6</v>
      </c>
      <c r="Z40" s="5">
        <v>3813.25</v>
      </c>
      <c r="AA40" s="3">
        <v>0</v>
      </c>
    </row>
    <row r="41" spans="1:27" ht="36.75" x14ac:dyDescent="0.25">
      <c r="A41" s="3" t="s">
        <v>28</v>
      </c>
      <c r="B41" s="3" t="s">
        <v>29</v>
      </c>
      <c r="C41" s="3" t="s">
        <v>30</v>
      </c>
      <c r="D41" s="3" t="s">
        <v>31</v>
      </c>
      <c r="E41" s="3" t="s">
        <v>91</v>
      </c>
      <c r="F41" s="3" t="s">
        <v>111</v>
      </c>
      <c r="G41" s="3">
        <v>2024</v>
      </c>
      <c r="H41" s="3" t="str">
        <f>CONCATENATE("44240159036")</f>
        <v>44240159036</v>
      </c>
      <c r="I41" s="3" t="s">
        <v>34</v>
      </c>
      <c r="J41" s="3" t="s">
        <v>35</v>
      </c>
      <c r="K41" s="3"/>
      <c r="L41" s="3" t="s">
        <v>36</v>
      </c>
      <c r="M41" s="3" t="str">
        <f>CONCATENATE("04545080402")</f>
        <v>04545080402</v>
      </c>
      <c r="N41" s="3" t="s">
        <v>117</v>
      </c>
      <c r="O41" s="3" t="s">
        <v>41</v>
      </c>
      <c r="P41" s="3" t="s">
        <v>61</v>
      </c>
      <c r="Q41" s="4">
        <v>45932</v>
      </c>
      <c r="R41" s="3" t="s">
        <v>39</v>
      </c>
      <c r="S41" s="3" t="s">
        <v>62</v>
      </c>
      <c r="T41" s="3" t="s">
        <v>40</v>
      </c>
      <c r="U41" s="3"/>
      <c r="V41" s="3" t="s">
        <v>41</v>
      </c>
      <c r="W41" s="5">
        <v>18252.060000000001</v>
      </c>
      <c r="X41" s="5">
        <v>13689.05</v>
      </c>
      <c r="Y41" s="5">
        <v>3194.11</v>
      </c>
      <c r="Z41" s="5">
        <v>1368.9</v>
      </c>
      <c r="AA41" s="3">
        <v>0</v>
      </c>
    </row>
    <row r="42" spans="1:27" ht="36.75" x14ac:dyDescent="0.25">
      <c r="A42" s="3" t="s">
        <v>28</v>
      </c>
      <c r="B42" s="3" t="s">
        <v>29</v>
      </c>
      <c r="C42" s="3" t="s">
        <v>30</v>
      </c>
      <c r="D42" s="3" t="s">
        <v>31</v>
      </c>
      <c r="E42" s="3" t="s">
        <v>46</v>
      </c>
      <c r="F42" s="3" t="s">
        <v>47</v>
      </c>
      <c r="G42" s="3">
        <v>2025</v>
      </c>
      <c r="H42" s="3" t="str">
        <f>CONCATENATE("54240501657")</f>
        <v>54240501657</v>
      </c>
      <c r="I42" s="3" t="s">
        <v>34</v>
      </c>
      <c r="J42" s="3" t="s">
        <v>35</v>
      </c>
      <c r="K42" s="3"/>
      <c r="L42" s="3" t="s">
        <v>36</v>
      </c>
      <c r="M42" s="3" t="str">
        <f>CONCATENATE("02244030413")</f>
        <v>02244030413</v>
      </c>
      <c r="N42" s="3" t="s">
        <v>118</v>
      </c>
      <c r="O42" s="3" t="s">
        <v>38</v>
      </c>
      <c r="P42" s="3"/>
      <c r="Q42" s="4">
        <v>45944</v>
      </c>
      <c r="R42" s="3" t="s">
        <v>39</v>
      </c>
      <c r="S42" s="3" t="s">
        <v>38</v>
      </c>
      <c r="T42" s="3" t="s">
        <v>43</v>
      </c>
      <c r="U42" s="3"/>
      <c r="V42" s="3" t="s">
        <v>41</v>
      </c>
      <c r="W42" s="5">
        <v>2523.6799999999998</v>
      </c>
      <c r="X42" s="5">
        <v>2523.6799999999998</v>
      </c>
      <c r="Y42" s="3">
        <v>0</v>
      </c>
      <c r="Z42" s="3">
        <v>0</v>
      </c>
      <c r="AA42" s="3">
        <v>0</v>
      </c>
    </row>
    <row r="43" spans="1:27" ht="36.75" x14ac:dyDescent="0.25">
      <c r="A43" s="3" t="s">
        <v>28</v>
      </c>
      <c r="B43" s="3" t="s">
        <v>29</v>
      </c>
      <c r="C43" s="3" t="s">
        <v>30</v>
      </c>
      <c r="D43" s="3" t="s">
        <v>58</v>
      </c>
      <c r="E43" s="3" t="s">
        <v>91</v>
      </c>
      <c r="F43" s="3" t="s">
        <v>106</v>
      </c>
      <c r="G43" s="3">
        <v>2025</v>
      </c>
      <c r="H43" s="3" t="str">
        <f>CONCATENATE("54240501673")</f>
        <v>54240501673</v>
      </c>
      <c r="I43" s="3" t="s">
        <v>34</v>
      </c>
      <c r="J43" s="3" t="s">
        <v>35</v>
      </c>
      <c r="K43" s="3"/>
      <c r="L43" s="3" t="s">
        <v>36</v>
      </c>
      <c r="M43" s="3" t="str">
        <f>CONCATENATE("02508230428")</f>
        <v>02508230428</v>
      </c>
      <c r="N43" s="3" t="s">
        <v>119</v>
      </c>
      <c r="O43" s="3" t="s">
        <v>38</v>
      </c>
      <c r="P43" s="3"/>
      <c r="Q43" s="4">
        <v>45944</v>
      </c>
      <c r="R43" s="3" t="s">
        <v>39</v>
      </c>
      <c r="S43" s="3" t="s">
        <v>38</v>
      </c>
      <c r="T43" s="3" t="s">
        <v>43</v>
      </c>
      <c r="U43" s="3"/>
      <c r="V43" s="3" t="s">
        <v>41</v>
      </c>
      <c r="W43" s="5">
        <v>4075.56</v>
      </c>
      <c r="X43" s="5">
        <v>4075.56</v>
      </c>
      <c r="Y43" s="3">
        <v>0</v>
      </c>
      <c r="Z43" s="3">
        <v>0</v>
      </c>
      <c r="AA43" s="3">
        <v>0</v>
      </c>
    </row>
    <row r="44" spans="1:27" ht="60.75" x14ac:dyDescent="0.25">
      <c r="A44" s="3" t="s">
        <v>28</v>
      </c>
      <c r="B44" s="3" t="s">
        <v>29</v>
      </c>
      <c r="C44" s="3" t="s">
        <v>30</v>
      </c>
      <c r="D44" s="3" t="s">
        <v>49</v>
      </c>
      <c r="E44" s="3" t="s">
        <v>91</v>
      </c>
      <c r="F44" s="3" t="s">
        <v>106</v>
      </c>
      <c r="G44" s="3">
        <v>2025</v>
      </c>
      <c r="H44" s="3" t="str">
        <f>CONCATENATE("54240501681")</f>
        <v>54240501681</v>
      </c>
      <c r="I44" s="3" t="s">
        <v>34</v>
      </c>
      <c r="J44" s="3" t="s">
        <v>35</v>
      </c>
      <c r="K44" s="3"/>
      <c r="L44" s="3" t="s">
        <v>36</v>
      </c>
      <c r="M44" s="3" t="str">
        <f>CONCATENATE("BSTMRC00L10E388V")</f>
        <v>BSTMRC00L10E388V</v>
      </c>
      <c r="N44" s="3" t="s">
        <v>120</v>
      </c>
      <c r="O44" s="3" t="s">
        <v>38</v>
      </c>
      <c r="P44" s="3"/>
      <c r="Q44" s="4">
        <v>45944</v>
      </c>
      <c r="R44" s="3" t="s">
        <v>39</v>
      </c>
      <c r="S44" s="3" t="s">
        <v>38</v>
      </c>
      <c r="T44" s="3" t="s">
        <v>43</v>
      </c>
      <c r="U44" s="3"/>
      <c r="V44" s="3" t="s">
        <v>41</v>
      </c>
      <c r="W44" s="5">
        <v>2413.5700000000002</v>
      </c>
      <c r="X44" s="5">
        <v>2413.5700000000002</v>
      </c>
      <c r="Y44" s="3">
        <v>0</v>
      </c>
      <c r="Z44" s="3">
        <v>0</v>
      </c>
      <c r="AA44" s="3">
        <v>0</v>
      </c>
    </row>
    <row r="45" spans="1:27" ht="36.75" x14ac:dyDescent="0.25">
      <c r="A45" s="3" t="s">
        <v>28</v>
      </c>
      <c r="B45" s="3" t="s">
        <v>29</v>
      </c>
      <c r="C45" s="3" t="s">
        <v>30</v>
      </c>
      <c r="D45" s="3" t="s">
        <v>58</v>
      </c>
      <c r="E45" s="3" t="s">
        <v>91</v>
      </c>
      <c r="F45" s="3" t="s">
        <v>106</v>
      </c>
      <c r="G45" s="3">
        <v>2025</v>
      </c>
      <c r="H45" s="3" t="str">
        <f>CONCATENATE("54240501699")</f>
        <v>54240501699</v>
      </c>
      <c r="I45" s="3" t="s">
        <v>34</v>
      </c>
      <c r="J45" s="3" t="s">
        <v>35</v>
      </c>
      <c r="K45" s="3"/>
      <c r="L45" s="3" t="s">
        <v>36</v>
      </c>
      <c r="M45" s="3" t="str">
        <f>CONCATENATE("02745190427")</f>
        <v>02745190427</v>
      </c>
      <c r="N45" s="3" t="s">
        <v>121</v>
      </c>
      <c r="O45" s="3" t="s">
        <v>38</v>
      </c>
      <c r="P45" s="3"/>
      <c r="Q45" s="4">
        <v>45944</v>
      </c>
      <c r="R45" s="3" t="s">
        <v>39</v>
      </c>
      <c r="S45" s="3" t="s">
        <v>38</v>
      </c>
      <c r="T45" s="3" t="s">
        <v>43</v>
      </c>
      <c r="U45" s="3"/>
      <c r="V45" s="3" t="s">
        <v>41</v>
      </c>
      <c r="W45" s="5">
        <v>4492</v>
      </c>
      <c r="X45" s="5">
        <v>4492</v>
      </c>
      <c r="Y45" s="3">
        <v>0</v>
      </c>
      <c r="Z45" s="3">
        <v>0</v>
      </c>
      <c r="AA45" s="3">
        <v>0</v>
      </c>
    </row>
    <row r="46" spans="1:27" ht="60.75" x14ac:dyDescent="0.25">
      <c r="A46" s="3" t="s">
        <v>28</v>
      </c>
      <c r="B46" s="3" t="s">
        <v>29</v>
      </c>
      <c r="C46" s="3" t="s">
        <v>30</v>
      </c>
      <c r="D46" s="3" t="s">
        <v>58</v>
      </c>
      <c r="E46" s="3" t="s">
        <v>91</v>
      </c>
      <c r="F46" s="3" t="s">
        <v>106</v>
      </c>
      <c r="G46" s="3">
        <v>2025</v>
      </c>
      <c r="H46" s="3" t="str">
        <f>CONCATENATE("54240501897")</f>
        <v>54240501897</v>
      </c>
      <c r="I46" s="3" t="s">
        <v>34</v>
      </c>
      <c r="J46" s="3" t="s">
        <v>35</v>
      </c>
      <c r="K46" s="3"/>
      <c r="L46" s="3" t="s">
        <v>36</v>
      </c>
      <c r="M46" s="3" t="str">
        <f>CONCATENATE("CTAMCH79D56D451P")</f>
        <v>CTAMCH79D56D451P</v>
      </c>
      <c r="N46" s="3" t="s">
        <v>122</v>
      </c>
      <c r="O46" s="3" t="s">
        <v>38</v>
      </c>
      <c r="P46" s="3"/>
      <c r="Q46" s="4">
        <v>45944</v>
      </c>
      <c r="R46" s="3" t="s">
        <v>39</v>
      </c>
      <c r="S46" s="3" t="s">
        <v>38</v>
      </c>
      <c r="T46" s="3" t="s">
        <v>43</v>
      </c>
      <c r="U46" s="3"/>
      <c r="V46" s="3" t="s">
        <v>41</v>
      </c>
      <c r="W46" s="5">
        <v>2716.36</v>
      </c>
      <c r="X46" s="5">
        <v>2716.36</v>
      </c>
      <c r="Y46" s="3">
        <v>0</v>
      </c>
      <c r="Z46" s="3">
        <v>0</v>
      </c>
      <c r="AA46" s="3">
        <v>0</v>
      </c>
    </row>
    <row r="47" spans="1:27" ht="60.75" x14ac:dyDescent="0.25">
      <c r="A47" s="3" t="s">
        <v>28</v>
      </c>
      <c r="B47" s="3" t="s">
        <v>29</v>
      </c>
      <c r="C47" s="3" t="s">
        <v>30</v>
      </c>
      <c r="D47" s="3" t="s">
        <v>58</v>
      </c>
      <c r="E47" s="3" t="s">
        <v>53</v>
      </c>
      <c r="F47" s="3" t="s">
        <v>123</v>
      </c>
      <c r="G47" s="3">
        <v>2025</v>
      </c>
      <c r="H47" s="3" t="str">
        <f>CONCATENATE("54240501889")</f>
        <v>54240501889</v>
      </c>
      <c r="I47" s="3" t="s">
        <v>34</v>
      </c>
      <c r="J47" s="3" t="s">
        <v>35</v>
      </c>
      <c r="K47" s="3"/>
      <c r="L47" s="3" t="s">
        <v>36</v>
      </c>
      <c r="M47" s="3" t="str">
        <f>CONCATENATE("TBRGCR54L15E388U")</f>
        <v>TBRGCR54L15E388U</v>
      </c>
      <c r="N47" s="3" t="s">
        <v>124</v>
      </c>
      <c r="O47" s="3" t="s">
        <v>38</v>
      </c>
      <c r="P47" s="3"/>
      <c r="Q47" s="4">
        <v>45944</v>
      </c>
      <c r="R47" s="3" t="s">
        <v>39</v>
      </c>
      <c r="S47" s="3" t="s">
        <v>38</v>
      </c>
      <c r="T47" s="3" t="s">
        <v>43</v>
      </c>
      <c r="U47" s="3"/>
      <c r="V47" s="3" t="s">
        <v>41</v>
      </c>
      <c r="W47" s="5">
        <v>1938.71</v>
      </c>
      <c r="X47" s="5">
        <v>1938.71</v>
      </c>
      <c r="Y47" s="3">
        <v>0</v>
      </c>
      <c r="Z47" s="3">
        <v>0</v>
      </c>
      <c r="AA47" s="3">
        <v>0</v>
      </c>
    </row>
    <row r="48" spans="1:27" ht="36.75" x14ac:dyDescent="0.25">
      <c r="A48" s="3" t="s">
        <v>28</v>
      </c>
      <c r="B48" s="3" t="s">
        <v>29</v>
      </c>
      <c r="C48" s="3" t="s">
        <v>30</v>
      </c>
      <c r="D48" s="3" t="s">
        <v>58</v>
      </c>
      <c r="E48" s="3" t="s">
        <v>53</v>
      </c>
      <c r="F48" s="3" t="s">
        <v>123</v>
      </c>
      <c r="G48" s="3">
        <v>2025</v>
      </c>
      <c r="H48" s="3" t="str">
        <f>CONCATENATE("54240502101")</f>
        <v>54240502101</v>
      </c>
      <c r="I48" s="3" t="s">
        <v>34</v>
      </c>
      <c r="J48" s="3" t="s">
        <v>35</v>
      </c>
      <c r="K48" s="3"/>
      <c r="L48" s="3" t="s">
        <v>36</v>
      </c>
      <c r="M48" s="3" t="str">
        <f>CONCATENATE("02893640421")</f>
        <v>02893640421</v>
      </c>
      <c r="N48" s="3" t="s">
        <v>125</v>
      </c>
      <c r="O48" s="3" t="s">
        <v>38</v>
      </c>
      <c r="P48" s="3"/>
      <c r="Q48" s="4">
        <v>45944</v>
      </c>
      <c r="R48" s="3" t="s">
        <v>39</v>
      </c>
      <c r="S48" s="3" t="s">
        <v>38</v>
      </c>
      <c r="T48" s="3" t="s">
        <v>43</v>
      </c>
      <c r="U48" s="3"/>
      <c r="V48" s="3" t="s">
        <v>41</v>
      </c>
      <c r="W48" s="5">
        <v>1747.1</v>
      </c>
      <c r="X48" s="5">
        <v>1747.1</v>
      </c>
      <c r="Y48" s="3">
        <v>0</v>
      </c>
      <c r="Z48" s="3">
        <v>0</v>
      </c>
      <c r="AA48" s="3">
        <v>0</v>
      </c>
    </row>
    <row r="49" spans="1:27" ht="60.75" x14ac:dyDescent="0.25">
      <c r="A49" s="3" t="s">
        <v>28</v>
      </c>
      <c r="B49" s="3" t="s">
        <v>29</v>
      </c>
      <c r="C49" s="3" t="s">
        <v>30</v>
      </c>
      <c r="D49" s="3" t="s">
        <v>49</v>
      </c>
      <c r="E49" s="3" t="s">
        <v>46</v>
      </c>
      <c r="F49" s="3" t="s">
        <v>126</v>
      </c>
      <c r="G49" s="3">
        <v>2025</v>
      </c>
      <c r="H49" s="3" t="str">
        <f>CONCATENATE("54240502192")</f>
        <v>54240502192</v>
      </c>
      <c r="I49" s="3" t="s">
        <v>34</v>
      </c>
      <c r="J49" s="3" t="s">
        <v>35</v>
      </c>
      <c r="K49" s="3"/>
      <c r="L49" s="3" t="s">
        <v>36</v>
      </c>
      <c r="M49" s="3" t="str">
        <f>CONCATENATE("TSSLCN62D62E783O")</f>
        <v>TSSLCN62D62E783O</v>
      </c>
      <c r="N49" s="3" t="s">
        <v>127</v>
      </c>
      <c r="O49" s="3" t="s">
        <v>38</v>
      </c>
      <c r="P49" s="3"/>
      <c r="Q49" s="4">
        <v>45944</v>
      </c>
      <c r="R49" s="3" t="s">
        <v>39</v>
      </c>
      <c r="S49" s="3" t="s">
        <v>38</v>
      </c>
      <c r="T49" s="3" t="s">
        <v>43</v>
      </c>
      <c r="U49" s="3"/>
      <c r="V49" s="3" t="s">
        <v>41</v>
      </c>
      <c r="W49" s="3">
        <v>896.44</v>
      </c>
      <c r="X49" s="3">
        <v>896.44</v>
      </c>
      <c r="Y49" s="3">
        <v>0</v>
      </c>
      <c r="Z49" s="3">
        <v>0</v>
      </c>
      <c r="AA49" s="3">
        <v>0</v>
      </c>
    </row>
    <row r="50" spans="1:27" ht="36.75" x14ac:dyDescent="0.25">
      <c r="A50" s="3" t="s">
        <v>28</v>
      </c>
      <c r="B50" s="3" t="s">
        <v>29</v>
      </c>
      <c r="C50" s="3" t="s">
        <v>30</v>
      </c>
      <c r="D50" s="3" t="s">
        <v>58</v>
      </c>
      <c r="E50" s="3" t="s">
        <v>91</v>
      </c>
      <c r="F50" s="3" t="s">
        <v>106</v>
      </c>
      <c r="G50" s="3">
        <v>2025</v>
      </c>
      <c r="H50" s="3" t="str">
        <f>CONCATENATE("54240502341")</f>
        <v>54240502341</v>
      </c>
      <c r="I50" s="3" t="s">
        <v>34</v>
      </c>
      <c r="J50" s="3" t="s">
        <v>35</v>
      </c>
      <c r="K50" s="3"/>
      <c r="L50" s="3" t="s">
        <v>36</v>
      </c>
      <c r="M50" s="3" t="str">
        <f>CONCATENATE("02995990427")</f>
        <v>02995990427</v>
      </c>
      <c r="N50" s="3" t="s">
        <v>128</v>
      </c>
      <c r="O50" s="3" t="s">
        <v>38</v>
      </c>
      <c r="P50" s="3"/>
      <c r="Q50" s="4">
        <v>45944</v>
      </c>
      <c r="R50" s="3" t="s">
        <v>39</v>
      </c>
      <c r="S50" s="3" t="s">
        <v>38</v>
      </c>
      <c r="T50" s="3" t="s">
        <v>43</v>
      </c>
      <c r="U50" s="3"/>
      <c r="V50" s="3" t="s">
        <v>41</v>
      </c>
      <c r="W50" s="5">
        <v>4687.3599999999997</v>
      </c>
      <c r="X50" s="5">
        <v>4687.3599999999997</v>
      </c>
      <c r="Y50" s="3">
        <v>0</v>
      </c>
      <c r="Z50" s="3">
        <v>0</v>
      </c>
      <c r="AA50" s="3">
        <v>0</v>
      </c>
    </row>
    <row r="51" spans="1:27" ht="36.75" x14ac:dyDescent="0.25">
      <c r="A51" s="3" t="s">
        <v>28</v>
      </c>
      <c r="B51" s="3" t="s">
        <v>29</v>
      </c>
      <c r="C51" s="3" t="s">
        <v>30</v>
      </c>
      <c r="D51" s="3" t="s">
        <v>49</v>
      </c>
      <c r="E51" s="3" t="s">
        <v>46</v>
      </c>
      <c r="F51" s="3" t="s">
        <v>129</v>
      </c>
      <c r="G51" s="3">
        <v>2025</v>
      </c>
      <c r="H51" s="3" t="str">
        <f>CONCATENATE("54240538964")</f>
        <v>54240538964</v>
      </c>
      <c r="I51" s="3" t="s">
        <v>34</v>
      </c>
      <c r="J51" s="3" t="s">
        <v>35</v>
      </c>
      <c r="K51" s="3"/>
      <c r="L51" s="3" t="s">
        <v>36</v>
      </c>
      <c r="M51" s="3" t="str">
        <f>CONCATENATE("01990580431")</f>
        <v>01990580431</v>
      </c>
      <c r="N51" s="3" t="s">
        <v>130</v>
      </c>
      <c r="O51" s="3" t="s">
        <v>38</v>
      </c>
      <c r="P51" s="3"/>
      <c r="Q51" s="4">
        <v>45944</v>
      </c>
      <c r="R51" s="3" t="s">
        <v>39</v>
      </c>
      <c r="S51" s="3" t="s">
        <v>38</v>
      </c>
      <c r="T51" s="3" t="s">
        <v>43</v>
      </c>
      <c r="U51" s="3"/>
      <c r="V51" s="3" t="s">
        <v>41</v>
      </c>
      <c r="W51" s="5">
        <v>10010.82</v>
      </c>
      <c r="X51" s="5">
        <v>10010.82</v>
      </c>
      <c r="Y51" s="3">
        <v>0</v>
      </c>
      <c r="Z51" s="3">
        <v>0</v>
      </c>
      <c r="AA51" s="3">
        <v>0</v>
      </c>
    </row>
    <row r="52" spans="1:27" ht="60.75" x14ac:dyDescent="0.25">
      <c r="A52" s="3" t="s">
        <v>28</v>
      </c>
      <c r="B52" s="3" t="s">
        <v>29</v>
      </c>
      <c r="C52" s="3" t="s">
        <v>30</v>
      </c>
      <c r="D52" s="3" t="s">
        <v>49</v>
      </c>
      <c r="E52" s="3" t="s">
        <v>46</v>
      </c>
      <c r="F52" s="3" t="s">
        <v>131</v>
      </c>
      <c r="G52" s="3">
        <v>2025</v>
      </c>
      <c r="H52" s="3" t="str">
        <f>CONCATENATE("54240502408")</f>
        <v>54240502408</v>
      </c>
      <c r="I52" s="3" t="s">
        <v>34</v>
      </c>
      <c r="J52" s="3" t="s">
        <v>35</v>
      </c>
      <c r="K52" s="3"/>
      <c r="L52" s="3" t="s">
        <v>36</v>
      </c>
      <c r="M52" s="3" t="str">
        <f>CONCATENATE("BNCMRC73E05I156G")</f>
        <v>BNCMRC73E05I156G</v>
      </c>
      <c r="N52" s="3" t="s">
        <v>132</v>
      </c>
      <c r="O52" s="3" t="s">
        <v>38</v>
      </c>
      <c r="P52" s="3"/>
      <c r="Q52" s="4">
        <v>45944</v>
      </c>
      <c r="R52" s="3" t="s">
        <v>39</v>
      </c>
      <c r="S52" s="3" t="s">
        <v>38</v>
      </c>
      <c r="T52" s="3" t="s">
        <v>43</v>
      </c>
      <c r="U52" s="3"/>
      <c r="V52" s="3" t="s">
        <v>41</v>
      </c>
      <c r="W52" s="5">
        <v>13491.57</v>
      </c>
      <c r="X52" s="5">
        <v>13491.57</v>
      </c>
      <c r="Y52" s="3">
        <v>0</v>
      </c>
      <c r="Z52" s="3">
        <v>0</v>
      </c>
      <c r="AA52" s="3">
        <v>0</v>
      </c>
    </row>
    <row r="53" spans="1:27" ht="60.75" x14ac:dyDescent="0.25">
      <c r="A53" s="3" t="s">
        <v>28</v>
      </c>
      <c r="B53" s="3" t="s">
        <v>29</v>
      </c>
      <c r="C53" s="3" t="s">
        <v>30</v>
      </c>
      <c r="D53" s="3" t="s">
        <v>49</v>
      </c>
      <c r="E53" s="3" t="s">
        <v>46</v>
      </c>
      <c r="F53" s="3" t="s">
        <v>126</v>
      </c>
      <c r="G53" s="3">
        <v>2025</v>
      </c>
      <c r="H53" s="3" t="str">
        <f>CONCATENATE("54240502911")</f>
        <v>54240502911</v>
      </c>
      <c r="I53" s="3" t="s">
        <v>34</v>
      </c>
      <c r="J53" s="3" t="s">
        <v>35</v>
      </c>
      <c r="K53" s="3"/>
      <c r="L53" s="3" t="s">
        <v>36</v>
      </c>
      <c r="M53" s="3" t="str">
        <f>CONCATENATE("MCHCNZ63P43F268V")</f>
        <v>MCHCNZ63P43F268V</v>
      </c>
      <c r="N53" s="3" t="s">
        <v>133</v>
      </c>
      <c r="O53" s="3" t="s">
        <v>38</v>
      </c>
      <c r="P53" s="3"/>
      <c r="Q53" s="4">
        <v>45944</v>
      </c>
      <c r="R53" s="3" t="s">
        <v>39</v>
      </c>
      <c r="S53" s="3" t="s">
        <v>38</v>
      </c>
      <c r="T53" s="3" t="s">
        <v>43</v>
      </c>
      <c r="U53" s="3"/>
      <c r="V53" s="3" t="s">
        <v>41</v>
      </c>
      <c r="W53" s="5">
        <v>1154.26</v>
      </c>
      <c r="X53" s="5">
        <v>1154.26</v>
      </c>
      <c r="Y53" s="3">
        <v>0</v>
      </c>
      <c r="Z53" s="3">
        <v>0</v>
      </c>
      <c r="AA53" s="3">
        <v>0</v>
      </c>
    </row>
    <row r="54" spans="1:27" ht="36.75" x14ac:dyDescent="0.25">
      <c r="A54" s="3" t="s">
        <v>28</v>
      </c>
      <c r="B54" s="3" t="s">
        <v>29</v>
      </c>
      <c r="C54" s="3" t="s">
        <v>30</v>
      </c>
      <c r="D54" s="3" t="s">
        <v>58</v>
      </c>
      <c r="E54" s="3" t="s">
        <v>53</v>
      </c>
      <c r="F54" s="3" t="s">
        <v>123</v>
      </c>
      <c r="G54" s="3">
        <v>2025</v>
      </c>
      <c r="H54" s="3" t="str">
        <f>CONCATENATE("54240502523")</f>
        <v>54240502523</v>
      </c>
      <c r="I54" s="3" t="s">
        <v>34</v>
      </c>
      <c r="J54" s="3" t="s">
        <v>35</v>
      </c>
      <c r="K54" s="3"/>
      <c r="L54" s="3" t="s">
        <v>36</v>
      </c>
      <c r="M54" s="3" t="str">
        <f>CONCATENATE("02842610426")</f>
        <v>02842610426</v>
      </c>
      <c r="N54" s="3" t="s">
        <v>134</v>
      </c>
      <c r="O54" s="3" t="s">
        <v>38</v>
      </c>
      <c r="P54" s="3"/>
      <c r="Q54" s="4">
        <v>45944</v>
      </c>
      <c r="R54" s="3" t="s">
        <v>39</v>
      </c>
      <c r="S54" s="3" t="s">
        <v>38</v>
      </c>
      <c r="T54" s="3" t="s">
        <v>43</v>
      </c>
      <c r="U54" s="3"/>
      <c r="V54" s="3" t="s">
        <v>41</v>
      </c>
      <c r="W54" s="5">
        <v>6716.74</v>
      </c>
      <c r="X54" s="5">
        <v>6716.74</v>
      </c>
      <c r="Y54" s="3">
        <v>0</v>
      </c>
      <c r="Z54" s="3">
        <v>0</v>
      </c>
      <c r="AA54" s="3">
        <v>0</v>
      </c>
    </row>
    <row r="55" spans="1:27" ht="60.75" x14ac:dyDescent="0.25">
      <c r="A55" s="3" t="s">
        <v>28</v>
      </c>
      <c r="B55" s="3" t="s">
        <v>29</v>
      </c>
      <c r="C55" s="3" t="s">
        <v>30</v>
      </c>
      <c r="D55" s="3" t="s">
        <v>49</v>
      </c>
      <c r="E55" s="3" t="s">
        <v>32</v>
      </c>
      <c r="F55" s="3" t="s">
        <v>69</v>
      </c>
      <c r="G55" s="3">
        <v>2025</v>
      </c>
      <c r="H55" s="3" t="str">
        <f>CONCATENATE("54240502507")</f>
        <v>54240502507</v>
      </c>
      <c r="I55" s="3" t="s">
        <v>34</v>
      </c>
      <c r="J55" s="3" t="s">
        <v>35</v>
      </c>
      <c r="K55" s="3"/>
      <c r="L55" s="3" t="s">
        <v>36</v>
      </c>
      <c r="M55" s="3" t="str">
        <f>CONCATENATE("PCCFNC67L03L191M")</f>
        <v>PCCFNC67L03L191M</v>
      </c>
      <c r="N55" s="3" t="s">
        <v>135</v>
      </c>
      <c r="O55" s="3" t="s">
        <v>38</v>
      </c>
      <c r="P55" s="3"/>
      <c r="Q55" s="4">
        <v>45944</v>
      </c>
      <c r="R55" s="3" t="s">
        <v>39</v>
      </c>
      <c r="S55" s="3" t="s">
        <v>38</v>
      </c>
      <c r="T55" s="3" t="s">
        <v>43</v>
      </c>
      <c r="U55" s="3"/>
      <c r="V55" s="3" t="s">
        <v>41</v>
      </c>
      <c r="W55" s="5">
        <v>7098.15</v>
      </c>
      <c r="X55" s="5">
        <v>7098.15</v>
      </c>
      <c r="Y55" s="3">
        <v>0</v>
      </c>
      <c r="Z55" s="3">
        <v>0</v>
      </c>
      <c r="AA55" s="3">
        <v>0</v>
      </c>
    </row>
    <row r="56" spans="1:27" ht="60.75" x14ac:dyDescent="0.25">
      <c r="A56" s="3" t="s">
        <v>28</v>
      </c>
      <c r="B56" s="3" t="s">
        <v>29</v>
      </c>
      <c r="C56" s="3" t="s">
        <v>30</v>
      </c>
      <c r="D56" s="3" t="s">
        <v>49</v>
      </c>
      <c r="E56" s="3" t="s">
        <v>53</v>
      </c>
      <c r="F56" s="3" t="s">
        <v>136</v>
      </c>
      <c r="G56" s="3">
        <v>2025</v>
      </c>
      <c r="H56" s="3" t="str">
        <f>CONCATENATE("54240502572")</f>
        <v>54240502572</v>
      </c>
      <c r="I56" s="3" t="s">
        <v>34</v>
      </c>
      <c r="J56" s="3" t="s">
        <v>35</v>
      </c>
      <c r="K56" s="3"/>
      <c r="L56" s="3" t="s">
        <v>36</v>
      </c>
      <c r="M56" s="3" t="str">
        <f>CONCATENATE("CRVGLD59B14C704B")</f>
        <v>CRVGLD59B14C704B</v>
      </c>
      <c r="N56" s="3" t="s">
        <v>137</v>
      </c>
      <c r="O56" s="3" t="s">
        <v>38</v>
      </c>
      <c r="P56" s="3"/>
      <c r="Q56" s="4">
        <v>45944</v>
      </c>
      <c r="R56" s="3" t="s">
        <v>39</v>
      </c>
      <c r="S56" s="3" t="s">
        <v>38</v>
      </c>
      <c r="T56" s="3" t="s">
        <v>43</v>
      </c>
      <c r="U56" s="3"/>
      <c r="V56" s="3" t="s">
        <v>41</v>
      </c>
      <c r="W56" s="5">
        <v>3890.89</v>
      </c>
      <c r="X56" s="5">
        <v>3890.89</v>
      </c>
      <c r="Y56" s="3">
        <v>0</v>
      </c>
      <c r="Z56" s="3">
        <v>0</v>
      </c>
      <c r="AA56" s="3">
        <v>0</v>
      </c>
    </row>
    <row r="57" spans="1:27" ht="36.75" x14ac:dyDescent="0.25">
      <c r="A57" s="3" t="s">
        <v>28</v>
      </c>
      <c r="B57" s="3" t="s">
        <v>29</v>
      </c>
      <c r="C57" s="3" t="s">
        <v>30</v>
      </c>
      <c r="D57" s="3" t="s">
        <v>49</v>
      </c>
      <c r="E57" s="3" t="s">
        <v>53</v>
      </c>
      <c r="F57" s="3" t="s">
        <v>136</v>
      </c>
      <c r="G57" s="3">
        <v>2025</v>
      </c>
      <c r="H57" s="3" t="str">
        <f>CONCATENATE("54240502622")</f>
        <v>54240502622</v>
      </c>
      <c r="I57" s="3" t="s">
        <v>34</v>
      </c>
      <c r="J57" s="3" t="s">
        <v>35</v>
      </c>
      <c r="K57" s="3"/>
      <c r="L57" s="3" t="s">
        <v>36</v>
      </c>
      <c r="M57" s="3" t="str">
        <f>CONCATENATE("01106590431")</f>
        <v>01106590431</v>
      </c>
      <c r="N57" s="3" t="s">
        <v>138</v>
      </c>
      <c r="O57" s="3" t="s">
        <v>38</v>
      </c>
      <c r="P57" s="3"/>
      <c r="Q57" s="4">
        <v>45944</v>
      </c>
      <c r="R57" s="3" t="s">
        <v>39</v>
      </c>
      <c r="S57" s="3" t="s">
        <v>38</v>
      </c>
      <c r="T57" s="3" t="s">
        <v>43</v>
      </c>
      <c r="U57" s="3"/>
      <c r="V57" s="3" t="s">
        <v>41</v>
      </c>
      <c r="W57" s="5">
        <v>2309.8200000000002</v>
      </c>
      <c r="X57" s="5">
        <v>2309.8200000000002</v>
      </c>
      <c r="Y57" s="3">
        <v>0</v>
      </c>
      <c r="Z57" s="3">
        <v>0</v>
      </c>
      <c r="AA57" s="3">
        <v>0</v>
      </c>
    </row>
    <row r="58" spans="1:27" ht="60.75" x14ac:dyDescent="0.25">
      <c r="A58" s="3" t="s">
        <v>28</v>
      </c>
      <c r="B58" s="3" t="s">
        <v>29</v>
      </c>
      <c r="C58" s="3" t="s">
        <v>30</v>
      </c>
      <c r="D58" s="3" t="s">
        <v>49</v>
      </c>
      <c r="E58" s="3" t="s">
        <v>32</v>
      </c>
      <c r="F58" s="3" t="s">
        <v>69</v>
      </c>
      <c r="G58" s="3">
        <v>2025</v>
      </c>
      <c r="H58" s="3" t="str">
        <f>CONCATENATE("54240503224")</f>
        <v>54240503224</v>
      </c>
      <c r="I58" s="3" t="s">
        <v>34</v>
      </c>
      <c r="J58" s="3" t="s">
        <v>35</v>
      </c>
      <c r="K58" s="3"/>
      <c r="L58" s="3" t="s">
        <v>36</v>
      </c>
      <c r="M58" s="3" t="str">
        <f>CONCATENATE("PLMSRG57L02D653T")</f>
        <v>PLMSRG57L02D653T</v>
      </c>
      <c r="N58" s="3" t="s">
        <v>139</v>
      </c>
      <c r="O58" s="3" t="s">
        <v>38</v>
      </c>
      <c r="P58" s="3"/>
      <c r="Q58" s="4">
        <v>45944</v>
      </c>
      <c r="R58" s="3" t="s">
        <v>39</v>
      </c>
      <c r="S58" s="3" t="s">
        <v>38</v>
      </c>
      <c r="T58" s="3" t="s">
        <v>43</v>
      </c>
      <c r="U58" s="3"/>
      <c r="V58" s="3" t="s">
        <v>41</v>
      </c>
      <c r="W58" s="5">
        <v>3614.8</v>
      </c>
      <c r="X58" s="5">
        <v>3614.8</v>
      </c>
      <c r="Y58" s="3">
        <v>0</v>
      </c>
      <c r="Z58" s="3">
        <v>0</v>
      </c>
      <c r="AA58" s="3">
        <v>0</v>
      </c>
    </row>
    <row r="59" spans="1:27" ht="60.75" x14ac:dyDescent="0.25">
      <c r="A59" s="3" t="s">
        <v>28</v>
      </c>
      <c r="B59" s="3" t="s">
        <v>29</v>
      </c>
      <c r="C59" s="3" t="s">
        <v>30</v>
      </c>
      <c r="D59" s="3" t="s">
        <v>49</v>
      </c>
      <c r="E59" s="3" t="s">
        <v>46</v>
      </c>
      <c r="F59" s="3" t="s">
        <v>140</v>
      </c>
      <c r="G59" s="3">
        <v>2025</v>
      </c>
      <c r="H59" s="3" t="str">
        <f>CONCATENATE("54240502671")</f>
        <v>54240502671</v>
      </c>
      <c r="I59" s="3" t="s">
        <v>34</v>
      </c>
      <c r="J59" s="3" t="s">
        <v>35</v>
      </c>
      <c r="K59" s="3"/>
      <c r="L59" s="3" t="s">
        <v>36</v>
      </c>
      <c r="M59" s="3" t="str">
        <f>CONCATENATE("WLFHLR66T51Z112P")</f>
        <v>WLFHLR66T51Z112P</v>
      </c>
      <c r="N59" s="3" t="s">
        <v>141</v>
      </c>
      <c r="O59" s="3" t="s">
        <v>38</v>
      </c>
      <c r="P59" s="3"/>
      <c r="Q59" s="4">
        <v>45944</v>
      </c>
      <c r="R59" s="3" t="s">
        <v>39</v>
      </c>
      <c r="S59" s="3" t="s">
        <v>38</v>
      </c>
      <c r="T59" s="3" t="s">
        <v>43</v>
      </c>
      <c r="U59" s="3"/>
      <c r="V59" s="3" t="s">
        <v>41</v>
      </c>
      <c r="W59" s="5">
        <v>1369.61</v>
      </c>
      <c r="X59" s="5">
        <v>1369.61</v>
      </c>
      <c r="Y59" s="3">
        <v>0</v>
      </c>
      <c r="Z59" s="3">
        <v>0</v>
      </c>
      <c r="AA59" s="3">
        <v>0</v>
      </c>
    </row>
    <row r="60" spans="1:27" ht="36.75" x14ac:dyDescent="0.25">
      <c r="A60" s="3" t="s">
        <v>28</v>
      </c>
      <c r="B60" s="3" t="s">
        <v>29</v>
      </c>
      <c r="C60" s="3" t="s">
        <v>30</v>
      </c>
      <c r="D60" s="3" t="s">
        <v>63</v>
      </c>
      <c r="E60" s="3" t="s">
        <v>32</v>
      </c>
      <c r="F60" s="3" t="s">
        <v>142</v>
      </c>
      <c r="G60" s="3">
        <v>2025</v>
      </c>
      <c r="H60" s="3" t="str">
        <f>CONCATENATE("54240502838")</f>
        <v>54240502838</v>
      </c>
      <c r="I60" s="3" t="s">
        <v>34</v>
      </c>
      <c r="J60" s="3" t="s">
        <v>35</v>
      </c>
      <c r="K60" s="3"/>
      <c r="L60" s="3" t="s">
        <v>36</v>
      </c>
      <c r="M60" s="3" t="str">
        <f>CONCATENATE("02431980446")</f>
        <v>02431980446</v>
      </c>
      <c r="N60" s="3" t="s">
        <v>143</v>
      </c>
      <c r="O60" s="3" t="s">
        <v>38</v>
      </c>
      <c r="P60" s="3"/>
      <c r="Q60" s="4">
        <v>45944</v>
      </c>
      <c r="R60" s="3" t="s">
        <v>39</v>
      </c>
      <c r="S60" s="3" t="s">
        <v>38</v>
      </c>
      <c r="T60" s="3" t="s">
        <v>43</v>
      </c>
      <c r="U60" s="3"/>
      <c r="V60" s="3" t="s">
        <v>41</v>
      </c>
      <c r="W60" s="5">
        <v>3046.94</v>
      </c>
      <c r="X60" s="5">
        <v>3046.94</v>
      </c>
      <c r="Y60" s="3">
        <v>0</v>
      </c>
      <c r="Z60" s="3">
        <v>0</v>
      </c>
      <c r="AA60" s="3">
        <v>0</v>
      </c>
    </row>
    <row r="61" spans="1:27" ht="60.75" x14ac:dyDescent="0.25">
      <c r="A61" s="3" t="s">
        <v>28</v>
      </c>
      <c r="B61" s="3" t="s">
        <v>29</v>
      </c>
      <c r="C61" s="3" t="s">
        <v>30</v>
      </c>
      <c r="D61" s="3" t="s">
        <v>63</v>
      </c>
      <c r="E61" s="3" t="s">
        <v>32</v>
      </c>
      <c r="F61" s="3" t="s">
        <v>142</v>
      </c>
      <c r="G61" s="3">
        <v>2025</v>
      </c>
      <c r="H61" s="3" t="str">
        <f>CONCATENATE("54240502796")</f>
        <v>54240502796</v>
      </c>
      <c r="I61" s="3" t="s">
        <v>34</v>
      </c>
      <c r="J61" s="3" t="s">
        <v>35</v>
      </c>
      <c r="K61" s="3"/>
      <c r="L61" s="3" t="s">
        <v>36</v>
      </c>
      <c r="M61" s="3" t="str">
        <f>CONCATENATE("BTTDNC58D15F415Y")</f>
        <v>BTTDNC58D15F415Y</v>
      </c>
      <c r="N61" s="3" t="s">
        <v>144</v>
      </c>
      <c r="O61" s="3" t="s">
        <v>38</v>
      </c>
      <c r="P61" s="3"/>
      <c r="Q61" s="4">
        <v>45944</v>
      </c>
      <c r="R61" s="3" t="s">
        <v>39</v>
      </c>
      <c r="S61" s="3" t="s">
        <v>38</v>
      </c>
      <c r="T61" s="3" t="s">
        <v>43</v>
      </c>
      <c r="U61" s="3"/>
      <c r="V61" s="3" t="s">
        <v>41</v>
      </c>
      <c r="W61" s="5">
        <v>3453.44</v>
      </c>
      <c r="X61" s="5">
        <v>3453.44</v>
      </c>
      <c r="Y61" s="3">
        <v>0</v>
      </c>
      <c r="Z61" s="3">
        <v>0</v>
      </c>
      <c r="AA61" s="3">
        <v>0</v>
      </c>
    </row>
    <row r="62" spans="1:27" ht="36.75" x14ac:dyDescent="0.25">
      <c r="A62" s="3" t="s">
        <v>28</v>
      </c>
      <c r="B62" s="3" t="s">
        <v>29</v>
      </c>
      <c r="C62" s="3" t="s">
        <v>30</v>
      </c>
      <c r="D62" s="3" t="s">
        <v>63</v>
      </c>
      <c r="E62" s="3" t="s">
        <v>145</v>
      </c>
      <c r="F62" s="3" t="s">
        <v>146</v>
      </c>
      <c r="G62" s="3">
        <v>2025</v>
      </c>
      <c r="H62" s="3" t="str">
        <f>CONCATENATE("54240502960")</f>
        <v>54240502960</v>
      </c>
      <c r="I62" s="3" t="s">
        <v>34</v>
      </c>
      <c r="J62" s="3" t="s">
        <v>35</v>
      </c>
      <c r="K62" s="3"/>
      <c r="L62" s="3" t="s">
        <v>36</v>
      </c>
      <c r="M62" s="3" t="str">
        <f>CONCATENATE("02482170442")</f>
        <v>02482170442</v>
      </c>
      <c r="N62" s="3" t="s">
        <v>147</v>
      </c>
      <c r="O62" s="3" t="s">
        <v>38</v>
      </c>
      <c r="P62" s="3"/>
      <c r="Q62" s="4">
        <v>45944</v>
      </c>
      <c r="R62" s="3" t="s">
        <v>39</v>
      </c>
      <c r="S62" s="3" t="s">
        <v>38</v>
      </c>
      <c r="T62" s="3" t="s">
        <v>43</v>
      </c>
      <c r="U62" s="3"/>
      <c r="V62" s="3" t="s">
        <v>41</v>
      </c>
      <c r="W62" s="5">
        <v>15746.61</v>
      </c>
      <c r="X62" s="5">
        <v>15746.61</v>
      </c>
      <c r="Y62" s="3">
        <v>0</v>
      </c>
      <c r="Z62" s="3">
        <v>0</v>
      </c>
      <c r="AA62" s="3">
        <v>0</v>
      </c>
    </row>
    <row r="63" spans="1:27" ht="60.75" x14ac:dyDescent="0.25">
      <c r="A63" s="3" t="s">
        <v>28</v>
      </c>
      <c r="B63" s="3" t="s">
        <v>29</v>
      </c>
      <c r="C63" s="3" t="s">
        <v>30</v>
      </c>
      <c r="D63" s="3" t="s">
        <v>49</v>
      </c>
      <c r="E63" s="3" t="s">
        <v>46</v>
      </c>
      <c r="F63" s="3" t="s">
        <v>131</v>
      </c>
      <c r="G63" s="3">
        <v>2025</v>
      </c>
      <c r="H63" s="3" t="str">
        <f>CONCATENATE("54240503000")</f>
        <v>54240503000</v>
      </c>
      <c r="I63" s="3" t="s">
        <v>34</v>
      </c>
      <c r="J63" s="3" t="s">
        <v>35</v>
      </c>
      <c r="K63" s="3"/>
      <c r="L63" s="3" t="s">
        <v>36</v>
      </c>
      <c r="M63" s="3" t="str">
        <f>CONCATENATE("LSVBDT93A60E783X")</f>
        <v>LSVBDT93A60E783X</v>
      </c>
      <c r="N63" s="3" t="s">
        <v>148</v>
      </c>
      <c r="O63" s="3" t="s">
        <v>38</v>
      </c>
      <c r="P63" s="3"/>
      <c r="Q63" s="4">
        <v>45944</v>
      </c>
      <c r="R63" s="3" t="s">
        <v>39</v>
      </c>
      <c r="S63" s="3" t="s">
        <v>38</v>
      </c>
      <c r="T63" s="3" t="s">
        <v>43</v>
      </c>
      <c r="U63" s="3"/>
      <c r="V63" s="3" t="s">
        <v>41</v>
      </c>
      <c r="W63" s="5">
        <v>6473.17</v>
      </c>
      <c r="X63" s="5">
        <v>6473.17</v>
      </c>
      <c r="Y63" s="3">
        <v>0</v>
      </c>
      <c r="Z63" s="3">
        <v>0</v>
      </c>
      <c r="AA63" s="3">
        <v>0</v>
      </c>
    </row>
    <row r="64" spans="1:27" ht="60.75" x14ac:dyDescent="0.25">
      <c r="A64" s="3" t="s">
        <v>28</v>
      </c>
      <c r="B64" s="3" t="s">
        <v>29</v>
      </c>
      <c r="C64" s="3" t="s">
        <v>30</v>
      </c>
      <c r="D64" s="3" t="s">
        <v>63</v>
      </c>
      <c r="E64" s="3" t="s">
        <v>32</v>
      </c>
      <c r="F64" s="3" t="s">
        <v>142</v>
      </c>
      <c r="G64" s="3">
        <v>2025</v>
      </c>
      <c r="H64" s="3" t="str">
        <f>CONCATENATE("54240503117")</f>
        <v>54240503117</v>
      </c>
      <c r="I64" s="3" t="s">
        <v>149</v>
      </c>
      <c r="J64" s="3" t="s">
        <v>35</v>
      </c>
      <c r="K64" s="3"/>
      <c r="L64" s="3" t="s">
        <v>36</v>
      </c>
      <c r="M64" s="3" t="str">
        <f>CONCATENATE("CRCRLA90T24A252F")</f>
        <v>CRCRLA90T24A252F</v>
      </c>
      <c r="N64" s="3" t="s">
        <v>150</v>
      </c>
      <c r="O64" s="3" t="s">
        <v>38</v>
      </c>
      <c r="P64" s="3"/>
      <c r="Q64" s="4">
        <v>45944</v>
      </c>
      <c r="R64" s="3" t="s">
        <v>39</v>
      </c>
      <c r="S64" s="3" t="s">
        <v>38</v>
      </c>
      <c r="T64" s="3" t="s">
        <v>43</v>
      </c>
      <c r="U64" s="3"/>
      <c r="V64" s="3" t="s">
        <v>41</v>
      </c>
      <c r="W64" s="5">
        <v>2421.44</v>
      </c>
      <c r="X64" s="5">
        <v>2421.44</v>
      </c>
      <c r="Y64" s="3">
        <v>0</v>
      </c>
      <c r="Z64" s="3">
        <v>0</v>
      </c>
      <c r="AA64" s="3">
        <v>0</v>
      </c>
    </row>
    <row r="65" spans="1:27" ht="36.75" x14ac:dyDescent="0.25">
      <c r="A65" s="3" t="s">
        <v>28</v>
      </c>
      <c r="B65" s="3" t="s">
        <v>29</v>
      </c>
      <c r="C65" s="3" t="s">
        <v>30</v>
      </c>
      <c r="D65" s="3" t="s">
        <v>63</v>
      </c>
      <c r="E65" s="3" t="s">
        <v>32</v>
      </c>
      <c r="F65" s="3" t="s">
        <v>142</v>
      </c>
      <c r="G65" s="3">
        <v>2025</v>
      </c>
      <c r="H65" s="3" t="str">
        <f>CONCATENATE("54240503190")</f>
        <v>54240503190</v>
      </c>
      <c r="I65" s="3" t="s">
        <v>34</v>
      </c>
      <c r="J65" s="3" t="s">
        <v>35</v>
      </c>
      <c r="K65" s="3"/>
      <c r="L65" s="3" t="s">
        <v>36</v>
      </c>
      <c r="M65" s="3" t="str">
        <f>CONCATENATE("02127520449")</f>
        <v>02127520449</v>
      </c>
      <c r="N65" s="3" t="s">
        <v>151</v>
      </c>
      <c r="O65" s="3" t="s">
        <v>38</v>
      </c>
      <c r="P65" s="3"/>
      <c r="Q65" s="4">
        <v>45944</v>
      </c>
      <c r="R65" s="3" t="s">
        <v>39</v>
      </c>
      <c r="S65" s="3" t="s">
        <v>38</v>
      </c>
      <c r="T65" s="3" t="s">
        <v>43</v>
      </c>
      <c r="U65" s="3"/>
      <c r="V65" s="3" t="s">
        <v>41</v>
      </c>
      <c r="W65" s="5">
        <v>1685.49</v>
      </c>
      <c r="X65" s="5">
        <v>1685.49</v>
      </c>
      <c r="Y65" s="3">
        <v>0</v>
      </c>
      <c r="Z65" s="3">
        <v>0</v>
      </c>
      <c r="AA65" s="3">
        <v>0</v>
      </c>
    </row>
    <row r="66" spans="1:27" ht="48.75" x14ac:dyDescent="0.25">
      <c r="A66" s="3" t="s">
        <v>28</v>
      </c>
      <c r="B66" s="3" t="s">
        <v>29</v>
      </c>
      <c r="C66" s="3" t="s">
        <v>30</v>
      </c>
      <c r="D66" s="3" t="s">
        <v>49</v>
      </c>
      <c r="E66" s="3" t="s">
        <v>46</v>
      </c>
      <c r="F66" s="3" t="s">
        <v>129</v>
      </c>
      <c r="G66" s="3">
        <v>2025</v>
      </c>
      <c r="H66" s="3" t="str">
        <f>CONCATENATE("54240503372")</f>
        <v>54240503372</v>
      </c>
      <c r="I66" s="3" t="s">
        <v>34</v>
      </c>
      <c r="J66" s="3" t="s">
        <v>35</v>
      </c>
      <c r="K66" s="3"/>
      <c r="L66" s="3" t="s">
        <v>36</v>
      </c>
      <c r="M66" s="3" t="str">
        <f>CONCATENATE("SLVSST32E24L501F")</f>
        <v>SLVSST32E24L501F</v>
      </c>
      <c r="N66" s="3" t="s">
        <v>152</v>
      </c>
      <c r="O66" s="3" t="s">
        <v>38</v>
      </c>
      <c r="P66" s="3"/>
      <c r="Q66" s="4">
        <v>45944</v>
      </c>
      <c r="R66" s="3" t="s">
        <v>39</v>
      </c>
      <c r="S66" s="3" t="s">
        <v>38</v>
      </c>
      <c r="T66" s="3" t="s">
        <v>43</v>
      </c>
      <c r="U66" s="3"/>
      <c r="V66" s="3" t="s">
        <v>41</v>
      </c>
      <c r="W66" s="5">
        <v>8950.74</v>
      </c>
      <c r="X66" s="5">
        <v>8950.74</v>
      </c>
      <c r="Y66" s="3">
        <v>0</v>
      </c>
      <c r="Z66" s="3">
        <v>0</v>
      </c>
      <c r="AA66" s="3">
        <v>0</v>
      </c>
    </row>
    <row r="67" spans="1:27" ht="60.75" x14ac:dyDescent="0.25">
      <c r="A67" s="3" t="s">
        <v>28</v>
      </c>
      <c r="B67" s="3" t="s">
        <v>29</v>
      </c>
      <c r="C67" s="3" t="s">
        <v>30</v>
      </c>
      <c r="D67" s="3" t="s">
        <v>31</v>
      </c>
      <c r="E67" s="3" t="s">
        <v>32</v>
      </c>
      <c r="F67" s="3" t="s">
        <v>153</v>
      </c>
      <c r="G67" s="3">
        <v>2025</v>
      </c>
      <c r="H67" s="3" t="str">
        <f>CONCATENATE("54240573870")</f>
        <v>54240573870</v>
      </c>
      <c r="I67" s="3" t="s">
        <v>34</v>
      </c>
      <c r="J67" s="3" t="s">
        <v>35</v>
      </c>
      <c r="K67" s="3"/>
      <c r="L67" s="3" t="s">
        <v>36</v>
      </c>
      <c r="M67" s="3" t="str">
        <f>CONCATENATE("MCCSML86P14D488T")</f>
        <v>MCCSML86P14D488T</v>
      </c>
      <c r="N67" s="3" t="s">
        <v>154</v>
      </c>
      <c r="O67" s="3" t="s">
        <v>38</v>
      </c>
      <c r="P67" s="3"/>
      <c r="Q67" s="4">
        <v>45944</v>
      </c>
      <c r="R67" s="3" t="s">
        <v>39</v>
      </c>
      <c r="S67" s="3" t="s">
        <v>38</v>
      </c>
      <c r="T67" s="3" t="s">
        <v>43</v>
      </c>
      <c r="U67" s="3"/>
      <c r="V67" s="3" t="s">
        <v>41</v>
      </c>
      <c r="W67" s="3">
        <v>967.73</v>
      </c>
      <c r="X67" s="3">
        <v>967.73</v>
      </c>
      <c r="Y67" s="3">
        <v>0</v>
      </c>
      <c r="Z67" s="3">
        <v>0</v>
      </c>
      <c r="AA67" s="3">
        <v>0</v>
      </c>
    </row>
    <row r="68" spans="1:27" ht="60.75" x14ac:dyDescent="0.25">
      <c r="A68" s="3" t="s">
        <v>28</v>
      </c>
      <c r="B68" s="3" t="s">
        <v>29</v>
      </c>
      <c r="C68" s="3" t="s">
        <v>30</v>
      </c>
      <c r="D68" s="3" t="s">
        <v>31</v>
      </c>
      <c r="E68" s="3" t="s">
        <v>32</v>
      </c>
      <c r="F68" s="3" t="s">
        <v>115</v>
      </c>
      <c r="G68" s="3">
        <v>2025</v>
      </c>
      <c r="H68" s="3" t="str">
        <f>CONCATENATE("54240574803")</f>
        <v>54240574803</v>
      </c>
      <c r="I68" s="3" t="s">
        <v>149</v>
      </c>
      <c r="J68" s="3" t="s">
        <v>35</v>
      </c>
      <c r="K68" s="3"/>
      <c r="L68" s="3" t="s">
        <v>36</v>
      </c>
      <c r="M68" s="3" t="str">
        <f>CONCATENATE("TDRDNL69C17L500B")</f>
        <v>TDRDNL69C17L500B</v>
      </c>
      <c r="N68" s="3" t="s">
        <v>155</v>
      </c>
      <c r="O68" s="3" t="s">
        <v>38</v>
      </c>
      <c r="P68" s="3"/>
      <c r="Q68" s="4">
        <v>45944</v>
      </c>
      <c r="R68" s="3" t="s">
        <v>39</v>
      </c>
      <c r="S68" s="3" t="s">
        <v>38</v>
      </c>
      <c r="T68" s="3" t="s">
        <v>43</v>
      </c>
      <c r="U68" s="3"/>
      <c r="V68" s="3" t="s">
        <v>41</v>
      </c>
      <c r="W68" s="5">
        <v>2830.09</v>
      </c>
      <c r="X68" s="5">
        <v>2830.09</v>
      </c>
      <c r="Y68" s="3">
        <v>0</v>
      </c>
      <c r="Z68" s="3">
        <v>0</v>
      </c>
      <c r="AA68" s="3">
        <v>0</v>
      </c>
    </row>
    <row r="69" spans="1:27" ht="72.75" x14ac:dyDescent="0.25">
      <c r="A69" s="3" t="s">
        <v>28</v>
      </c>
      <c r="B69" s="3" t="s">
        <v>29</v>
      </c>
      <c r="C69" s="3" t="s">
        <v>30</v>
      </c>
      <c r="D69" s="3" t="s">
        <v>58</v>
      </c>
      <c r="E69" s="3" t="s">
        <v>53</v>
      </c>
      <c r="F69" s="3" t="s">
        <v>59</v>
      </c>
      <c r="G69" s="3">
        <v>2025</v>
      </c>
      <c r="H69" s="3" t="str">
        <f>CONCATENATE("54240614682")</f>
        <v>54240614682</v>
      </c>
      <c r="I69" s="3" t="s">
        <v>34</v>
      </c>
      <c r="J69" s="3" t="s">
        <v>35</v>
      </c>
      <c r="K69" s="3"/>
      <c r="L69" s="3" t="s">
        <v>36</v>
      </c>
      <c r="M69" s="3" t="str">
        <f>CONCATENATE("MNCGST46A23A366W")</f>
        <v>MNCGST46A23A366W</v>
      </c>
      <c r="N69" s="3" t="s">
        <v>156</v>
      </c>
      <c r="O69" s="3" t="s">
        <v>38</v>
      </c>
      <c r="P69" s="3"/>
      <c r="Q69" s="4">
        <v>45944</v>
      </c>
      <c r="R69" s="3" t="s">
        <v>39</v>
      </c>
      <c r="S69" s="3" t="s">
        <v>38</v>
      </c>
      <c r="T69" s="3" t="s">
        <v>43</v>
      </c>
      <c r="U69" s="3"/>
      <c r="V69" s="3" t="s">
        <v>41</v>
      </c>
      <c r="W69" s="5">
        <v>3969.36</v>
      </c>
      <c r="X69" s="5">
        <v>3969.36</v>
      </c>
      <c r="Y69" s="3">
        <v>0</v>
      </c>
      <c r="Z69" s="3">
        <v>0</v>
      </c>
      <c r="AA69" s="3">
        <v>0</v>
      </c>
    </row>
    <row r="70" spans="1:27" ht="60.75" x14ac:dyDescent="0.25">
      <c r="A70" s="3" t="s">
        <v>28</v>
      </c>
      <c r="B70" s="3" t="s">
        <v>29</v>
      </c>
      <c r="C70" s="3" t="s">
        <v>30</v>
      </c>
      <c r="D70" s="3" t="s">
        <v>31</v>
      </c>
      <c r="E70" s="3" t="s">
        <v>32</v>
      </c>
      <c r="F70" s="3" t="s">
        <v>153</v>
      </c>
      <c r="G70" s="3">
        <v>2025</v>
      </c>
      <c r="H70" s="3" t="str">
        <f>CONCATENATE("54240574381")</f>
        <v>54240574381</v>
      </c>
      <c r="I70" s="3" t="s">
        <v>34</v>
      </c>
      <c r="J70" s="3" t="s">
        <v>35</v>
      </c>
      <c r="K70" s="3"/>
      <c r="L70" s="3" t="s">
        <v>36</v>
      </c>
      <c r="M70" s="3" t="str">
        <f>CONCATENATE("MNCDNL67M08D749S")</f>
        <v>MNCDNL67M08D749S</v>
      </c>
      <c r="N70" s="3" t="s">
        <v>157</v>
      </c>
      <c r="O70" s="3" t="s">
        <v>38</v>
      </c>
      <c r="P70" s="3"/>
      <c r="Q70" s="4">
        <v>45944</v>
      </c>
      <c r="R70" s="3" t="s">
        <v>39</v>
      </c>
      <c r="S70" s="3" t="s">
        <v>38</v>
      </c>
      <c r="T70" s="3" t="s">
        <v>43</v>
      </c>
      <c r="U70" s="3"/>
      <c r="V70" s="3" t="s">
        <v>41</v>
      </c>
      <c r="W70" s="5">
        <v>12097.8</v>
      </c>
      <c r="X70" s="5">
        <v>12097.8</v>
      </c>
      <c r="Y70" s="3">
        <v>0</v>
      </c>
      <c r="Z70" s="3">
        <v>0</v>
      </c>
      <c r="AA70" s="3">
        <v>0</v>
      </c>
    </row>
    <row r="71" spans="1:27" ht="60.75" x14ac:dyDescent="0.25">
      <c r="A71" s="3" t="s">
        <v>28</v>
      </c>
      <c r="B71" s="3" t="s">
        <v>29</v>
      </c>
      <c r="C71" s="3" t="s">
        <v>30</v>
      </c>
      <c r="D71" s="3" t="s">
        <v>63</v>
      </c>
      <c r="E71" s="3" t="s">
        <v>32</v>
      </c>
      <c r="F71" s="3" t="s">
        <v>158</v>
      </c>
      <c r="G71" s="3">
        <v>2025</v>
      </c>
      <c r="H71" s="3" t="str">
        <f>CONCATENATE("54240611621")</f>
        <v>54240611621</v>
      </c>
      <c r="I71" s="3" t="s">
        <v>34</v>
      </c>
      <c r="J71" s="3" t="s">
        <v>35</v>
      </c>
      <c r="K71" s="3"/>
      <c r="L71" s="3" t="s">
        <v>36</v>
      </c>
      <c r="M71" s="3" t="str">
        <f>CONCATENATE("RCCLDA63A23H321Z")</f>
        <v>RCCLDA63A23H321Z</v>
      </c>
      <c r="N71" s="3" t="s">
        <v>159</v>
      </c>
      <c r="O71" s="3" t="s">
        <v>38</v>
      </c>
      <c r="P71" s="3"/>
      <c r="Q71" s="4">
        <v>45944</v>
      </c>
      <c r="R71" s="3" t="s">
        <v>39</v>
      </c>
      <c r="S71" s="3" t="s">
        <v>38</v>
      </c>
      <c r="T71" s="3" t="s">
        <v>43</v>
      </c>
      <c r="U71" s="3"/>
      <c r="V71" s="3" t="s">
        <v>41</v>
      </c>
      <c r="W71" s="5">
        <v>1221.1300000000001</v>
      </c>
      <c r="X71" s="5">
        <v>1221.1300000000001</v>
      </c>
      <c r="Y71" s="3">
        <v>0</v>
      </c>
      <c r="Z71" s="3">
        <v>0</v>
      </c>
      <c r="AA71" s="3">
        <v>0</v>
      </c>
    </row>
    <row r="72" spans="1:27" ht="60.75" x14ac:dyDescent="0.25">
      <c r="A72" s="3" t="s">
        <v>28</v>
      </c>
      <c r="B72" s="3" t="s">
        <v>29</v>
      </c>
      <c r="C72" s="3" t="s">
        <v>30</v>
      </c>
      <c r="D72" s="3" t="s">
        <v>49</v>
      </c>
      <c r="E72" s="3" t="s">
        <v>32</v>
      </c>
      <c r="F72" s="3" t="s">
        <v>69</v>
      </c>
      <c r="G72" s="3">
        <v>2025</v>
      </c>
      <c r="H72" s="3" t="str">
        <f>CONCATENATE("54240575271")</f>
        <v>54240575271</v>
      </c>
      <c r="I72" s="3" t="s">
        <v>34</v>
      </c>
      <c r="J72" s="3" t="s">
        <v>35</v>
      </c>
      <c r="K72" s="3"/>
      <c r="L72" s="3" t="s">
        <v>36</v>
      </c>
      <c r="M72" s="3" t="str">
        <f>CONCATENATE("SLVPGV61L01C886S")</f>
        <v>SLVPGV61L01C886S</v>
      </c>
      <c r="N72" s="3" t="s">
        <v>160</v>
      </c>
      <c r="O72" s="3" t="s">
        <v>38</v>
      </c>
      <c r="P72" s="3"/>
      <c r="Q72" s="4">
        <v>45944</v>
      </c>
      <c r="R72" s="3" t="s">
        <v>39</v>
      </c>
      <c r="S72" s="3" t="s">
        <v>38</v>
      </c>
      <c r="T72" s="3" t="s">
        <v>43</v>
      </c>
      <c r="U72" s="3"/>
      <c r="V72" s="3" t="s">
        <v>41</v>
      </c>
      <c r="W72" s="5">
        <v>2958.19</v>
      </c>
      <c r="X72" s="5">
        <v>2958.19</v>
      </c>
      <c r="Y72" s="3">
        <v>0</v>
      </c>
      <c r="Z72" s="3">
        <v>0</v>
      </c>
      <c r="AA72" s="3">
        <v>0</v>
      </c>
    </row>
    <row r="73" spans="1:27" ht="60.75" x14ac:dyDescent="0.25">
      <c r="A73" s="3" t="s">
        <v>28</v>
      </c>
      <c r="B73" s="3" t="s">
        <v>29</v>
      </c>
      <c r="C73" s="3" t="s">
        <v>30</v>
      </c>
      <c r="D73" s="3" t="s">
        <v>63</v>
      </c>
      <c r="E73" s="3" t="s">
        <v>32</v>
      </c>
      <c r="F73" s="3" t="s">
        <v>158</v>
      </c>
      <c r="G73" s="3">
        <v>2025</v>
      </c>
      <c r="H73" s="3" t="str">
        <f>CONCATENATE("54240611670")</f>
        <v>54240611670</v>
      </c>
      <c r="I73" s="3" t="s">
        <v>34</v>
      </c>
      <c r="J73" s="3" t="s">
        <v>35</v>
      </c>
      <c r="K73" s="3"/>
      <c r="L73" s="3" t="s">
        <v>36</v>
      </c>
      <c r="M73" s="3" t="str">
        <f>CONCATENATE("RCCMHL81C11H769C")</f>
        <v>RCCMHL81C11H769C</v>
      </c>
      <c r="N73" s="3" t="s">
        <v>161</v>
      </c>
      <c r="O73" s="3" t="s">
        <v>38</v>
      </c>
      <c r="P73" s="3"/>
      <c r="Q73" s="4">
        <v>45944</v>
      </c>
      <c r="R73" s="3" t="s">
        <v>39</v>
      </c>
      <c r="S73" s="3" t="s">
        <v>38</v>
      </c>
      <c r="T73" s="3" t="s">
        <v>43</v>
      </c>
      <c r="U73" s="3"/>
      <c r="V73" s="3" t="s">
        <v>41</v>
      </c>
      <c r="W73" s="5">
        <v>9983.2800000000007</v>
      </c>
      <c r="X73" s="5">
        <v>9983.2800000000007</v>
      </c>
      <c r="Y73" s="3">
        <v>0</v>
      </c>
      <c r="Z73" s="3">
        <v>0</v>
      </c>
      <c r="AA73" s="3">
        <v>0</v>
      </c>
    </row>
    <row r="74" spans="1:27" ht="60.75" x14ac:dyDescent="0.25">
      <c r="A74" s="3" t="s">
        <v>28</v>
      </c>
      <c r="B74" s="3" t="s">
        <v>29</v>
      </c>
      <c r="C74" s="3" t="s">
        <v>30</v>
      </c>
      <c r="D74" s="3" t="s">
        <v>49</v>
      </c>
      <c r="E74" s="3" t="s">
        <v>32</v>
      </c>
      <c r="F74" s="3" t="s">
        <v>78</v>
      </c>
      <c r="G74" s="3">
        <v>2025</v>
      </c>
      <c r="H74" s="3" t="str">
        <f>CONCATENATE("54240575545")</f>
        <v>54240575545</v>
      </c>
      <c r="I74" s="3" t="s">
        <v>34</v>
      </c>
      <c r="J74" s="3" t="s">
        <v>35</v>
      </c>
      <c r="K74" s="3"/>
      <c r="L74" s="3" t="s">
        <v>36</v>
      </c>
      <c r="M74" s="3" t="str">
        <f>CONCATENATE("GNTRCR97R22I156W")</f>
        <v>GNTRCR97R22I156W</v>
      </c>
      <c r="N74" s="3" t="s">
        <v>162</v>
      </c>
      <c r="O74" s="3" t="s">
        <v>38</v>
      </c>
      <c r="P74" s="3"/>
      <c r="Q74" s="4">
        <v>45944</v>
      </c>
      <c r="R74" s="3" t="s">
        <v>39</v>
      </c>
      <c r="S74" s="3" t="s">
        <v>38</v>
      </c>
      <c r="T74" s="3" t="s">
        <v>43</v>
      </c>
      <c r="U74" s="3"/>
      <c r="V74" s="3" t="s">
        <v>41</v>
      </c>
      <c r="W74" s="5">
        <v>2200.06</v>
      </c>
      <c r="X74" s="5">
        <v>2200.06</v>
      </c>
      <c r="Y74" s="3">
        <v>0</v>
      </c>
      <c r="Z74" s="3">
        <v>0</v>
      </c>
      <c r="AA74" s="3">
        <v>0</v>
      </c>
    </row>
    <row r="75" spans="1:27" ht="60.75" x14ac:dyDescent="0.25">
      <c r="A75" s="3" t="s">
        <v>28</v>
      </c>
      <c r="B75" s="3" t="s">
        <v>29</v>
      </c>
      <c r="C75" s="3" t="s">
        <v>30</v>
      </c>
      <c r="D75" s="3" t="s">
        <v>31</v>
      </c>
      <c r="E75" s="3" t="s">
        <v>53</v>
      </c>
      <c r="F75" s="3" t="s">
        <v>82</v>
      </c>
      <c r="G75" s="3">
        <v>2025</v>
      </c>
      <c r="H75" s="3" t="str">
        <f>CONCATENATE("54240575719")</f>
        <v>54240575719</v>
      </c>
      <c r="I75" s="3" t="s">
        <v>34</v>
      </c>
      <c r="J75" s="3" t="s">
        <v>35</v>
      </c>
      <c r="K75" s="3"/>
      <c r="L75" s="3" t="s">
        <v>36</v>
      </c>
      <c r="M75" s="3" t="str">
        <f>CONCATENATE("RSSLCU76R10L498Z")</f>
        <v>RSSLCU76R10L498Z</v>
      </c>
      <c r="N75" s="3" t="s">
        <v>163</v>
      </c>
      <c r="O75" s="3" t="s">
        <v>38</v>
      </c>
      <c r="P75" s="3"/>
      <c r="Q75" s="4">
        <v>45944</v>
      </c>
      <c r="R75" s="3" t="s">
        <v>39</v>
      </c>
      <c r="S75" s="3" t="s">
        <v>38</v>
      </c>
      <c r="T75" s="3" t="s">
        <v>43</v>
      </c>
      <c r="U75" s="3"/>
      <c r="V75" s="3" t="s">
        <v>41</v>
      </c>
      <c r="W75" s="5">
        <v>3796.94</v>
      </c>
      <c r="X75" s="5">
        <v>3796.94</v>
      </c>
      <c r="Y75" s="3">
        <v>0</v>
      </c>
      <c r="Z75" s="3">
        <v>0</v>
      </c>
      <c r="AA75" s="3">
        <v>0</v>
      </c>
    </row>
    <row r="76" spans="1:27" ht="60.75" x14ac:dyDescent="0.25">
      <c r="A76" s="3" t="s">
        <v>28</v>
      </c>
      <c r="B76" s="3" t="s">
        <v>29</v>
      </c>
      <c r="C76" s="3" t="s">
        <v>30</v>
      </c>
      <c r="D76" s="3" t="s">
        <v>31</v>
      </c>
      <c r="E76" s="3" t="s">
        <v>53</v>
      </c>
      <c r="F76" s="3" t="s">
        <v>82</v>
      </c>
      <c r="G76" s="3">
        <v>2025</v>
      </c>
      <c r="H76" s="3" t="str">
        <f>CONCATENATE("54240576121")</f>
        <v>54240576121</v>
      </c>
      <c r="I76" s="3" t="s">
        <v>149</v>
      </c>
      <c r="J76" s="3" t="s">
        <v>35</v>
      </c>
      <c r="K76" s="3"/>
      <c r="L76" s="3" t="s">
        <v>36</v>
      </c>
      <c r="M76" s="3" t="str">
        <f>CONCATENATE("SCLLRN76T50L500O")</f>
        <v>SCLLRN76T50L500O</v>
      </c>
      <c r="N76" s="3" t="s">
        <v>164</v>
      </c>
      <c r="O76" s="3" t="s">
        <v>38</v>
      </c>
      <c r="P76" s="3"/>
      <c r="Q76" s="4">
        <v>45944</v>
      </c>
      <c r="R76" s="3" t="s">
        <v>39</v>
      </c>
      <c r="S76" s="3" t="s">
        <v>38</v>
      </c>
      <c r="T76" s="3" t="s">
        <v>43</v>
      </c>
      <c r="U76" s="3"/>
      <c r="V76" s="3" t="s">
        <v>41</v>
      </c>
      <c r="W76" s="5">
        <v>4746.62</v>
      </c>
      <c r="X76" s="5">
        <v>4746.62</v>
      </c>
      <c r="Y76" s="3">
        <v>0</v>
      </c>
      <c r="Z76" s="3">
        <v>0</v>
      </c>
      <c r="AA76" s="3">
        <v>0</v>
      </c>
    </row>
    <row r="77" spans="1:27" ht="60.75" x14ac:dyDescent="0.25">
      <c r="A77" s="3" t="s">
        <v>28</v>
      </c>
      <c r="B77" s="3" t="s">
        <v>29</v>
      </c>
      <c r="C77" s="3" t="s">
        <v>30</v>
      </c>
      <c r="D77" s="3" t="s">
        <v>31</v>
      </c>
      <c r="E77" s="3" t="s">
        <v>53</v>
      </c>
      <c r="F77" s="3" t="s">
        <v>82</v>
      </c>
      <c r="G77" s="3">
        <v>2025</v>
      </c>
      <c r="H77" s="3" t="str">
        <f>CONCATENATE("54240576725")</f>
        <v>54240576725</v>
      </c>
      <c r="I77" s="3" t="s">
        <v>34</v>
      </c>
      <c r="J77" s="3" t="s">
        <v>35</v>
      </c>
      <c r="K77" s="3"/>
      <c r="L77" s="3" t="s">
        <v>36</v>
      </c>
      <c r="M77" s="3" t="str">
        <f>CONCATENATE("TRPGNN99H06L500E")</f>
        <v>TRPGNN99H06L500E</v>
      </c>
      <c r="N77" s="3" t="s">
        <v>165</v>
      </c>
      <c r="O77" s="3" t="s">
        <v>38</v>
      </c>
      <c r="P77" s="3"/>
      <c r="Q77" s="4">
        <v>45944</v>
      </c>
      <c r="R77" s="3" t="s">
        <v>39</v>
      </c>
      <c r="S77" s="3" t="s">
        <v>38</v>
      </c>
      <c r="T77" s="3" t="s">
        <v>43</v>
      </c>
      <c r="U77" s="3"/>
      <c r="V77" s="3" t="s">
        <v>41</v>
      </c>
      <c r="W77" s="5">
        <v>18899.169999999998</v>
      </c>
      <c r="X77" s="5">
        <v>18899.169999999998</v>
      </c>
      <c r="Y77" s="3">
        <v>0</v>
      </c>
      <c r="Z77" s="3">
        <v>0</v>
      </c>
      <c r="AA77" s="3">
        <v>0</v>
      </c>
    </row>
    <row r="78" spans="1:27" ht="60.75" x14ac:dyDescent="0.25">
      <c r="A78" s="3" t="s">
        <v>28</v>
      </c>
      <c r="B78" s="3" t="s">
        <v>29</v>
      </c>
      <c r="C78" s="3" t="s">
        <v>30</v>
      </c>
      <c r="D78" s="3" t="s">
        <v>31</v>
      </c>
      <c r="E78" s="3" t="s">
        <v>53</v>
      </c>
      <c r="F78" s="3" t="s">
        <v>82</v>
      </c>
      <c r="G78" s="3">
        <v>2025</v>
      </c>
      <c r="H78" s="3" t="str">
        <f>CONCATENATE("54240576956")</f>
        <v>54240576956</v>
      </c>
      <c r="I78" s="3" t="s">
        <v>34</v>
      </c>
      <c r="J78" s="3" t="s">
        <v>35</v>
      </c>
      <c r="K78" s="3"/>
      <c r="L78" s="3" t="s">
        <v>36</v>
      </c>
      <c r="M78" s="3" t="str">
        <f>CONCATENATE("GSTFRC74M11D488L")</f>
        <v>GSTFRC74M11D488L</v>
      </c>
      <c r="N78" s="3" t="s">
        <v>166</v>
      </c>
      <c r="O78" s="3" t="s">
        <v>38</v>
      </c>
      <c r="P78" s="3"/>
      <c r="Q78" s="4">
        <v>45944</v>
      </c>
      <c r="R78" s="3" t="s">
        <v>39</v>
      </c>
      <c r="S78" s="3" t="s">
        <v>38</v>
      </c>
      <c r="T78" s="3" t="s">
        <v>43</v>
      </c>
      <c r="U78" s="3"/>
      <c r="V78" s="3" t="s">
        <v>41</v>
      </c>
      <c r="W78" s="5">
        <v>12343.33</v>
      </c>
      <c r="X78" s="5">
        <v>12343.33</v>
      </c>
      <c r="Y78" s="3">
        <v>0</v>
      </c>
      <c r="Z78" s="3">
        <v>0</v>
      </c>
      <c r="AA78" s="3">
        <v>0</v>
      </c>
    </row>
    <row r="79" spans="1:27" ht="60.75" x14ac:dyDescent="0.25">
      <c r="A79" s="3" t="s">
        <v>28</v>
      </c>
      <c r="B79" s="3" t="s">
        <v>29</v>
      </c>
      <c r="C79" s="3" t="s">
        <v>30</v>
      </c>
      <c r="D79" s="3" t="s">
        <v>49</v>
      </c>
      <c r="E79" s="3" t="s">
        <v>32</v>
      </c>
      <c r="F79" s="3" t="s">
        <v>69</v>
      </c>
      <c r="G79" s="3">
        <v>2025</v>
      </c>
      <c r="H79" s="3" t="str">
        <f>CONCATENATE("54240576899")</f>
        <v>54240576899</v>
      </c>
      <c r="I79" s="3" t="s">
        <v>34</v>
      </c>
      <c r="J79" s="3" t="s">
        <v>35</v>
      </c>
      <c r="K79" s="3"/>
      <c r="L79" s="3" t="s">
        <v>36</v>
      </c>
      <c r="M79" s="3" t="str">
        <f>CONCATENATE("FRNPRZ57C51L191S")</f>
        <v>FRNPRZ57C51L191S</v>
      </c>
      <c r="N79" s="3" t="s">
        <v>167</v>
      </c>
      <c r="O79" s="3" t="s">
        <v>38</v>
      </c>
      <c r="P79" s="3"/>
      <c r="Q79" s="4">
        <v>45944</v>
      </c>
      <c r="R79" s="3" t="s">
        <v>39</v>
      </c>
      <c r="S79" s="3" t="s">
        <v>38</v>
      </c>
      <c r="T79" s="3" t="s">
        <v>43</v>
      </c>
      <c r="U79" s="3"/>
      <c r="V79" s="3" t="s">
        <v>41</v>
      </c>
      <c r="W79" s="5">
        <v>1723.15</v>
      </c>
      <c r="X79" s="5">
        <v>1723.15</v>
      </c>
      <c r="Y79" s="3">
        <v>0</v>
      </c>
      <c r="Z79" s="3">
        <v>0</v>
      </c>
      <c r="AA79" s="3">
        <v>0</v>
      </c>
    </row>
    <row r="80" spans="1:27" ht="72.75" x14ac:dyDescent="0.25">
      <c r="A80" s="3" t="s">
        <v>28</v>
      </c>
      <c r="B80" s="3" t="s">
        <v>29</v>
      </c>
      <c r="C80" s="3" t="s">
        <v>30</v>
      </c>
      <c r="D80" s="3" t="s">
        <v>31</v>
      </c>
      <c r="E80" s="3" t="s">
        <v>32</v>
      </c>
      <c r="F80" s="3" t="s">
        <v>153</v>
      </c>
      <c r="G80" s="3">
        <v>2025</v>
      </c>
      <c r="H80" s="3" t="str">
        <f>CONCATENATE("54240577509")</f>
        <v>54240577509</v>
      </c>
      <c r="I80" s="3" t="s">
        <v>34</v>
      </c>
      <c r="J80" s="3" t="s">
        <v>35</v>
      </c>
      <c r="K80" s="3"/>
      <c r="L80" s="3" t="s">
        <v>36</v>
      </c>
      <c r="M80" s="3" t="str">
        <f>CONCATENATE("CNIMRO90A11D488D")</f>
        <v>CNIMRO90A11D488D</v>
      </c>
      <c r="N80" s="3" t="s">
        <v>168</v>
      </c>
      <c r="O80" s="3" t="s">
        <v>38</v>
      </c>
      <c r="P80" s="3"/>
      <c r="Q80" s="4">
        <v>45944</v>
      </c>
      <c r="R80" s="3" t="s">
        <v>39</v>
      </c>
      <c r="S80" s="3" t="s">
        <v>38</v>
      </c>
      <c r="T80" s="3" t="s">
        <v>43</v>
      </c>
      <c r="U80" s="3"/>
      <c r="V80" s="3" t="s">
        <v>41</v>
      </c>
      <c r="W80" s="5">
        <v>1070.48</v>
      </c>
      <c r="X80" s="5">
        <v>1070.48</v>
      </c>
      <c r="Y80" s="3">
        <v>0</v>
      </c>
      <c r="Z80" s="3">
        <v>0</v>
      </c>
      <c r="AA80" s="3">
        <v>0</v>
      </c>
    </row>
    <row r="81" spans="1:27" ht="60.75" x14ac:dyDescent="0.25">
      <c r="A81" s="3" t="s">
        <v>28</v>
      </c>
      <c r="B81" s="3" t="s">
        <v>29</v>
      </c>
      <c r="C81" s="3" t="s">
        <v>30</v>
      </c>
      <c r="D81" s="3" t="s">
        <v>49</v>
      </c>
      <c r="E81" s="3" t="s">
        <v>32</v>
      </c>
      <c r="F81" s="3" t="s">
        <v>71</v>
      </c>
      <c r="G81" s="3">
        <v>2025</v>
      </c>
      <c r="H81" s="3" t="str">
        <f>CONCATENATE("54240577889")</f>
        <v>54240577889</v>
      </c>
      <c r="I81" s="3" t="s">
        <v>34</v>
      </c>
      <c r="J81" s="3" t="s">
        <v>35</v>
      </c>
      <c r="K81" s="3"/>
      <c r="L81" s="3" t="s">
        <v>36</v>
      </c>
      <c r="M81" s="3" t="str">
        <f>CONCATENATE("LNFLDN92E69E783A")</f>
        <v>LNFLDN92E69E783A</v>
      </c>
      <c r="N81" s="3" t="s">
        <v>169</v>
      </c>
      <c r="O81" s="3" t="s">
        <v>38</v>
      </c>
      <c r="P81" s="3"/>
      <c r="Q81" s="4">
        <v>45944</v>
      </c>
      <c r="R81" s="3" t="s">
        <v>39</v>
      </c>
      <c r="S81" s="3" t="s">
        <v>38</v>
      </c>
      <c r="T81" s="3" t="s">
        <v>43</v>
      </c>
      <c r="U81" s="3"/>
      <c r="V81" s="3" t="s">
        <v>41</v>
      </c>
      <c r="W81" s="5">
        <v>1034.8800000000001</v>
      </c>
      <c r="X81" s="5">
        <v>1034.8800000000001</v>
      </c>
      <c r="Y81" s="3">
        <v>0</v>
      </c>
      <c r="Z81" s="3">
        <v>0</v>
      </c>
      <c r="AA81" s="3">
        <v>0</v>
      </c>
    </row>
    <row r="82" spans="1:27" ht="72.75" x14ac:dyDescent="0.25">
      <c r="A82" s="3" t="s">
        <v>28</v>
      </c>
      <c r="B82" s="3" t="s">
        <v>29</v>
      </c>
      <c r="C82" s="3" t="s">
        <v>30</v>
      </c>
      <c r="D82" s="3" t="s">
        <v>58</v>
      </c>
      <c r="E82" s="3" t="s">
        <v>32</v>
      </c>
      <c r="F82" s="3" t="s">
        <v>100</v>
      </c>
      <c r="G82" s="3">
        <v>2025</v>
      </c>
      <c r="H82" s="3" t="str">
        <f>CONCATENATE("54240577962")</f>
        <v>54240577962</v>
      </c>
      <c r="I82" s="3" t="s">
        <v>34</v>
      </c>
      <c r="J82" s="3" t="s">
        <v>35</v>
      </c>
      <c r="K82" s="3"/>
      <c r="L82" s="3" t="s">
        <v>36</v>
      </c>
      <c r="M82" s="3" t="str">
        <f>CONCATENATE("GMBLCU73P12H501I")</f>
        <v>GMBLCU73P12H501I</v>
      </c>
      <c r="N82" s="3" t="s">
        <v>170</v>
      </c>
      <c r="O82" s="3" t="s">
        <v>38</v>
      </c>
      <c r="P82" s="3"/>
      <c r="Q82" s="4">
        <v>45944</v>
      </c>
      <c r="R82" s="3" t="s">
        <v>39</v>
      </c>
      <c r="S82" s="3" t="s">
        <v>38</v>
      </c>
      <c r="T82" s="3" t="s">
        <v>43</v>
      </c>
      <c r="U82" s="3"/>
      <c r="V82" s="3" t="s">
        <v>41</v>
      </c>
      <c r="W82" s="5">
        <v>3704.39</v>
      </c>
      <c r="X82" s="5">
        <v>3704.39</v>
      </c>
      <c r="Y82" s="3">
        <v>0</v>
      </c>
      <c r="Z82" s="3">
        <v>0</v>
      </c>
      <c r="AA82" s="3">
        <v>0</v>
      </c>
    </row>
    <row r="83" spans="1:27" ht="60.75" x14ac:dyDescent="0.25">
      <c r="A83" s="3" t="s">
        <v>28</v>
      </c>
      <c r="B83" s="3" t="s">
        <v>29</v>
      </c>
      <c r="C83" s="3" t="s">
        <v>30</v>
      </c>
      <c r="D83" s="3" t="s">
        <v>58</v>
      </c>
      <c r="E83" s="3" t="s">
        <v>53</v>
      </c>
      <c r="F83" s="3" t="s">
        <v>59</v>
      </c>
      <c r="G83" s="3">
        <v>2025</v>
      </c>
      <c r="H83" s="3" t="str">
        <f>CONCATENATE("54240578044")</f>
        <v>54240578044</v>
      </c>
      <c r="I83" s="3" t="s">
        <v>34</v>
      </c>
      <c r="J83" s="3" t="s">
        <v>35</v>
      </c>
      <c r="K83" s="3"/>
      <c r="L83" s="3" t="s">
        <v>36</v>
      </c>
      <c r="M83" s="3" t="str">
        <f>CONCATENATE("GSPSRN95H56I608Y")</f>
        <v>GSPSRN95H56I608Y</v>
      </c>
      <c r="N83" s="3" t="s">
        <v>171</v>
      </c>
      <c r="O83" s="3" t="s">
        <v>38</v>
      </c>
      <c r="P83" s="3"/>
      <c r="Q83" s="4">
        <v>45944</v>
      </c>
      <c r="R83" s="3" t="s">
        <v>39</v>
      </c>
      <c r="S83" s="3" t="s">
        <v>38</v>
      </c>
      <c r="T83" s="3" t="s">
        <v>43</v>
      </c>
      <c r="U83" s="3"/>
      <c r="V83" s="3" t="s">
        <v>41</v>
      </c>
      <c r="W83" s="5">
        <v>3734.61</v>
      </c>
      <c r="X83" s="5">
        <v>3734.61</v>
      </c>
      <c r="Y83" s="3">
        <v>0</v>
      </c>
      <c r="Z83" s="3">
        <v>0</v>
      </c>
      <c r="AA83" s="3">
        <v>0</v>
      </c>
    </row>
    <row r="84" spans="1:27" ht="60.75" x14ac:dyDescent="0.25">
      <c r="A84" s="3" t="s">
        <v>28</v>
      </c>
      <c r="B84" s="3" t="s">
        <v>29</v>
      </c>
      <c r="C84" s="3" t="s">
        <v>30</v>
      </c>
      <c r="D84" s="3" t="s">
        <v>31</v>
      </c>
      <c r="E84" s="3" t="s">
        <v>53</v>
      </c>
      <c r="F84" s="3" t="s">
        <v>172</v>
      </c>
      <c r="G84" s="3">
        <v>2025</v>
      </c>
      <c r="H84" s="3" t="str">
        <f>CONCATENATE("54240578424")</f>
        <v>54240578424</v>
      </c>
      <c r="I84" s="3" t="s">
        <v>34</v>
      </c>
      <c r="J84" s="3" t="s">
        <v>35</v>
      </c>
      <c r="K84" s="3"/>
      <c r="L84" s="3" t="s">
        <v>36</v>
      </c>
      <c r="M84" s="3" t="str">
        <f>CONCATENATE("CMPLNZ59P24E351Y")</f>
        <v>CMPLNZ59P24E351Y</v>
      </c>
      <c r="N84" s="3" t="s">
        <v>173</v>
      </c>
      <c r="O84" s="3" t="s">
        <v>38</v>
      </c>
      <c r="P84" s="3"/>
      <c r="Q84" s="4">
        <v>45944</v>
      </c>
      <c r="R84" s="3" t="s">
        <v>39</v>
      </c>
      <c r="S84" s="3" t="s">
        <v>38</v>
      </c>
      <c r="T84" s="3" t="s">
        <v>43</v>
      </c>
      <c r="U84" s="3"/>
      <c r="V84" s="3" t="s">
        <v>41</v>
      </c>
      <c r="W84" s="5">
        <v>1288.92</v>
      </c>
      <c r="X84" s="5">
        <v>1288.92</v>
      </c>
      <c r="Y84" s="3">
        <v>0</v>
      </c>
      <c r="Z84" s="3">
        <v>0</v>
      </c>
      <c r="AA84" s="3">
        <v>0</v>
      </c>
    </row>
    <row r="85" spans="1:27" ht="72.75" x14ac:dyDescent="0.25">
      <c r="A85" s="3" t="s">
        <v>28</v>
      </c>
      <c r="B85" s="3" t="s">
        <v>29</v>
      </c>
      <c r="C85" s="3" t="s">
        <v>30</v>
      </c>
      <c r="D85" s="3" t="s">
        <v>49</v>
      </c>
      <c r="E85" s="3" t="s">
        <v>32</v>
      </c>
      <c r="F85" s="3" t="s">
        <v>71</v>
      </c>
      <c r="G85" s="3">
        <v>2025</v>
      </c>
      <c r="H85" s="3" t="str">
        <f>CONCATENATE("54240578135")</f>
        <v>54240578135</v>
      </c>
      <c r="I85" s="3" t="s">
        <v>34</v>
      </c>
      <c r="J85" s="3" t="s">
        <v>35</v>
      </c>
      <c r="K85" s="3"/>
      <c r="L85" s="3" t="s">
        <v>36</v>
      </c>
      <c r="M85" s="3" t="str">
        <f>CONCATENATE("MRTFBA79A04H501G")</f>
        <v>MRTFBA79A04H501G</v>
      </c>
      <c r="N85" s="3" t="s">
        <v>174</v>
      </c>
      <c r="O85" s="3" t="s">
        <v>38</v>
      </c>
      <c r="P85" s="3"/>
      <c r="Q85" s="4">
        <v>45944</v>
      </c>
      <c r="R85" s="3" t="s">
        <v>39</v>
      </c>
      <c r="S85" s="3" t="s">
        <v>38</v>
      </c>
      <c r="T85" s="3" t="s">
        <v>43</v>
      </c>
      <c r="U85" s="3"/>
      <c r="V85" s="3" t="s">
        <v>41</v>
      </c>
      <c r="W85" s="5">
        <v>6508.76</v>
      </c>
      <c r="X85" s="5">
        <v>6508.76</v>
      </c>
      <c r="Y85" s="3">
        <v>0</v>
      </c>
      <c r="Z85" s="3">
        <v>0</v>
      </c>
      <c r="AA85" s="3">
        <v>0</v>
      </c>
    </row>
    <row r="86" spans="1:27" ht="60.75" x14ac:dyDescent="0.25">
      <c r="A86" s="3" t="s">
        <v>28</v>
      </c>
      <c r="B86" s="3" t="s">
        <v>29</v>
      </c>
      <c r="C86" s="3" t="s">
        <v>30</v>
      </c>
      <c r="D86" s="3" t="s">
        <v>58</v>
      </c>
      <c r="E86" s="3" t="s">
        <v>53</v>
      </c>
      <c r="F86" s="3" t="s">
        <v>59</v>
      </c>
      <c r="G86" s="3">
        <v>2025</v>
      </c>
      <c r="H86" s="3" t="str">
        <f>CONCATENATE("54240579018")</f>
        <v>54240579018</v>
      </c>
      <c r="I86" s="3" t="s">
        <v>34</v>
      </c>
      <c r="J86" s="3" t="s">
        <v>35</v>
      </c>
      <c r="K86" s="3"/>
      <c r="L86" s="3" t="s">
        <v>36</v>
      </c>
      <c r="M86" s="3" t="str">
        <f>CONCATENATE("TLSSBN69D48A022A")</f>
        <v>TLSSBN69D48A022A</v>
      </c>
      <c r="N86" s="3" t="s">
        <v>175</v>
      </c>
      <c r="O86" s="3" t="s">
        <v>38</v>
      </c>
      <c r="P86" s="3"/>
      <c r="Q86" s="4">
        <v>45944</v>
      </c>
      <c r="R86" s="3" t="s">
        <v>39</v>
      </c>
      <c r="S86" s="3" t="s">
        <v>38</v>
      </c>
      <c r="T86" s="3" t="s">
        <v>43</v>
      </c>
      <c r="U86" s="3"/>
      <c r="V86" s="3" t="s">
        <v>41</v>
      </c>
      <c r="W86" s="5">
        <v>3702.8</v>
      </c>
      <c r="X86" s="5">
        <v>3702.8</v>
      </c>
      <c r="Y86" s="3">
        <v>0</v>
      </c>
      <c r="Z86" s="3">
        <v>0</v>
      </c>
      <c r="AA86" s="3">
        <v>0</v>
      </c>
    </row>
    <row r="87" spans="1:27" ht="72.75" x14ac:dyDescent="0.25">
      <c r="A87" s="3" t="s">
        <v>28</v>
      </c>
      <c r="B87" s="3" t="s">
        <v>29</v>
      </c>
      <c r="C87" s="3" t="s">
        <v>30</v>
      </c>
      <c r="D87" s="3" t="s">
        <v>31</v>
      </c>
      <c r="E87" s="3" t="s">
        <v>32</v>
      </c>
      <c r="F87" s="3" t="s">
        <v>153</v>
      </c>
      <c r="G87" s="3">
        <v>2025</v>
      </c>
      <c r="H87" s="3" t="str">
        <f>CONCATENATE("54240578432")</f>
        <v>54240578432</v>
      </c>
      <c r="I87" s="3" t="s">
        <v>34</v>
      </c>
      <c r="J87" s="3" t="s">
        <v>35</v>
      </c>
      <c r="K87" s="3"/>
      <c r="L87" s="3" t="s">
        <v>36</v>
      </c>
      <c r="M87" s="3" t="str">
        <f>CONCATENATE("GRSMGR48A62D749G")</f>
        <v>GRSMGR48A62D749G</v>
      </c>
      <c r="N87" s="3" t="s">
        <v>176</v>
      </c>
      <c r="O87" s="3" t="s">
        <v>38</v>
      </c>
      <c r="P87" s="3"/>
      <c r="Q87" s="4">
        <v>45944</v>
      </c>
      <c r="R87" s="3" t="s">
        <v>39</v>
      </c>
      <c r="S87" s="3" t="s">
        <v>38</v>
      </c>
      <c r="T87" s="3" t="s">
        <v>43</v>
      </c>
      <c r="U87" s="3"/>
      <c r="V87" s="3" t="s">
        <v>41</v>
      </c>
      <c r="W87" s="5">
        <v>1353.72</v>
      </c>
      <c r="X87" s="5">
        <v>1353.72</v>
      </c>
      <c r="Y87" s="3">
        <v>0</v>
      </c>
      <c r="Z87" s="3">
        <v>0</v>
      </c>
      <c r="AA87" s="3">
        <v>0</v>
      </c>
    </row>
    <row r="88" spans="1:27" ht="60.75" x14ac:dyDescent="0.25">
      <c r="A88" s="3" t="s">
        <v>28</v>
      </c>
      <c r="B88" s="3" t="s">
        <v>29</v>
      </c>
      <c r="C88" s="3" t="s">
        <v>30</v>
      </c>
      <c r="D88" s="3" t="s">
        <v>58</v>
      </c>
      <c r="E88" s="3" t="s">
        <v>32</v>
      </c>
      <c r="F88" s="3" t="s">
        <v>102</v>
      </c>
      <c r="G88" s="3">
        <v>2025</v>
      </c>
      <c r="H88" s="3" t="str">
        <f>CONCATENATE("54240579521")</f>
        <v>54240579521</v>
      </c>
      <c r="I88" s="3" t="s">
        <v>34</v>
      </c>
      <c r="J88" s="3" t="s">
        <v>35</v>
      </c>
      <c r="K88" s="3"/>
      <c r="L88" s="3" t="s">
        <v>36</v>
      </c>
      <c r="M88" s="3" t="str">
        <f>CONCATENATE("GRGSLV67A68A561B")</f>
        <v>GRGSLV67A68A561B</v>
      </c>
      <c r="N88" s="3" t="s">
        <v>177</v>
      </c>
      <c r="O88" s="3" t="s">
        <v>38</v>
      </c>
      <c r="P88" s="3"/>
      <c r="Q88" s="4">
        <v>45944</v>
      </c>
      <c r="R88" s="3" t="s">
        <v>39</v>
      </c>
      <c r="S88" s="3" t="s">
        <v>38</v>
      </c>
      <c r="T88" s="3" t="s">
        <v>43</v>
      </c>
      <c r="U88" s="3"/>
      <c r="V88" s="3" t="s">
        <v>41</v>
      </c>
      <c r="W88" s="5">
        <v>3188.59</v>
      </c>
      <c r="X88" s="5">
        <v>3188.59</v>
      </c>
      <c r="Y88" s="3">
        <v>0</v>
      </c>
      <c r="Z88" s="3">
        <v>0</v>
      </c>
      <c r="AA88" s="3">
        <v>0</v>
      </c>
    </row>
    <row r="89" spans="1:27" ht="60.75" x14ac:dyDescent="0.25">
      <c r="A89" s="3" t="s">
        <v>28</v>
      </c>
      <c r="B89" s="3" t="s">
        <v>29</v>
      </c>
      <c r="C89" s="3" t="s">
        <v>30</v>
      </c>
      <c r="D89" s="3" t="s">
        <v>31</v>
      </c>
      <c r="E89" s="3" t="s">
        <v>32</v>
      </c>
      <c r="F89" s="3" t="s">
        <v>178</v>
      </c>
      <c r="G89" s="3">
        <v>2025</v>
      </c>
      <c r="H89" s="3" t="str">
        <f>CONCATENATE("54240579778")</f>
        <v>54240579778</v>
      </c>
      <c r="I89" s="3" t="s">
        <v>34</v>
      </c>
      <c r="J89" s="3" t="s">
        <v>35</v>
      </c>
      <c r="K89" s="3"/>
      <c r="L89" s="3" t="s">
        <v>36</v>
      </c>
      <c r="M89" s="3" t="str">
        <f>CONCATENATE("DBRSCC96B15L500D")</f>
        <v>DBRSCC96B15L500D</v>
      </c>
      <c r="N89" s="3" t="s">
        <v>179</v>
      </c>
      <c r="O89" s="3" t="s">
        <v>38</v>
      </c>
      <c r="P89" s="3"/>
      <c r="Q89" s="4">
        <v>45944</v>
      </c>
      <c r="R89" s="3" t="s">
        <v>39</v>
      </c>
      <c r="S89" s="3" t="s">
        <v>38</v>
      </c>
      <c r="T89" s="3" t="s">
        <v>43</v>
      </c>
      <c r="U89" s="3"/>
      <c r="V89" s="3" t="s">
        <v>41</v>
      </c>
      <c r="W89" s="5">
        <v>1268.06</v>
      </c>
      <c r="X89" s="5">
        <v>1268.06</v>
      </c>
      <c r="Y89" s="3">
        <v>0</v>
      </c>
      <c r="Z89" s="3">
        <v>0</v>
      </c>
      <c r="AA89" s="3">
        <v>0</v>
      </c>
    </row>
    <row r="90" spans="1:27" ht="36.75" x14ac:dyDescent="0.25">
      <c r="A90" s="3" t="s">
        <v>28</v>
      </c>
      <c r="B90" s="3" t="s">
        <v>29</v>
      </c>
      <c r="C90" s="3" t="s">
        <v>30</v>
      </c>
      <c r="D90" s="3" t="s">
        <v>63</v>
      </c>
      <c r="E90" s="3" t="s">
        <v>53</v>
      </c>
      <c r="F90" s="3" t="s">
        <v>180</v>
      </c>
      <c r="G90" s="3">
        <v>2025</v>
      </c>
      <c r="H90" s="3" t="str">
        <f>CONCATENATE("54240580685")</f>
        <v>54240580685</v>
      </c>
      <c r="I90" s="3" t="s">
        <v>34</v>
      </c>
      <c r="J90" s="3" t="s">
        <v>35</v>
      </c>
      <c r="K90" s="3"/>
      <c r="L90" s="3" t="s">
        <v>36</v>
      </c>
      <c r="M90" s="3" t="str">
        <f>CONCATENATE("02432920441")</f>
        <v>02432920441</v>
      </c>
      <c r="N90" s="3" t="s">
        <v>181</v>
      </c>
      <c r="O90" s="3" t="s">
        <v>38</v>
      </c>
      <c r="P90" s="3"/>
      <c r="Q90" s="4">
        <v>45944</v>
      </c>
      <c r="R90" s="3" t="s">
        <v>39</v>
      </c>
      <c r="S90" s="3" t="s">
        <v>38</v>
      </c>
      <c r="T90" s="3" t="s">
        <v>43</v>
      </c>
      <c r="U90" s="3"/>
      <c r="V90" s="3" t="s">
        <v>41</v>
      </c>
      <c r="W90" s="5">
        <v>1292.49</v>
      </c>
      <c r="X90" s="5">
        <v>1292.49</v>
      </c>
      <c r="Y90" s="3">
        <v>0</v>
      </c>
      <c r="Z90" s="3">
        <v>0</v>
      </c>
      <c r="AA90" s="3">
        <v>0</v>
      </c>
    </row>
    <row r="91" spans="1:27" ht="36.75" x14ac:dyDescent="0.25">
      <c r="A91" s="3" t="s">
        <v>28</v>
      </c>
      <c r="B91" s="3" t="s">
        <v>29</v>
      </c>
      <c r="C91" s="3" t="s">
        <v>30</v>
      </c>
      <c r="D91" s="3" t="s">
        <v>58</v>
      </c>
      <c r="E91" s="3" t="s">
        <v>32</v>
      </c>
      <c r="F91" s="3" t="s">
        <v>102</v>
      </c>
      <c r="G91" s="3">
        <v>2025</v>
      </c>
      <c r="H91" s="3" t="str">
        <f>CONCATENATE("54240579851")</f>
        <v>54240579851</v>
      </c>
      <c r="I91" s="3" t="s">
        <v>34</v>
      </c>
      <c r="J91" s="3" t="s">
        <v>35</v>
      </c>
      <c r="K91" s="3"/>
      <c r="L91" s="3" t="s">
        <v>36</v>
      </c>
      <c r="M91" s="3" t="str">
        <f>CONCATENATE("02731070427")</f>
        <v>02731070427</v>
      </c>
      <c r="N91" s="3" t="s">
        <v>182</v>
      </c>
      <c r="O91" s="3" t="s">
        <v>38</v>
      </c>
      <c r="P91" s="3"/>
      <c r="Q91" s="4">
        <v>45944</v>
      </c>
      <c r="R91" s="3" t="s">
        <v>39</v>
      </c>
      <c r="S91" s="3" t="s">
        <v>38</v>
      </c>
      <c r="T91" s="3" t="s">
        <v>43</v>
      </c>
      <c r="U91" s="3"/>
      <c r="V91" s="3" t="s">
        <v>41</v>
      </c>
      <c r="W91" s="5">
        <v>8964.41</v>
      </c>
      <c r="X91" s="5">
        <v>8964.41</v>
      </c>
      <c r="Y91" s="3">
        <v>0</v>
      </c>
      <c r="Z91" s="3">
        <v>0</v>
      </c>
      <c r="AA91" s="3">
        <v>0</v>
      </c>
    </row>
    <row r="92" spans="1:27" ht="60.75" x14ac:dyDescent="0.25">
      <c r="A92" s="3" t="s">
        <v>28</v>
      </c>
      <c r="B92" s="3" t="s">
        <v>29</v>
      </c>
      <c r="C92" s="3" t="s">
        <v>30</v>
      </c>
      <c r="D92" s="3" t="s">
        <v>49</v>
      </c>
      <c r="E92" s="3" t="s">
        <v>91</v>
      </c>
      <c r="F92" s="3" t="s">
        <v>92</v>
      </c>
      <c r="G92" s="3">
        <v>2025</v>
      </c>
      <c r="H92" s="3" t="str">
        <f>CONCATENATE("54240580735")</f>
        <v>54240580735</v>
      </c>
      <c r="I92" s="3" t="s">
        <v>34</v>
      </c>
      <c r="J92" s="3" t="s">
        <v>35</v>
      </c>
      <c r="K92" s="3"/>
      <c r="L92" s="3" t="s">
        <v>36</v>
      </c>
      <c r="M92" s="3" t="str">
        <f>CONCATENATE("TRVCHR98B43I156P")</f>
        <v>TRVCHR98B43I156P</v>
      </c>
      <c r="N92" s="3" t="s">
        <v>183</v>
      </c>
      <c r="O92" s="3" t="s">
        <v>38</v>
      </c>
      <c r="P92" s="3"/>
      <c r="Q92" s="4">
        <v>45944</v>
      </c>
      <c r="R92" s="3" t="s">
        <v>39</v>
      </c>
      <c r="S92" s="3" t="s">
        <v>38</v>
      </c>
      <c r="T92" s="3" t="s">
        <v>43</v>
      </c>
      <c r="U92" s="3"/>
      <c r="V92" s="3" t="s">
        <v>41</v>
      </c>
      <c r="W92" s="5">
        <v>3675.11</v>
      </c>
      <c r="X92" s="5">
        <v>3675.11</v>
      </c>
      <c r="Y92" s="3">
        <v>0</v>
      </c>
      <c r="Z92" s="3">
        <v>0</v>
      </c>
      <c r="AA92" s="3">
        <v>0</v>
      </c>
    </row>
    <row r="93" spans="1:27" ht="60.75" x14ac:dyDescent="0.25">
      <c r="A93" s="3" t="s">
        <v>28</v>
      </c>
      <c r="B93" s="3" t="s">
        <v>29</v>
      </c>
      <c r="C93" s="3" t="s">
        <v>30</v>
      </c>
      <c r="D93" s="3" t="s">
        <v>63</v>
      </c>
      <c r="E93" s="3" t="s">
        <v>64</v>
      </c>
      <c r="F93" s="3" t="s">
        <v>65</v>
      </c>
      <c r="G93" s="3">
        <v>2025</v>
      </c>
      <c r="H93" s="3" t="str">
        <f>CONCATENATE("54240587888")</f>
        <v>54240587888</v>
      </c>
      <c r="I93" s="3" t="s">
        <v>34</v>
      </c>
      <c r="J93" s="3" t="s">
        <v>35</v>
      </c>
      <c r="K93" s="3"/>
      <c r="L93" s="3" t="s">
        <v>36</v>
      </c>
      <c r="M93" s="3" t="str">
        <f>CONCATENATE("FBBJLN85H68A462W")</f>
        <v>FBBJLN85H68A462W</v>
      </c>
      <c r="N93" s="3" t="s">
        <v>184</v>
      </c>
      <c r="O93" s="3" t="s">
        <v>38</v>
      </c>
      <c r="P93" s="3"/>
      <c r="Q93" s="4">
        <v>45944</v>
      </c>
      <c r="R93" s="3" t="s">
        <v>39</v>
      </c>
      <c r="S93" s="3" t="s">
        <v>38</v>
      </c>
      <c r="T93" s="3" t="s">
        <v>43</v>
      </c>
      <c r="U93" s="3"/>
      <c r="V93" s="3" t="s">
        <v>41</v>
      </c>
      <c r="W93" s="5">
        <v>3710.06</v>
      </c>
      <c r="X93" s="5">
        <v>3710.06</v>
      </c>
      <c r="Y93" s="3">
        <v>0</v>
      </c>
      <c r="Z93" s="3">
        <v>0</v>
      </c>
      <c r="AA93" s="3">
        <v>0</v>
      </c>
    </row>
    <row r="94" spans="1:27" ht="60.75" x14ac:dyDescent="0.25">
      <c r="A94" s="3" t="s">
        <v>28</v>
      </c>
      <c r="B94" s="3" t="s">
        <v>29</v>
      </c>
      <c r="C94" s="3" t="s">
        <v>30</v>
      </c>
      <c r="D94" s="3" t="s">
        <v>31</v>
      </c>
      <c r="E94" s="3" t="s">
        <v>53</v>
      </c>
      <c r="F94" s="3" t="s">
        <v>82</v>
      </c>
      <c r="G94" s="3">
        <v>2025</v>
      </c>
      <c r="H94" s="3" t="str">
        <f>CONCATENATE("54240580545")</f>
        <v>54240580545</v>
      </c>
      <c r="I94" s="3" t="s">
        <v>34</v>
      </c>
      <c r="J94" s="3" t="s">
        <v>35</v>
      </c>
      <c r="K94" s="3"/>
      <c r="L94" s="3" t="s">
        <v>36</v>
      </c>
      <c r="M94" s="3" t="str">
        <f>CONCATENATE("CNCLGU57A24I459O")</f>
        <v>CNCLGU57A24I459O</v>
      </c>
      <c r="N94" s="3" t="s">
        <v>185</v>
      </c>
      <c r="O94" s="3" t="s">
        <v>38</v>
      </c>
      <c r="P94" s="3"/>
      <c r="Q94" s="4">
        <v>45944</v>
      </c>
      <c r="R94" s="3" t="s">
        <v>39</v>
      </c>
      <c r="S94" s="3" t="s">
        <v>38</v>
      </c>
      <c r="T94" s="3" t="s">
        <v>43</v>
      </c>
      <c r="U94" s="3"/>
      <c r="V94" s="3" t="s">
        <v>41</v>
      </c>
      <c r="W94" s="5">
        <v>7898.31</v>
      </c>
      <c r="X94" s="5">
        <v>7898.31</v>
      </c>
      <c r="Y94" s="3">
        <v>0</v>
      </c>
      <c r="Z94" s="3">
        <v>0</v>
      </c>
      <c r="AA94" s="3">
        <v>0</v>
      </c>
    </row>
    <row r="95" spans="1:27" ht="60.75" x14ac:dyDescent="0.25">
      <c r="A95" s="3" t="s">
        <v>28</v>
      </c>
      <c r="B95" s="3" t="s">
        <v>29</v>
      </c>
      <c r="C95" s="3" t="s">
        <v>30</v>
      </c>
      <c r="D95" s="3" t="s">
        <v>58</v>
      </c>
      <c r="E95" s="3" t="s">
        <v>32</v>
      </c>
      <c r="F95" s="3" t="s">
        <v>96</v>
      </c>
      <c r="G95" s="3">
        <v>2025</v>
      </c>
      <c r="H95" s="3" t="str">
        <f>CONCATENATE("54240581089")</f>
        <v>54240581089</v>
      </c>
      <c r="I95" s="3" t="s">
        <v>34</v>
      </c>
      <c r="J95" s="3" t="s">
        <v>35</v>
      </c>
      <c r="K95" s="3"/>
      <c r="L95" s="3" t="s">
        <v>36</v>
      </c>
      <c r="M95" s="3" t="str">
        <f>CONCATENATE("PRSRLL52E41D451F")</f>
        <v>PRSRLL52E41D451F</v>
      </c>
      <c r="N95" s="3" t="s">
        <v>186</v>
      </c>
      <c r="O95" s="3" t="s">
        <v>38</v>
      </c>
      <c r="P95" s="3"/>
      <c r="Q95" s="4">
        <v>45944</v>
      </c>
      <c r="R95" s="3" t="s">
        <v>39</v>
      </c>
      <c r="S95" s="3" t="s">
        <v>38</v>
      </c>
      <c r="T95" s="3" t="s">
        <v>43</v>
      </c>
      <c r="U95" s="3"/>
      <c r="V95" s="3" t="s">
        <v>41</v>
      </c>
      <c r="W95" s="5">
        <v>4800.05</v>
      </c>
      <c r="X95" s="5">
        <v>4800.05</v>
      </c>
      <c r="Y95" s="3">
        <v>0</v>
      </c>
      <c r="Z95" s="3">
        <v>0</v>
      </c>
      <c r="AA95" s="3">
        <v>0</v>
      </c>
    </row>
    <row r="96" spans="1:27" ht="60.75" x14ac:dyDescent="0.25">
      <c r="A96" s="3" t="s">
        <v>28</v>
      </c>
      <c r="B96" s="3" t="s">
        <v>29</v>
      </c>
      <c r="C96" s="3" t="s">
        <v>30</v>
      </c>
      <c r="D96" s="3" t="s">
        <v>31</v>
      </c>
      <c r="E96" s="3" t="s">
        <v>53</v>
      </c>
      <c r="F96" s="3" t="s">
        <v>82</v>
      </c>
      <c r="G96" s="3">
        <v>2025</v>
      </c>
      <c r="H96" s="3" t="str">
        <f>CONCATENATE("54240581170")</f>
        <v>54240581170</v>
      </c>
      <c r="I96" s="3" t="s">
        <v>149</v>
      </c>
      <c r="J96" s="3" t="s">
        <v>35</v>
      </c>
      <c r="K96" s="3"/>
      <c r="L96" s="3" t="s">
        <v>36</v>
      </c>
      <c r="M96" s="3" t="str">
        <f>CONCATENATE("CNCDBR71B46L500B")</f>
        <v>CNCDBR71B46L500B</v>
      </c>
      <c r="N96" s="3" t="s">
        <v>187</v>
      </c>
      <c r="O96" s="3" t="s">
        <v>38</v>
      </c>
      <c r="P96" s="3"/>
      <c r="Q96" s="4">
        <v>45944</v>
      </c>
      <c r="R96" s="3" t="s">
        <v>39</v>
      </c>
      <c r="S96" s="3" t="s">
        <v>38</v>
      </c>
      <c r="T96" s="3" t="s">
        <v>43</v>
      </c>
      <c r="U96" s="3"/>
      <c r="V96" s="3" t="s">
        <v>41</v>
      </c>
      <c r="W96" s="5">
        <v>6898.52</v>
      </c>
      <c r="X96" s="5">
        <v>6898.52</v>
      </c>
      <c r="Y96" s="3">
        <v>0</v>
      </c>
      <c r="Z96" s="3">
        <v>0</v>
      </c>
      <c r="AA96" s="3">
        <v>0</v>
      </c>
    </row>
    <row r="97" spans="1:27" ht="60.75" x14ac:dyDescent="0.25">
      <c r="A97" s="3" t="s">
        <v>28</v>
      </c>
      <c r="B97" s="3" t="s">
        <v>29</v>
      </c>
      <c r="C97" s="3" t="s">
        <v>30</v>
      </c>
      <c r="D97" s="3" t="s">
        <v>58</v>
      </c>
      <c r="E97" s="3" t="s">
        <v>32</v>
      </c>
      <c r="F97" s="3" t="s">
        <v>96</v>
      </c>
      <c r="G97" s="3">
        <v>2025</v>
      </c>
      <c r="H97" s="3" t="str">
        <f>CONCATENATE("54240586146")</f>
        <v>54240586146</v>
      </c>
      <c r="I97" s="3" t="s">
        <v>34</v>
      </c>
      <c r="J97" s="3" t="s">
        <v>35</v>
      </c>
      <c r="K97" s="3"/>
      <c r="L97" s="3" t="s">
        <v>36</v>
      </c>
      <c r="M97" s="3" t="str">
        <f>CONCATENATE("CMPDNL97S16D451X")</f>
        <v>CMPDNL97S16D451X</v>
      </c>
      <c r="N97" s="3" t="s">
        <v>188</v>
      </c>
      <c r="O97" s="3" t="s">
        <v>38</v>
      </c>
      <c r="P97" s="3"/>
      <c r="Q97" s="4">
        <v>45944</v>
      </c>
      <c r="R97" s="3" t="s">
        <v>39</v>
      </c>
      <c r="S97" s="3" t="s">
        <v>38</v>
      </c>
      <c r="T97" s="3" t="s">
        <v>43</v>
      </c>
      <c r="U97" s="3"/>
      <c r="V97" s="3" t="s">
        <v>41</v>
      </c>
      <c r="W97" s="5">
        <v>9970.7800000000007</v>
      </c>
      <c r="X97" s="5">
        <v>9970.7800000000007</v>
      </c>
      <c r="Y97" s="3">
        <v>0</v>
      </c>
      <c r="Z97" s="3">
        <v>0</v>
      </c>
      <c r="AA97" s="3">
        <v>0</v>
      </c>
    </row>
    <row r="98" spans="1:27" ht="72.75" x14ac:dyDescent="0.25">
      <c r="A98" s="3" t="s">
        <v>28</v>
      </c>
      <c r="B98" s="3" t="s">
        <v>29</v>
      </c>
      <c r="C98" s="3" t="s">
        <v>30</v>
      </c>
      <c r="D98" s="3" t="s">
        <v>31</v>
      </c>
      <c r="E98" s="3" t="s">
        <v>32</v>
      </c>
      <c r="F98" s="3" t="s">
        <v>153</v>
      </c>
      <c r="G98" s="3">
        <v>2025</v>
      </c>
      <c r="H98" s="3" t="str">
        <f>CONCATENATE("54240581717")</f>
        <v>54240581717</v>
      </c>
      <c r="I98" s="3" t="s">
        <v>34</v>
      </c>
      <c r="J98" s="3" t="s">
        <v>35</v>
      </c>
      <c r="K98" s="3"/>
      <c r="L98" s="3" t="s">
        <v>36</v>
      </c>
      <c r="M98" s="3" t="str">
        <f>CONCATENATE("SCCMSM55L15H809I")</f>
        <v>SCCMSM55L15H809I</v>
      </c>
      <c r="N98" s="3" t="s">
        <v>189</v>
      </c>
      <c r="O98" s="3" t="s">
        <v>38</v>
      </c>
      <c r="P98" s="3"/>
      <c r="Q98" s="4">
        <v>45944</v>
      </c>
      <c r="R98" s="3" t="s">
        <v>39</v>
      </c>
      <c r="S98" s="3" t="s">
        <v>38</v>
      </c>
      <c r="T98" s="3" t="s">
        <v>43</v>
      </c>
      <c r="U98" s="3"/>
      <c r="V98" s="3" t="s">
        <v>41</v>
      </c>
      <c r="W98" s="5">
        <v>2380.88</v>
      </c>
      <c r="X98" s="5">
        <v>2380.88</v>
      </c>
      <c r="Y98" s="3">
        <v>0</v>
      </c>
      <c r="Z98" s="3">
        <v>0</v>
      </c>
      <c r="AA98" s="3">
        <v>0</v>
      </c>
    </row>
    <row r="99" spans="1:27" ht="60.75" x14ac:dyDescent="0.25">
      <c r="A99" s="3" t="s">
        <v>28</v>
      </c>
      <c r="B99" s="3" t="s">
        <v>29</v>
      </c>
      <c r="C99" s="3" t="s">
        <v>30</v>
      </c>
      <c r="D99" s="3" t="s">
        <v>58</v>
      </c>
      <c r="E99" s="3" t="s">
        <v>53</v>
      </c>
      <c r="F99" s="3" t="s">
        <v>59</v>
      </c>
      <c r="G99" s="3">
        <v>2025</v>
      </c>
      <c r="H99" s="3" t="str">
        <f>CONCATENATE("54240582053")</f>
        <v>54240582053</v>
      </c>
      <c r="I99" s="3" t="s">
        <v>34</v>
      </c>
      <c r="J99" s="3" t="s">
        <v>35</v>
      </c>
      <c r="K99" s="3"/>
      <c r="L99" s="3" t="s">
        <v>36</v>
      </c>
      <c r="M99" s="3" t="str">
        <f>CONCATENATE("DTTDVD70A17H575C")</f>
        <v>DTTDVD70A17H575C</v>
      </c>
      <c r="N99" s="3" t="s">
        <v>190</v>
      </c>
      <c r="O99" s="3" t="s">
        <v>38</v>
      </c>
      <c r="P99" s="3"/>
      <c r="Q99" s="4">
        <v>45944</v>
      </c>
      <c r="R99" s="3" t="s">
        <v>39</v>
      </c>
      <c r="S99" s="3" t="s">
        <v>38</v>
      </c>
      <c r="T99" s="3" t="s">
        <v>43</v>
      </c>
      <c r="U99" s="3"/>
      <c r="V99" s="3" t="s">
        <v>41</v>
      </c>
      <c r="W99" s="5">
        <v>1013.53</v>
      </c>
      <c r="X99" s="5">
        <v>1013.53</v>
      </c>
      <c r="Y99" s="3">
        <v>0</v>
      </c>
      <c r="Z99" s="3">
        <v>0</v>
      </c>
      <c r="AA99" s="3">
        <v>0</v>
      </c>
    </row>
    <row r="100" spans="1:27" ht="60.75" x14ac:dyDescent="0.25">
      <c r="A100" s="3" t="s">
        <v>28</v>
      </c>
      <c r="B100" s="3" t="s">
        <v>29</v>
      </c>
      <c r="C100" s="3" t="s">
        <v>30</v>
      </c>
      <c r="D100" s="3" t="s">
        <v>31</v>
      </c>
      <c r="E100" s="3" t="s">
        <v>53</v>
      </c>
      <c r="F100" s="3" t="s">
        <v>172</v>
      </c>
      <c r="G100" s="3">
        <v>2025</v>
      </c>
      <c r="H100" s="3" t="str">
        <f>CONCATENATE("54240582111")</f>
        <v>54240582111</v>
      </c>
      <c r="I100" s="3" t="s">
        <v>34</v>
      </c>
      <c r="J100" s="3" t="s">
        <v>35</v>
      </c>
      <c r="K100" s="3"/>
      <c r="L100" s="3" t="s">
        <v>36</v>
      </c>
      <c r="M100" s="3" t="str">
        <f>CONCATENATE("VLNFPP75H25D749H")</f>
        <v>VLNFPP75H25D749H</v>
      </c>
      <c r="N100" s="3" t="s">
        <v>191</v>
      </c>
      <c r="O100" s="3" t="s">
        <v>38</v>
      </c>
      <c r="P100" s="3"/>
      <c r="Q100" s="4">
        <v>45944</v>
      </c>
      <c r="R100" s="3" t="s">
        <v>39</v>
      </c>
      <c r="S100" s="3" t="s">
        <v>38</v>
      </c>
      <c r="T100" s="3" t="s">
        <v>43</v>
      </c>
      <c r="U100" s="3"/>
      <c r="V100" s="3" t="s">
        <v>41</v>
      </c>
      <c r="W100" s="3">
        <v>760.25</v>
      </c>
      <c r="X100" s="3">
        <v>760.25</v>
      </c>
      <c r="Y100" s="3">
        <v>0</v>
      </c>
      <c r="Z100" s="3">
        <v>0</v>
      </c>
      <c r="AA100" s="3">
        <v>0</v>
      </c>
    </row>
    <row r="101" spans="1:27" ht="72.75" x14ac:dyDescent="0.25">
      <c r="A101" s="3" t="s">
        <v>28</v>
      </c>
      <c r="B101" s="3" t="s">
        <v>29</v>
      </c>
      <c r="C101" s="3" t="s">
        <v>30</v>
      </c>
      <c r="D101" s="3" t="s">
        <v>31</v>
      </c>
      <c r="E101" s="3" t="s">
        <v>32</v>
      </c>
      <c r="F101" s="3" t="s">
        <v>44</v>
      </c>
      <c r="G101" s="3">
        <v>2025</v>
      </c>
      <c r="H101" s="3" t="str">
        <f>CONCATENATE("54240582806")</f>
        <v>54240582806</v>
      </c>
      <c r="I101" s="3" t="s">
        <v>34</v>
      </c>
      <c r="J101" s="3" t="s">
        <v>35</v>
      </c>
      <c r="K101" s="3"/>
      <c r="L101" s="3" t="s">
        <v>36</v>
      </c>
      <c r="M101" s="3" t="str">
        <f>CONCATENATE("MGGMNL49C66L781G")</f>
        <v>MGGMNL49C66L781G</v>
      </c>
      <c r="N101" s="3" t="s">
        <v>192</v>
      </c>
      <c r="O101" s="3" t="s">
        <v>38</v>
      </c>
      <c r="P101" s="3"/>
      <c r="Q101" s="4">
        <v>45944</v>
      </c>
      <c r="R101" s="3" t="s">
        <v>39</v>
      </c>
      <c r="S101" s="3" t="s">
        <v>38</v>
      </c>
      <c r="T101" s="3" t="s">
        <v>43</v>
      </c>
      <c r="U101" s="3"/>
      <c r="V101" s="3" t="s">
        <v>41</v>
      </c>
      <c r="W101" s="5">
        <v>1144.21</v>
      </c>
      <c r="X101" s="5">
        <v>1144.21</v>
      </c>
      <c r="Y101" s="3">
        <v>0</v>
      </c>
      <c r="Z101" s="3">
        <v>0</v>
      </c>
      <c r="AA101" s="3">
        <v>0</v>
      </c>
    </row>
    <row r="102" spans="1:27" ht="60.75" x14ac:dyDescent="0.25">
      <c r="A102" s="3" t="s">
        <v>28</v>
      </c>
      <c r="B102" s="3" t="s">
        <v>29</v>
      </c>
      <c r="C102" s="3" t="s">
        <v>30</v>
      </c>
      <c r="D102" s="3" t="s">
        <v>31</v>
      </c>
      <c r="E102" s="3" t="s">
        <v>32</v>
      </c>
      <c r="F102" s="3" t="s">
        <v>153</v>
      </c>
      <c r="G102" s="3">
        <v>2025</v>
      </c>
      <c r="H102" s="3" t="str">
        <f>CONCATENATE("54240582640")</f>
        <v>54240582640</v>
      </c>
      <c r="I102" s="3" t="s">
        <v>34</v>
      </c>
      <c r="J102" s="3" t="s">
        <v>35</v>
      </c>
      <c r="K102" s="3"/>
      <c r="L102" s="3" t="s">
        <v>36</v>
      </c>
      <c r="M102" s="3" t="str">
        <f>CONCATENATE("LCRMRA55L44G682Z")</f>
        <v>LCRMRA55L44G682Z</v>
      </c>
      <c r="N102" s="3" t="s">
        <v>193</v>
      </c>
      <c r="O102" s="3" t="s">
        <v>38</v>
      </c>
      <c r="P102" s="3"/>
      <c r="Q102" s="4">
        <v>45944</v>
      </c>
      <c r="R102" s="3" t="s">
        <v>39</v>
      </c>
      <c r="S102" s="3" t="s">
        <v>38</v>
      </c>
      <c r="T102" s="3" t="s">
        <v>43</v>
      </c>
      <c r="U102" s="3"/>
      <c r="V102" s="3" t="s">
        <v>41</v>
      </c>
      <c r="W102" s="5">
        <v>4100.59</v>
      </c>
      <c r="X102" s="5">
        <v>4100.59</v>
      </c>
      <c r="Y102" s="3">
        <v>0</v>
      </c>
      <c r="Z102" s="3">
        <v>0</v>
      </c>
      <c r="AA102" s="3">
        <v>0</v>
      </c>
    </row>
    <row r="103" spans="1:27" ht="60.75" x14ac:dyDescent="0.25">
      <c r="A103" s="3" t="s">
        <v>28</v>
      </c>
      <c r="B103" s="3" t="s">
        <v>29</v>
      </c>
      <c r="C103" s="3" t="s">
        <v>30</v>
      </c>
      <c r="D103" s="3" t="s">
        <v>58</v>
      </c>
      <c r="E103" s="3" t="s">
        <v>53</v>
      </c>
      <c r="F103" s="3" t="s">
        <v>59</v>
      </c>
      <c r="G103" s="3">
        <v>2025</v>
      </c>
      <c r="H103" s="3" t="str">
        <f>CONCATENATE("54240582301")</f>
        <v>54240582301</v>
      </c>
      <c r="I103" s="3" t="s">
        <v>34</v>
      </c>
      <c r="J103" s="3" t="s">
        <v>35</v>
      </c>
      <c r="K103" s="3"/>
      <c r="L103" s="3" t="s">
        <v>36</v>
      </c>
      <c r="M103" s="3" t="str">
        <f>CONCATENATE("VTLNDR59T24D451E")</f>
        <v>VTLNDR59T24D451E</v>
      </c>
      <c r="N103" s="3" t="s">
        <v>194</v>
      </c>
      <c r="O103" s="3" t="s">
        <v>38</v>
      </c>
      <c r="P103" s="3"/>
      <c r="Q103" s="4">
        <v>45944</v>
      </c>
      <c r="R103" s="3" t="s">
        <v>39</v>
      </c>
      <c r="S103" s="3" t="s">
        <v>38</v>
      </c>
      <c r="T103" s="3" t="s">
        <v>43</v>
      </c>
      <c r="U103" s="3"/>
      <c r="V103" s="3" t="s">
        <v>41</v>
      </c>
      <c r="W103" s="5">
        <v>1087.3399999999999</v>
      </c>
      <c r="X103" s="5">
        <v>1087.3399999999999</v>
      </c>
      <c r="Y103" s="3">
        <v>0</v>
      </c>
      <c r="Z103" s="3">
        <v>0</v>
      </c>
      <c r="AA103" s="3">
        <v>0</v>
      </c>
    </row>
    <row r="104" spans="1:27" ht="36.75" x14ac:dyDescent="0.25">
      <c r="A104" s="3" t="s">
        <v>28</v>
      </c>
      <c r="B104" s="3" t="s">
        <v>29</v>
      </c>
      <c r="C104" s="3" t="s">
        <v>30</v>
      </c>
      <c r="D104" s="3" t="s">
        <v>58</v>
      </c>
      <c r="E104" s="3" t="s">
        <v>53</v>
      </c>
      <c r="F104" s="3" t="s">
        <v>59</v>
      </c>
      <c r="G104" s="3">
        <v>2025</v>
      </c>
      <c r="H104" s="3" t="str">
        <f>CONCATENATE("54240582954")</f>
        <v>54240582954</v>
      </c>
      <c r="I104" s="3" t="s">
        <v>34</v>
      </c>
      <c r="J104" s="3" t="s">
        <v>35</v>
      </c>
      <c r="K104" s="3"/>
      <c r="L104" s="3" t="s">
        <v>36</v>
      </c>
      <c r="M104" s="3" t="str">
        <f>CONCATENATE("03018010425")</f>
        <v>03018010425</v>
      </c>
      <c r="N104" s="3" t="s">
        <v>195</v>
      </c>
      <c r="O104" s="3" t="s">
        <v>38</v>
      </c>
      <c r="P104" s="3"/>
      <c r="Q104" s="4">
        <v>45944</v>
      </c>
      <c r="R104" s="3" t="s">
        <v>39</v>
      </c>
      <c r="S104" s="3" t="s">
        <v>38</v>
      </c>
      <c r="T104" s="3" t="s">
        <v>43</v>
      </c>
      <c r="U104" s="3"/>
      <c r="V104" s="3" t="s">
        <v>41</v>
      </c>
      <c r="W104" s="5">
        <v>9681.7099999999991</v>
      </c>
      <c r="X104" s="5">
        <v>9681.7099999999991</v>
      </c>
      <c r="Y104" s="3">
        <v>0</v>
      </c>
      <c r="Z104" s="3">
        <v>0</v>
      </c>
      <c r="AA104" s="3">
        <v>0</v>
      </c>
    </row>
    <row r="105" spans="1:27" ht="60.75" x14ac:dyDescent="0.25">
      <c r="A105" s="3" t="s">
        <v>28</v>
      </c>
      <c r="B105" s="3" t="s">
        <v>29</v>
      </c>
      <c r="C105" s="3" t="s">
        <v>30</v>
      </c>
      <c r="D105" s="3" t="s">
        <v>49</v>
      </c>
      <c r="E105" s="3" t="s">
        <v>32</v>
      </c>
      <c r="F105" s="3" t="s">
        <v>78</v>
      </c>
      <c r="G105" s="3">
        <v>2025</v>
      </c>
      <c r="H105" s="3" t="str">
        <f>CONCATENATE("54240553898")</f>
        <v>54240553898</v>
      </c>
      <c r="I105" s="3" t="s">
        <v>34</v>
      </c>
      <c r="J105" s="3" t="s">
        <v>35</v>
      </c>
      <c r="K105" s="3"/>
      <c r="L105" s="3" t="s">
        <v>36</v>
      </c>
      <c r="M105" s="3" t="str">
        <f>CONCATENATE("TZZTNN59D29D429T")</f>
        <v>TZZTNN59D29D429T</v>
      </c>
      <c r="N105" s="3" t="s">
        <v>196</v>
      </c>
      <c r="O105" s="3" t="s">
        <v>38</v>
      </c>
      <c r="P105" s="3"/>
      <c r="Q105" s="4">
        <v>45944</v>
      </c>
      <c r="R105" s="3" t="s">
        <v>39</v>
      </c>
      <c r="S105" s="3" t="s">
        <v>38</v>
      </c>
      <c r="T105" s="3" t="s">
        <v>43</v>
      </c>
      <c r="U105" s="3"/>
      <c r="V105" s="3" t="s">
        <v>41</v>
      </c>
      <c r="W105" s="5">
        <v>4135.33</v>
      </c>
      <c r="X105" s="5">
        <v>4135.33</v>
      </c>
      <c r="Y105" s="3">
        <v>0</v>
      </c>
      <c r="Z105" s="3">
        <v>0</v>
      </c>
      <c r="AA105" s="3">
        <v>0</v>
      </c>
    </row>
    <row r="106" spans="1:27" ht="60.75" x14ac:dyDescent="0.25">
      <c r="A106" s="3" t="s">
        <v>28</v>
      </c>
      <c r="B106" s="3" t="s">
        <v>29</v>
      </c>
      <c r="C106" s="3" t="s">
        <v>30</v>
      </c>
      <c r="D106" s="3" t="s">
        <v>49</v>
      </c>
      <c r="E106" s="3" t="s">
        <v>32</v>
      </c>
      <c r="F106" s="3" t="s">
        <v>78</v>
      </c>
      <c r="G106" s="3">
        <v>2025</v>
      </c>
      <c r="H106" s="3" t="str">
        <f>CONCATENATE("54240553971")</f>
        <v>54240553971</v>
      </c>
      <c r="I106" s="3" t="s">
        <v>34</v>
      </c>
      <c r="J106" s="3" t="s">
        <v>35</v>
      </c>
      <c r="K106" s="3"/>
      <c r="L106" s="3" t="s">
        <v>36</v>
      </c>
      <c r="M106" s="3" t="str">
        <f>CONCATENATE("VNCMNL71D55H501E")</f>
        <v>VNCMNL71D55H501E</v>
      </c>
      <c r="N106" s="3" t="s">
        <v>197</v>
      </c>
      <c r="O106" s="3" t="s">
        <v>38</v>
      </c>
      <c r="P106" s="3"/>
      <c r="Q106" s="4">
        <v>45944</v>
      </c>
      <c r="R106" s="3" t="s">
        <v>39</v>
      </c>
      <c r="S106" s="3" t="s">
        <v>38</v>
      </c>
      <c r="T106" s="3" t="s">
        <v>43</v>
      </c>
      <c r="U106" s="3"/>
      <c r="V106" s="3" t="s">
        <v>41</v>
      </c>
      <c r="W106" s="3">
        <v>973.73</v>
      </c>
      <c r="X106" s="3">
        <v>973.73</v>
      </c>
      <c r="Y106" s="3">
        <v>0</v>
      </c>
      <c r="Z106" s="3">
        <v>0</v>
      </c>
      <c r="AA106" s="3">
        <v>0</v>
      </c>
    </row>
    <row r="107" spans="1:27" ht="60.75" x14ac:dyDescent="0.25">
      <c r="A107" s="3" t="s">
        <v>28</v>
      </c>
      <c r="B107" s="3" t="s">
        <v>29</v>
      </c>
      <c r="C107" s="3" t="s">
        <v>30</v>
      </c>
      <c r="D107" s="3" t="s">
        <v>49</v>
      </c>
      <c r="E107" s="3" t="s">
        <v>46</v>
      </c>
      <c r="F107" s="3" t="s">
        <v>131</v>
      </c>
      <c r="G107" s="3">
        <v>2025</v>
      </c>
      <c r="H107" s="3" t="str">
        <f>CONCATENATE("54240576592")</f>
        <v>54240576592</v>
      </c>
      <c r="I107" s="3" t="s">
        <v>34</v>
      </c>
      <c r="J107" s="3" t="s">
        <v>35</v>
      </c>
      <c r="K107" s="3"/>
      <c r="L107" s="3" t="s">
        <v>36</v>
      </c>
      <c r="M107" s="3" t="str">
        <f>CONCATENATE("BBNNNA76B69Z154N")</f>
        <v>BBNNNA76B69Z154N</v>
      </c>
      <c r="N107" s="3" t="s">
        <v>198</v>
      </c>
      <c r="O107" s="3" t="s">
        <v>38</v>
      </c>
      <c r="P107" s="3"/>
      <c r="Q107" s="4">
        <v>45944</v>
      </c>
      <c r="R107" s="3" t="s">
        <v>39</v>
      </c>
      <c r="S107" s="3" t="s">
        <v>38</v>
      </c>
      <c r="T107" s="3" t="s">
        <v>43</v>
      </c>
      <c r="U107" s="3"/>
      <c r="V107" s="3" t="s">
        <v>41</v>
      </c>
      <c r="W107" s="5">
        <v>14995.14</v>
      </c>
      <c r="X107" s="5">
        <v>14995.14</v>
      </c>
      <c r="Y107" s="3">
        <v>0</v>
      </c>
      <c r="Z107" s="3">
        <v>0</v>
      </c>
      <c r="AA107" s="3">
        <v>0</v>
      </c>
    </row>
    <row r="108" spans="1:27" ht="60.75" x14ac:dyDescent="0.25">
      <c r="A108" s="3" t="s">
        <v>28</v>
      </c>
      <c r="B108" s="3" t="s">
        <v>29</v>
      </c>
      <c r="C108" s="3" t="s">
        <v>30</v>
      </c>
      <c r="D108" s="3" t="s">
        <v>31</v>
      </c>
      <c r="E108" s="3" t="s">
        <v>46</v>
      </c>
      <c r="F108" s="3" t="s">
        <v>47</v>
      </c>
      <c r="G108" s="3">
        <v>2025</v>
      </c>
      <c r="H108" s="3" t="str">
        <f>CONCATENATE("54240554730")</f>
        <v>54240554730</v>
      </c>
      <c r="I108" s="3" t="s">
        <v>34</v>
      </c>
      <c r="J108" s="3" t="s">
        <v>35</v>
      </c>
      <c r="K108" s="3"/>
      <c r="L108" s="3" t="s">
        <v>36</v>
      </c>
      <c r="M108" s="3" t="str">
        <f>CONCATENATE("BNCSFN62C04L500O")</f>
        <v>BNCSFN62C04L500O</v>
      </c>
      <c r="N108" s="3" t="s">
        <v>199</v>
      </c>
      <c r="O108" s="3" t="s">
        <v>38</v>
      </c>
      <c r="P108" s="3"/>
      <c r="Q108" s="4">
        <v>45944</v>
      </c>
      <c r="R108" s="3" t="s">
        <v>39</v>
      </c>
      <c r="S108" s="3" t="s">
        <v>38</v>
      </c>
      <c r="T108" s="3" t="s">
        <v>43</v>
      </c>
      <c r="U108" s="3"/>
      <c r="V108" s="3" t="s">
        <v>41</v>
      </c>
      <c r="W108" s="5">
        <v>9291.59</v>
      </c>
      <c r="X108" s="5">
        <v>9291.59</v>
      </c>
      <c r="Y108" s="3">
        <v>0</v>
      </c>
      <c r="Z108" s="3">
        <v>0</v>
      </c>
      <c r="AA108" s="3">
        <v>0</v>
      </c>
    </row>
    <row r="109" spans="1:27" ht="60.75" x14ac:dyDescent="0.25">
      <c r="A109" s="3" t="s">
        <v>28</v>
      </c>
      <c r="B109" s="3" t="s">
        <v>29</v>
      </c>
      <c r="C109" s="3" t="s">
        <v>30</v>
      </c>
      <c r="D109" s="3" t="s">
        <v>49</v>
      </c>
      <c r="E109" s="3" t="s">
        <v>46</v>
      </c>
      <c r="F109" s="3" t="s">
        <v>126</v>
      </c>
      <c r="G109" s="3">
        <v>2025</v>
      </c>
      <c r="H109" s="3" t="str">
        <f>CONCATENATE("54240554821")</f>
        <v>54240554821</v>
      </c>
      <c r="I109" s="3" t="s">
        <v>34</v>
      </c>
      <c r="J109" s="3" t="s">
        <v>35</v>
      </c>
      <c r="K109" s="3"/>
      <c r="L109" s="3" t="s">
        <v>36</v>
      </c>
      <c r="M109" s="3" t="str">
        <f>CONCATENATE("CNCNDR92H06E783V")</f>
        <v>CNCNDR92H06E783V</v>
      </c>
      <c r="N109" s="3" t="s">
        <v>200</v>
      </c>
      <c r="O109" s="3" t="s">
        <v>38</v>
      </c>
      <c r="P109" s="3"/>
      <c r="Q109" s="4">
        <v>45944</v>
      </c>
      <c r="R109" s="3" t="s">
        <v>39</v>
      </c>
      <c r="S109" s="3" t="s">
        <v>38</v>
      </c>
      <c r="T109" s="3" t="s">
        <v>43</v>
      </c>
      <c r="U109" s="3"/>
      <c r="V109" s="3" t="s">
        <v>41</v>
      </c>
      <c r="W109" s="5">
        <v>1262.28</v>
      </c>
      <c r="X109" s="5">
        <v>1262.28</v>
      </c>
      <c r="Y109" s="3">
        <v>0</v>
      </c>
      <c r="Z109" s="3">
        <v>0</v>
      </c>
      <c r="AA109" s="3">
        <v>0</v>
      </c>
    </row>
    <row r="110" spans="1:27" ht="60.75" x14ac:dyDescent="0.25">
      <c r="A110" s="3" t="s">
        <v>28</v>
      </c>
      <c r="B110" s="3" t="s">
        <v>29</v>
      </c>
      <c r="C110" s="3" t="s">
        <v>30</v>
      </c>
      <c r="D110" s="3" t="s">
        <v>63</v>
      </c>
      <c r="E110" s="3" t="s">
        <v>32</v>
      </c>
      <c r="F110" s="3" t="s">
        <v>158</v>
      </c>
      <c r="G110" s="3">
        <v>2025</v>
      </c>
      <c r="H110" s="3" t="str">
        <f>CONCATENATE("54240554649")</f>
        <v>54240554649</v>
      </c>
      <c r="I110" s="3" t="s">
        <v>34</v>
      </c>
      <c r="J110" s="3" t="s">
        <v>35</v>
      </c>
      <c r="K110" s="3"/>
      <c r="L110" s="3" t="s">
        <v>36</v>
      </c>
      <c r="M110" s="3" t="str">
        <f>CONCATENATE("CHPLSN56T22F591O")</f>
        <v>CHPLSN56T22F591O</v>
      </c>
      <c r="N110" s="3" t="s">
        <v>201</v>
      </c>
      <c r="O110" s="3" t="s">
        <v>38</v>
      </c>
      <c r="P110" s="3"/>
      <c r="Q110" s="4">
        <v>45944</v>
      </c>
      <c r="R110" s="3" t="s">
        <v>39</v>
      </c>
      <c r="S110" s="3" t="s">
        <v>38</v>
      </c>
      <c r="T110" s="3" t="s">
        <v>43</v>
      </c>
      <c r="U110" s="3"/>
      <c r="V110" s="3" t="s">
        <v>41</v>
      </c>
      <c r="W110" s="5">
        <v>5394.64</v>
      </c>
      <c r="X110" s="5">
        <v>5394.64</v>
      </c>
      <c r="Y110" s="3">
        <v>0</v>
      </c>
      <c r="Z110" s="3">
        <v>0</v>
      </c>
      <c r="AA110" s="3">
        <v>0</v>
      </c>
    </row>
    <row r="111" spans="1:27" ht="60.75" x14ac:dyDescent="0.25">
      <c r="A111" s="3" t="s">
        <v>28</v>
      </c>
      <c r="B111" s="3" t="s">
        <v>29</v>
      </c>
      <c r="C111" s="3" t="s">
        <v>30</v>
      </c>
      <c r="D111" s="3" t="s">
        <v>49</v>
      </c>
      <c r="E111" s="3" t="s">
        <v>46</v>
      </c>
      <c r="F111" s="3" t="s">
        <v>126</v>
      </c>
      <c r="G111" s="3">
        <v>2025</v>
      </c>
      <c r="H111" s="3" t="str">
        <f>CONCATENATE("54240554847")</f>
        <v>54240554847</v>
      </c>
      <c r="I111" s="3" t="s">
        <v>34</v>
      </c>
      <c r="J111" s="3" t="s">
        <v>35</v>
      </c>
      <c r="K111" s="3"/>
      <c r="L111" s="3" t="s">
        <v>36</v>
      </c>
      <c r="M111" s="3" t="str">
        <f>CONCATENATE("CPPMHL91R06B474E")</f>
        <v>CPPMHL91R06B474E</v>
      </c>
      <c r="N111" s="3" t="s">
        <v>202</v>
      </c>
      <c r="O111" s="3" t="s">
        <v>38</v>
      </c>
      <c r="P111" s="3"/>
      <c r="Q111" s="4">
        <v>45944</v>
      </c>
      <c r="R111" s="3" t="s">
        <v>39</v>
      </c>
      <c r="S111" s="3" t="s">
        <v>38</v>
      </c>
      <c r="T111" s="3" t="s">
        <v>43</v>
      </c>
      <c r="U111" s="3"/>
      <c r="V111" s="3" t="s">
        <v>41</v>
      </c>
      <c r="W111" s="5">
        <v>3048.4</v>
      </c>
      <c r="X111" s="5">
        <v>3048.4</v>
      </c>
      <c r="Y111" s="3">
        <v>0</v>
      </c>
      <c r="Z111" s="3">
        <v>0</v>
      </c>
      <c r="AA111" s="3">
        <v>0</v>
      </c>
    </row>
    <row r="112" spans="1:27" ht="60.75" x14ac:dyDescent="0.25">
      <c r="A112" s="3" t="s">
        <v>28</v>
      </c>
      <c r="B112" s="3" t="s">
        <v>29</v>
      </c>
      <c r="C112" s="3" t="s">
        <v>30</v>
      </c>
      <c r="D112" s="3" t="s">
        <v>58</v>
      </c>
      <c r="E112" s="3" t="s">
        <v>53</v>
      </c>
      <c r="F112" s="3" t="s">
        <v>203</v>
      </c>
      <c r="G112" s="3">
        <v>2025</v>
      </c>
      <c r="H112" s="3" t="str">
        <f>CONCATENATE("54240555653")</f>
        <v>54240555653</v>
      </c>
      <c r="I112" s="3" t="s">
        <v>34</v>
      </c>
      <c r="J112" s="3" t="s">
        <v>35</v>
      </c>
      <c r="K112" s="3"/>
      <c r="L112" s="3" t="s">
        <v>36</v>
      </c>
      <c r="M112" s="3" t="str">
        <f>CONCATENATE("BLLLRA60H41A271E")</f>
        <v>BLLLRA60H41A271E</v>
      </c>
      <c r="N112" s="3" t="s">
        <v>204</v>
      </c>
      <c r="O112" s="3" t="s">
        <v>38</v>
      </c>
      <c r="P112" s="3"/>
      <c r="Q112" s="4">
        <v>45944</v>
      </c>
      <c r="R112" s="3" t="s">
        <v>39</v>
      </c>
      <c r="S112" s="3" t="s">
        <v>38</v>
      </c>
      <c r="T112" s="3" t="s">
        <v>43</v>
      </c>
      <c r="U112" s="3"/>
      <c r="V112" s="3" t="s">
        <v>41</v>
      </c>
      <c r="W112" s="5">
        <v>1022.07</v>
      </c>
      <c r="X112" s="5">
        <v>1022.07</v>
      </c>
      <c r="Y112" s="3">
        <v>0</v>
      </c>
      <c r="Z112" s="3">
        <v>0</v>
      </c>
      <c r="AA112" s="3">
        <v>0</v>
      </c>
    </row>
    <row r="113" spans="1:27" ht="36.75" x14ac:dyDescent="0.25">
      <c r="A113" s="3" t="s">
        <v>28</v>
      </c>
      <c r="B113" s="3" t="s">
        <v>29</v>
      </c>
      <c r="C113" s="3" t="s">
        <v>30</v>
      </c>
      <c r="D113" s="3" t="s">
        <v>49</v>
      </c>
      <c r="E113" s="3" t="s">
        <v>46</v>
      </c>
      <c r="F113" s="3" t="s">
        <v>205</v>
      </c>
      <c r="G113" s="3">
        <v>2025</v>
      </c>
      <c r="H113" s="3" t="str">
        <f>CONCATENATE("54240555984")</f>
        <v>54240555984</v>
      </c>
      <c r="I113" s="3" t="s">
        <v>34</v>
      </c>
      <c r="J113" s="3" t="s">
        <v>35</v>
      </c>
      <c r="K113" s="3"/>
      <c r="L113" s="3" t="s">
        <v>36</v>
      </c>
      <c r="M113" s="3" t="str">
        <f>CONCATENATE("02069020432")</f>
        <v>02069020432</v>
      </c>
      <c r="N113" s="3" t="s">
        <v>206</v>
      </c>
      <c r="O113" s="3" t="s">
        <v>38</v>
      </c>
      <c r="P113" s="3"/>
      <c r="Q113" s="4">
        <v>45944</v>
      </c>
      <c r="R113" s="3" t="s">
        <v>39</v>
      </c>
      <c r="S113" s="3" t="s">
        <v>38</v>
      </c>
      <c r="T113" s="3" t="s">
        <v>43</v>
      </c>
      <c r="U113" s="3"/>
      <c r="V113" s="3" t="s">
        <v>41</v>
      </c>
      <c r="W113" s="5">
        <v>4892.22</v>
      </c>
      <c r="X113" s="5">
        <v>4892.22</v>
      </c>
      <c r="Y113" s="3">
        <v>0</v>
      </c>
      <c r="Z113" s="3">
        <v>0</v>
      </c>
      <c r="AA113" s="3">
        <v>0</v>
      </c>
    </row>
    <row r="114" spans="1:27" ht="60.75" x14ac:dyDescent="0.25">
      <c r="A114" s="3" t="s">
        <v>28</v>
      </c>
      <c r="B114" s="3" t="s">
        <v>29</v>
      </c>
      <c r="C114" s="3" t="s">
        <v>30</v>
      </c>
      <c r="D114" s="3" t="s">
        <v>58</v>
      </c>
      <c r="E114" s="3" t="s">
        <v>53</v>
      </c>
      <c r="F114" s="3" t="s">
        <v>203</v>
      </c>
      <c r="G114" s="3">
        <v>2025</v>
      </c>
      <c r="H114" s="3" t="str">
        <f>CONCATENATE("54240556057")</f>
        <v>54240556057</v>
      </c>
      <c r="I114" s="3" t="s">
        <v>34</v>
      </c>
      <c r="J114" s="3" t="s">
        <v>35</v>
      </c>
      <c r="K114" s="3"/>
      <c r="L114" s="3" t="s">
        <v>36</v>
      </c>
      <c r="M114" s="3" t="str">
        <f>CONCATENATE("FLGVNT86P65C615V")</f>
        <v>FLGVNT86P65C615V</v>
      </c>
      <c r="N114" s="3" t="s">
        <v>207</v>
      </c>
      <c r="O114" s="3" t="s">
        <v>38</v>
      </c>
      <c r="P114" s="3"/>
      <c r="Q114" s="4">
        <v>45944</v>
      </c>
      <c r="R114" s="3" t="s">
        <v>39</v>
      </c>
      <c r="S114" s="3" t="s">
        <v>38</v>
      </c>
      <c r="T114" s="3" t="s">
        <v>43</v>
      </c>
      <c r="U114" s="3"/>
      <c r="V114" s="3" t="s">
        <v>41</v>
      </c>
      <c r="W114" s="5">
        <v>1995.38</v>
      </c>
      <c r="X114" s="5">
        <v>1995.38</v>
      </c>
      <c r="Y114" s="3">
        <v>0</v>
      </c>
      <c r="Z114" s="3">
        <v>0</v>
      </c>
      <c r="AA114" s="3">
        <v>0</v>
      </c>
    </row>
    <row r="115" spans="1:27" ht="60.75" x14ac:dyDescent="0.25">
      <c r="A115" s="3" t="s">
        <v>28</v>
      </c>
      <c r="B115" s="3" t="s">
        <v>29</v>
      </c>
      <c r="C115" s="3" t="s">
        <v>30</v>
      </c>
      <c r="D115" s="3" t="s">
        <v>31</v>
      </c>
      <c r="E115" s="3" t="s">
        <v>53</v>
      </c>
      <c r="F115" s="3" t="s">
        <v>54</v>
      </c>
      <c r="G115" s="3">
        <v>2025</v>
      </c>
      <c r="H115" s="3" t="str">
        <f>CONCATENATE("54240556263")</f>
        <v>54240556263</v>
      </c>
      <c r="I115" s="3" t="s">
        <v>34</v>
      </c>
      <c r="J115" s="3" t="s">
        <v>35</v>
      </c>
      <c r="K115" s="3"/>
      <c r="L115" s="3" t="s">
        <v>36</v>
      </c>
      <c r="M115" s="3" t="str">
        <f>CONCATENATE("TNOTZN72S43L219R")</f>
        <v>TNOTZN72S43L219R</v>
      </c>
      <c r="N115" s="3" t="s">
        <v>208</v>
      </c>
      <c r="O115" s="3" t="s">
        <v>38</v>
      </c>
      <c r="P115" s="3"/>
      <c r="Q115" s="4">
        <v>45944</v>
      </c>
      <c r="R115" s="3" t="s">
        <v>39</v>
      </c>
      <c r="S115" s="3" t="s">
        <v>38</v>
      </c>
      <c r="T115" s="3" t="s">
        <v>43</v>
      </c>
      <c r="U115" s="3"/>
      <c r="V115" s="3" t="s">
        <v>41</v>
      </c>
      <c r="W115" s="3">
        <v>602.23</v>
      </c>
      <c r="X115" s="3">
        <v>602.23</v>
      </c>
      <c r="Y115" s="3">
        <v>0</v>
      </c>
      <c r="Z115" s="3">
        <v>0</v>
      </c>
      <c r="AA115" s="3">
        <v>0</v>
      </c>
    </row>
    <row r="116" spans="1:27" ht="60.75" x14ac:dyDescent="0.25">
      <c r="A116" s="3" t="s">
        <v>28</v>
      </c>
      <c r="B116" s="3" t="s">
        <v>29</v>
      </c>
      <c r="C116" s="3" t="s">
        <v>30</v>
      </c>
      <c r="D116" s="3" t="s">
        <v>58</v>
      </c>
      <c r="E116" s="3" t="s">
        <v>53</v>
      </c>
      <c r="F116" s="3" t="s">
        <v>203</v>
      </c>
      <c r="G116" s="3">
        <v>2025</v>
      </c>
      <c r="H116" s="3" t="str">
        <f>CONCATENATE("54240556743")</f>
        <v>54240556743</v>
      </c>
      <c r="I116" s="3" t="s">
        <v>34</v>
      </c>
      <c r="J116" s="3" t="s">
        <v>35</v>
      </c>
      <c r="K116" s="3"/>
      <c r="L116" s="3" t="s">
        <v>36</v>
      </c>
      <c r="M116" s="3" t="str">
        <f>CONCATENATE("BLNLCN53L16D488F")</f>
        <v>BLNLCN53L16D488F</v>
      </c>
      <c r="N116" s="3" t="s">
        <v>209</v>
      </c>
      <c r="O116" s="3" t="s">
        <v>38</v>
      </c>
      <c r="P116" s="3"/>
      <c r="Q116" s="4">
        <v>45944</v>
      </c>
      <c r="R116" s="3" t="s">
        <v>39</v>
      </c>
      <c r="S116" s="3" t="s">
        <v>38</v>
      </c>
      <c r="T116" s="3" t="s">
        <v>43</v>
      </c>
      <c r="U116" s="3"/>
      <c r="V116" s="3" t="s">
        <v>41</v>
      </c>
      <c r="W116" s="5">
        <v>2805.9</v>
      </c>
      <c r="X116" s="5">
        <v>2805.9</v>
      </c>
      <c r="Y116" s="3">
        <v>0</v>
      </c>
      <c r="Z116" s="3">
        <v>0</v>
      </c>
      <c r="AA116" s="3">
        <v>0</v>
      </c>
    </row>
    <row r="117" spans="1:27" ht="60.75" x14ac:dyDescent="0.25">
      <c r="A117" s="3" t="s">
        <v>28</v>
      </c>
      <c r="B117" s="3" t="s">
        <v>29</v>
      </c>
      <c r="C117" s="3" t="s">
        <v>30</v>
      </c>
      <c r="D117" s="3" t="s">
        <v>31</v>
      </c>
      <c r="E117" s="3" t="s">
        <v>32</v>
      </c>
      <c r="F117" s="3" t="s">
        <v>178</v>
      </c>
      <c r="G117" s="3">
        <v>2025</v>
      </c>
      <c r="H117" s="3" t="str">
        <f>CONCATENATE("54240556867")</f>
        <v>54240556867</v>
      </c>
      <c r="I117" s="3" t="s">
        <v>34</v>
      </c>
      <c r="J117" s="3" t="s">
        <v>35</v>
      </c>
      <c r="K117" s="3"/>
      <c r="L117" s="3" t="s">
        <v>36</v>
      </c>
      <c r="M117" s="3" t="str">
        <f>CONCATENATE("CRNNDR63M14F347C")</f>
        <v>CRNNDR63M14F347C</v>
      </c>
      <c r="N117" s="3" t="s">
        <v>210</v>
      </c>
      <c r="O117" s="3" t="s">
        <v>38</v>
      </c>
      <c r="P117" s="3"/>
      <c r="Q117" s="4">
        <v>45944</v>
      </c>
      <c r="R117" s="3" t="s">
        <v>39</v>
      </c>
      <c r="S117" s="3" t="s">
        <v>38</v>
      </c>
      <c r="T117" s="3" t="s">
        <v>43</v>
      </c>
      <c r="U117" s="3"/>
      <c r="V117" s="3" t="s">
        <v>41</v>
      </c>
      <c r="W117" s="5">
        <v>1297.46</v>
      </c>
      <c r="X117" s="5">
        <v>1297.46</v>
      </c>
      <c r="Y117" s="3">
        <v>0</v>
      </c>
      <c r="Z117" s="3">
        <v>0</v>
      </c>
      <c r="AA117" s="3">
        <v>0</v>
      </c>
    </row>
    <row r="118" spans="1:27" ht="60.75" x14ac:dyDescent="0.25">
      <c r="A118" s="3" t="s">
        <v>28</v>
      </c>
      <c r="B118" s="3" t="s">
        <v>29</v>
      </c>
      <c r="C118" s="3" t="s">
        <v>30</v>
      </c>
      <c r="D118" s="3" t="s">
        <v>58</v>
      </c>
      <c r="E118" s="3" t="s">
        <v>32</v>
      </c>
      <c r="F118" s="3" t="s">
        <v>96</v>
      </c>
      <c r="G118" s="3">
        <v>2025</v>
      </c>
      <c r="H118" s="3" t="str">
        <f>CONCATENATE("54240556719")</f>
        <v>54240556719</v>
      </c>
      <c r="I118" s="3" t="s">
        <v>34</v>
      </c>
      <c r="J118" s="3" t="s">
        <v>35</v>
      </c>
      <c r="K118" s="3"/>
      <c r="L118" s="3" t="s">
        <v>36</v>
      </c>
      <c r="M118" s="3" t="str">
        <f>CONCATENATE("PLRLRL71A16Z110K")</f>
        <v>PLRLRL71A16Z110K</v>
      </c>
      <c r="N118" s="3" t="s">
        <v>211</v>
      </c>
      <c r="O118" s="3" t="s">
        <v>38</v>
      </c>
      <c r="P118" s="3"/>
      <c r="Q118" s="4">
        <v>45944</v>
      </c>
      <c r="R118" s="3" t="s">
        <v>39</v>
      </c>
      <c r="S118" s="3" t="s">
        <v>38</v>
      </c>
      <c r="T118" s="3" t="s">
        <v>43</v>
      </c>
      <c r="U118" s="3"/>
      <c r="V118" s="3" t="s">
        <v>41</v>
      </c>
      <c r="W118" s="3">
        <v>502.95</v>
      </c>
      <c r="X118" s="3">
        <v>502.95</v>
      </c>
      <c r="Y118" s="3">
        <v>0</v>
      </c>
      <c r="Z118" s="3">
        <v>0</v>
      </c>
      <c r="AA118" s="3">
        <v>0</v>
      </c>
    </row>
    <row r="119" spans="1:27" ht="36.75" x14ac:dyDescent="0.25">
      <c r="A119" s="3" t="s">
        <v>28</v>
      </c>
      <c r="B119" s="3" t="s">
        <v>29</v>
      </c>
      <c r="C119" s="3" t="s">
        <v>30</v>
      </c>
      <c r="D119" s="3" t="s">
        <v>63</v>
      </c>
      <c r="E119" s="3" t="s">
        <v>145</v>
      </c>
      <c r="F119" s="3" t="s">
        <v>146</v>
      </c>
      <c r="G119" s="3">
        <v>2025</v>
      </c>
      <c r="H119" s="3" t="str">
        <f>CONCATENATE("54240641693")</f>
        <v>54240641693</v>
      </c>
      <c r="I119" s="3" t="s">
        <v>149</v>
      </c>
      <c r="J119" s="3" t="s">
        <v>35</v>
      </c>
      <c r="K119" s="3"/>
      <c r="L119" s="3" t="s">
        <v>36</v>
      </c>
      <c r="M119" s="3" t="str">
        <f>CONCATENATE("02573210446")</f>
        <v>02573210446</v>
      </c>
      <c r="N119" s="3" t="s">
        <v>212</v>
      </c>
      <c r="O119" s="3" t="s">
        <v>38</v>
      </c>
      <c r="P119" s="3"/>
      <c r="Q119" s="4">
        <v>45944</v>
      </c>
      <c r="R119" s="3" t="s">
        <v>39</v>
      </c>
      <c r="S119" s="3" t="s">
        <v>38</v>
      </c>
      <c r="T119" s="3" t="s">
        <v>43</v>
      </c>
      <c r="U119" s="3"/>
      <c r="V119" s="3" t="s">
        <v>41</v>
      </c>
      <c r="W119" s="5">
        <v>6049.13</v>
      </c>
      <c r="X119" s="5">
        <v>6049.13</v>
      </c>
      <c r="Y119" s="3">
        <v>0</v>
      </c>
      <c r="Z119" s="3">
        <v>0</v>
      </c>
      <c r="AA119" s="3">
        <v>0</v>
      </c>
    </row>
    <row r="120" spans="1:27" ht="36.75" x14ac:dyDescent="0.25">
      <c r="A120" s="3" t="s">
        <v>28</v>
      </c>
      <c r="B120" s="3" t="s">
        <v>29</v>
      </c>
      <c r="C120" s="3" t="s">
        <v>30</v>
      </c>
      <c r="D120" s="3" t="s">
        <v>49</v>
      </c>
      <c r="E120" s="3" t="s">
        <v>32</v>
      </c>
      <c r="F120" s="3" t="s">
        <v>69</v>
      </c>
      <c r="G120" s="3">
        <v>2025</v>
      </c>
      <c r="H120" s="3" t="str">
        <f>CONCATENATE("54240561446")</f>
        <v>54240561446</v>
      </c>
      <c r="I120" s="3" t="s">
        <v>34</v>
      </c>
      <c r="J120" s="3" t="s">
        <v>35</v>
      </c>
      <c r="K120" s="3"/>
      <c r="L120" s="3" t="s">
        <v>36</v>
      </c>
      <c r="M120" s="3" t="str">
        <f>CONCATENATE("01208040434")</f>
        <v>01208040434</v>
      </c>
      <c r="N120" s="3" t="s">
        <v>213</v>
      </c>
      <c r="O120" s="3" t="s">
        <v>38</v>
      </c>
      <c r="P120" s="3"/>
      <c r="Q120" s="4">
        <v>45944</v>
      </c>
      <c r="R120" s="3" t="s">
        <v>39</v>
      </c>
      <c r="S120" s="3" t="s">
        <v>38</v>
      </c>
      <c r="T120" s="3" t="s">
        <v>43</v>
      </c>
      <c r="U120" s="3"/>
      <c r="V120" s="3" t="s">
        <v>41</v>
      </c>
      <c r="W120" s="5">
        <v>5573.37</v>
      </c>
      <c r="X120" s="5">
        <v>5573.37</v>
      </c>
      <c r="Y120" s="3">
        <v>0</v>
      </c>
      <c r="Z120" s="3">
        <v>0</v>
      </c>
      <c r="AA120" s="3">
        <v>0</v>
      </c>
    </row>
    <row r="121" spans="1:27" ht="60.75" x14ac:dyDescent="0.25">
      <c r="A121" s="3" t="s">
        <v>28</v>
      </c>
      <c r="B121" s="3" t="s">
        <v>29</v>
      </c>
      <c r="C121" s="3" t="s">
        <v>30</v>
      </c>
      <c r="D121" s="3" t="s">
        <v>49</v>
      </c>
      <c r="E121" s="3" t="s">
        <v>46</v>
      </c>
      <c r="F121" s="3" t="s">
        <v>205</v>
      </c>
      <c r="G121" s="3">
        <v>2025</v>
      </c>
      <c r="H121" s="3" t="str">
        <f>CONCATENATE("54240558418")</f>
        <v>54240558418</v>
      </c>
      <c r="I121" s="3" t="s">
        <v>34</v>
      </c>
      <c r="J121" s="3" t="s">
        <v>35</v>
      </c>
      <c r="K121" s="3"/>
      <c r="L121" s="3" t="s">
        <v>36</v>
      </c>
      <c r="M121" s="3" t="str">
        <f>CONCATENATE("CPPLCU94C22I156U")</f>
        <v>CPPLCU94C22I156U</v>
      </c>
      <c r="N121" s="3" t="s">
        <v>214</v>
      </c>
      <c r="O121" s="3" t="s">
        <v>38</v>
      </c>
      <c r="P121" s="3"/>
      <c r="Q121" s="4">
        <v>45944</v>
      </c>
      <c r="R121" s="3" t="s">
        <v>39</v>
      </c>
      <c r="S121" s="3" t="s">
        <v>38</v>
      </c>
      <c r="T121" s="3" t="s">
        <v>43</v>
      </c>
      <c r="U121" s="3"/>
      <c r="V121" s="3" t="s">
        <v>41</v>
      </c>
      <c r="W121" s="5">
        <v>2243.64</v>
      </c>
      <c r="X121" s="5">
        <v>2243.64</v>
      </c>
      <c r="Y121" s="3">
        <v>0</v>
      </c>
      <c r="Z121" s="3">
        <v>0</v>
      </c>
      <c r="AA121" s="3">
        <v>0</v>
      </c>
    </row>
    <row r="122" spans="1:27" ht="36.75" x14ac:dyDescent="0.25">
      <c r="A122" s="3" t="s">
        <v>28</v>
      </c>
      <c r="B122" s="3" t="s">
        <v>29</v>
      </c>
      <c r="C122" s="3" t="s">
        <v>30</v>
      </c>
      <c r="D122" s="3" t="s">
        <v>49</v>
      </c>
      <c r="E122" s="3" t="s">
        <v>91</v>
      </c>
      <c r="F122" s="3" t="s">
        <v>92</v>
      </c>
      <c r="G122" s="3">
        <v>2025</v>
      </c>
      <c r="H122" s="3" t="str">
        <f>CONCATENATE("54240558806")</f>
        <v>54240558806</v>
      </c>
      <c r="I122" s="3" t="s">
        <v>34</v>
      </c>
      <c r="J122" s="3" t="s">
        <v>35</v>
      </c>
      <c r="K122" s="3"/>
      <c r="L122" s="3" t="s">
        <v>36</v>
      </c>
      <c r="M122" s="3" t="str">
        <f>CONCATENATE("00666210430")</f>
        <v>00666210430</v>
      </c>
      <c r="N122" s="3" t="s">
        <v>215</v>
      </c>
      <c r="O122" s="3" t="s">
        <v>38</v>
      </c>
      <c r="P122" s="3"/>
      <c r="Q122" s="4">
        <v>45944</v>
      </c>
      <c r="R122" s="3" t="s">
        <v>39</v>
      </c>
      <c r="S122" s="3" t="s">
        <v>38</v>
      </c>
      <c r="T122" s="3" t="s">
        <v>43</v>
      </c>
      <c r="U122" s="3"/>
      <c r="V122" s="3" t="s">
        <v>41</v>
      </c>
      <c r="W122" s="5">
        <v>2008.71</v>
      </c>
      <c r="X122" s="5">
        <v>2008.71</v>
      </c>
      <c r="Y122" s="3">
        <v>0</v>
      </c>
      <c r="Z122" s="3">
        <v>0</v>
      </c>
      <c r="AA122" s="3">
        <v>0</v>
      </c>
    </row>
    <row r="123" spans="1:27" ht="72.75" x14ac:dyDescent="0.25">
      <c r="A123" s="3" t="s">
        <v>28</v>
      </c>
      <c r="B123" s="3" t="s">
        <v>29</v>
      </c>
      <c r="C123" s="3" t="s">
        <v>30</v>
      </c>
      <c r="D123" s="3" t="s">
        <v>49</v>
      </c>
      <c r="E123" s="3" t="s">
        <v>32</v>
      </c>
      <c r="F123" s="3" t="s">
        <v>78</v>
      </c>
      <c r="G123" s="3">
        <v>2025</v>
      </c>
      <c r="H123" s="3" t="str">
        <f>CONCATENATE("54240635091")</f>
        <v>54240635091</v>
      </c>
      <c r="I123" s="3" t="s">
        <v>34</v>
      </c>
      <c r="J123" s="3" t="s">
        <v>35</v>
      </c>
      <c r="K123" s="3"/>
      <c r="L123" s="3" t="s">
        <v>36</v>
      </c>
      <c r="M123" s="3" t="str">
        <f>CONCATENATE("FRNDNL97H09B474U")</f>
        <v>FRNDNL97H09B474U</v>
      </c>
      <c r="N123" s="3" t="s">
        <v>216</v>
      </c>
      <c r="O123" s="3" t="s">
        <v>38</v>
      </c>
      <c r="P123" s="3"/>
      <c r="Q123" s="4">
        <v>45944</v>
      </c>
      <c r="R123" s="3" t="s">
        <v>39</v>
      </c>
      <c r="S123" s="3" t="s">
        <v>38</v>
      </c>
      <c r="T123" s="3" t="s">
        <v>43</v>
      </c>
      <c r="U123" s="3"/>
      <c r="V123" s="3" t="s">
        <v>41</v>
      </c>
      <c r="W123" s="5">
        <v>3681.27</v>
      </c>
      <c r="X123" s="5">
        <v>3681.27</v>
      </c>
      <c r="Y123" s="3">
        <v>0</v>
      </c>
      <c r="Z123" s="3">
        <v>0</v>
      </c>
      <c r="AA123" s="3">
        <v>0</v>
      </c>
    </row>
    <row r="124" spans="1:27" ht="60.75" x14ac:dyDescent="0.25">
      <c r="A124" s="3" t="s">
        <v>28</v>
      </c>
      <c r="B124" s="3" t="s">
        <v>29</v>
      </c>
      <c r="C124" s="3" t="s">
        <v>30</v>
      </c>
      <c r="D124" s="3" t="s">
        <v>49</v>
      </c>
      <c r="E124" s="3" t="s">
        <v>74</v>
      </c>
      <c r="F124" s="3" t="s">
        <v>217</v>
      </c>
      <c r="G124" s="3">
        <v>2025</v>
      </c>
      <c r="H124" s="3" t="str">
        <f>CONCATENATE("54240559473")</f>
        <v>54240559473</v>
      </c>
      <c r="I124" s="3" t="s">
        <v>34</v>
      </c>
      <c r="J124" s="3" t="s">
        <v>35</v>
      </c>
      <c r="K124" s="3"/>
      <c r="L124" s="3" t="s">
        <v>36</v>
      </c>
      <c r="M124" s="3" t="str">
        <f>CONCATENATE("MNTSLV79H42E783U")</f>
        <v>MNTSLV79H42E783U</v>
      </c>
      <c r="N124" s="3" t="s">
        <v>218</v>
      </c>
      <c r="O124" s="3" t="s">
        <v>38</v>
      </c>
      <c r="P124" s="3"/>
      <c r="Q124" s="4">
        <v>45944</v>
      </c>
      <c r="R124" s="3" t="s">
        <v>39</v>
      </c>
      <c r="S124" s="3" t="s">
        <v>38</v>
      </c>
      <c r="T124" s="3" t="s">
        <v>43</v>
      </c>
      <c r="U124" s="3"/>
      <c r="V124" s="3" t="s">
        <v>41</v>
      </c>
      <c r="W124" s="5">
        <v>9460.89</v>
      </c>
      <c r="X124" s="5">
        <v>9460.89</v>
      </c>
      <c r="Y124" s="3">
        <v>0</v>
      </c>
      <c r="Z124" s="3">
        <v>0</v>
      </c>
      <c r="AA124" s="3">
        <v>0</v>
      </c>
    </row>
    <row r="125" spans="1:27" ht="72.75" x14ac:dyDescent="0.25">
      <c r="A125" s="3" t="s">
        <v>28</v>
      </c>
      <c r="B125" s="3" t="s">
        <v>29</v>
      </c>
      <c r="C125" s="3" t="s">
        <v>30</v>
      </c>
      <c r="D125" s="3" t="s">
        <v>58</v>
      </c>
      <c r="E125" s="3" t="s">
        <v>53</v>
      </c>
      <c r="F125" s="3" t="s">
        <v>59</v>
      </c>
      <c r="G125" s="3">
        <v>2025</v>
      </c>
      <c r="H125" s="3" t="str">
        <f>CONCATENATE("54240559754")</f>
        <v>54240559754</v>
      </c>
      <c r="I125" s="3" t="s">
        <v>34</v>
      </c>
      <c r="J125" s="3" t="s">
        <v>35</v>
      </c>
      <c r="K125" s="3"/>
      <c r="L125" s="3" t="s">
        <v>36</v>
      </c>
      <c r="M125" s="3" t="str">
        <f>CONCATENATE("CVRMRC84R19D451W")</f>
        <v>CVRMRC84R19D451W</v>
      </c>
      <c r="N125" s="3" t="s">
        <v>219</v>
      </c>
      <c r="O125" s="3" t="s">
        <v>38</v>
      </c>
      <c r="P125" s="3"/>
      <c r="Q125" s="4">
        <v>45944</v>
      </c>
      <c r="R125" s="3" t="s">
        <v>39</v>
      </c>
      <c r="S125" s="3" t="s">
        <v>38</v>
      </c>
      <c r="T125" s="3" t="s">
        <v>43</v>
      </c>
      <c r="U125" s="3"/>
      <c r="V125" s="3" t="s">
        <v>41</v>
      </c>
      <c r="W125" s="5">
        <v>2124.7399999999998</v>
      </c>
      <c r="X125" s="5">
        <v>2124.7399999999998</v>
      </c>
      <c r="Y125" s="3">
        <v>0</v>
      </c>
      <c r="Z125" s="3">
        <v>0</v>
      </c>
      <c r="AA125" s="3">
        <v>0</v>
      </c>
    </row>
    <row r="126" spans="1:27" ht="60.75" x14ac:dyDescent="0.25">
      <c r="A126" s="3" t="s">
        <v>28</v>
      </c>
      <c r="B126" s="3" t="s">
        <v>29</v>
      </c>
      <c r="C126" s="3" t="s">
        <v>30</v>
      </c>
      <c r="D126" s="3" t="s">
        <v>31</v>
      </c>
      <c r="E126" s="3" t="s">
        <v>53</v>
      </c>
      <c r="F126" s="3" t="s">
        <v>82</v>
      </c>
      <c r="G126" s="3">
        <v>2025</v>
      </c>
      <c r="H126" s="3" t="str">
        <f>CONCATENATE("54240560604")</f>
        <v>54240560604</v>
      </c>
      <c r="I126" s="3" t="s">
        <v>149</v>
      </c>
      <c r="J126" s="3" t="s">
        <v>35</v>
      </c>
      <c r="K126" s="3"/>
      <c r="L126" s="3" t="s">
        <v>36</v>
      </c>
      <c r="M126" s="3" t="str">
        <f>CONCATENATE("DCSNDR75T04L500Y")</f>
        <v>DCSNDR75T04L500Y</v>
      </c>
      <c r="N126" s="3" t="s">
        <v>220</v>
      </c>
      <c r="O126" s="3" t="s">
        <v>38</v>
      </c>
      <c r="P126" s="3"/>
      <c r="Q126" s="4">
        <v>45944</v>
      </c>
      <c r="R126" s="3" t="s">
        <v>39</v>
      </c>
      <c r="S126" s="3" t="s">
        <v>38</v>
      </c>
      <c r="T126" s="3" t="s">
        <v>43</v>
      </c>
      <c r="U126" s="3"/>
      <c r="V126" s="3" t="s">
        <v>41</v>
      </c>
      <c r="W126" s="5">
        <v>2461.31</v>
      </c>
      <c r="X126" s="5">
        <v>2461.31</v>
      </c>
      <c r="Y126" s="3">
        <v>0</v>
      </c>
      <c r="Z126" s="3">
        <v>0</v>
      </c>
      <c r="AA126" s="3">
        <v>0</v>
      </c>
    </row>
    <row r="127" spans="1:27" ht="36.75" x14ac:dyDescent="0.25">
      <c r="A127" s="3" t="s">
        <v>28</v>
      </c>
      <c r="B127" s="3" t="s">
        <v>29</v>
      </c>
      <c r="C127" s="3" t="s">
        <v>30</v>
      </c>
      <c r="D127" s="3" t="s">
        <v>49</v>
      </c>
      <c r="E127" s="3" t="s">
        <v>46</v>
      </c>
      <c r="F127" s="3" t="s">
        <v>129</v>
      </c>
      <c r="G127" s="3">
        <v>2025</v>
      </c>
      <c r="H127" s="3" t="str">
        <f>CONCATENATE("54240560810")</f>
        <v>54240560810</v>
      </c>
      <c r="I127" s="3" t="s">
        <v>34</v>
      </c>
      <c r="J127" s="3" t="s">
        <v>35</v>
      </c>
      <c r="K127" s="3"/>
      <c r="L127" s="3" t="s">
        <v>36</v>
      </c>
      <c r="M127" s="3" t="str">
        <f>CONCATENATE("02138980434")</f>
        <v>02138980434</v>
      </c>
      <c r="N127" s="3" t="s">
        <v>221</v>
      </c>
      <c r="O127" s="3" t="s">
        <v>38</v>
      </c>
      <c r="P127" s="3"/>
      <c r="Q127" s="4">
        <v>45944</v>
      </c>
      <c r="R127" s="3" t="s">
        <v>39</v>
      </c>
      <c r="S127" s="3" t="s">
        <v>38</v>
      </c>
      <c r="T127" s="3" t="s">
        <v>43</v>
      </c>
      <c r="U127" s="3"/>
      <c r="V127" s="3" t="s">
        <v>41</v>
      </c>
      <c r="W127" s="5">
        <v>4112.68</v>
      </c>
      <c r="X127" s="5">
        <v>4112.68</v>
      </c>
      <c r="Y127" s="3">
        <v>0</v>
      </c>
      <c r="Z127" s="3">
        <v>0</v>
      </c>
      <c r="AA127" s="3">
        <v>0</v>
      </c>
    </row>
    <row r="128" spans="1:27" ht="60.75" x14ac:dyDescent="0.25">
      <c r="A128" s="3" t="s">
        <v>28</v>
      </c>
      <c r="B128" s="3" t="s">
        <v>29</v>
      </c>
      <c r="C128" s="3" t="s">
        <v>30</v>
      </c>
      <c r="D128" s="3" t="s">
        <v>49</v>
      </c>
      <c r="E128" s="3" t="s">
        <v>46</v>
      </c>
      <c r="F128" s="3" t="s">
        <v>129</v>
      </c>
      <c r="G128" s="3">
        <v>2025</v>
      </c>
      <c r="H128" s="3" t="str">
        <f>CONCATENATE("54240560976")</f>
        <v>54240560976</v>
      </c>
      <c r="I128" s="3" t="s">
        <v>34</v>
      </c>
      <c r="J128" s="3" t="s">
        <v>35</v>
      </c>
      <c r="K128" s="3"/>
      <c r="L128" s="3" t="s">
        <v>36</v>
      </c>
      <c r="M128" s="3" t="str">
        <f>CONCATENATE("CRRSRN87A13Z601O")</f>
        <v>CRRSRN87A13Z601O</v>
      </c>
      <c r="N128" s="3" t="s">
        <v>222</v>
      </c>
      <c r="O128" s="3" t="s">
        <v>38</v>
      </c>
      <c r="P128" s="3"/>
      <c r="Q128" s="4">
        <v>45944</v>
      </c>
      <c r="R128" s="3" t="s">
        <v>39</v>
      </c>
      <c r="S128" s="3" t="s">
        <v>38</v>
      </c>
      <c r="T128" s="3" t="s">
        <v>43</v>
      </c>
      <c r="U128" s="3"/>
      <c r="V128" s="3" t="s">
        <v>41</v>
      </c>
      <c r="W128" s="5">
        <v>1538.2</v>
      </c>
      <c r="X128" s="5">
        <v>1538.2</v>
      </c>
      <c r="Y128" s="3">
        <v>0</v>
      </c>
      <c r="Z128" s="3">
        <v>0</v>
      </c>
      <c r="AA128" s="3">
        <v>0</v>
      </c>
    </row>
    <row r="129" spans="1:27" ht="36.75" x14ac:dyDescent="0.25">
      <c r="A129" s="3" t="s">
        <v>28</v>
      </c>
      <c r="B129" s="3" t="s">
        <v>29</v>
      </c>
      <c r="C129" s="3" t="s">
        <v>30</v>
      </c>
      <c r="D129" s="3" t="s">
        <v>49</v>
      </c>
      <c r="E129" s="3" t="s">
        <v>46</v>
      </c>
      <c r="F129" s="3" t="s">
        <v>129</v>
      </c>
      <c r="G129" s="3">
        <v>2025</v>
      </c>
      <c r="H129" s="3" t="str">
        <f>CONCATENATE("54240561206")</f>
        <v>54240561206</v>
      </c>
      <c r="I129" s="3" t="s">
        <v>34</v>
      </c>
      <c r="J129" s="3" t="s">
        <v>35</v>
      </c>
      <c r="K129" s="3"/>
      <c r="L129" s="3" t="s">
        <v>36</v>
      </c>
      <c r="M129" s="3" t="str">
        <f>CONCATENATE("06248230960")</f>
        <v>06248230960</v>
      </c>
      <c r="N129" s="3" t="s">
        <v>223</v>
      </c>
      <c r="O129" s="3" t="s">
        <v>38</v>
      </c>
      <c r="P129" s="3"/>
      <c r="Q129" s="4">
        <v>45944</v>
      </c>
      <c r="R129" s="3" t="s">
        <v>39</v>
      </c>
      <c r="S129" s="3" t="s">
        <v>38</v>
      </c>
      <c r="T129" s="3" t="s">
        <v>43</v>
      </c>
      <c r="U129" s="3"/>
      <c r="V129" s="3" t="s">
        <v>41</v>
      </c>
      <c r="W129" s="5">
        <v>4405.95</v>
      </c>
      <c r="X129" s="5">
        <v>4405.95</v>
      </c>
      <c r="Y129" s="3">
        <v>0</v>
      </c>
      <c r="Z129" s="3">
        <v>0</v>
      </c>
      <c r="AA129" s="3">
        <v>0</v>
      </c>
    </row>
    <row r="130" spans="1:27" ht="60.75" x14ac:dyDescent="0.25">
      <c r="A130" s="3" t="s">
        <v>28</v>
      </c>
      <c r="B130" s="3" t="s">
        <v>29</v>
      </c>
      <c r="C130" s="3" t="s">
        <v>30</v>
      </c>
      <c r="D130" s="3" t="s">
        <v>31</v>
      </c>
      <c r="E130" s="3" t="s">
        <v>53</v>
      </c>
      <c r="F130" s="3" t="s">
        <v>82</v>
      </c>
      <c r="G130" s="3">
        <v>2025</v>
      </c>
      <c r="H130" s="3" t="str">
        <f>CONCATENATE("54240562923")</f>
        <v>54240562923</v>
      </c>
      <c r="I130" s="3" t="s">
        <v>149</v>
      </c>
      <c r="J130" s="3" t="s">
        <v>35</v>
      </c>
      <c r="K130" s="3"/>
      <c r="L130" s="3" t="s">
        <v>36</v>
      </c>
      <c r="M130" s="3" t="str">
        <f>CONCATENATE("DCHNRC61M20L500H")</f>
        <v>DCHNRC61M20L500H</v>
      </c>
      <c r="N130" s="3" t="s">
        <v>224</v>
      </c>
      <c r="O130" s="3" t="s">
        <v>38</v>
      </c>
      <c r="P130" s="3"/>
      <c r="Q130" s="4">
        <v>45944</v>
      </c>
      <c r="R130" s="3" t="s">
        <v>39</v>
      </c>
      <c r="S130" s="3" t="s">
        <v>38</v>
      </c>
      <c r="T130" s="3" t="s">
        <v>43</v>
      </c>
      <c r="U130" s="3"/>
      <c r="V130" s="3" t="s">
        <v>41</v>
      </c>
      <c r="W130" s="5">
        <v>8864.56</v>
      </c>
      <c r="X130" s="5">
        <v>8864.56</v>
      </c>
      <c r="Y130" s="3">
        <v>0</v>
      </c>
      <c r="Z130" s="3">
        <v>0</v>
      </c>
      <c r="AA130" s="3">
        <v>0</v>
      </c>
    </row>
    <row r="131" spans="1:27" ht="36.75" x14ac:dyDescent="0.25">
      <c r="A131" s="3" t="s">
        <v>28</v>
      </c>
      <c r="B131" s="3" t="s">
        <v>29</v>
      </c>
      <c r="C131" s="3" t="s">
        <v>30</v>
      </c>
      <c r="D131" s="3" t="s">
        <v>49</v>
      </c>
      <c r="E131" s="3" t="s">
        <v>91</v>
      </c>
      <c r="F131" s="3" t="s">
        <v>92</v>
      </c>
      <c r="G131" s="3">
        <v>2025</v>
      </c>
      <c r="H131" s="3" t="str">
        <f>CONCATENATE("54240561784")</f>
        <v>54240561784</v>
      </c>
      <c r="I131" s="3" t="s">
        <v>34</v>
      </c>
      <c r="J131" s="3" t="s">
        <v>35</v>
      </c>
      <c r="K131" s="3"/>
      <c r="L131" s="3" t="s">
        <v>36</v>
      </c>
      <c r="M131" s="3" t="str">
        <f>CONCATENATE("02067060430")</f>
        <v>02067060430</v>
      </c>
      <c r="N131" s="3" t="s">
        <v>225</v>
      </c>
      <c r="O131" s="3" t="s">
        <v>38</v>
      </c>
      <c r="P131" s="3"/>
      <c r="Q131" s="4">
        <v>45944</v>
      </c>
      <c r="R131" s="3" t="s">
        <v>39</v>
      </c>
      <c r="S131" s="3" t="s">
        <v>38</v>
      </c>
      <c r="T131" s="3" t="s">
        <v>43</v>
      </c>
      <c r="U131" s="3"/>
      <c r="V131" s="3" t="s">
        <v>41</v>
      </c>
      <c r="W131" s="5">
        <v>18952.03</v>
      </c>
      <c r="X131" s="5">
        <v>18952.03</v>
      </c>
      <c r="Y131" s="3">
        <v>0</v>
      </c>
      <c r="Z131" s="3">
        <v>0</v>
      </c>
      <c r="AA131" s="3">
        <v>0</v>
      </c>
    </row>
    <row r="132" spans="1:27" ht="60.75" x14ac:dyDescent="0.25">
      <c r="A132" s="3" t="s">
        <v>28</v>
      </c>
      <c r="B132" s="3" t="s">
        <v>29</v>
      </c>
      <c r="C132" s="3" t="s">
        <v>30</v>
      </c>
      <c r="D132" s="3" t="s">
        <v>63</v>
      </c>
      <c r="E132" s="3" t="s">
        <v>32</v>
      </c>
      <c r="F132" s="3" t="s">
        <v>158</v>
      </c>
      <c r="G132" s="3">
        <v>2025</v>
      </c>
      <c r="H132" s="3" t="str">
        <f>CONCATENATE("54240562303")</f>
        <v>54240562303</v>
      </c>
      <c r="I132" s="3" t="s">
        <v>34</v>
      </c>
      <c r="J132" s="3" t="s">
        <v>35</v>
      </c>
      <c r="K132" s="3"/>
      <c r="L132" s="3" t="s">
        <v>36</v>
      </c>
      <c r="M132" s="3" t="str">
        <f>CONCATENATE("LNCFRZ74T02D096Y")</f>
        <v>LNCFRZ74T02D096Y</v>
      </c>
      <c r="N132" s="3" t="s">
        <v>226</v>
      </c>
      <c r="O132" s="3" t="s">
        <v>38</v>
      </c>
      <c r="P132" s="3"/>
      <c r="Q132" s="4">
        <v>45944</v>
      </c>
      <c r="R132" s="3" t="s">
        <v>39</v>
      </c>
      <c r="S132" s="3" t="s">
        <v>38</v>
      </c>
      <c r="T132" s="3" t="s">
        <v>43</v>
      </c>
      <c r="U132" s="3"/>
      <c r="V132" s="3" t="s">
        <v>41</v>
      </c>
      <c r="W132" s="5">
        <v>17022.5</v>
      </c>
      <c r="X132" s="5">
        <v>17022.5</v>
      </c>
      <c r="Y132" s="3">
        <v>0</v>
      </c>
      <c r="Z132" s="3">
        <v>0</v>
      </c>
      <c r="AA132" s="3">
        <v>0</v>
      </c>
    </row>
    <row r="133" spans="1:27" ht="72.75" x14ac:dyDescent="0.25">
      <c r="A133" s="3" t="s">
        <v>28</v>
      </c>
      <c r="B133" s="3" t="s">
        <v>29</v>
      </c>
      <c r="C133" s="3" t="s">
        <v>30</v>
      </c>
      <c r="D133" s="3" t="s">
        <v>31</v>
      </c>
      <c r="E133" s="3" t="s">
        <v>32</v>
      </c>
      <c r="F133" s="3" t="s">
        <v>44</v>
      </c>
      <c r="G133" s="3">
        <v>2025</v>
      </c>
      <c r="H133" s="3" t="str">
        <f>CONCATENATE("54240562287")</f>
        <v>54240562287</v>
      </c>
      <c r="I133" s="3" t="s">
        <v>34</v>
      </c>
      <c r="J133" s="3" t="s">
        <v>35</v>
      </c>
      <c r="K133" s="3"/>
      <c r="L133" s="3" t="s">
        <v>36</v>
      </c>
      <c r="M133" s="3" t="str">
        <f>CONCATENATE("DMNMGG89E50B352D")</f>
        <v>DMNMGG89E50B352D</v>
      </c>
      <c r="N133" s="3" t="s">
        <v>227</v>
      </c>
      <c r="O133" s="3" t="s">
        <v>38</v>
      </c>
      <c r="P133" s="3"/>
      <c r="Q133" s="4">
        <v>45944</v>
      </c>
      <c r="R133" s="3" t="s">
        <v>39</v>
      </c>
      <c r="S133" s="3" t="s">
        <v>38</v>
      </c>
      <c r="T133" s="3" t="s">
        <v>43</v>
      </c>
      <c r="U133" s="3"/>
      <c r="V133" s="3" t="s">
        <v>41</v>
      </c>
      <c r="W133" s="5">
        <v>2151.9499999999998</v>
      </c>
      <c r="X133" s="5">
        <v>2151.9499999999998</v>
      </c>
      <c r="Y133" s="3">
        <v>0</v>
      </c>
      <c r="Z133" s="3">
        <v>0</v>
      </c>
      <c r="AA133" s="3">
        <v>0</v>
      </c>
    </row>
    <row r="134" spans="1:27" ht="36.75" x14ac:dyDescent="0.25">
      <c r="A134" s="3" t="s">
        <v>28</v>
      </c>
      <c r="B134" s="3" t="s">
        <v>29</v>
      </c>
      <c r="C134" s="3" t="s">
        <v>30</v>
      </c>
      <c r="D134" s="3" t="s">
        <v>63</v>
      </c>
      <c r="E134" s="3" t="s">
        <v>32</v>
      </c>
      <c r="F134" s="3" t="s">
        <v>158</v>
      </c>
      <c r="G134" s="3">
        <v>2025</v>
      </c>
      <c r="H134" s="3" t="str">
        <f>CONCATENATE("54240562238")</f>
        <v>54240562238</v>
      </c>
      <c r="I134" s="3" t="s">
        <v>34</v>
      </c>
      <c r="J134" s="3" t="s">
        <v>35</v>
      </c>
      <c r="K134" s="3"/>
      <c r="L134" s="3" t="s">
        <v>36</v>
      </c>
      <c r="M134" s="3" t="str">
        <f>CONCATENATE("02196210443")</f>
        <v>02196210443</v>
      </c>
      <c r="N134" s="3" t="s">
        <v>228</v>
      </c>
      <c r="O134" s="3" t="s">
        <v>38</v>
      </c>
      <c r="P134" s="3"/>
      <c r="Q134" s="4">
        <v>45944</v>
      </c>
      <c r="R134" s="3" t="s">
        <v>39</v>
      </c>
      <c r="S134" s="3" t="s">
        <v>38</v>
      </c>
      <c r="T134" s="3" t="s">
        <v>43</v>
      </c>
      <c r="U134" s="3"/>
      <c r="V134" s="3" t="s">
        <v>41</v>
      </c>
      <c r="W134" s="5">
        <v>3025.49</v>
      </c>
      <c r="X134" s="5">
        <v>3025.49</v>
      </c>
      <c r="Y134" s="3">
        <v>0</v>
      </c>
      <c r="Z134" s="3">
        <v>0</v>
      </c>
      <c r="AA134" s="3">
        <v>0</v>
      </c>
    </row>
    <row r="135" spans="1:27" ht="60.75" x14ac:dyDescent="0.25">
      <c r="A135" s="3" t="s">
        <v>28</v>
      </c>
      <c r="B135" s="3" t="s">
        <v>29</v>
      </c>
      <c r="C135" s="3" t="s">
        <v>30</v>
      </c>
      <c r="D135" s="3" t="s">
        <v>63</v>
      </c>
      <c r="E135" s="3" t="s">
        <v>32</v>
      </c>
      <c r="F135" s="3" t="s">
        <v>158</v>
      </c>
      <c r="G135" s="3">
        <v>2025</v>
      </c>
      <c r="H135" s="3" t="str">
        <f>CONCATENATE("54240562451")</f>
        <v>54240562451</v>
      </c>
      <c r="I135" s="3" t="s">
        <v>34</v>
      </c>
      <c r="J135" s="3" t="s">
        <v>35</v>
      </c>
      <c r="K135" s="3"/>
      <c r="L135" s="3" t="s">
        <v>36</v>
      </c>
      <c r="M135" s="3" t="str">
        <f>CONCATENATE("MTTGPP57L05H321Y")</f>
        <v>MTTGPP57L05H321Y</v>
      </c>
      <c r="N135" s="3" t="s">
        <v>229</v>
      </c>
      <c r="O135" s="3" t="s">
        <v>38</v>
      </c>
      <c r="P135" s="3"/>
      <c r="Q135" s="4">
        <v>45944</v>
      </c>
      <c r="R135" s="3" t="s">
        <v>39</v>
      </c>
      <c r="S135" s="3" t="s">
        <v>38</v>
      </c>
      <c r="T135" s="3" t="s">
        <v>43</v>
      </c>
      <c r="U135" s="3"/>
      <c r="V135" s="3" t="s">
        <v>41</v>
      </c>
      <c r="W135" s="5">
        <v>1162.94</v>
      </c>
      <c r="X135" s="5">
        <v>1162.94</v>
      </c>
      <c r="Y135" s="3">
        <v>0</v>
      </c>
      <c r="Z135" s="3">
        <v>0</v>
      </c>
      <c r="AA135" s="3">
        <v>0</v>
      </c>
    </row>
    <row r="136" spans="1:27" ht="60.75" x14ac:dyDescent="0.25">
      <c r="A136" s="3" t="s">
        <v>28</v>
      </c>
      <c r="B136" s="3" t="s">
        <v>29</v>
      </c>
      <c r="C136" s="3" t="s">
        <v>30</v>
      </c>
      <c r="D136" s="3" t="s">
        <v>58</v>
      </c>
      <c r="E136" s="3" t="s">
        <v>74</v>
      </c>
      <c r="F136" s="3" t="s">
        <v>84</v>
      </c>
      <c r="G136" s="3">
        <v>2025</v>
      </c>
      <c r="H136" s="3" t="str">
        <f>CONCATENATE("54240563236")</f>
        <v>54240563236</v>
      </c>
      <c r="I136" s="3" t="s">
        <v>34</v>
      </c>
      <c r="J136" s="3" t="s">
        <v>35</v>
      </c>
      <c r="K136" s="3"/>
      <c r="L136" s="3" t="s">
        <v>36</v>
      </c>
      <c r="M136" s="3" t="str">
        <f>CONCATENATE("FLNRCC01P21E388J")</f>
        <v>FLNRCC01P21E388J</v>
      </c>
      <c r="N136" s="3" t="s">
        <v>230</v>
      </c>
      <c r="O136" s="3" t="s">
        <v>38</v>
      </c>
      <c r="P136" s="3"/>
      <c r="Q136" s="4">
        <v>45944</v>
      </c>
      <c r="R136" s="3" t="s">
        <v>39</v>
      </c>
      <c r="S136" s="3" t="s">
        <v>38</v>
      </c>
      <c r="T136" s="3" t="s">
        <v>43</v>
      </c>
      <c r="U136" s="3"/>
      <c r="V136" s="3" t="s">
        <v>41</v>
      </c>
      <c r="W136" s="5">
        <v>5726.06</v>
      </c>
      <c r="X136" s="5">
        <v>5726.06</v>
      </c>
      <c r="Y136" s="3">
        <v>0</v>
      </c>
      <c r="Z136" s="3">
        <v>0</v>
      </c>
      <c r="AA136" s="3">
        <v>0</v>
      </c>
    </row>
    <row r="137" spans="1:27" ht="36.75" x14ac:dyDescent="0.25">
      <c r="A137" s="3" t="s">
        <v>28</v>
      </c>
      <c r="B137" s="3" t="s">
        <v>29</v>
      </c>
      <c r="C137" s="3" t="s">
        <v>30</v>
      </c>
      <c r="D137" s="3" t="s">
        <v>49</v>
      </c>
      <c r="E137" s="3" t="s">
        <v>91</v>
      </c>
      <c r="F137" s="3" t="s">
        <v>92</v>
      </c>
      <c r="G137" s="3">
        <v>2025</v>
      </c>
      <c r="H137" s="3" t="str">
        <f>CONCATENATE("54240563400")</f>
        <v>54240563400</v>
      </c>
      <c r="I137" s="3" t="s">
        <v>34</v>
      </c>
      <c r="J137" s="3" t="s">
        <v>35</v>
      </c>
      <c r="K137" s="3"/>
      <c r="L137" s="3" t="s">
        <v>36</v>
      </c>
      <c r="M137" s="3" t="str">
        <f>CONCATENATE("02026920435")</f>
        <v>02026920435</v>
      </c>
      <c r="N137" s="3" t="s">
        <v>231</v>
      </c>
      <c r="O137" s="3" t="s">
        <v>38</v>
      </c>
      <c r="P137" s="3"/>
      <c r="Q137" s="4">
        <v>45944</v>
      </c>
      <c r="R137" s="3" t="s">
        <v>39</v>
      </c>
      <c r="S137" s="3" t="s">
        <v>38</v>
      </c>
      <c r="T137" s="3" t="s">
        <v>43</v>
      </c>
      <c r="U137" s="3"/>
      <c r="V137" s="3" t="s">
        <v>41</v>
      </c>
      <c r="W137" s="5">
        <v>7012.68</v>
      </c>
      <c r="X137" s="5">
        <v>7012.68</v>
      </c>
      <c r="Y137" s="3">
        <v>0</v>
      </c>
      <c r="Z137" s="3">
        <v>0</v>
      </c>
      <c r="AA137" s="3">
        <v>0</v>
      </c>
    </row>
    <row r="138" spans="1:27" ht="36.75" x14ac:dyDescent="0.25">
      <c r="A138" s="3" t="s">
        <v>28</v>
      </c>
      <c r="B138" s="3" t="s">
        <v>29</v>
      </c>
      <c r="C138" s="3" t="s">
        <v>30</v>
      </c>
      <c r="D138" s="3" t="s">
        <v>49</v>
      </c>
      <c r="E138" s="3" t="s">
        <v>91</v>
      </c>
      <c r="F138" s="3" t="s">
        <v>92</v>
      </c>
      <c r="G138" s="3">
        <v>2025</v>
      </c>
      <c r="H138" s="3" t="str">
        <f>CONCATENATE("54240563053")</f>
        <v>54240563053</v>
      </c>
      <c r="I138" s="3" t="s">
        <v>34</v>
      </c>
      <c r="J138" s="3" t="s">
        <v>35</v>
      </c>
      <c r="K138" s="3"/>
      <c r="L138" s="3" t="s">
        <v>36</v>
      </c>
      <c r="M138" s="3" t="str">
        <f>CONCATENATE("01987630439")</f>
        <v>01987630439</v>
      </c>
      <c r="N138" s="3" t="s">
        <v>232</v>
      </c>
      <c r="O138" s="3" t="s">
        <v>38</v>
      </c>
      <c r="P138" s="3"/>
      <c r="Q138" s="4">
        <v>45944</v>
      </c>
      <c r="R138" s="3" t="s">
        <v>39</v>
      </c>
      <c r="S138" s="3" t="s">
        <v>38</v>
      </c>
      <c r="T138" s="3" t="s">
        <v>43</v>
      </c>
      <c r="U138" s="3"/>
      <c r="V138" s="3" t="s">
        <v>41</v>
      </c>
      <c r="W138" s="5">
        <v>9145.4599999999991</v>
      </c>
      <c r="X138" s="5">
        <v>9145.4599999999991</v>
      </c>
      <c r="Y138" s="3">
        <v>0</v>
      </c>
      <c r="Z138" s="3">
        <v>0</v>
      </c>
      <c r="AA138" s="3">
        <v>0</v>
      </c>
    </row>
    <row r="139" spans="1:27" ht="60.75" x14ac:dyDescent="0.25">
      <c r="A139" s="3" t="s">
        <v>28</v>
      </c>
      <c r="B139" s="3" t="s">
        <v>29</v>
      </c>
      <c r="C139" s="3" t="s">
        <v>30</v>
      </c>
      <c r="D139" s="3" t="s">
        <v>31</v>
      </c>
      <c r="E139" s="3" t="s">
        <v>53</v>
      </c>
      <c r="F139" s="3" t="s">
        <v>233</v>
      </c>
      <c r="G139" s="3">
        <v>2025</v>
      </c>
      <c r="H139" s="3" t="str">
        <f>CONCATENATE("54240566031")</f>
        <v>54240566031</v>
      </c>
      <c r="I139" s="3" t="s">
        <v>34</v>
      </c>
      <c r="J139" s="3" t="s">
        <v>35</v>
      </c>
      <c r="K139" s="3"/>
      <c r="L139" s="3" t="s">
        <v>36</v>
      </c>
      <c r="M139" s="3" t="str">
        <f>CONCATENATE("NSNGCR51S29F347M")</f>
        <v>NSNGCR51S29F347M</v>
      </c>
      <c r="N139" s="3" t="s">
        <v>234</v>
      </c>
      <c r="O139" s="3" t="s">
        <v>38</v>
      </c>
      <c r="P139" s="3"/>
      <c r="Q139" s="4">
        <v>45944</v>
      </c>
      <c r="R139" s="3" t="s">
        <v>39</v>
      </c>
      <c r="S139" s="3" t="s">
        <v>38</v>
      </c>
      <c r="T139" s="3" t="s">
        <v>43</v>
      </c>
      <c r="U139" s="3"/>
      <c r="V139" s="3" t="s">
        <v>41</v>
      </c>
      <c r="W139" s="5">
        <v>1170.3599999999999</v>
      </c>
      <c r="X139" s="5">
        <v>1170.3599999999999</v>
      </c>
      <c r="Y139" s="3">
        <v>0</v>
      </c>
      <c r="Z139" s="3">
        <v>0</v>
      </c>
      <c r="AA139" s="3">
        <v>0</v>
      </c>
    </row>
    <row r="140" spans="1:27" ht="60.75" x14ac:dyDescent="0.25">
      <c r="A140" s="3" t="s">
        <v>28</v>
      </c>
      <c r="B140" s="3" t="s">
        <v>29</v>
      </c>
      <c r="C140" s="3" t="s">
        <v>30</v>
      </c>
      <c r="D140" s="3" t="s">
        <v>31</v>
      </c>
      <c r="E140" s="3" t="s">
        <v>53</v>
      </c>
      <c r="F140" s="3" t="s">
        <v>233</v>
      </c>
      <c r="G140" s="3">
        <v>2025</v>
      </c>
      <c r="H140" s="3" t="str">
        <f>CONCATENATE("54240566312")</f>
        <v>54240566312</v>
      </c>
      <c r="I140" s="3" t="s">
        <v>34</v>
      </c>
      <c r="J140" s="3" t="s">
        <v>35</v>
      </c>
      <c r="K140" s="3"/>
      <c r="L140" s="3" t="s">
        <v>36</v>
      </c>
      <c r="M140" s="3" t="str">
        <f>CONCATENATE("MNNNNF75L15F979B")</f>
        <v>MNNNNF75L15F979B</v>
      </c>
      <c r="N140" s="3" t="s">
        <v>235</v>
      </c>
      <c r="O140" s="3" t="s">
        <v>38</v>
      </c>
      <c r="P140" s="3"/>
      <c r="Q140" s="4">
        <v>45944</v>
      </c>
      <c r="R140" s="3" t="s">
        <v>39</v>
      </c>
      <c r="S140" s="3" t="s">
        <v>38</v>
      </c>
      <c r="T140" s="3" t="s">
        <v>43</v>
      </c>
      <c r="U140" s="3"/>
      <c r="V140" s="3" t="s">
        <v>41</v>
      </c>
      <c r="W140" s="5">
        <v>3183.84</v>
      </c>
      <c r="X140" s="5">
        <v>3183.84</v>
      </c>
      <c r="Y140" s="3">
        <v>0</v>
      </c>
      <c r="Z140" s="3">
        <v>0</v>
      </c>
      <c r="AA140" s="3">
        <v>0</v>
      </c>
    </row>
    <row r="141" spans="1:27" ht="60.75" x14ac:dyDescent="0.25">
      <c r="A141" s="3" t="s">
        <v>28</v>
      </c>
      <c r="B141" s="3" t="s">
        <v>29</v>
      </c>
      <c r="C141" s="3" t="s">
        <v>30</v>
      </c>
      <c r="D141" s="3" t="s">
        <v>31</v>
      </c>
      <c r="E141" s="3" t="s">
        <v>32</v>
      </c>
      <c r="F141" s="3" t="s">
        <v>115</v>
      </c>
      <c r="G141" s="3">
        <v>2025</v>
      </c>
      <c r="H141" s="3" t="str">
        <f>CONCATENATE("54240567534")</f>
        <v>54240567534</v>
      </c>
      <c r="I141" s="3" t="s">
        <v>149</v>
      </c>
      <c r="J141" s="3" t="s">
        <v>35</v>
      </c>
      <c r="K141" s="3"/>
      <c r="L141" s="3" t="s">
        <v>36</v>
      </c>
      <c r="M141" s="3" t="str">
        <f>CONCATENATE("PRTRTT74E55L500B")</f>
        <v>PRTRTT74E55L500B</v>
      </c>
      <c r="N141" s="3" t="s">
        <v>236</v>
      </c>
      <c r="O141" s="3" t="s">
        <v>38</v>
      </c>
      <c r="P141" s="3"/>
      <c r="Q141" s="4">
        <v>45944</v>
      </c>
      <c r="R141" s="3" t="s">
        <v>39</v>
      </c>
      <c r="S141" s="3" t="s">
        <v>38</v>
      </c>
      <c r="T141" s="3" t="s">
        <v>43</v>
      </c>
      <c r="U141" s="3"/>
      <c r="V141" s="3" t="s">
        <v>41</v>
      </c>
      <c r="W141" s="5">
        <v>3933.76</v>
      </c>
      <c r="X141" s="5">
        <v>3933.76</v>
      </c>
      <c r="Y141" s="3">
        <v>0</v>
      </c>
      <c r="Z141" s="3">
        <v>0</v>
      </c>
      <c r="AA141" s="3">
        <v>0</v>
      </c>
    </row>
    <row r="142" spans="1:27" ht="60.75" x14ac:dyDescent="0.25">
      <c r="A142" s="3" t="s">
        <v>28</v>
      </c>
      <c r="B142" s="3" t="s">
        <v>29</v>
      </c>
      <c r="C142" s="3" t="s">
        <v>30</v>
      </c>
      <c r="D142" s="3" t="s">
        <v>31</v>
      </c>
      <c r="E142" s="3" t="s">
        <v>53</v>
      </c>
      <c r="F142" s="3" t="s">
        <v>82</v>
      </c>
      <c r="G142" s="3">
        <v>2025</v>
      </c>
      <c r="H142" s="3" t="str">
        <f>CONCATENATE("54240567823")</f>
        <v>54240567823</v>
      </c>
      <c r="I142" s="3" t="s">
        <v>34</v>
      </c>
      <c r="J142" s="3" t="s">
        <v>35</v>
      </c>
      <c r="K142" s="3"/>
      <c r="L142" s="3" t="s">
        <v>36</v>
      </c>
      <c r="M142" s="3" t="str">
        <f>CONCATENATE("LLLLCN56C07L500K")</f>
        <v>LLLLCN56C07L500K</v>
      </c>
      <c r="N142" s="3" t="s">
        <v>237</v>
      </c>
      <c r="O142" s="3" t="s">
        <v>38</v>
      </c>
      <c r="P142" s="3"/>
      <c r="Q142" s="4">
        <v>45944</v>
      </c>
      <c r="R142" s="3" t="s">
        <v>39</v>
      </c>
      <c r="S142" s="3" t="s">
        <v>38</v>
      </c>
      <c r="T142" s="3" t="s">
        <v>43</v>
      </c>
      <c r="U142" s="3"/>
      <c r="V142" s="3" t="s">
        <v>41</v>
      </c>
      <c r="W142" s="5">
        <v>11895.55</v>
      </c>
      <c r="X142" s="5">
        <v>11895.55</v>
      </c>
      <c r="Y142" s="3">
        <v>0</v>
      </c>
      <c r="Z142" s="3">
        <v>0</v>
      </c>
      <c r="AA142" s="3">
        <v>0</v>
      </c>
    </row>
    <row r="143" spans="1:27" ht="36.75" x14ac:dyDescent="0.25">
      <c r="A143" s="3" t="s">
        <v>28</v>
      </c>
      <c r="B143" s="3" t="s">
        <v>29</v>
      </c>
      <c r="C143" s="3" t="s">
        <v>30</v>
      </c>
      <c r="D143" s="3" t="s">
        <v>49</v>
      </c>
      <c r="E143" s="3" t="s">
        <v>32</v>
      </c>
      <c r="F143" s="3" t="s">
        <v>69</v>
      </c>
      <c r="G143" s="3">
        <v>2025</v>
      </c>
      <c r="H143" s="3" t="str">
        <f>CONCATENATE("54240567773")</f>
        <v>54240567773</v>
      </c>
      <c r="I143" s="3" t="s">
        <v>34</v>
      </c>
      <c r="J143" s="3" t="s">
        <v>35</v>
      </c>
      <c r="K143" s="3"/>
      <c r="L143" s="3" t="s">
        <v>36</v>
      </c>
      <c r="M143" s="3" t="str">
        <f>CONCATENATE("01918100437")</f>
        <v>01918100437</v>
      </c>
      <c r="N143" s="3" t="s">
        <v>238</v>
      </c>
      <c r="O143" s="3" t="s">
        <v>38</v>
      </c>
      <c r="P143" s="3"/>
      <c r="Q143" s="4">
        <v>45944</v>
      </c>
      <c r="R143" s="3" t="s">
        <v>39</v>
      </c>
      <c r="S143" s="3" t="s">
        <v>38</v>
      </c>
      <c r="T143" s="3" t="s">
        <v>43</v>
      </c>
      <c r="U143" s="3"/>
      <c r="V143" s="3" t="s">
        <v>41</v>
      </c>
      <c r="W143" s="5">
        <v>12796.91</v>
      </c>
      <c r="X143" s="5">
        <v>12796.91</v>
      </c>
      <c r="Y143" s="3">
        <v>0</v>
      </c>
      <c r="Z143" s="3">
        <v>0</v>
      </c>
      <c r="AA143" s="3">
        <v>0</v>
      </c>
    </row>
    <row r="144" spans="1:27" ht="60.75" x14ac:dyDescent="0.25">
      <c r="A144" s="3" t="s">
        <v>28</v>
      </c>
      <c r="B144" s="3" t="s">
        <v>29</v>
      </c>
      <c r="C144" s="3" t="s">
        <v>30</v>
      </c>
      <c r="D144" s="3" t="s">
        <v>58</v>
      </c>
      <c r="E144" s="3" t="s">
        <v>32</v>
      </c>
      <c r="F144" s="3" t="s">
        <v>239</v>
      </c>
      <c r="G144" s="3">
        <v>2025</v>
      </c>
      <c r="H144" s="3" t="str">
        <f>CONCATENATE("54240568284")</f>
        <v>54240568284</v>
      </c>
      <c r="I144" s="3" t="s">
        <v>34</v>
      </c>
      <c r="J144" s="3" t="s">
        <v>35</v>
      </c>
      <c r="K144" s="3"/>
      <c r="L144" s="3" t="s">
        <v>36</v>
      </c>
      <c r="M144" s="3" t="str">
        <f>CONCATENATE("CNTPRI67B59D007C")</f>
        <v>CNTPRI67B59D007C</v>
      </c>
      <c r="N144" s="3" t="s">
        <v>240</v>
      </c>
      <c r="O144" s="3" t="s">
        <v>38</v>
      </c>
      <c r="P144" s="3"/>
      <c r="Q144" s="4">
        <v>45944</v>
      </c>
      <c r="R144" s="3" t="s">
        <v>39</v>
      </c>
      <c r="S144" s="3" t="s">
        <v>38</v>
      </c>
      <c r="T144" s="3" t="s">
        <v>43</v>
      </c>
      <c r="U144" s="3"/>
      <c r="V144" s="3" t="s">
        <v>41</v>
      </c>
      <c r="W144" s="5">
        <v>4552.03</v>
      </c>
      <c r="X144" s="5">
        <v>4552.03</v>
      </c>
      <c r="Y144" s="3">
        <v>0</v>
      </c>
      <c r="Z144" s="3">
        <v>0</v>
      </c>
      <c r="AA144" s="3">
        <v>0</v>
      </c>
    </row>
    <row r="145" spans="1:27" ht="60.75" x14ac:dyDescent="0.25">
      <c r="A145" s="3" t="s">
        <v>28</v>
      </c>
      <c r="B145" s="3" t="s">
        <v>29</v>
      </c>
      <c r="C145" s="3" t="s">
        <v>30</v>
      </c>
      <c r="D145" s="3" t="s">
        <v>63</v>
      </c>
      <c r="E145" s="3" t="s">
        <v>32</v>
      </c>
      <c r="F145" s="3" t="s">
        <v>142</v>
      </c>
      <c r="G145" s="3">
        <v>2025</v>
      </c>
      <c r="H145" s="3" t="str">
        <f>CONCATENATE("54240568813")</f>
        <v>54240568813</v>
      </c>
      <c r="I145" s="3" t="s">
        <v>34</v>
      </c>
      <c r="J145" s="3" t="s">
        <v>35</v>
      </c>
      <c r="K145" s="3"/>
      <c r="L145" s="3" t="s">
        <v>36</v>
      </c>
      <c r="M145" s="3" t="str">
        <f>CONCATENATE("MRRGRG62C01F501Z")</f>
        <v>MRRGRG62C01F501Z</v>
      </c>
      <c r="N145" s="3" t="s">
        <v>241</v>
      </c>
      <c r="O145" s="3" t="s">
        <v>38</v>
      </c>
      <c r="P145" s="3"/>
      <c r="Q145" s="4">
        <v>45944</v>
      </c>
      <c r="R145" s="3" t="s">
        <v>39</v>
      </c>
      <c r="S145" s="3" t="s">
        <v>38</v>
      </c>
      <c r="T145" s="3" t="s">
        <v>43</v>
      </c>
      <c r="U145" s="3"/>
      <c r="V145" s="3" t="s">
        <v>41</v>
      </c>
      <c r="W145" s="5">
        <v>4086.26</v>
      </c>
      <c r="X145" s="5">
        <v>4086.26</v>
      </c>
      <c r="Y145" s="3">
        <v>0</v>
      </c>
      <c r="Z145" s="3">
        <v>0</v>
      </c>
      <c r="AA145" s="3">
        <v>0</v>
      </c>
    </row>
    <row r="146" spans="1:27" ht="72.75" x14ac:dyDescent="0.25">
      <c r="A146" s="3" t="s">
        <v>28</v>
      </c>
      <c r="B146" s="3" t="s">
        <v>29</v>
      </c>
      <c r="C146" s="3" t="s">
        <v>30</v>
      </c>
      <c r="D146" s="3" t="s">
        <v>63</v>
      </c>
      <c r="E146" s="3" t="s">
        <v>32</v>
      </c>
      <c r="F146" s="3" t="s">
        <v>158</v>
      </c>
      <c r="G146" s="3">
        <v>2025</v>
      </c>
      <c r="H146" s="3" t="str">
        <f>CONCATENATE("54240574613")</f>
        <v>54240574613</v>
      </c>
      <c r="I146" s="3" t="s">
        <v>34</v>
      </c>
      <c r="J146" s="3" t="s">
        <v>35</v>
      </c>
      <c r="K146" s="3"/>
      <c r="L146" s="3" t="s">
        <v>36</v>
      </c>
      <c r="M146" s="3" t="str">
        <f>CONCATENATE("MRNMNN70A63F501T")</f>
        <v>MRNMNN70A63F501T</v>
      </c>
      <c r="N146" s="3" t="s">
        <v>242</v>
      </c>
      <c r="O146" s="3" t="s">
        <v>38</v>
      </c>
      <c r="P146" s="3"/>
      <c r="Q146" s="4">
        <v>45944</v>
      </c>
      <c r="R146" s="3" t="s">
        <v>39</v>
      </c>
      <c r="S146" s="3" t="s">
        <v>38</v>
      </c>
      <c r="T146" s="3" t="s">
        <v>43</v>
      </c>
      <c r="U146" s="3"/>
      <c r="V146" s="3" t="s">
        <v>41</v>
      </c>
      <c r="W146" s="5">
        <v>6702.69</v>
      </c>
      <c r="X146" s="5">
        <v>6702.69</v>
      </c>
      <c r="Y146" s="3">
        <v>0</v>
      </c>
      <c r="Z146" s="3">
        <v>0</v>
      </c>
      <c r="AA146" s="3">
        <v>0</v>
      </c>
    </row>
    <row r="147" spans="1:27" ht="36.75" x14ac:dyDescent="0.25">
      <c r="A147" s="3" t="s">
        <v>28</v>
      </c>
      <c r="B147" s="3" t="s">
        <v>29</v>
      </c>
      <c r="C147" s="3" t="s">
        <v>30</v>
      </c>
      <c r="D147" s="3" t="s">
        <v>63</v>
      </c>
      <c r="E147" s="3" t="s">
        <v>32</v>
      </c>
      <c r="F147" s="3" t="s">
        <v>243</v>
      </c>
      <c r="G147" s="3">
        <v>2025</v>
      </c>
      <c r="H147" s="3" t="str">
        <f>CONCATENATE("54240569647")</f>
        <v>54240569647</v>
      </c>
      <c r="I147" s="3" t="s">
        <v>34</v>
      </c>
      <c r="J147" s="3" t="s">
        <v>35</v>
      </c>
      <c r="K147" s="3"/>
      <c r="L147" s="3" t="s">
        <v>36</v>
      </c>
      <c r="M147" s="3" t="str">
        <f>CONCATENATE("02390730444")</f>
        <v>02390730444</v>
      </c>
      <c r="N147" s="3" t="s">
        <v>244</v>
      </c>
      <c r="O147" s="3" t="s">
        <v>38</v>
      </c>
      <c r="P147" s="3"/>
      <c r="Q147" s="4">
        <v>45944</v>
      </c>
      <c r="R147" s="3" t="s">
        <v>39</v>
      </c>
      <c r="S147" s="3" t="s">
        <v>38</v>
      </c>
      <c r="T147" s="3" t="s">
        <v>43</v>
      </c>
      <c r="U147" s="3"/>
      <c r="V147" s="3" t="s">
        <v>41</v>
      </c>
      <c r="W147" s="5">
        <v>1755.72</v>
      </c>
      <c r="X147" s="5">
        <v>1755.72</v>
      </c>
      <c r="Y147" s="3">
        <v>0</v>
      </c>
      <c r="Z147" s="3">
        <v>0</v>
      </c>
      <c r="AA147" s="3">
        <v>0</v>
      </c>
    </row>
    <row r="148" spans="1:27" ht="36.75" x14ac:dyDescent="0.25">
      <c r="A148" s="3" t="s">
        <v>28</v>
      </c>
      <c r="B148" s="3" t="s">
        <v>29</v>
      </c>
      <c r="C148" s="3" t="s">
        <v>30</v>
      </c>
      <c r="D148" s="3" t="s">
        <v>63</v>
      </c>
      <c r="E148" s="3" t="s">
        <v>53</v>
      </c>
      <c r="F148" s="3" t="s">
        <v>180</v>
      </c>
      <c r="G148" s="3">
        <v>2025</v>
      </c>
      <c r="H148" s="3" t="str">
        <f>CONCATENATE("54240569811")</f>
        <v>54240569811</v>
      </c>
      <c r="I148" s="3" t="s">
        <v>34</v>
      </c>
      <c r="J148" s="3" t="s">
        <v>35</v>
      </c>
      <c r="K148" s="3"/>
      <c r="L148" s="3" t="s">
        <v>36</v>
      </c>
      <c r="M148" s="3" t="str">
        <f>CONCATENATE("01699920441")</f>
        <v>01699920441</v>
      </c>
      <c r="N148" s="3" t="s">
        <v>245</v>
      </c>
      <c r="O148" s="3" t="s">
        <v>38</v>
      </c>
      <c r="P148" s="3"/>
      <c r="Q148" s="4">
        <v>45944</v>
      </c>
      <c r="R148" s="3" t="s">
        <v>39</v>
      </c>
      <c r="S148" s="3" t="s">
        <v>38</v>
      </c>
      <c r="T148" s="3" t="s">
        <v>43</v>
      </c>
      <c r="U148" s="3"/>
      <c r="V148" s="3" t="s">
        <v>41</v>
      </c>
      <c r="W148" s="5">
        <v>4203.78</v>
      </c>
      <c r="X148" s="5">
        <v>4203.78</v>
      </c>
      <c r="Y148" s="3">
        <v>0</v>
      </c>
      <c r="Z148" s="3">
        <v>0</v>
      </c>
      <c r="AA148" s="3">
        <v>0</v>
      </c>
    </row>
    <row r="149" spans="1:27" ht="60.75" x14ac:dyDescent="0.25">
      <c r="A149" s="3" t="s">
        <v>28</v>
      </c>
      <c r="B149" s="3" t="s">
        <v>29</v>
      </c>
      <c r="C149" s="3" t="s">
        <v>30</v>
      </c>
      <c r="D149" s="3" t="s">
        <v>58</v>
      </c>
      <c r="E149" s="3" t="s">
        <v>32</v>
      </c>
      <c r="F149" s="3" t="s">
        <v>96</v>
      </c>
      <c r="G149" s="3">
        <v>2025</v>
      </c>
      <c r="H149" s="3" t="str">
        <f>CONCATENATE("54240569928")</f>
        <v>54240569928</v>
      </c>
      <c r="I149" s="3" t="s">
        <v>34</v>
      </c>
      <c r="J149" s="3" t="s">
        <v>35</v>
      </c>
      <c r="K149" s="3"/>
      <c r="L149" s="3" t="s">
        <v>36</v>
      </c>
      <c r="M149" s="3" t="str">
        <f>CONCATENATE("NSNPTR50P29C267R")</f>
        <v>NSNPTR50P29C267R</v>
      </c>
      <c r="N149" s="3" t="s">
        <v>246</v>
      </c>
      <c r="O149" s="3" t="s">
        <v>38</v>
      </c>
      <c r="P149" s="3"/>
      <c r="Q149" s="4">
        <v>45944</v>
      </c>
      <c r="R149" s="3" t="s">
        <v>39</v>
      </c>
      <c r="S149" s="3" t="s">
        <v>38</v>
      </c>
      <c r="T149" s="3" t="s">
        <v>43</v>
      </c>
      <c r="U149" s="3"/>
      <c r="V149" s="3" t="s">
        <v>41</v>
      </c>
      <c r="W149" s="5">
        <v>2992.79</v>
      </c>
      <c r="X149" s="5">
        <v>2992.79</v>
      </c>
      <c r="Y149" s="3">
        <v>0</v>
      </c>
      <c r="Z149" s="3">
        <v>0</v>
      </c>
      <c r="AA149" s="3">
        <v>0</v>
      </c>
    </row>
    <row r="150" spans="1:27" ht="36.75" x14ac:dyDescent="0.25">
      <c r="A150" s="3" t="s">
        <v>28</v>
      </c>
      <c r="B150" s="3" t="s">
        <v>29</v>
      </c>
      <c r="C150" s="3" t="s">
        <v>30</v>
      </c>
      <c r="D150" s="3" t="s">
        <v>49</v>
      </c>
      <c r="E150" s="3" t="s">
        <v>74</v>
      </c>
      <c r="F150" s="3" t="s">
        <v>247</v>
      </c>
      <c r="G150" s="3">
        <v>2025</v>
      </c>
      <c r="H150" s="3" t="str">
        <f>CONCATENATE("54240569936")</f>
        <v>54240569936</v>
      </c>
      <c r="I150" s="3" t="s">
        <v>34</v>
      </c>
      <c r="J150" s="3" t="s">
        <v>35</v>
      </c>
      <c r="K150" s="3"/>
      <c r="L150" s="3" t="s">
        <v>36</v>
      </c>
      <c r="M150" s="3" t="str">
        <f>CONCATENATE("02036180426")</f>
        <v>02036180426</v>
      </c>
      <c r="N150" s="3" t="s">
        <v>248</v>
      </c>
      <c r="O150" s="3" t="s">
        <v>38</v>
      </c>
      <c r="P150" s="3"/>
      <c r="Q150" s="4">
        <v>45944</v>
      </c>
      <c r="R150" s="3" t="s">
        <v>39</v>
      </c>
      <c r="S150" s="3" t="s">
        <v>38</v>
      </c>
      <c r="T150" s="3" t="s">
        <v>43</v>
      </c>
      <c r="U150" s="3"/>
      <c r="V150" s="3" t="s">
        <v>41</v>
      </c>
      <c r="W150" s="5">
        <v>2537.81</v>
      </c>
      <c r="X150" s="5">
        <v>2537.81</v>
      </c>
      <c r="Y150" s="3">
        <v>0</v>
      </c>
      <c r="Z150" s="3">
        <v>0</v>
      </c>
      <c r="AA150" s="3">
        <v>0</v>
      </c>
    </row>
    <row r="151" spans="1:27" ht="60.75" x14ac:dyDescent="0.25">
      <c r="A151" s="3" t="s">
        <v>28</v>
      </c>
      <c r="B151" s="3" t="s">
        <v>29</v>
      </c>
      <c r="C151" s="3" t="s">
        <v>30</v>
      </c>
      <c r="D151" s="3" t="s">
        <v>49</v>
      </c>
      <c r="E151" s="3" t="s">
        <v>32</v>
      </c>
      <c r="F151" s="3" t="s">
        <v>71</v>
      </c>
      <c r="G151" s="3">
        <v>2025</v>
      </c>
      <c r="H151" s="3" t="str">
        <f>CONCATENATE("54240570074")</f>
        <v>54240570074</v>
      </c>
      <c r="I151" s="3" t="s">
        <v>34</v>
      </c>
      <c r="J151" s="3" t="s">
        <v>35</v>
      </c>
      <c r="K151" s="3"/>
      <c r="L151" s="3" t="s">
        <v>36</v>
      </c>
      <c r="M151" s="3" t="str">
        <f>CONCATENATE("MNCBRD55E12L597B")</f>
        <v>MNCBRD55E12L597B</v>
      </c>
      <c r="N151" s="3" t="s">
        <v>249</v>
      </c>
      <c r="O151" s="3" t="s">
        <v>38</v>
      </c>
      <c r="P151" s="3"/>
      <c r="Q151" s="4">
        <v>45944</v>
      </c>
      <c r="R151" s="3" t="s">
        <v>39</v>
      </c>
      <c r="S151" s="3" t="s">
        <v>38</v>
      </c>
      <c r="T151" s="3" t="s">
        <v>43</v>
      </c>
      <c r="U151" s="3"/>
      <c r="V151" s="3" t="s">
        <v>41</v>
      </c>
      <c r="W151" s="5">
        <v>16650.87</v>
      </c>
      <c r="X151" s="5">
        <v>16650.87</v>
      </c>
      <c r="Y151" s="3">
        <v>0</v>
      </c>
      <c r="Z151" s="3">
        <v>0</v>
      </c>
      <c r="AA151" s="3">
        <v>0</v>
      </c>
    </row>
    <row r="152" spans="1:27" ht="60.75" x14ac:dyDescent="0.25">
      <c r="A152" s="3" t="s">
        <v>28</v>
      </c>
      <c r="B152" s="3" t="s">
        <v>29</v>
      </c>
      <c r="C152" s="3" t="s">
        <v>30</v>
      </c>
      <c r="D152" s="3" t="s">
        <v>31</v>
      </c>
      <c r="E152" s="3" t="s">
        <v>32</v>
      </c>
      <c r="F152" s="3" t="s">
        <v>115</v>
      </c>
      <c r="G152" s="3">
        <v>2025</v>
      </c>
      <c r="H152" s="3" t="str">
        <f>CONCATENATE("54240569985")</f>
        <v>54240569985</v>
      </c>
      <c r="I152" s="3" t="s">
        <v>34</v>
      </c>
      <c r="J152" s="3" t="s">
        <v>35</v>
      </c>
      <c r="K152" s="3"/>
      <c r="L152" s="3" t="s">
        <v>36</v>
      </c>
      <c r="M152" s="3" t="str">
        <f>CONCATENATE("SRRPQL45H01G147X")</f>
        <v>SRRPQL45H01G147X</v>
      </c>
      <c r="N152" s="3" t="s">
        <v>250</v>
      </c>
      <c r="O152" s="3" t="s">
        <v>38</v>
      </c>
      <c r="P152" s="3"/>
      <c r="Q152" s="4">
        <v>45944</v>
      </c>
      <c r="R152" s="3" t="s">
        <v>39</v>
      </c>
      <c r="S152" s="3" t="s">
        <v>38</v>
      </c>
      <c r="T152" s="3" t="s">
        <v>43</v>
      </c>
      <c r="U152" s="3"/>
      <c r="V152" s="3" t="s">
        <v>41</v>
      </c>
      <c r="W152" s="5">
        <v>2575.87</v>
      </c>
      <c r="X152" s="5">
        <v>2575.87</v>
      </c>
      <c r="Y152" s="3">
        <v>0</v>
      </c>
      <c r="Z152" s="3">
        <v>0</v>
      </c>
      <c r="AA152" s="3">
        <v>0</v>
      </c>
    </row>
    <row r="153" spans="1:27" ht="72.75" x14ac:dyDescent="0.25">
      <c r="A153" s="3" t="s">
        <v>28</v>
      </c>
      <c r="B153" s="3" t="s">
        <v>29</v>
      </c>
      <c r="C153" s="3" t="s">
        <v>30</v>
      </c>
      <c r="D153" s="3" t="s">
        <v>31</v>
      </c>
      <c r="E153" s="3" t="s">
        <v>32</v>
      </c>
      <c r="F153" s="3" t="s">
        <v>153</v>
      </c>
      <c r="G153" s="3">
        <v>2025</v>
      </c>
      <c r="H153" s="3" t="str">
        <f>CONCATENATE("54240573441")</f>
        <v>54240573441</v>
      </c>
      <c r="I153" s="3" t="s">
        <v>34</v>
      </c>
      <c r="J153" s="3" t="s">
        <v>35</v>
      </c>
      <c r="K153" s="3"/>
      <c r="L153" s="3" t="s">
        <v>36</v>
      </c>
      <c r="M153" s="3" t="str">
        <f>CONCATENATE("LRNMTN95D55A271N")</f>
        <v>LRNMTN95D55A271N</v>
      </c>
      <c r="N153" s="3" t="s">
        <v>251</v>
      </c>
      <c r="O153" s="3" t="s">
        <v>38</v>
      </c>
      <c r="P153" s="3"/>
      <c r="Q153" s="4">
        <v>45944</v>
      </c>
      <c r="R153" s="3" t="s">
        <v>39</v>
      </c>
      <c r="S153" s="3" t="s">
        <v>38</v>
      </c>
      <c r="T153" s="3" t="s">
        <v>43</v>
      </c>
      <c r="U153" s="3"/>
      <c r="V153" s="3" t="s">
        <v>41</v>
      </c>
      <c r="W153" s="5">
        <v>2325.44</v>
      </c>
      <c r="X153" s="5">
        <v>2325.44</v>
      </c>
      <c r="Y153" s="3">
        <v>0</v>
      </c>
      <c r="Z153" s="3">
        <v>0</v>
      </c>
      <c r="AA153" s="3">
        <v>0</v>
      </c>
    </row>
    <row r="154" spans="1:27" ht="60.75" x14ac:dyDescent="0.25">
      <c r="A154" s="3" t="s">
        <v>28</v>
      </c>
      <c r="B154" s="3" t="s">
        <v>29</v>
      </c>
      <c r="C154" s="3" t="s">
        <v>30</v>
      </c>
      <c r="D154" s="3" t="s">
        <v>63</v>
      </c>
      <c r="E154" s="3" t="s">
        <v>74</v>
      </c>
      <c r="F154" s="3" t="s">
        <v>252</v>
      </c>
      <c r="G154" s="3">
        <v>2025</v>
      </c>
      <c r="H154" s="3" t="str">
        <f>CONCATENATE("54240571783")</f>
        <v>54240571783</v>
      </c>
      <c r="I154" s="3" t="s">
        <v>34</v>
      </c>
      <c r="J154" s="3" t="s">
        <v>35</v>
      </c>
      <c r="K154" s="3"/>
      <c r="L154" s="3" t="s">
        <v>36</v>
      </c>
      <c r="M154" s="3" t="str">
        <f>CONCATENATE("DPLLGN65L01G920P")</f>
        <v>DPLLGN65L01G920P</v>
      </c>
      <c r="N154" s="3" t="s">
        <v>253</v>
      </c>
      <c r="O154" s="3" t="s">
        <v>38</v>
      </c>
      <c r="P154" s="3"/>
      <c r="Q154" s="4">
        <v>45944</v>
      </c>
      <c r="R154" s="3" t="s">
        <v>39</v>
      </c>
      <c r="S154" s="3" t="s">
        <v>38</v>
      </c>
      <c r="T154" s="3" t="s">
        <v>43</v>
      </c>
      <c r="U154" s="3"/>
      <c r="V154" s="3" t="s">
        <v>41</v>
      </c>
      <c r="W154" s="5">
        <v>3209.96</v>
      </c>
      <c r="X154" s="5">
        <v>3209.96</v>
      </c>
      <c r="Y154" s="3">
        <v>0</v>
      </c>
      <c r="Z154" s="3">
        <v>0</v>
      </c>
      <c r="AA154" s="3">
        <v>0</v>
      </c>
    </row>
    <row r="155" spans="1:27" ht="60.75" x14ac:dyDescent="0.25">
      <c r="A155" s="3" t="s">
        <v>28</v>
      </c>
      <c r="B155" s="3" t="s">
        <v>29</v>
      </c>
      <c r="C155" s="3" t="s">
        <v>30</v>
      </c>
      <c r="D155" s="3" t="s">
        <v>58</v>
      </c>
      <c r="E155" s="3" t="s">
        <v>53</v>
      </c>
      <c r="F155" s="3" t="s">
        <v>59</v>
      </c>
      <c r="G155" s="3">
        <v>2025</v>
      </c>
      <c r="H155" s="3" t="str">
        <f>CONCATENATE("54240570983")</f>
        <v>54240570983</v>
      </c>
      <c r="I155" s="3" t="s">
        <v>34</v>
      </c>
      <c r="J155" s="3" t="s">
        <v>35</v>
      </c>
      <c r="K155" s="3"/>
      <c r="L155" s="3" t="s">
        <v>36</v>
      </c>
      <c r="M155" s="3" t="str">
        <f>CONCATENATE("LGIMRZ66M19I461C")</f>
        <v>LGIMRZ66M19I461C</v>
      </c>
      <c r="N155" s="3" t="s">
        <v>254</v>
      </c>
      <c r="O155" s="3" t="s">
        <v>38</v>
      </c>
      <c r="P155" s="3"/>
      <c r="Q155" s="4">
        <v>45944</v>
      </c>
      <c r="R155" s="3" t="s">
        <v>39</v>
      </c>
      <c r="S155" s="3" t="s">
        <v>38</v>
      </c>
      <c r="T155" s="3" t="s">
        <v>43</v>
      </c>
      <c r="U155" s="3"/>
      <c r="V155" s="3" t="s">
        <v>41</v>
      </c>
      <c r="W155" s="5">
        <v>1109.45</v>
      </c>
      <c r="X155" s="5">
        <v>1109.45</v>
      </c>
      <c r="Y155" s="3">
        <v>0</v>
      </c>
      <c r="Z155" s="3">
        <v>0</v>
      </c>
      <c r="AA155" s="3">
        <v>0</v>
      </c>
    </row>
    <row r="156" spans="1:27" ht="36.75" x14ac:dyDescent="0.25">
      <c r="A156" s="3" t="s">
        <v>28</v>
      </c>
      <c r="B156" s="3" t="s">
        <v>29</v>
      </c>
      <c r="C156" s="3" t="s">
        <v>30</v>
      </c>
      <c r="D156" s="3" t="s">
        <v>31</v>
      </c>
      <c r="E156" s="3" t="s">
        <v>32</v>
      </c>
      <c r="F156" s="3" t="s">
        <v>115</v>
      </c>
      <c r="G156" s="3">
        <v>2025</v>
      </c>
      <c r="H156" s="3" t="str">
        <f>CONCATENATE("54240571361")</f>
        <v>54240571361</v>
      </c>
      <c r="I156" s="3" t="s">
        <v>149</v>
      </c>
      <c r="J156" s="3" t="s">
        <v>35</v>
      </c>
      <c r="K156" s="3"/>
      <c r="L156" s="3" t="s">
        <v>36</v>
      </c>
      <c r="M156" s="3" t="str">
        <f>CONCATENATE("01106380411")</f>
        <v>01106380411</v>
      </c>
      <c r="N156" s="3" t="s">
        <v>255</v>
      </c>
      <c r="O156" s="3" t="s">
        <v>38</v>
      </c>
      <c r="P156" s="3"/>
      <c r="Q156" s="4">
        <v>45944</v>
      </c>
      <c r="R156" s="3" t="s">
        <v>39</v>
      </c>
      <c r="S156" s="3" t="s">
        <v>38</v>
      </c>
      <c r="T156" s="3" t="s">
        <v>43</v>
      </c>
      <c r="U156" s="3"/>
      <c r="V156" s="3" t="s">
        <v>41</v>
      </c>
      <c r="W156" s="5">
        <v>4134.97</v>
      </c>
      <c r="X156" s="5">
        <v>4134.97</v>
      </c>
      <c r="Y156" s="3">
        <v>0</v>
      </c>
      <c r="Z156" s="3">
        <v>0</v>
      </c>
      <c r="AA156" s="3">
        <v>0</v>
      </c>
    </row>
    <row r="157" spans="1:27" ht="36.75" x14ac:dyDescent="0.25">
      <c r="A157" s="3" t="s">
        <v>28</v>
      </c>
      <c r="B157" s="3" t="s">
        <v>29</v>
      </c>
      <c r="C157" s="3" t="s">
        <v>30</v>
      </c>
      <c r="D157" s="3" t="s">
        <v>31</v>
      </c>
      <c r="E157" s="3" t="s">
        <v>32</v>
      </c>
      <c r="F157" s="3" t="s">
        <v>153</v>
      </c>
      <c r="G157" s="3">
        <v>2025</v>
      </c>
      <c r="H157" s="3" t="str">
        <f>CONCATENATE("54240573177")</f>
        <v>54240573177</v>
      </c>
      <c r="I157" s="3" t="s">
        <v>34</v>
      </c>
      <c r="J157" s="3" t="s">
        <v>35</v>
      </c>
      <c r="K157" s="3"/>
      <c r="L157" s="3" t="s">
        <v>36</v>
      </c>
      <c r="M157" s="3" t="str">
        <f>CONCATENATE("02470710415")</f>
        <v>02470710415</v>
      </c>
      <c r="N157" s="3" t="s">
        <v>256</v>
      </c>
      <c r="O157" s="3" t="s">
        <v>38</v>
      </c>
      <c r="P157" s="3"/>
      <c r="Q157" s="4">
        <v>45944</v>
      </c>
      <c r="R157" s="3" t="s">
        <v>39</v>
      </c>
      <c r="S157" s="3" t="s">
        <v>38</v>
      </c>
      <c r="T157" s="3" t="s">
        <v>43</v>
      </c>
      <c r="U157" s="3"/>
      <c r="V157" s="3" t="s">
        <v>41</v>
      </c>
      <c r="W157" s="5">
        <v>4582.46</v>
      </c>
      <c r="X157" s="5">
        <v>4582.46</v>
      </c>
      <c r="Y157" s="3">
        <v>0</v>
      </c>
      <c r="Z157" s="3">
        <v>0</v>
      </c>
      <c r="AA157" s="3">
        <v>0</v>
      </c>
    </row>
    <row r="158" spans="1:27" ht="60.75" x14ac:dyDescent="0.25">
      <c r="A158" s="3" t="s">
        <v>28</v>
      </c>
      <c r="B158" s="3" t="s">
        <v>29</v>
      </c>
      <c r="C158" s="3" t="s">
        <v>30</v>
      </c>
      <c r="D158" s="3" t="s">
        <v>31</v>
      </c>
      <c r="E158" s="3" t="s">
        <v>32</v>
      </c>
      <c r="F158" s="3" t="s">
        <v>153</v>
      </c>
      <c r="G158" s="3">
        <v>2025</v>
      </c>
      <c r="H158" s="3" t="str">
        <f>CONCATENATE("54240580628")</f>
        <v>54240580628</v>
      </c>
      <c r="I158" s="3" t="s">
        <v>34</v>
      </c>
      <c r="J158" s="3" t="s">
        <v>35</v>
      </c>
      <c r="K158" s="3"/>
      <c r="L158" s="3" t="s">
        <v>36</v>
      </c>
      <c r="M158" s="3" t="str">
        <f>CONCATENATE("MLTDNS83A11L500D")</f>
        <v>MLTDNS83A11L500D</v>
      </c>
      <c r="N158" s="3" t="s">
        <v>257</v>
      </c>
      <c r="O158" s="3" t="s">
        <v>38</v>
      </c>
      <c r="P158" s="3"/>
      <c r="Q158" s="4">
        <v>45944</v>
      </c>
      <c r="R158" s="3" t="s">
        <v>39</v>
      </c>
      <c r="S158" s="3" t="s">
        <v>38</v>
      </c>
      <c r="T158" s="3" t="s">
        <v>43</v>
      </c>
      <c r="U158" s="3"/>
      <c r="V158" s="3" t="s">
        <v>41</v>
      </c>
      <c r="W158" s="5">
        <v>2248.1999999999998</v>
      </c>
      <c r="X158" s="5">
        <v>2248.1999999999998</v>
      </c>
      <c r="Y158" s="3">
        <v>0</v>
      </c>
      <c r="Z158" s="3">
        <v>0</v>
      </c>
      <c r="AA158" s="3">
        <v>0</v>
      </c>
    </row>
    <row r="159" spans="1:27" ht="60.75" x14ac:dyDescent="0.25">
      <c r="A159" s="3" t="s">
        <v>28</v>
      </c>
      <c r="B159" s="3" t="s">
        <v>29</v>
      </c>
      <c r="C159" s="3" t="s">
        <v>30</v>
      </c>
      <c r="D159" s="3" t="s">
        <v>49</v>
      </c>
      <c r="E159" s="3" t="s">
        <v>32</v>
      </c>
      <c r="F159" s="3" t="s">
        <v>71</v>
      </c>
      <c r="G159" s="3">
        <v>2025</v>
      </c>
      <c r="H159" s="3" t="str">
        <f>CONCATENATE("54240571932")</f>
        <v>54240571932</v>
      </c>
      <c r="I159" s="3" t="s">
        <v>34</v>
      </c>
      <c r="J159" s="3" t="s">
        <v>35</v>
      </c>
      <c r="K159" s="3"/>
      <c r="L159" s="3" t="s">
        <v>36</v>
      </c>
      <c r="M159" s="3" t="str">
        <f>CONCATENATE("FNRFNC64M28I436Y")</f>
        <v>FNRFNC64M28I436Y</v>
      </c>
      <c r="N159" s="3" t="s">
        <v>258</v>
      </c>
      <c r="O159" s="3" t="s">
        <v>38</v>
      </c>
      <c r="P159" s="3"/>
      <c r="Q159" s="4">
        <v>45944</v>
      </c>
      <c r="R159" s="3" t="s">
        <v>39</v>
      </c>
      <c r="S159" s="3" t="s">
        <v>38</v>
      </c>
      <c r="T159" s="3" t="s">
        <v>43</v>
      </c>
      <c r="U159" s="3"/>
      <c r="V159" s="3" t="s">
        <v>41</v>
      </c>
      <c r="W159" s="5">
        <v>3557.25</v>
      </c>
      <c r="X159" s="5">
        <v>3557.25</v>
      </c>
      <c r="Y159" s="3">
        <v>0</v>
      </c>
      <c r="Z159" s="3">
        <v>0</v>
      </c>
      <c r="AA159" s="3">
        <v>0</v>
      </c>
    </row>
    <row r="160" spans="1:27" ht="60.75" x14ac:dyDescent="0.25">
      <c r="A160" s="3" t="s">
        <v>28</v>
      </c>
      <c r="B160" s="3" t="s">
        <v>29</v>
      </c>
      <c r="C160" s="3" t="s">
        <v>30</v>
      </c>
      <c r="D160" s="3" t="s">
        <v>31</v>
      </c>
      <c r="E160" s="3" t="s">
        <v>53</v>
      </c>
      <c r="F160" s="3" t="s">
        <v>82</v>
      </c>
      <c r="G160" s="3">
        <v>2025</v>
      </c>
      <c r="H160" s="3" t="str">
        <f>CONCATENATE("54240572120")</f>
        <v>54240572120</v>
      </c>
      <c r="I160" s="3" t="s">
        <v>149</v>
      </c>
      <c r="J160" s="3" t="s">
        <v>35</v>
      </c>
      <c r="K160" s="3"/>
      <c r="L160" s="3" t="s">
        <v>36</v>
      </c>
      <c r="M160" s="3" t="str">
        <f>CONCATENATE("MTTVTR67S07L500X")</f>
        <v>MTTVTR67S07L500X</v>
      </c>
      <c r="N160" s="3" t="s">
        <v>259</v>
      </c>
      <c r="O160" s="3" t="s">
        <v>38</v>
      </c>
      <c r="P160" s="3"/>
      <c r="Q160" s="4">
        <v>45944</v>
      </c>
      <c r="R160" s="3" t="s">
        <v>39</v>
      </c>
      <c r="S160" s="3" t="s">
        <v>38</v>
      </c>
      <c r="T160" s="3" t="s">
        <v>43</v>
      </c>
      <c r="U160" s="3"/>
      <c r="V160" s="3" t="s">
        <v>41</v>
      </c>
      <c r="W160" s="5">
        <v>2596.1799999999998</v>
      </c>
      <c r="X160" s="5">
        <v>2596.1799999999998</v>
      </c>
      <c r="Y160" s="3">
        <v>0</v>
      </c>
      <c r="Z160" s="3">
        <v>0</v>
      </c>
      <c r="AA160" s="3">
        <v>0</v>
      </c>
    </row>
    <row r="161" spans="1:27" ht="72.75" x14ac:dyDescent="0.25">
      <c r="A161" s="3" t="s">
        <v>28</v>
      </c>
      <c r="B161" s="3" t="s">
        <v>29</v>
      </c>
      <c r="C161" s="3" t="s">
        <v>30</v>
      </c>
      <c r="D161" s="3" t="s">
        <v>63</v>
      </c>
      <c r="E161" s="3" t="s">
        <v>145</v>
      </c>
      <c r="F161" s="3" t="s">
        <v>260</v>
      </c>
      <c r="G161" s="3">
        <v>2025</v>
      </c>
      <c r="H161" s="3" t="str">
        <f>CONCATENATE("54240575933")</f>
        <v>54240575933</v>
      </c>
      <c r="I161" s="3" t="s">
        <v>34</v>
      </c>
      <c r="J161" s="3" t="s">
        <v>35</v>
      </c>
      <c r="K161" s="3"/>
      <c r="L161" s="3" t="s">
        <v>36</v>
      </c>
      <c r="M161" s="3" t="str">
        <f>CONCATENATE("NTLTTR75R04G920G")</f>
        <v>NTLTTR75R04G920G</v>
      </c>
      <c r="N161" s="3" t="s">
        <v>261</v>
      </c>
      <c r="O161" s="3" t="s">
        <v>38</v>
      </c>
      <c r="P161" s="3"/>
      <c r="Q161" s="4">
        <v>45944</v>
      </c>
      <c r="R161" s="3" t="s">
        <v>39</v>
      </c>
      <c r="S161" s="3" t="s">
        <v>38</v>
      </c>
      <c r="T161" s="3" t="s">
        <v>43</v>
      </c>
      <c r="U161" s="3"/>
      <c r="V161" s="3" t="s">
        <v>41</v>
      </c>
      <c r="W161" s="5">
        <v>13302.43</v>
      </c>
      <c r="X161" s="5">
        <v>13302.43</v>
      </c>
      <c r="Y161" s="3">
        <v>0</v>
      </c>
      <c r="Z161" s="3">
        <v>0</v>
      </c>
      <c r="AA161" s="3">
        <v>0</v>
      </c>
    </row>
    <row r="162" spans="1:27" ht="60.75" x14ac:dyDescent="0.25">
      <c r="A162" s="3" t="s">
        <v>28</v>
      </c>
      <c r="B162" s="3" t="s">
        <v>29</v>
      </c>
      <c r="C162" s="3" t="s">
        <v>30</v>
      </c>
      <c r="D162" s="3" t="s">
        <v>31</v>
      </c>
      <c r="E162" s="3" t="s">
        <v>32</v>
      </c>
      <c r="F162" s="3" t="s">
        <v>153</v>
      </c>
      <c r="G162" s="3">
        <v>2025</v>
      </c>
      <c r="H162" s="3" t="str">
        <f>CONCATENATE("54240573151")</f>
        <v>54240573151</v>
      </c>
      <c r="I162" s="3" t="s">
        <v>34</v>
      </c>
      <c r="J162" s="3" t="s">
        <v>35</v>
      </c>
      <c r="K162" s="3"/>
      <c r="L162" s="3" t="s">
        <v>36</v>
      </c>
      <c r="M162" s="3" t="str">
        <f>CONCATENATE("SBBMNL91T25I608T")</f>
        <v>SBBMNL91T25I608T</v>
      </c>
      <c r="N162" s="3" t="s">
        <v>262</v>
      </c>
      <c r="O162" s="3" t="s">
        <v>38</v>
      </c>
      <c r="P162" s="3"/>
      <c r="Q162" s="4">
        <v>45944</v>
      </c>
      <c r="R162" s="3" t="s">
        <v>39</v>
      </c>
      <c r="S162" s="3" t="s">
        <v>38</v>
      </c>
      <c r="T162" s="3" t="s">
        <v>43</v>
      </c>
      <c r="U162" s="3"/>
      <c r="V162" s="3" t="s">
        <v>41</v>
      </c>
      <c r="W162" s="5">
        <v>4120.1400000000003</v>
      </c>
      <c r="X162" s="5">
        <v>4120.1400000000003</v>
      </c>
      <c r="Y162" s="3">
        <v>0</v>
      </c>
      <c r="Z162" s="3">
        <v>0</v>
      </c>
      <c r="AA162" s="3">
        <v>0</v>
      </c>
    </row>
    <row r="163" spans="1:27" ht="60.75" x14ac:dyDescent="0.25">
      <c r="A163" s="3" t="s">
        <v>28</v>
      </c>
      <c r="B163" s="3" t="s">
        <v>29</v>
      </c>
      <c r="C163" s="3" t="s">
        <v>30</v>
      </c>
      <c r="D163" s="3" t="s">
        <v>58</v>
      </c>
      <c r="E163" s="3" t="s">
        <v>53</v>
      </c>
      <c r="F163" s="3" t="s">
        <v>59</v>
      </c>
      <c r="G163" s="3">
        <v>2025</v>
      </c>
      <c r="H163" s="3" t="str">
        <f>CONCATENATE("54240573144")</f>
        <v>54240573144</v>
      </c>
      <c r="I163" s="3" t="s">
        <v>34</v>
      </c>
      <c r="J163" s="3" t="s">
        <v>35</v>
      </c>
      <c r="K163" s="3"/>
      <c r="L163" s="3" t="s">
        <v>36</v>
      </c>
      <c r="M163" s="3" t="str">
        <f>CONCATENATE("CSGSDR62L28A366U")</f>
        <v>CSGSDR62L28A366U</v>
      </c>
      <c r="N163" s="3" t="s">
        <v>263</v>
      </c>
      <c r="O163" s="3" t="s">
        <v>38</v>
      </c>
      <c r="P163" s="3"/>
      <c r="Q163" s="4">
        <v>45944</v>
      </c>
      <c r="R163" s="3" t="s">
        <v>39</v>
      </c>
      <c r="S163" s="3" t="s">
        <v>38</v>
      </c>
      <c r="T163" s="3" t="s">
        <v>43</v>
      </c>
      <c r="U163" s="3"/>
      <c r="V163" s="3" t="s">
        <v>41</v>
      </c>
      <c r="W163" s="5">
        <v>6236.08</v>
      </c>
      <c r="X163" s="5">
        <v>6236.08</v>
      </c>
      <c r="Y163" s="3">
        <v>0</v>
      </c>
      <c r="Z163" s="3">
        <v>0</v>
      </c>
      <c r="AA163" s="3">
        <v>0</v>
      </c>
    </row>
    <row r="164" spans="1:27" ht="60.75" x14ac:dyDescent="0.25">
      <c r="A164" s="3" t="s">
        <v>28</v>
      </c>
      <c r="B164" s="3" t="s">
        <v>29</v>
      </c>
      <c r="C164" s="3" t="s">
        <v>30</v>
      </c>
      <c r="D164" s="3" t="s">
        <v>31</v>
      </c>
      <c r="E164" s="3" t="s">
        <v>32</v>
      </c>
      <c r="F164" s="3" t="s">
        <v>178</v>
      </c>
      <c r="G164" s="3">
        <v>2025</v>
      </c>
      <c r="H164" s="3" t="str">
        <f>CONCATENATE("54240573284")</f>
        <v>54240573284</v>
      </c>
      <c r="I164" s="3" t="s">
        <v>34</v>
      </c>
      <c r="J164" s="3" t="s">
        <v>35</v>
      </c>
      <c r="K164" s="3"/>
      <c r="L164" s="3" t="s">
        <v>36</v>
      </c>
      <c r="M164" s="3" t="str">
        <f>CONCATENATE("SPLDVD85S19D488O")</f>
        <v>SPLDVD85S19D488O</v>
      </c>
      <c r="N164" s="3" t="s">
        <v>264</v>
      </c>
      <c r="O164" s="3" t="s">
        <v>38</v>
      </c>
      <c r="P164" s="3"/>
      <c r="Q164" s="4">
        <v>45944</v>
      </c>
      <c r="R164" s="3" t="s">
        <v>39</v>
      </c>
      <c r="S164" s="3" t="s">
        <v>38</v>
      </c>
      <c r="T164" s="3" t="s">
        <v>43</v>
      </c>
      <c r="U164" s="3"/>
      <c r="V164" s="3" t="s">
        <v>41</v>
      </c>
      <c r="W164" s="5">
        <v>1054.1199999999999</v>
      </c>
      <c r="X164" s="5">
        <v>1054.1199999999999</v>
      </c>
      <c r="Y164" s="3">
        <v>0</v>
      </c>
      <c r="Z164" s="3">
        <v>0</v>
      </c>
      <c r="AA164" s="3">
        <v>0</v>
      </c>
    </row>
    <row r="165" spans="1:27" ht="60.75" x14ac:dyDescent="0.25">
      <c r="A165" s="3" t="s">
        <v>28</v>
      </c>
      <c r="B165" s="3" t="s">
        <v>29</v>
      </c>
      <c r="C165" s="3" t="s">
        <v>30</v>
      </c>
      <c r="D165" s="3" t="s">
        <v>58</v>
      </c>
      <c r="E165" s="3" t="s">
        <v>53</v>
      </c>
      <c r="F165" s="3" t="s">
        <v>59</v>
      </c>
      <c r="G165" s="3">
        <v>2025</v>
      </c>
      <c r="H165" s="3" t="str">
        <f>CONCATENATE("54240573656")</f>
        <v>54240573656</v>
      </c>
      <c r="I165" s="3" t="s">
        <v>34</v>
      </c>
      <c r="J165" s="3" t="s">
        <v>35</v>
      </c>
      <c r="K165" s="3"/>
      <c r="L165" s="3" t="s">
        <v>36</v>
      </c>
      <c r="M165" s="3" t="str">
        <f>CONCATENATE("CPRFVN90M67D451F")</f>
        <v>CPRFVN90M67D451F</v>
      </c>
      <c r="N165" s="3" t="s">
        <v>265</v>
      </c>
      <c r="O165" s="3" t="s">
        <v>38</v>
      </c>
      <c r="P165" s="3"/>
      <c r="Q165" s="4">
        <v>45944</v>
      </c>
      <c r="R165" s="3" t="s">
        <v>39</v>
      </c>
      <c r="S165" s="3" t="s">
        <v>38</v>
      </c>
      <c r="T165" s="3" t="s">
        <v>43</v>
      </c>
      <c r="U165" s="3"/>
      <c r="V165" s="3" t="s">
        <v>41</v>
      </c>
      <c r="W165" s="3">
        <v>498.6</v>
      </c>
      <c r="X165" s="3">
        <v>498.6</v>
      </c>
      <c r="Y165" s="3">
        <v>0</v>
      </c>
      <c r="Z165" s="3">
        <v>0</v>
      </c>
      <c r="AA165" s="3">
        <v>0</v>
      </c>
    </row>
    <row r="166" spans="1:27" ht="60.75" x14ac:dyDescent="0.25">
      <c r="A166" s="3" t="s">
        <v>28</v>
      </c>
      <c r="B166" s="3" t="s">
        <v>29</v>
      </c>
      <c r="C166" s="3" t="s">
        <v>30</v>
      </c>
      <c r="D166" s="3" t="s">
        <v>31</v>
      </c>
      <c r="E166" s="3" t="s">
        <v>53</v>
      </c>
      <c r="F166" s="3" t="s">
        <v>172</v>
      </c>
      <c r="G166" s="3">
        <v>2025</v>
      </c>
      <c r="H166" s="3" t="str">
        <f>CONCATENATE("54240573375")</f>
        <v>54240573375</v>
      </c>
      <c r="I166" s="3" t="s">
        <v>34</v>
      </c>
      <c r="J166" s="3" t="s">
        <v>35</v>
      </c>
      <c r="K166" s="3"/>
      <c r="L166" s="3" t="s">
        <v>36</v>
      </c>
      <c r="M166" s="3" t="str">
        <f>CONCATENATE("BNDDNL67T57D749B")</f>
        <v>BNDDNL67T57D749B</v>
      </c>
      <c r="N166" s="3" t="s">
        <v>266</v>
      </c>
      <c r="O166" s="3" t="s">
        <v>38</v>
      </c>
      <c r="P166" s="3"/>
      <c r="Q166" s="4">
        <v>45944</v>
      </c>
      <c r="R166" s="3" t="s">
        <v>39</v>
      </c>
      <c r="S166" s="3" t="s">
        <v>38</v>
      </c>
      <c r="T166" s="3" t="s">
        <v>43</v>
      </c>
      <c r="U166" s="3"/>
      <c r="V166" s="3" t="s">
        <v>41</v>
      </c>
      <c r="W166" s="3">
        <v>767.35</v>
      </c>
      <c r="X166" s="3">
        <v>767.35</v>
      </c>
      <c r="Y166" s="3">
        <v>0</v>
      </c>
      <c r="Z166" s="3">
        <v>0</v>
      </c>
      <c r="AA166" s="3">
        <v>0</v>
      </c>
    </row>
    <row r="167" spans="1:27" ht="36.75" x14ac:dyDescent="0.25">
      <c r="A167" s="3" t="s">
        <v>28</v>
      </c>
      <c r="B167" s="3" t="s">
        <v>29</v>
      </c>
      <c r="C167" s="3" t="s">
        <v>30</v>
      </c>
      <c r="D167" s="3" t="s">
        <v>63</v>
      </c>
      <c r="E167" s="3" t="s">
        <v>91</v>
      </c>
      <c r="F167" s="3" t="s">
        <v>106</v>
      </c>
      <c r="G167" s="3">
        <v>2025</v>
      </c>
      <c r="H167" s="3" t="str">
        <f>CONCATENATE("54240501517")</f>
        <v>54240501517</v>
      </c>
      <c r="I167" s="3" t="s">
        <v>34</v>
      </c>
      <c r="J167" s="3" t="s">
        <v>35</v>
      </c>
      <c r="K167" s="3"/>
      <c r="L167" s="3" t="s">
        <v>36</v>
      </c>
      <c r="M167" s="3" t="str">
        <f>CONCATENATE("02467950446")</f>
        <v>02467950446</v>
      </c>
      <c r="N167" s="3" t="s">
        <v>267</v>
      </c>
      <c r="O167" s="3" t="s">
        <v>38</v>
      </c>
      <c r="P167" s="3"/>
      <c r="Q167" s="4">
        <v>45944</v>
      </c>
      <c r="R167" s="3" t="s">
        <v>39</v>
      </c>
      <c r="S167" s="3" t="s">
        <v>38</v>
      </c>
      <c r="T167" s="3" t="s">
        <v>43</v>
      </c>
      <c r="U167" s="3"/>
      <c r="V167" s="3" t="s">
        <v>41</v>
      </c>
      <c r="W167" s="5">
        <v>2169.36</v>
      </c>
      <c r="X167" s="5">
        <v>2169.36</v>
      </c>
      <c r="Y167" s="3">
        <v>0</v>
      </c>
      <c r="Z167" s="3">
        <v>0</v>
      </c>
      <c r="AA167" s="3">
        <v>0</v>
      </c>
    </row>
    <row r="168" spans="1:27" ht="36.75" x14ac:dyDescent="0.25">
      <c r="A168" s="3" t="s">
        <v>28</v>
      </c>
      <c r="B168" s="3" t="s">
        <v>29</v>
      </c>
      <c r="C168" s="3" t="s">
        <v>30</v>
      </c>
      <c r="D168" s="3" t="s">
        <v>31</v>
      </c>
      <c r="E168" s="3" t="s">
        <v>46</v>
      </c>
      <c r="F168" s="3" t="s">
        <v>47</v>
      </c>
      <c r="G168" s="3">
        <v>2025</v>
      </c>
      <c r="H168" s="3" t="str">
        <f>CONCATENATE("54240501608")</f>
        <v>54240501608</v>
      </c>
      <c r="I168" s="3" t="s">
        <v>34</v>
      </c>
      <c r="J168" s="3" t="s">
        <v>35</v>
      </c>
      <c r="K168" s="3"/>
      <c r="L168" s="3" t="s">
        <v>36</v>
      </c>
      <c r="M168" s="3" t="str">
        <f>CONCATENATE("00456890417")</f>
        <v>00456890417</v>
      </c>
      <c r="N168" s="3" t="s">
        <v>268</v>
      </c>
      <c r="O168" s="3" t="s">
        <v>38</v>
      </c>
      <c r="P168" s="3"/>
      <c r="Q168" s="4">
        <v>45944</v>
      </c>
      <c r="R168" s="3" t="s">
        <v>39</v>
      </c>
      <c r="S168" s="3" t="s">
        <v>38</v>
      </c>
      <c r="T168" s="3" t="s">
        <v>43</v>
      </c>
      <c r="U168" s="3"/>
      <c r="V168" s="3" t="s">
        <v>41</v>
      </c>
      <c r="W168" s="5">
        <v>5808.79</v>
      </c>
      <c r="X168" s="5">
        <v>5808.79</v>
      </c>
      <c r="Y168" s="3">
        <v>0</v>
      </c>
      <c r="Z168" s="3">
        <v>0</v>
      </c>
      <c r="AA168" s="3">
        <v>0</v>
      </c>
    </row>
    <row r="169" spans="1:27" ht="60.75" x14ac:dyDescent="0.25">
      <c r="A169" s="3" t="s">
        <v>28</v>
      </c>
      <c r="B169" s="3" t="s">
        <v>29</v>
      </c>
      <c r="C169" s="3" t="s">
        <v>30</v>
      </c>
      <c r="D169" s="3" t="s">
        <v>63</v>
      </c>
      <c r="E169" s="3" t="s">
        <v>32</v>
      </c>
      <c r="F169" s="3" t="s">
        <v>269</v>
      </c>
      <c r="G169" s="3">
        <v>2025</v>
      </c>
      <c r="H169" s="3" t="str">
        <f>CONCATENATE("54240538717")</f>
        <v>54240538717</v>
      </c>
      <c r="I169" s="3" t="s">
        <v>34</v>
      </c>
      <c r="J169" s="3" t="s">
        <v>35</v>
      </c>
      <c r="K169" s="3"/>
      <c r="L169" s="3" t="s">
        <v>36</v>
      </c>
      <c r="M169" s="3" t="str">
        <f>CONCATENATE("BRDRSN69E12D542A")</f>
        <v>BRDRSN69E12D542A</v>
      </c>
      <c r="N169" s="3" t="s">
        <v>270</v>
      </c>
      <c r="O169" s="3" t="s">
        <v>38</v>
      </c>
      <c r="P169" s="3"/>
      <c r="Q169" s="4">
        <v>45944</v>
      </c>
      <c r="R169" s="3" t="s">
        <v>39</v>
      </c>
      <c r="S169" s="3" t="s">
        <v>38</v>
      </c>
      <c r="T169" s="3" t="s">
        <v>43</v>
      </c>
      <c r="U169" s="3"/>
      <c r="V169" s="3" t="s">
        <v>41</v>
      </c>
      <c r="W169" s="5">
        <v>1438.24</v>
      </c>
      <c r="X169" s="5">
        <v>1438.24</v>
      </c>
      <c r="Y169" s="3">
        <v>0</v>
      </c>
      <c r="Z169" s="3">
        <v>0</v>
      </c>
      <c r="AA169" s="3">
        <v>0</v>
      </c>
    </row>
    <row r="170" spans="1:27" ht="72.75" x14ac:dyDescent="0.25">
      <c r="A170" s="3" t="s">
        <v>28</v>
      </c>
      <c r="B170" s="3" t="s">
        <v>29</v>
      </c>
      <c r="C170" s="3" t="s">
        <v>30</v>
      </c>
      <c r="D170" s="3" t="s">
        <v>49</v>
      </c>
      <c r="E170" s="3" t="s">
        <v>46</v>
      </c>
      <c r="F170" s="3" t="s">
        <v>205</v>
      </c>
      <c r="G170" s="3">
        <v>2025</v>
      </c>
      <c r="H170" s="3" t="str">
        <f>CONCATENATE("54240537974")</f>
        <v>54240537974</v>
      </c>
      <c r="I170" s="3" t="s">
        <v>34</v>
      </c>
      <c r="J170" s="3" t="s">
        <v>35</v>
      </c>
      <c r="K170" s="3"/>
      <c r="L170" s="3" t="s">
        <v>36</v>
      </c>
      <c r="M170" s="3" t="str">
        <f>CONCATENATE("PTRMCR53R66H876B")</f>
        <v>PTRMCR53R66H876B</v>
      </c>
      <c r="N170" s="3" t="s">
        <v>271</v>
      </c>
      <c r="O170" s="3" t="s">
        <v>38</v>
      </c>
      <c r="P170" s="3"/>
      <c r="Q170" s="4">
        <v>45944</v>
      </c>
      <c r="R170" s="3" t="s">
        <v>39</v>
      </c>
      <c r="S170" s="3" t="s">
        <v>38</v>
      </c>
      <c r="T170" s="3" t="s">
        <v>43</v>
      </c>
      <c r="U170" s="3"/>
      <c r="V170" s="3" t="s">
        <v>41</v>
      </c>
      <c r="W170" s="5">
        <v>4709.68</v>
      </c>
      <c r="X170" s="5">
        <v>4709.68</v>
      </c>
      <c r="Y170" s="3">
        <v>0</v>
      </c>
      <c r="Z170" s="3">
        <v>0</v>
      </c>
      <c r="AA170" s="3">
        <v>0</v>
      </c>
    </row>
    <row r="171" spans="1:27" ht="36.75" x14ac:dyDescent="0.25">
      <c r="A171" s="3" t="s">
        <v>28</v>
      </c>
      <c r="B171" s="3" t="s">
        <v>29</v>
      </c>
      <c r="C171" s="3" t="s">
        <v>30</v>
      </c>
      <c r="D171" s="3" t="s">
        <v>49</v>
      </c>
      <c r="E171" s="3" t="s">
        <v>32</v>
      </c>
      <c r="F171" s="3" t="s">
        <v>272</v>
      </c>
      <c r="G171" s="3">
        <v>2025</v>
      </c>
      <c r="H171" s="3" t="str">
        <f>CONCATENATE("54240537982")</f>
        <v>54240537982</v>
      </c>
      <c r="I171" s="3" t="s">
        <v>34</v>
      </c>
      <c r="J171" s="3" t="s">
        <v>35</v>
      </c>
      <c r="K171" s="3"/>
      <c r="L171" s="3" t="s">
        <v>36</v>
      </c>
      <c r="M171" s="3" t="str">
        <f>CONCATENATE("02055390435")</f>
        <v>02055390435</v>
      </c>
      <c r="N171" s="3" t="s">
        <v>273</v>
      </c>
      <c r="O171" s="3" t="s">
        <v>38</v>
      </c>
      <c r="P171" s="3"/>
      <c r="Q171" s="4">
        <v>45944</v>
      </c>
      <c r="R171" s="3" t="s">
        <v>39</v>
      </c>
      <c r="S171" s="3" t="s">
        <v>38</v>
      </c>
      <c r="T171" s="3" t="s">
        <v>43</v>
      </c>
      <c r="U171" s="3"/>
      <c r="V171" s="3" t="s">
        <v>41</v>
      </c>
      <c r="W171" s="5">
        <v>15704.69</v>
      </c>
      <c r="X171" s="5">
        <v>15704.69</v>
      </c>
      <c r="Y171" s="3">
        <v>0</v>
      </c>
      <c r="Z171" s="3">
        <v>0</v>
      </c>
      <c r="AA171" s="3">
        <v>0</v>
      </c>
    </row>
    <row r="172" spans="1:27" ht="60.75" x14ac:dyDescent="0.25">
      <c r="A172" s="3" t="s">
        <v>28</v>
      </c>
      <c r="B172" s="3" t="s">
        <v>29</v>
      </c>
      <c r="C172" s="3" t="s">
        <v>30</v>
      </c>
      <c r="D172" s="3" t="s">
        <v>63</v>
      </c>
      <c r="E172" s="3" t="s">
        <v>32</v>
      </c>
      <c r="F172" s="3" t="s">
        <v>269</v>
      </c>
      <c r="G172" s="3">
        <v>2025</v>
      </c>
      <c r="H172" s="3" t="str">
        <f>CONCATENATE("54240538725")</f>
        <v>54240538725</v>
      </c>
      <c r="I172" s="3" t="s">
        <v>34</v>
      </c>
      <c r="J172" s="3" t="s">
        <v>35</v>
      </c>
      <c r="K172" s="3"/>
      <c r="L172" s="3" t="s">
        <v>36</v>
      </c>
      <c r="M172" s="3" t="str">
        <f>CONCATENATE("CCCMDL38P52F428B")</f>
        <v>CCCMDL38P52F428B</v>
      </c>
      <c r="N172" s="3" t="s">
        <v>274</v>
      </c>
      <c r="O172" s="3" t="s">
        <v>38</v>
      </c>
      <c r="P172" s="3"/>
      <c r="Q172" s="4">
        <v>45944</v>
      </c>
      <c r="R172" s="3" t="s">
        <v>39</v>
      </c>
      <c r="S172" s="3" t="s">
        <v>38</v>
      </c>
      <c r="T172" s="3" t="s">
        <v>43</v>
      </c>
      <c r="U172" s="3"/>
      <c r="V172" s="3" t="s">
        <v>41</v>
      </c>
      <c r="W172" s="5">
        <v>11358.7</v>
      </c>
      <c r="X172" s="5">
        <v>11358.7</v>
      </c>
      <c r="Y172" s="3">
        <v>0</v>
      </c>
      <c r="Z172" s="3">
        <v>0</v>
      </c>
      <c r="AA172" s="3">
        <v>0</v>
      </c>
    </row>
    <row r="173" spans="1:27" ht="36.75" x14ac:dyDescent="0.25">
      <c r="A173" s="3" t="s">
        <v>28</v>
      </c>
      <c r="B173" s="3" t="s">
        <v>29</v>
      </c>
      <c r="C173" s="3" t="s">
        <v>30</v>
      </c>
      <c r="D173" s="3" t="s">
        <v>49</v>
      </c>
      <c r="E173" s="3" t="s">
        <v>74</v>
      </c>
      <c r="F173" s="3" t="s">
        <v>217</v>
      </c>
      <c r="G173" s="3">
        <v>2025</v>
      </c>
      <c r="H173" s="3" t="str">
        <f>CONCATENATE("54240538162")</f>
        <v>54240538162</v>
      </c>
      <c r="I173" s="3" t="s">
        <v>34</v>
      </c>
      <c r="J173" s="3" t="s">
        <v>35</v>
      </c>
      <c r="K173" s="3"/>
      <c r="L173" s="3" t="s">
        <v>36</v>
      </c>
      <c r="M173" s="3" t="str">
        <f>CONCATENATE("01900870435")</f>
        <v>01900870435</v>
      </c>
      <c r="N173" s="3" t="s">
        <v>275</v>
      </c>
      <c r="O173" s="3" t="s">
        <v>38</v>
      </c>
      <c r="P173" s="3"/>
      <c r="Q173" s="4">
        <v>45944</v>
      </c>
      <c r="R173" s="3" t="s">
        <v>39</v>
      </c>
      <c r="S173" s="3" t="s">
        <v>38</v>
      </c>
      <c r="T173" s="3" t="s">
        <v>43</v>
      </c>
      <c r="U173" s="3"/>
      <c r="V173" s="3" t="s">
        <v>41</v>
      </c>
      <c r="W173" s="5">
        <v>17402.28</v>
      </c>
      <c r="X173" s="5">
        <v>17402.28</v>
      </c>
      <c r="Y173" s="3">
        <v>0</v>
      </c>
      <c r="Z173" s="3">
        <v>0</v>
      </c>
      <c r="AA173" s="3">
        <v>0</v>
      </c>
    </row>
    <row r="174" spans="1:27" ht="72.75" x14ac:dyDescent="0.25">
      <c r="A174" s="3" t="s">
        <v>28</v>
      </c>
      <c r="B174" s="3" t="s">
        <v>29</v>
      </c>
      <c r="C174" s="3" t="s">
        <v>30</v>
      </c>
      <c r="D174" s="3" t="s">
        <v>63</v>
      </c>
      <c r="E174" s="3" t="s">
        <v>32</v>
      </c>
      <c r="F174" s="3" t="s">
        <v>269</v>
      </c>
      <c r="G174" s="3">
        <v>2025</v>
      </c>
      <c r="H174" s="3" t="str">
        <f>CONCATENATE("54240538758")</f>
        <v>54240538758</v>
      </c>
      <c r="I174" s="3" t="s">
        <v>34</v>
      </c>
      <c r="J174" s="3" t="s">
        <v>35</v>
      </c>
      <c r="K174" s="3"/>
      <c r="L174" s="3" t="s">
        <v>36</v>
      </c>
      <c r="M174" s="3" t="str">
        <f>CONCATENATE("CRAFRC80R06G920G")</f>
        <v>CRAFRC80R06G920G</v>
      </c>
      <c r="N174" s="3" t="s">
        <v>276</v>
      </c>
      <c r="O174" s="3" t="s">
        <v>38</v>
      </c>
      <c r="P174" s="3"/>
      <c r="Q174" s="4">
        <v>45944</v>
      </c>
      <c r="R174" s="3" t="s">
        <v>39</v>
      </c>
      <c r="S174" s="3" t="s">
        <v>38</v>
      </c>
      <c r="T174" s="3" t="s">
        <v>43</v>
      </c>
      <c r="U174" s="3"/>
      <c r="V174" s="3" t="s">
        <v>41</v>
      </c>
      <c r="W174" s="5">
        <v>3978.32</v>
      </c>
      <c r="X174" s="5">
        <v>3978.32</v>
      </c>
      <c r="Y174" s="3">
        <v>0</v>
      </c>
      <c r="Z174" s="3">
        <v>0</v>
      </c>
      <c r="AA174" s="3">
        <v>0</v>
      </c>
    </row>
    <row r="175" spans="1:27" ht="60.75" x14ac:dyDescent="0.25">
      <c r="A175" s="3" t="s">
        <v>28</v>
      </c>
      <c r="B175" s="3" t="s">
        <v>29</v>
      </c>
      <c r="C175" s="3" t="s">
        <v>30</v>
      </c>
      <c r="D175" s="3" t="s">
        <v>49</v>
      </c>
      <c r="E175" s="3" t="s">
        <v>53</v>
      </c>
      <c r="F175" s="3" t="s">
        <v>136</v>
      </c>
      <c r="G175" s="3">
        <v>2025</v>
      </c>
      <c r="H175" s="3" t="str">
        <f>CONCATENATE("54240538329")</f>
        <v>54240538329</v>
      </c>
      <c r="I175" s="3" t="s">
        <v>34</v>
      </c>
      <c r="J175" s="3" t="s">
        <v>35</v>
      </c>
      <c r="K175" s="3"/>
      <c r="L175" s="3" t="s">
        <v>36</v>
      </c>
      <c r="M175" s="3" t="str">
        <f>CONCATENATE("CCCBRC65P55H501G")</f>
        <v>CCCBRC65P55H501G</v>
      </c>
      <c r="N175" s="3" t="s">
        <v>277</v>
      </c>
      <c r="O175" s="3" t="s">
        <v>38</v>
      </c>
      <c r="P175" s="3"/>
      <c r="Q175" s="4">
        <v>45944</v>
      </c>
      <c r="R175" s="3" t="s">
        <v>39</v>
      </c>
      <c r="S175" s="3" t="s">
        <v>38</v>
      </c>
      <c r="T175" s="3" t="s">
        <v>43</v>
      </c>
      <c r="U175" s="3"/>
      <c r="V175" s="3" t="s">
        <v>41</v>
      </c>
      <c r="W175" s="3">
        <v>384.02</v>
      </c>
      <c r="X175" s="3">
        <v>384.02</v>
      </c>
      <c r="Y175" s="3">
        <v>0</v>
      </c>
      <c r="Z175" s="3">
        <v>0</v>
      </c>
      <c r="AA175" s="3">
        <v>0</v>
      </c>
    </row>
    <row r="176" spans="1:27" ht="60.75" x14ac:dyDescent="0.25">
      <c r="A176" s="3" t="s">
        <v>28</v>
      </c>
      <c r="B176" s="3" t="s">
        <v>29</v>
      </c>
      <c r="C176" s="3" t="s">
        <v>30</v>
      </c>
      <c r="D176" s="3" t="s">
        <v>49</v>
      </c>
      <c r="E176" s="3" t="s">
        <v>46</v>
      </c>
      <c r="F176" s="3" t="s">
        <v>140</v>
      </c>
      <c r="G176" s="3">
        <v>2025</v>
      </c>
      <c r="H176" s="3" t="str">
        <f>CONCATENATE("54240538535")</f>
        <v>54240538535</v>
      </c>
      <c r="I176" s="3" t="s">
        <v>34</v>
      </c>
      <c r="J176" s="3" t="s">
        <v>35</v>
      </c>
      <c r="K176" s="3"/>
      <c r="L176" s="3" t="s">
        <v>36</v>
      </c>
      <c r="M176" s="3" t="str">
        <f>CONCATENATE("FRSMPL77T52B474M")</f>
        <v>FRSMPL77T52B474M</v>
      </c>
      <c r="N176" s="3" t="s">
        <v>278</v>
      </c>
      <c r="O176" s="3" t="s">
        <v>38</v>
      </c>
      <c r="P176" s="3"/>
      <c r="Q176" s="4">
        <v>45944</v>
      </c>
      <c r="R176" s="3" t="s">
        <v>39</v>
      </c>
      <c r="S176" s="3" t="s">
        <v>38</v>
      </c>
      <c r="T176" s="3" t="s">
        <v>43</v>
      </c>
      <c r="U176" s="3"/>
      <c r="V176" s="3" t="s">
        <v>41</v>
      </c>
      <c r="W176" s="5">
        <v>17801.91</v>
      </c>
      <c r="X176" s="5">
        <v>17801.91</v>
      </c>
      <c r="Y176" s="3">
        <v>0</v>
      </c>
      <c r="Z176" s="3">
        <v>0</v>
      </c>
      <c r="AA176" s="3">
        <v>0</v>
      </c>
    </row>
    <row r="177" spans="1:27" ht="72.75" x14ac:dyDescent="0.25">
      <c r="A177" s="3" t="s">
        <v>28</v>
      </c>
      <c r="B177" s="3" t="s">
        <v>29</v>
      </c>
      <c r="C177" s="3" t="s">
        <v>30</v>
      </c>
      <c r="D177" s="3" t="s">
        <v>31</v>
      </c>
      <c r="E177" s="3" t="s">
        <v>46</v>
      </c>
      <c r="F177" s="3" t="s">
        <v>47</v>
      </c>
      <c r="G177" s="3">
        <v>2025</v>
      </c>
      <c r="H177" s="3" t="str">
        <f>CONCATENATE("54240538238")</f>
        <v>54240538238</v>
      </c>
      <c r="I177" s="3" t="s">
        <v>34</v>
      </c>
      <c r="J177" s="3" t="s">
        <v>35</v>
      </c>
      <c r="K177" s="3"/>
      <c r="L177" s="3" t="s">
        <v>36</v>
      </c>
      <c r="M177" s="3" t="str">
        <f>CONCATENATE("MSCRRT80B18D488H")</f>
        <v>MSCRRT80B18D488H</v>
      </c>
      <c r="N177" s="3" t="s">
        <v>279</v>
      </c>
      <c r="O177" s="3" t="s">
        <v>38</v>
      </c>
      <c r="P177" s="3"/>
      <c r="Q177" s="4">
        <v>45944</v>
      </c>
      <c r="R177" s="3" t="s">
        <v>39</v>
      </c>
      <c r="S177" s="3" t="s">
        <v>38</v>
      </c>
      <c r="T177" s="3" t="s">
        <v>43</v>
      </c>
      <c r="U177" s="3"/>
      <c r="V177" s="3" t="s">
        <v>41</v>
      </c>
      <c r="W177" s="5">
        <v>2546.5700000000002</v>
      </c>
      <c r="X177" s="5">
        <v>2546.5700000000002</v>
      </c>
      <c r="Y177" s="3">
        <v>0</v>
      </c>
      <c r="Z177" s="3">
        <v>0</v>
      </c>
      <c r="AA177" s="3">
        <v>0</v>
      </c>
    </row>
    <row r="178" spans="1:27" ht="72.75" x14ac:dyDescent="0.25">
      <c r="A178" s="3" t="s">
        <v>28</v>
      </c>
      <c r="B178" s="3" t="s">
        <v>29</v>
      </c>
      <c r="C178" s="3" t="s">
        <v>30</v>
      </c>
      <c r="D178" s="3" t="s">
        <v>63</v>
      </c>
      <c r="E178" s="3" t="s">
        <v>32</v>
      </c>
      <c r="F178" s="3" t="s">
        <v>269</v>
      </c>
      <c r="G178" s="3">
        <v>2025</v>
      </c>
      <c r="H178" s="3" t="str">
        <f>CONCATENATE("54240643426")</f>
        <v>54240643426</v>
      </c>
      <c r="I178" s="3" t="s">
        <v>34</v>
      </c>
      <c r="J178" s="3" t="s">
        <v>35</v>
      </c>
      <c r="K178" s="3"/>
      <c r="L178" s="3" t="s">
        <v>36</v>
      </c>
      <c r="M178" s="3" t="str">
        <f>CONCATENATE("DGCNMR60M42C070P")</f>
        <v>DGCNMR60M42C070P</v>
      </c>
      <c r="N178" s="3" t="s">
        <v>280</v>
      </c>
      <c r="O178" s="3" t="s">
        <v>38</v>
      </c>
      <c r="P178" s="3"/>
      <c r="Q178" s="4">
        <v>45944</v>
      </c>
      <c r="R178" s="3" t="s">
        <v>39</v>
      </c>
      <c r="S178" s="3" t="s">
        <v>38</v>
      </c>
      <c r="T178" s="3" t="s">
        <v>43</v>
      </c>
      <c r="U178" s="3"/>
      <c r="V178" s="3" t="s">
        <v>41</v>
      </c>
      <c r="W178" s="5">
        <v>3871.82</v>
      </c>
      <c r="X178" s="5">
        <v>3871.82</v>
      </c>
      <c r="Y178" s="3">
        <v>0</v>
      </c>
      <c r="Z178" s="3">
        <v>0</v>
      </c>
      <c r="AA178" s="3">
        <v>0</v>
      </c>
    </row>
    <row r="179" spans="1:27" ht="60.75" x14ac:dyDescent="0.25">
      <c r="A179" s="3" t="s">
        <v>28</v>
      </c>
      <c r="B179" s="3" t="s">
        <v>29</v>
      </c>
      <c r="C179" s="3" t="s">
        <v>30</v>
      </c>
      <c r="D179" s="3" t="s">
        <v>31</v>
      </c>
      <c r="E179" s="3" t="s">
        <v>32</v>
      </c>
      <c r="F179" s="3" t="s">
        <v>44</v>
      </c>
      <c r="G179" s="3">
        <v>2025</v>
      </c>
      <c r="H179" s="3" t="str">
        <f>CONCATENATE("54240538410")</f>
        <v>54240538410</v>
      </c>
      <c r="I179" s="3" t="s">
        <v>34</v>
      </c>
      <c r="J179" s="3" t="s">
        <v>35</v>
      </c>
      <c r="K179" s="3"/>
      <c r="L179" s="3" t="s">
        <v>36</v>
      </c>
      <c r="M179" s="3" t="str">
        <f>CONCATENATE("BCCGPR63R24A327S")</f>
        <v>BCCGPR63R24A327S</v>
      </c>
      <c r="N179" s="3" t="s">
        <v>281</v>
      </c>
      <c r="O179" s="3" t="s">
        <v>38</v>
      </c>
      <c r="P179" s="3"/>
      <c r="Q179" s="4">
        <v>45944</v>
      </c>
      <c r="R179" s="3" t="s">
        <v>39</v>
      </c>
      <c r="S179" s="3" t="s">
        <v>38</v>
      </c>
      <c r="T179" s="3" t="s">
        <v>43</v>
      </c>
      <c r="U179" s="3"/>
      <c r="V179" s="3" t="s">
        <v>41</v>
      </c>
      <c r="W179" s="5">
        <v>1764.41</v>
      </c>
      <c r="X179" s="5">
        <v>1764.41</v>
      </c>
      <c r="Y179" s="3">
        <v>0</v>
      </c>
      <c r="Z179" s="3">
        <v>0</v>
      </c>
      <c r="AA179" s="3">
        <v>0</v>
      </c>
    </row>
    <row r="180" spans="1:27" ht="60.75" x14ac:dyDescent="0.25">
      <c r="A180" s="3" t="s">
        <v>28</v>
      </c>
      <c r="B180" s="3" t="s">
        <v>29</v>
      </c>
      <c r="C180" s="3" t="s">
        <v>30</v>
      </c>
      <c r="D180" s="3" t="s">
        <v>31</v>
      </c>
      <c r="E180" s="3" t="s">
        <v>53</v>
      </c>
      <c r="F180" s="3" t="s">
        <v>82</v>
      </c>
      <c r="G180" s="3">
        <v>2025</v>
      </c>
      <c r="H180" s="3" t="str">
        <f>CONCATENATE("54240563624")</f>
        <v>54240563624</v>
      </c>
      <c r="I180" s="3" t="s">
        <v>149</v>
      </c>
      <c r="J180" s="3" t="s">
        <v>35</v>
      </c>
      <c r="K180" s="3"/>
      <c r="L180" s="3" t="s">
        <v>36</v>
      </c>
      <c r="M180" s="3" t="str">
        <f>CONCATENATE("DMPVLR84B26L500Z")</f>
        <v>DMPVLR84B26L500Z</v>
      </c>
      <c r="N180" s="3" t="s">
        <v>282</v>
      </c>
      <c r="O180" s="3" t="s">
        <v>38</v>
      </c>
      <c r="P180" s="3"/>
      <c r="Q180" s="4">
        <v>45944</v>
      </c>
      <c r="R180" s="3" t="s">
        <v>39</v>
      </c>
      <c r="S180" s="3" t="s">
        <v>38</v>
      </c>
      <c r="T180" s="3" t="s">
        <v>43</v>
      </c>
      <c r="U180" s="3"/>
      <c r="V180" s="3" t="s">
        <v>41</v>
      </c>
      <c r="W180" s="5">
        <v>8081.13</v>
      </c>
      <c r="X180" s="5">
        <v>8081.13</v>
      </c>
      <c r="Y180" s="3">
        <v>0</v>
      </c>
      <c r="Z180" s="3">
        <v>0</v>
      </c>
      <c r="AA180" s="3">
        <v>0</v>
      </c>
    </row>
    <row r="181" spans="1:27" ht="36.75" x14ac:dyDescent="0.25">
      <c r="A181" s="3" t="s">
        <v>28</v>
      </c>
      <c r="B181" s="3" t="s">
        <v>29</v>
      </c>
      <c r="C181" s="3" t="s">
        <v>30</v>
      </c>
      <c r="D181" s="3" t="s">
        <v>49</v>
      </c>
      <c r="E181" s="3" t="s">
        <v>32</v>
      </c>
      <c r="F181" s="3" t="s">
        <v>283</v>
      </c>
      <c r="G181" s="3">
        <v>2025</v>
      </c>
      <c r="H181" s="3" t="str">
        <f>CONCATENATE("54240543873")</f>
        <v>54240543873</v>
      </c>
      <c r="I181" s="3" t="s">
        <v>34</v>
      </c>
      <c r="J181" s="3" t="s">
        <v>35</v>
      </c>
      <c r="K181" s="3"/>
      <c r="L181" s="3" t="s">
        <v>36</v>
      </c>
      <c r="M181" s="3" t="str">
        <f>CONCATENATE("01464870433")</f>
        <v>01464870433</v>
      </c>
      <c r="N181" s="3" t="s">
        <v>284</v>
      </c>
      <c r="O181" s="3" t="s">
        <v>38</v>
      </c>
      <c r="P181" s="3"/>
      <c r="Q181" s="4">
        <v>45944</v>
      </c>
      <c r="R181" s="3" t="s">
        <v>39</v>
      </c>
      <c r="S181" s="3" t="s">
        <v>38</v>
      </c>
      <c r="T181" s="3" t="s">
        <v>43</v>
      </c>
      <c r="U181" s="3"/>
      <c r="V181" s="3" t="s">
        <v>41</v>
      </c>
      <c r="W181" s="5">
        <v>5516.16</v>
      </c>
      <c r="X181" s="5">
        <v>5516.16</v>
      </c>
      <c r="Y181" s="3">
        <v>0</v>
      </c>
      <c r="Z181" s="3">
        <v>0</v>
      </c>
      <c r="AA181" s="3">
        <v>0</v>
      </c>
    </row>
    <row r="182" spans="1:27" ht="36.75" x14ac:dyDescent="0.25">
      <c r="A182" s="3" t="s">
        <v>28</v>
      </c>
      <c r="B182" s="3" t="s">
        <v>29</v>
      </c>
      <c r="C182" s="3" t="s">
        <v>30</v>
      </c>
      <c r="D182" s="3" t="s">
        <v>49</v>
      </c>
      <c r="E182" s="3" t="s">
        <v>46</v>
      </c>
      <c r="F182" s="3" t="s">
        <v>205</v>
      </c>
      <c r="G182" s="3">
        <v>2025</v>
      </c>
      <c r="H182" s="3" t="str">
        <f>CONCATENATE("54240538626")</f>
        <v>54240538626</v>
      </c>
      <c r="I182" s="3" t="s">
        <v>34</v>
      </c>
      <c r="J182" s="3" t="s">
        <v>35</v>
      </c>
      <c r="K182" s="3"/>
      <c r="L182" s="3" t="s">
        <v>36</v>
      </c>
      <c r="M182" s="3" t="str">
        <f>CONCATENATE("01983700434")</f>
        <v>01983700434</v>
      </c>
      <c r="N182" s="3" t="s">
        <v>285</v>
      </c>
      <c r="O182" s="3" t="s">
        <v>38</v>
      </c>
      <c r="P182" s="3"/>
      <c r="Q182" s="4">
        <v>45944</v>
      </c>
      <c r="R182" s="3" t="s">
        <v>39</v>
      </c>
      <c r="S182" s="3" t="s">
        <v>38</v>
      </c>
      <c r="T182" s="3" t="s">
        <v>43</v>
      </c>
      <c r="U182" s="3"/>
      <c r="V182" s="3" t="s">
        <v>41</v>
      </c>
      <c r="W182" s="5">
        <v>1360.77</v>
      </c>
      <c r="X182" s="5">
        <v>1360.77</v>
      </c>
      <c r="Y182" s="3">
        <v>0</v>
      </c>
      <c r="Z182" s="3">
        <v>0</v>
      </c>
      <c r="AA182" s="3">
        <v>0</v>
      </c>
    </row>
    <row r="183" spans="1:27" ht="60.75" x14ac:dyDescent="0.25">
      <c r="A183" s="3" t="s">
        <v>28</v>
      </c>
      <c r="B183" s="3" t="s">
        <v>29</v>
      </c>
      <c r="C183" s="3" t="s">
        <v>30</v>
      </c>
      <c r="D183" s="3" t="s">
        <v>49</v>
      </c>
      <c r="E183" s="3" t="s">
        <v>32</v>
      </c>
      <c r="F183" s="3" t="s">
        <v>272</v>
      </c>
      <c r="G183" s="3">
        <v>2025</v>
      </c>
      <c r="H183" s="3" t="str">
        <f>CONCATENATE("54240538485")</f>
        <v>54240538485</v>
      </c>
      <c r="I183" s="3" t="s">
        <v>34</v>
      </c>
      <c r="J183" s="3" t="s">
        <v>35</v>
      </c>
      <c r="K183" s="3"/>
      <c r="L183" s="3" t="s">
        <v>36</v>
      </c>
      <c r="M183" s="3" t="str">
        <f>CONCATENATE("PCCGNY80T70L366K")</f>
        <v>PCCGNY80T70L366K</v>
      </c>
      <c r="N183" s="3" t="s">
        <v>286</v>
      </c>
      <c r="O183" s="3" t="s">
        <v>38</v>
      </c>
      <c r="P183" s="3"/>
      <c r="Q183" s="4">
        <v>45944</v>
      </c>
      <c r="R183" s="3" t="s">
        <v>39</v>
      </c>
      <c r="S183" s="3" t="s">
        <v>38</v>
      </c>
      <c r="T183" s="3" t="s">
        <v>43</v>
      </c>
      <c r="U183" s="3"/>
      <c r="V183" s="3" t="s">
        <v>41</v>
      </c>
      <c r="W183" s="5">
        <v>8200.84</v>
      </c>
      <c r="X183" s="5">
        <v>8200.84</v>
      </c>
      <c r="Y183" s="3">
        <v>0</v>
      </c>
      <c r="Z183" s="3">
        <v>0</v>
      </c>
      <c r="AA183" s="3">
        <v>0</v>
      </c>
    </row>
    <row r="184" spans="1:27" ht="60.75" x14ac:dyDescent="0.25">
      <c r="A184" s="3" t="s">
        <v>28</v>
      </c>
      <c r="B184" s="3" t="s">
        <v>29</v>
      </c>
      <c r="C184" s="3" t="s">
        <v>30</v>
      </c>
      <c r="D184" s="3" t="s">
        <v>49</v>
      </c>
      <c r="E184" s="3" t="s">
        <v>46</v>
      </c>
      <c r="F184" s="3" t="s">
        <v>205</v>
      </c>
      <c r="G184" s="3">
        <v>2025</v>
      </c>
      <c r="H184" s="3" t="str">
        <f>CONCATENATE("54240538600")</f>
        <v>54240538600</v>
      </c>
      <c r="I184" s="3" t="s">
        <v>34</v>
      </c>
      <c r="J184" s="3" t="s">
        <v>35</v>
      </c>
      <c r="K184" s="3"/>
      <c r="L184" s="3" t="s">
        <v>36</v>
      </c>
      <c r="M184" s="3" t="str">
        <f>CONCATENATE("PTTVTR98S05I156O")</f>
        <v>PTTVTR98S05I156O</v>
      </c>
      <c r="N184" s="3" t="s">
        <v>287</v>
      </c>
      <c r="O184" s="3" t="s">
        <v>38</v>
      </c>
      <c r="P184" s="3"/>
      <c r="Q184" s="4">
        <v>45944</v>
      </c>
      <c r="R184" s="3" t="s">
        <v>39</v>
      </c>
      <c r="S184" s="3" t="s">
        <v>38</v>
      </c>
      <c r="T184" s="3" t="s">
        <v>43</v>
      </c>
      <c r="U184" s="3"/>
      <c r="V184" s="3" t="s">
        <v>41</v>
      </c>
      <c r="W184" s="5">
        <v>2704.07</v>
      </c>
      <c r="X184" s="5">
        <v>2704.07</v>
      </c>
      <c r="Y184" s="3">
        <v>0</v>
      </c>
      <c r="Z184" s="3">
        <v>0</v>
      </c>
      <c r="AA184" s="3">
        <v>0</v>
      </c>
    </row>
    <row r="185" spans="1:27" ht="60.75" x14ac:dyDescent="0.25">
      <c r="A185" s="3" t="s">
        <v>28</v>
      </c>
      <c r="B185" s="3" t="s">
        <v>29</v>
      </c>
      <c r="C185" s="3" t="s">
        <v>30</v>
      </c>
      <c r="D185" s="3" t="s">
        <v>58</v>
      </c>
      <c r="E185" s="3" t="s">
        <v>74</v>
      </c>
      <c r="F185" s="3" t="s">
        <v>84</v>
      </c>
      <c r="G185" s="3">
        <v>2025</v>
      </c>
      <c r="H185" s="3" t="str">
        <f>CONCATENATE("54240538634")</f>
        <v>54240538634</v>
      </c>
      <c r="I185" s="3" t="s">
        <v>34</v>
      </c>
      <c r="J185" s="3" t="s">
        <v>35</v>
      </c>
      <c r="K185" s="3"/>
      <c r="L185" s="3" t="s">
        <v>36</v>
      </c>
      <c r="M185" s="3" t="str">
        <f>CONCATENATE("BRGGDU59D09E388X")</f>
        <v>BRGGDU59D09E388X</v>
      </c>
      <c r="N185" s="3" t="s">
        <v>288</v>
      </c>
      <c r="O185" s="3" t="s">
        <v>38</v>
      </c>
      <c r="P185" s="3"/>
      <c r="Q185" s="4">
        <v>45944</v>
      </c>
      <c r="R185" s="3" t="s">
        <v>39</v>
      </c>
      <c r="S185" s="3" t="s">
        <v>38</v>
      </c>
      <c r="T185" s="3" t="s">
        <v>43</v>
      </c>
      <c r="U185" s="3"/>
      <c r="V185" s="3" t="s">
        <v>41</v>
      </c>
      <c r="W185" s="5">
        <v>1264.8599999999999</v>
      </c>
      <c r="X185" s="5">
        <v>1264.8599999999999</v>
      </c>
      <c r="Y185" s="3">
        <v>0</v>
      </c>
      <c r="Z185" s="3">
        <v>0</v>
      </c>
      <c r="AA185" s="3">
        <v>0</v>
      </c>
    </row>
    <row r="186" spans="1:27" ht="60.75" x14ac:dyDescent="0.25">
      <c r="A186" s="3" t="s">
        <v>28</v>
      </c>
      <c r="B186" s="3" t="s">
        <v>29</v>
      </c>
      <c r="C186" s="3" t="s">
        <v>30</v>
      </c>
      <c r="D186" s="3" t="s">
        <v>49</v>
      </c>
      <c r="E186" s="3" t="s">
        <v>91</v>
      </c>
      <c r="F186" s="3" t="s">
        <v>92</v>
      </c>
      <c r="G186" s="3">
        <v>2025</v>
      </c>
      <c r="H186" s="3" t="str">
        <f>CONCATENATE("54240541786")</f>
        <v>54240541786</v>
      </c>
      <c r="I186" s="3" t="s">
        <v>34</v>
      </c>
      <c r="J186" s="3" t="s">
        <v>35</v>
      </c>
      <c r="K186" s="3"/>
      <c r="L186" s="3" t="s">
        <v>36</v>
      </c>
      <c r="M186" s="3" t="str">
        <f>CONCATENATE("RCCSRN03D64I156E")</f>
        <v>RCCSRN03D64I156E</v>
      </c>
      <c r="N186" s="3" t="s">
        <v>289</v>
      </c>
      <c r="O186" s="3" t="s">
        <v>38</v>
      </c>
      <c r="P186" s="3"/>
      <c r="Q186" s="4">
        <v>45944</v>
      </c>
      <c r="R186" s="3" t="s">
        <v>39</v>
      </c>
      <c r="S186" s="3" t="s">
        <v>38</v>
      </c>
      <c r="T186" s="3" t="s">
        <v>43</v>
      </c>
      <c r="U186" s="3"/>
      <c r="V186" s="3" t="s">
        <v>41</v>
      </c>
      <c r="W186" s="5">
        <v>1304.43</v>
      </c>
      <c r="X186" s="5">
        <v>1304.43</v>
      </c>
      <c r="Y186" s="3">
        <v>0</v>
      </c>
      <c r="Z186" s="3">
        <v>0</v>
      </c>
      <c r="AA186" s="3">
        <v>0</v>
      </c>
    </row>
    <row r="187" spans="1:27" ht="72.75" x14ac:dyDescent="0.25">
      <c r="A187" s="3" t="s">
        <v>28</v>
      </c>
      <c r="B187" s="3" t="s">
        <v>29</v>
      </c>
      <c r="C187" s="3" t="s">
        <v>30</v>
      </c>
      <c r="D187" s="3" t="s">
        <v>58</v>
      </c>
      <c r="E187" s="3" t="s">
        <v>53</v>
      </c>
      <c r="F187" s="3" t="s">
        <v>59</v>
      </c>
      <c r="G187" s="3">
        <v>2025</v>
      </c>
      <c r="H187" s="3" t="str">
        <f>CONCATENATE("54240538774")</f>
        <v>54240538774</v>
      </c>
      <c r="I187" s="3" t="s">
        <v>34</v>
      </c>
      <c r="J187" s="3" t="s">
        <v>35</v>
      </c>
      <c r="K187" s="3"/>
      <c r="L187" s="3" t="s">
        <v>36</v>
      </c>
      <c r="M187" s="3" t="str">
        <f>CONCATENATE("SNNGNN67M21A978R")</f>
        <v>SNNGNN67M21A978R</v>
      </c>
      <c r="N187" s="3" t="s">
        <v>290</v>
      </c>
      <c r="O187" s="3" t="s">
        <v>38</v>
      </c>
      <c r="P187" s="3"/>
      <c r="Q187" s="4">
        <v>45944</v>
      </c>
      <c r="R187" s="3" t="s">
        <v>39</v>
      </c>
      <c r="S187" s="3" t="s">
        <v>38</v>
      </c>
      <c r="T187" s="3" t="s">
        <v>43</v>
      </c>
      <c r="U187" s="3"/>
      <c r="V187" s="3" t="s">
        <v>41</v>
      </c>
      <c r="W187" s="5">
        <v>6938.41</v>
      </c>
      <c r="X187" s="5">
        <v>6938.41</v>
      </c>
      <c r="Y187" s="3">
        <v>0</v>
      </c>
      <c r="Z187" s="3">
        <v>0</v>
      </c>
      <c r="AA187" s="3">
        <v>0</v>
      </c>
    </row>
    <row r="188" spans="1:27" ht="60.75" x14ac:dyDescent="0.25">
      <c r="A188" s="3" t="s">
        <v>28</v>
      </c>
      <c r="B188" s="3" t="s">
        <v>29</v>
      </c>
      <c r="C188" s="3" t="s">
        <v>30</v>
      </c>
      <c r="D188" s="3" t="s">
        <v>31</v>
      </c>
      <c r="E188" s="3" t="s">
        <v>32</v>
      </c>
      <c r="F188" s="3" t="s">
        <v>153</v>
      </c>
      <c r="G188" s="3">
        <v>2025</v>
      </c>
      <c r="H188" s="3" t="str">
        <f>CONCATENATE("54240539210")</f>
        <v>54240539210</v>
      </c>
      <c r="I188" s="3" t="s">
        <v>34</v>
      </c>
      <c r="J188" s="3" t="s">
        <v>35</v>
      </c>
      <c r="K188" s="3"/>
      <c r="L188" s="3" t="s">
        <v>36</v>
      </c>
      <c r="M188" s="3" t="str">
        <f>CONCATENATE("CMSTNN53P02D749U")</f>
        <v>CMSTNN53P02D749U</v>
      </c>
      <c r="N188" s="3" t="s">
        <v>291</v>
      </c>
      <c r="O188" s="3" t="s">
        <v>38</v>
      </c>
      <c r="P188" s="3"/>
      <c r="Q188" s="4">
        <v>45944</v>
      </c>
      <c r="R188" s="3" t="s">
        <v>39</v>
      </c>
      <c r="S188" s="3" t="s">
        <v>38</v>
      </c>
      <c r="T188" s="3" t="s">
        <v>43</v>
      </c>
      <c r="U188" s="3"/>
      <c r="V188" s="3" t="s">
        <v>41</v>
      </c>
      <c r="W188" s="5">
        <v>4755.55</v>
      </c>
      <c r="X188" s="5">
        <v>4755.55</v>
      </c>
      <c r="Y188" s="3">
        <v>0</v>
      </c>
      <c r="Z188" s="3">
        <v>0</v>
      </c>
      <c r="AA188" s="3">
        <v>0</v>
      </c>
    </row>
    <row r="189" spans="1:27" ht="60.75" x14ac:dyDescent="0.25">
      <c r="A189" s="3" t="s">
        <v>28</v>
      </c>
      <c r="B189" s="3" t="s">
        <v>29</v>
      </c>
      <c r="C189" s="3" t="s">
        <v>30</v>
      </c>
      <c r="D189" s="3" t="s">
        <v>49</v>
      </c>
      <c r="E189" s="3" t="s">
        <v>46</v>
      </c>
      <c r="F189" s="3" t="s">
        <v>126</v>
      </c>
      <c r="G189" s="3">
        <v>2025</v>
      </c>
      <c r="H189" s="3" t="str">
        <f>CONCATENATE("54240557410")</f>
        <v>54240557410</v>
      </c>
      <c r="I189" s="3" t="s">
        <v>34</v>
      </c>
      <c r="J189" s="3" t="s">
        <v>35</v>
      </c>
      <c r="K189" s="3"/>
      <c r="L189" s="3" t="s">
        <v>36</v>
      </c>
      <c r="M189" s="3" t="str">
        <f>CONCATENATE("MRTTLL64A31I156E")</f>
        <v>MRTTLL64A31I156E</v>
      </c>
      <c r="N189" s="3" t="s">
        <v>292</v>
      </c>
      <c r="O189" s="3" t="s">
        <v>38</v>
      </c>
      <c r="P189" s="3"/>
      <c r="Q189" s="4">
        <v>45944</v>
      </c>
      <c r="R189" s="3" t="s">
        <v>39</v>
      </c>
      <c r="S189" s="3" t="s">
        <v>38</v>
      </c>
      <c r="T189" s="3" t="s">
        <v>43</v>
      </c>
      <c r="U189" s="3"/>
      <c r="V189" s="3" t="s">
        <v>41</v>
      </c>
      <c r="W189" s="5">
        <v>15518.31</v>
      </c>
      <c r="X189" s="5">
        <v>15518.31</v>
      </c>
      <c r="Y189" s="3">
        <v>0</v>
      </c>
      <c r="Z189" s="3">
        <v>0</v>
      </c>
      <c r="AA189" s="3">
        <v>0</v>
      </c>
    </row>
    <row r="190" spans="1:27" ht="72.75" x14ac:dyDescent="0.25">
      <c r="A190" s="3" t="s">
        <v>28</v>
      </c>
      <c r="B190" s="3" t="s">
        <v>29</v>
      </c>
      <c r="C190" s="3" t="s">
        <v>30</v>
      </c>
      <c r="D190" s="3" t="s">
        <v>49</v>
      </c>
      <c r="E190" s="3" t="s">
        <v>46</v>
      </c>
      <c r="F190" s="3" t="s">
        <v>126</v>
      </c>
      <c r="G190" s="3">
        <v>2025</v>
      </c>
      <c r="H190" s="3" t="str">
        <f>CONCATENATE("54240557428")</f>
        <v>54240557428</v>
      </c>
      <c r="I190" s="3" t="s">
        <v>34</v>
      </c>
      <c r="J190" s="3" t="s">
        <v>35</v>
      </c>
      <c r="K190" s="3"/>
      <c r="L190" s="3" t="s">
        <v>36</v>
      </c>
      <c r="M190" s="3" t="str">
        <f>CONCATENATE("PNDMRN78D05B474X")</f>
        <v>PNDMRN78D05B474X</v>
      </c>
      <c r="N190" s="3" t="s">
        <v>293</v>
      </c>
      <c r="O190" s="3" t="s">
        <v>38</v>
      </c>
      <c r="P190" s="3"/>
      <c r="Q190" s="4">
        <v>45944</v>
      </c>
      <c r="R190" s="3" t="s">
        <v>39</v>
      </c>
      <c r="S190" s="3" t="s">
        <v>38</v>
      </c>
      <c r="T190" s="3" t="s">
        <v>43</v>
      </c>
      <c r="U190" s="3"/>
      <c r="V190" s="3" t="s">
        <v>41</v>
      </c>
      <c r="W190" s="3">
        <v>811.78</v>
      </c>
      <c r="X190" s="3">
        <v>811.78</v>
      </c>
      <c r="Y190" s="3">
        <v>0</v>
      </c>
      <c r="Z190" s="3">
        <v>0</v>
      </c>
      <c r="AA190" s="3">
        <v>0</v>
      </c>
    </row>
    <row r="191" spans="1:27" ht="60.75" x14ac:dyDescent="0.25">
      <c r="A191" s="3" t="s">
        <v>28</v>
      </c>
      <c r="B191" s="3" t="s">
        <v>29</v>
      </c>
      <c r="C191" s="3" t="s">
        <v>30</v>
      </c>
      <c r="D191" s="3" t="s">
        <v>49</v>
      </c>
      <c r="E191" s="3" t="s">
        <v>46</v>
      </c>
      <c r="F191" s="3" t="s">
        <v>126</v>
      </c>
      <c r="G191" s="3">
        <v>2025</v>
      </c>
      <c r="H191" s="3" t="str">
        <f>CONCATENATE("54240557881")</f>
        <v>54240557881</v>
      </c>
      <c r="I191" s="3" t="s">
        <v>34</v>
      </c>
      <c r="J191" s="3" t="s">
        <v>35</v>
      </c>
      <c r="K191" s="3"/>
      <c r="L191" s="3" t="s">
        <v>36</v>
      </c>
      <c r="M191" s="3" t="str">
        <f>CONCATENATE("PZZFNC04R26I156G")</f>
        <v>PZZFNC04R26I156G</v>
      </c>
      <c r="N191" s="3" t="s">
        <v>294</v>
      </c>
      <c r="O191" s="3" t="s">
        <v>38</v>
      </c>
      <c r="P191" s="3"/>
      <c r="Q191" s="4">
        <v>45944</v>
      </c>
      <c r="R191" s="3" t="s">
        <v>39</v>
      </c>
      <c r="S191" s="3" t="s">
        <v>38</v>
      </c>
      <c r="T191" s="3" t="s">
        <v>43</v>
      </c>
      <c r="U191" s="3"/>
      <c r="V191" s="3" t="s">
        <v>41</v>
      </c>
      <c r="W191" s="5">
        <v>6566.37</v>
      </c>
      <c r="X191" s="5">
        <v>6566.37</v>
      </c>
      <c r="Y191" s="3">
        <v>0</v>
      </c>
      <c r="Z191" s="3">
        <v>0</v>
      </c>
      <c r="AA191" s="3">
        <v>0</v>
      </c>
    </row>
    <row r="192" spans="1:27" ht="60.75" x14ac:dyDescent="0.25">
      <c r="A192" s="3" t="s">
        <v>28</v>
      </c>
      <c r="B192" s="3" t="s">
        <v>29</v>
      </c>
      <c r="C192" s="3" t="s">
        <v>30</v>
      </c>
      <c r="D192" s="3" t="s">
        <v>49</v>
      </c>
      <c r="E192" s="3" t="s">
        <v>46</v>
      </c>
      <c r="F192" s="3" t="s">
        <v>205</v>
      </c>
      <c r="G192" s="3">
        <v>2025</v>
      </c>
      <c r="H192" s="3" t="str">
        <f>CONCATENATE("54240539368")</f>
        <v>54240539368</v>
      </c>
      <c r="I192" s="3" t="s">
        <v>34</v>
      </c>
      <c r="J192" s="3" t="s">
        <v>35</v>
      </c>
      <c r="K192" s="3"/>
      <c r="L192" s="3" t="s">
        <v>36</v>
      </c>
      <c r="M192" s="3" t="str">
        <f>CONCATENATE("SPCVLR70R16M078Y")</f>
        <v>SPCVLR70R16M078Y</v>
      </c>
      <c r="N192" s="3" t="s">
        <v>295</v>
      </c>
      <c r="O192" s="3" t="s">
        <v>38</v>
      </c>
      <c r="P192" s="3"/>
      <c r="Q192" s="4">
        <v>45944</v>
      </c>
      <c r="R192" s="3" t="s">
        <v>39</v>
      </c>
      <c r="S192" s="3" t="s">
        <v>38</v>
      </c>
      <c r="T192" s="3" t="s">
        <v>43</v>
      </c>
      <c r="U192" s="3"/>
      <c r="V192" s="3" t="s">
        <v>41</v>
      </c>
      <c r="W192" s="5">
        <v>8025.39</v>
      </c>
      <c r="X192" s="5">
        <v>8025.39</v>
      </c>
      <c r="Y192" s="3">
        <v>0</v>
      </c>
      <c r="Z192" s="3">
        <v>0</v>
      </c>
      <c r="AA192" s="3">
        <v>0</v>
      </c>
    </row>
    <row r="193" spans="1:27" ht="60.75" x14ac:dyDescent="0.25">
      <c r="A193" s="3" t="s">
        <v>28</v>
      </c>
      <c r="B193" s="3" t="s">
        <v>29</v>
      </c>
      <c r="C193" s="3" t="s">
        <v>30</v>
      </c>
      <c r="D193" s="3" t="s">
        <v>49</v>
      </c>
      <c r="E193" s="3" t="s">
        <v>32</v>
      </c>
      <c r="F193" s="3" t="s">
        <v>283</v>
      </c>
      <c r="G193" s="3">
        <v>2025</v>
      </c>
      <c r="H193" s="3" t="str">
        <f>CONCATENATE("54240540077")</f>
        <v>54240540077</v>
      </c>
      <c r="I193" s="3" t="s">
        <v>34</v>
      </c>
      <c r="J193" s="3" t="s">
        <v>35</v>
      </c>
      <c r="K193" s="3"/>
      <c r="L193" s="3" t="s">
        <v>36</v>
      </c>
      <c r="M193" s="3" t="str">
        <f>CONCATENATE("BNDLCU91P07C770V")</f>
        <v>BNDLCU91P07C770V</v>
      </c>
      <c r="N193" s="3" t="s">
        <v>296</v>
      </c>
      <c r="O193" s="3" t="s">
        <v>38</v>
      </c>
      <c r="P193" s="3"/>
      <c r="Q193" s="4">
        <v>45944</v>
      </c>
      <c r="R193" s="3" t="s">
        <v>39</v>
      </c>
      <c r="S193" s="3" t="s">
        <v>38</v>
      </c>
      <c r="T193" s="3" t="s">
        <v>43</v>
      </c>
      <c r="U193" s="3"/>
      <c r="V193" s="3" t="s">
        <v>41</v>
      </c>
      <c r="W193" s="5">
        <v>1432.01</v>
      </c>
      <c r="X193" s="5">
        <v>1432.01</v>
      </c>
      <c r="Y193" s="3">
        <v>0</v>
      </c>
      <c r="Z193" s="3">
        <v>0</v>
      </c>
      <c r="AA193" s="3">
        <v>0</v>
      </c>
    </row>
    <row r="194" spans="1:27" ht="36.75" x14ac:dyDescent="0.25">
      <c r="A194" s="3" t="s">
        <v>28</v>
      </c>
      <c r="B194" s="3" t="s">
        <v>29</v>
      </c>
      <c r="C194" s="3" t="s">
        <v>30</v>
      </c>
      <c r="D194" s="3" t="s">
        <v>49</v>
      </c>
      <c r="E194" s="3" t="s">
        <v>46</v>
      </c>
      <c r="F194" s="3" t="s">
        <v>126</v>
      </c>
      <c r="G194" s="3">
        <v>2025</v>
      </c>
      <c r="H194" s="3" t="str">
        <f>CONCATENATE("54240565090")</f>
        <v>54240565090</v>
      </c>
      <c r="I194" s="3" t="s">
        <v>34</v>
      </c>
      <c r="J194" s="3" t="s">
        <v>35</v>
      </c>
      <c r="K194" s="3"/>
      <c r="L194" s="3" t="s">
        <v>36</v>
      </c>
      <c r="M194" s="3" t="str">
        <f>CONCATENATE("01831500432")</f>
        <v>01831500432</v>
      </c>
      <c r="N194" s="3" t="s">
        <v>297</v>
      </c>
      <c r="O194" s="3" t="s">
        <v>38</v>
      </c>
      <c r="P194" s="3"/>
      <c r="Q194" s="4">
        <v>45944</v>
      </c>
      <c r="R194" s="3" t="s">
        <v>39</v>
      </c>
      <c r="S194" s="3" t="s">
        <v>38</v>
      </c>
      <c r="T194" s="3" t="s">
        <v>43</v>
      </c>
      <c r="U194" s="3"/>
      <c r="V194" s="3" t="s">
        <v>41</v>
      </c>
      <c r="W194" s="5">
        <v>3109.14</v>
      </c>
      <c r="X194" s="5">
        <v>3109.14</v>
      </c>
      <c r="Y194" s="3">
        <v>0</v>
      </c>
      <c r="Z194" s="3">
        <v>0</v>
      </c>
      <c r="AA194" s="3">
        <v>0</v>
      </c>
    </row>
    <row r="195" spans="1:27" ht="60.75" x14ac:dyDescent="0.25">
      <c r="A195" s="3" t="s">
        <v>28</v>
      </c>
      <c r="B195" s="3" t="s">
        <v>29</v>
      </c>
      <c r="C195" s="3" t="s">
        <v>30</v>
      </c>
      <c r="D195" s="3" t="s">
        <v>31</v>
      </c>
      <c r="E195" s="3" t="s">
        <v>53</v>
      </c>
      <c r="F195" s="3" t="s">
        <v>54</v>
      </c>
      <c r="G195" s="3">
        <v>2025</v>
      </c>
      <c r="H195" s="3" t="str">
        <f>CONCATENATE("54240540812")</f>
        <v>54240540812</v>
      </c>
      <c r="I195" s="3" t="s">
        <v>34</v>
      </c>
      <c r="J195" s="3" t="s">
        <v>35</v>
      </c>
      <c r="K195" s="3"/>
      <c r="L195" s="3" t="s">
        <v>36</v>
      </c>
      <c r="M195" s="3" t="str">
        <f>CONCATENATE("BRRFRZ64E10E785F")</f>
        <v>BRRFRZ64E10E785F</v>
      </c>
      <c r="N195" s="3" t="s">
        <v>298</v>
      </c>
      <c r="O195" s="3" t="s">
        <v>38</v>
      </c>
      <c r="P195" s="3"/>
      <c r="Q195" s="4">
        <v>45944</v>
      </c>
      <c r="R195" s="3" t="s">
        <v>39</v>
      </c>
      <c r="S195" s="3" t="s">
        <v>38</v>
      </c>
      <c r="T195" s="3" t="s">
        <v>43</v>
      </c>
      <c r="U195" s="3"/>
      <c r="V195" s="3" t="s">
        <v>41</v>
      </c>
      <c r="W195" s="5">
        <v>1511.43</v>
      </c>
      <c r="X195" s="5">
        <v>1511.43</v>
      </c>
      <c r="Y195" s="3">
        <v>0</v>
      </c>
      <c r="Z195" s="3">
        <v>0</v>
      </c>
      <c r="AA195" s="3">
        <v>0</v>
      </c>
    </row>
    <row r="196" spans="1:27" ht="60.75" x14ac:dyDescent="0.25">
      <c r="A196" s="3" t="s">
        <v>28</v>
      </c>
      <c r="B196" s="3" t="s">
        <v>29</v>
      </c>
      <c r="C196" s="3" t="s">
        <v>30</v>
      </c>
      <c r="D196" s="3" t="s">
        <v>49</v>
      </c>
      <c r="E196" s="3" t="s">
        <v>74</v>
      </c>
      <c r="F196" s="3" t="s">
        <v>217</v>
      </c>
      <c r="G196" s="3">
        <v>2025</v>
      </c>
      <c r="H196" s="3" t="str">
        <f>CONCATENATE("54240541356")</f>
        <v>54240541356</v>
      </c>
      <c r="I196" s="3" t="s">
        <v>149</v>
      </c>
      <c r="J196" s="3" t="s">
        <v>35</v>
      </c>
      <c r="K196" s="3"/>
      <c r="L196" s="3" t="s">
        <v>36</v>
      </c>
      <c r="M196" s="3" t="str">
        <f>CONCATENATE("BRCMNO74P61E783E")</f>
        <v>BRCMNO74P61E783E</v>
      </c>
      <c r="N196" s="3" t="s">
        <v>299</v>
      </c>
      <c r="O196" s="3" t="s">
        <v>38</v>
      </c>
      <c r="P196" s="3"/>
      <c r="Q196" s="4">
        <v>45944</v>
      </c>
      <c r="R196" s="3" t="s">
        <v>39</v>
      </c>
      <c r="S196" s="3" t="s">
        <v>38</v>
      </c>
      <c r="T196" s="3" t="s">
        <v>43</v>
      </c>
      <c r="U196" s="3"/>
      <c r="V196" s="3" t="s">
        <v>41</v>
      </c>
      <c r="W196" s="5">
        <v>1451.01</v>
      </c>
      <c r="X196" s="5">
        <v>1451.01</v>
      </c>
      <c r="Y196" s="3">
        <v>0</v>
      </c>
      <c r="Z196" s="3">
        <v>0</v>
      </c>
      <c r="AA196" s="3">
        <v>0</v>
      </c>
    </row>
    <row r="197" spans="1:27" ht="60.75" x14ac:dyDescent="0.25">
      <c r="A197" s="3" t="s">
        <v>28</v>
      </c>
      <c r="B197" s="3" t="s">
        <v>29</v>
      </c>
      <c r="C197" s="3" t="s">
        <v>30</v>
      </c>
      <c r="D197" s="3" t="s">
        <v>31</v>
      </c>
      <c r="E197" s="3" t="s">
        <v>32</v>
      </c>
      <c r="F197" s="3" t="s">
        <v>153</v>
      </c>
      <c r="G197" s="3">
        <v>2025</v>
      </c>
      <c r="H197" s="3" t="str">
        <f>CONCATENATE("54240541364")</f>
        <v>54240541364</v>
      </c>
      <c r="I197" s="3" t="s">
        <v>34</v>
      </c>
      <c r="J197" s="3" t="s">
        <v>35</v>
      </c>
      <c r="K197" s="3"/>
      <c r="L197" s="3" t="s">
        <v>36</v>
      </c>
      <c r="M197" s="3" t="str">
        <f>CONCATENATE("GRRLRD47M08D749E")</f>
        <v>GRRLRD47M08D749E</v>
      </c>
      <c r="N197" s="3" t="s">
        <v>300</v>
      </c>
      <c r="O197" s="3" t="s">
        <v>38</v>
      </c>
      <c r="P197" s="3"/>
      <c r="Q197" s="4">
        <v>45944</v>
      </c>
      <c r="R197" s="3" t="s">
        <v>39</v>
      </c>
      <c r="S197" s="3" t="s">
        <v>38</v>
      </c>
      <c r="T197" s="3" t="s">
        <v>43</v>
      </c>
      <c r="U197" s="3"/>
      <c r="V197" s="3" t="s">
        <v>41</v>
      </c>
      <c r="W197" s="5">
        <v>2861.65</v>
      </c>
      <c r="X197" s="5">
        <v>2861.65</v>
      </c>
      <c r="Y197" s="3">
        <v>0</v>
      </c>
      <c r="Z197" s="3">
        <v>0</v>
      </c>
      <c r="AA197" s="3">
        <v>0</v>
      </c>
    </row>
    <row r="198" spans="1:27" ht="60.75" x14ac:dyDescent="0.25">
      <c r="A198" s="3" t="s">
        <v>28</v>
      </c>
      <c r="B198" s="3" t="s">
        <v>29</v>
      </c>
      <c r="C198" s="3" t="s">
        <v>30</v>
      </c>
      <c r="D198" s="3" t="s">
        <v>63</v>
      </c>
      <c r="E198" s="3" t="s">
        <v>53</v>
      </c>
      <c r="F198" s="3" t="s">
        <v>80</v>
      </c>
      <c r="G198" s="3">
        <v>2025</v>
      </c>
      <c r="H198" s="3" t="str">
        <f>CONCATENATE("54240541505")</f>
        <v>54240541505</v>
      </c>
      <c r="I198" s="3" t="s">
        <v>149</v>
      </c>
      <c r="J198" s="3" t="s">
        <v>35</v>
      </c>
      <c r="K198" s="3"/>
      <c r="L198" s="3" t="s">
        <v>36</v>
      </c>
      <c r="M198" s="3" t="str">
        <f>CONCATENATE("PRNDRN64A10G005C")</f>
        <v>PRNDRN64A10G005C</v>
      </c>
      <c r="N198" s="3" t="s">
        <v>301</v>
      </c>
      <c r="O198" s="3" t="s">
        <v>38</v>
      </c>
      <c r="P198" s="3"/>
      <c r="Q198" s="4">
        <v>45944</v>
      </c>
      <c r="R198" s="3" t="s">
        <v>39</v>
      </c>
      <c r="S198" s="3" t="s">
        <v>38</v>
      </c>
      <c r="T198" s="3" t="s">
        <v>43</v>
      </c>
      <c r="U198" s="3"/>
      <c r="V198" s="3" t="s">
        <v>41</v>
      </c>
      <c r="W198" s="5">
        <v>1827.43</v>
      </c>
      <c r="X198" s="5">
        <v>1827.43</v>
      </c>
      <c r="Y198" s="3">
        <v>0</v>
      </c>
      <c r="Z198" s="3">
        <v>0</v>
      </c>
      <c r="AA198" s="3">
        <v>0</v>
      </c>
    </row>
    <row r="199" spans="1:27" ht="36.75" x14ac:dyDescent="0.25">
      <c r="A199" s="3" t="s">
        <v>28</v>
      </c>
      <c r="B199" s="3" t="s">
        <v>29</v>
      </c>
      <c r="C199" s="3" t="s">
        <v>30</v>
      </c>
      <c r="D199" s="3" t="s">
        <v>63</v>
      </c>
      <c r="E199" s="3" t="s">
        <v>91</v>
      </c>
      <c r="F199" s="3" t="s">
        <v>94</v>
      </c>
      <c r="G199" s="3">
        <v>2025</v>
      </c>
      <c r="H199" s="3" t="str">
        <f>CONCATENATE("54240541901")</f>
        <v>54240541901</v>
      </c>
      <c r="I199" s="3" t="s">
        <v>34</v>
      </c>
      <c r="J199" s="3" t="s">
        <v>35</v>
      </c>
      <c r="K199" s="3"/>
      <c r="L199" s="3" t="s">
        <v>36</v>
      </c>
      <c r="M199" s="3" t="str">
        <f>CONCATENATE("02529290443")</f>
        <v>02529290443</v>
      </c>
      <c r="N199" s="3" t="s">
        <v>302</v>
      </c>
      <c r="O199" s="3" t="s">
        <v>38</v>
      </c>
      <c r="P199" s="3"/>
      <c r="Q199" s="4">
        <v>45944</v>
      </c>
      <c r="R199" s="3" t="s">
        <v>39</v>
      </c>
      <c r="S199" s="3" t="s">
        <v>38</v>
      </c>
      <c r="T199" s="3" t="s">
        <v>43</v>
      </c>
      <c r="U199" s="3"/>
      <c r="V199" s="3" t="s">
        <v>41</v>
      </c>
      <c r="W199" s="5">
        <v>1675.42</v>
      </c>
      <c r="X199" s="5">
        <v>1675.42</v>
      </c>
      <c r="Y199" s="3">
        <v>0</v>
      </c>
      <c r="Z199" s="3">
        <v>0</v>
      </c>
      <c r="AA199" s="3">
        <v>0</v>
      </c>
    </row>
    <row r="200" spans="1:27" ht="60.75" x14ac:dyDescent="0.25">
      <c r="A200" s="3" t="s">
        <v>28</v>
      </c>
      <c r="B200" s="3" t="s">
        <v>29</v>
      </c>
      <c r="C200" s="3" t="s">
        <v>30</v>
      </c>
      <c r="D200" s="3" t="s">
        <v>31</v>
      </c>
      <c r="E200" s="3" t="s">
        <v>53</v>
      </c>
      <c r="F200" s="3" t="s">
        <v>233</v>
      </c>
      <c r="G200" s="3">
        <v>2025</v>
      </c>
      <c r="H200" s="3" t="str">
        <f>CONCATENATE("54240542081")</f>
        <v>54240542081</v>
      </c>
      <c r="I200" s="3" t="s">
        <v>34</v>
      </c>
      <c r="J200" s="3" t="s">
        <v>35</v>
      </c>
      <c r="K200" s="3"/>
      <c r="L200" s="3" t="s">
        <v>36</v>
      </c>
      <c r="M200" s="3" t="str">
        <f>CONCATENATE("LSSLDN61E57L500H")</f>
        <v>LSSLDN61E57L500H</v>
      </c>
      <c r="N200" s="3" t="s">
        <v>303</v>
      </c>
      <c r="O200" s="3" t="s">
        <v>38</v>
      </c>
      <c r="P200" s="3"/>
      <c r="Q200" s="4">
        <v>45944</v>
      </c>
      <c r="R200" s="3" t="s">
        <v>39</v>
      </c>
      <c r="S200" s="3" t="s">
        <v>38</v>
      </c>
      <c r="T200" s="3" t="s">
        <v>43</v>
      </c>
      <c r="U200" s="3"/>
      <c r="V200" s="3" t="s">
        <v>41</v>
      </c>
      <c r="W200" s="5">
        <v>3458.03</v>
      </c>
      <c r="X200" s="5">
        <v>3458.03</v>
      </c>
      <c r="Y200" s="3">
        <v>0</v>
      </c>
      <c r="Z200" s="3">
        <v>0</v>
      </c>
      <c r="AA200" s="3">
        <v>0</v>
      </c>
    </row>
    <row r="201" spans="1:27" ht="36.75" x14ac:dyDescent="0.25">
      <c r="A201" s="3" t="s">
        <v>28</v>
      </c>
      <c r="B201" s="3" t="s">
        <v>29</v>
      </c>
      <c r="C201" s="3" t="s">
        <v>30</v>
      </c>
      <c r="D201" s="3" t="s">
        <v>49</v>
      </c>
      <c r="E201" s="3" t="s">
        <v>46</v>
      </c>
      <c r="F201" s="3" t="s">
        <v>205</v>
      </c>
      <c r="G201" s="3">
        <v>2025</v>
      </c>
      <c r="H201" s="3" t="str">
        <f>CONCATENATE("54240542610")</f>
        <v>54240542610</v>
      </c>
      <c r="I201" s="3" t="s">
        <v>34</v>
      </c>
      <c r="J201" s="3" t="s">
        <v>35</v>
      </c>
      <c r="K201" s="3"/>
      <c r="L201" s="3" t="s">
        <v>36</v>
      </c>
      <c r="M201" s="3" t="str">
        <f>CONCATENATE("02157760436")</f>
        <v>02157760436</v>
      </c>
      <c r="N201" s="3" t="s">
        <v>304</v>
      </c>
      <c r="O201" s="3" t="s">
        <v>38</v>
      </c>
      <c r="P201" s="3"/>
      <c r="Q201" s="4">
        <v>45944</v>
      </c>
      <c r="R201" s="3" t="s">
        <v>39</v>
      </c>
      <c r="S201" s="3" t="s">
        <v>38</v>
      </c>
      <c r="T201" s="3" t="s">
        <v>43</v>
      </c>
      <c r="U201" s="3"/>
      <c r="V201" s="3" t="s">
        <v>41</v>
      </c>
      <c r="W201" s="3">
        <v>847.48</v>
      </c>
      <c r="X201" s="3">
        <v>847.48</v>
      </c>
      <c r="Y201" s="3">
        <v>0</v>
      </c>
      <c r="Z201" s="3">
        <v>0</v>
      </c>
      <c r="AA201" s="3">
        <v>0</v>
      </c>
    </row>
    <row r="202" spans="1:27" ht="60.75" x14ac:dyDescent="0.25">
      <c r="A202" s="3" t="s">
        <v>28</v>
      </c>
      <c r="B202" s="3" t="s">
        <v>29</v>
      </c>
      <c r="C202" s="3" t="s">
        <v>30</v>
      </c>
      <c r="D202" s="3" t="s">
        <v>63</v>
      </c>
      <c r="E202" s="3" t="s">
        <v>53</v>
      </c>
      <c r="F202" s="3" t="s">
        <v>180</v>
      </c>
      <c r="G202" s="3">
        <v>2025</v>
      </c>
      <c r="H202" s="3" t="str">
        <f>CONCATENATE("54240542644")</f>
        <v>54240542644</v>
      </c>
      <c r="I202" s="3" t="s">
        <v>34</v>
      </c>
      <c r="J202" s="3" t="s">
        <v>35</v>
      </c>
      <c r="K202" s="3"/>
      <c r="L202" s="3" t="s">
        <v>36</v>
      </c>
      <c r="M202" s="3" t="str">
        <f>CONCATENATE("RSSGLC88A20H769C")</f>
        <v>RSSGLC88A20H769C</v>
      </c>
      <c r="N202" s="3" t="s">
        <v>305</v>
      </c>
      <c r="O202" s="3" t="s">
        <v>38</v>
      </c>
      <c r="P202" s="3"/>
      <c r="Q202" s="4">
        <v>45944</v>
      </c>
      <c r="R202" s="3" t="s">
        <v>39</v>
      </c>
      <c r="S202" s="3" t="s">
        <v>38</v>
      </c>
      <c r="T202" s="3" t="s">
        <v>43</v>
      </c>
      <c r="U202" s="3"/>
      <c r="V202" s="3" t="s">
        <v>41</v>
      </c>
      <c r="W202" s="5">
        <v>1835.61</v>
      </c>
      <c r="X202" s="5">
        <v>1835.61</v>
      </c>
      <c r="Y202" s="3">
        <v>0</v>
      </c>
      <c r="Z202" s="3">
        <v>0</v>
      </c>
      <c r="AA202" s="3">
        <v>0</v>
      </c>
    </row>
    <row r="203" spans="1:27" ht="60.75" x14ac:dyDescent="0.25">
      <c r="A203" s="3" t="s">
        <v>28</v>
      </c>
      <c r="B203" s="3" t="s">
        <v>29</v>
      </c>
      <c r="C203" s="3" t="s">
        <v>30</v>
      </c>
      <c r="D203" s="3" t="s">
        <v>31</v>
      </c>
      <c r="E203" s="3" t="s">
        <v>53</v>
      </c>
      <c r="F203" s="3" t="s">
        <v>306</v>
      </c>
      <c r="G203" s="3">
        <v>2025</v>
      </c>
      <c r="H203" s="3" t="str">
        <f>CONCATENATE("54240542818")</f>
        <v>54240542818</v>
      </c>
      <c r="I203" s="3" t="s">
        <v>34</v>
      </c>
      <c r="J203" s="3" t="s">
        <v>35</v>
      </c>
      <c r="K203" s="3"/>
      <c r="L203" s="3" t="s">
        <v>36</v>
      </c>
      <c r="M203" s="3" t="str">
        <f>CONCATENATE("PBBRNN44H59F497U")</f>
        <v>PBBRNN44H59F497U</v>
      </c>
      <c r="N203" s="3" t="s">
        <v>307</v>
      </c>
      <c r="O203" s="3" t="s">
        <v>38</v>
      </c>
      <c r="P203" s="3"/>
      <c r="Q203" s="4">
        <v>45944</v>
      </c>
      <c r="R203" s="3" t="s">
        <v>39</v>
      </c>
      <c r="S203" s="3" t="s">
        <v>38</v>
      </c>
      <c r="T203" s="3" t="s">
        <v>43</v>
      </c>
      <c r="U203" s="3"/>
      <c r="V203" s="3" t="s">
        <v>41</v>
      </c>
      <c r="W203" s="5">
        <v>1459.1</v>
      </c>
      <c r="X203" s="5">
        <v>1459.1</v>
      </c>
      <c r="Y203" s="3">
        <v>0</v>
      </c>
      <c r="Z203" s="3">
        <v>0</v>
      </c>
      <c r="AA203" s="3">
        <v>0</v>
      </c>
    </row>
    <row r="204" spans="1:27" ht="60.75" x14ac:dyDescent="0.25">
      <c r="A204" s="3" t="s">
        <v>28</v>
      </c>
      <c r="B204" s="3" t="s">
        <v>29</v>
      </c>
      <c r="C204" s="3" t="s">
        <v>30</v>
      </c>
      <c r="D204" s="3" t="s">
        <v>31</v>
      </c>
      <c r="E204" s="3" t="s">
        <v>53</v>
      </c>
      <c r="F204" s="3" t="s">
        <v>233</v>
      </c>
      <c r="G204" s="3">
        <v>2025</v>
      </c>
      <c r="H204" s="3" t="str">
        <f>CONCATENATE("54240543071")</f>
        <v>54240543071</v>
      </c>
      <c r="I204" s="3" t="s">
        <v>34</v>
      </c>
      <c r="J204" s="3" t="s">
        <v>35</v>
      </c>
      <c r="K204" s="3"/>
      <c r="L204" s="3" t="s">
        <v>36</v>
      </c>
      <c r="M204" s="3" t="str">
        <f>CONCATENATE("CVLFRZ67S28D007O")</f>
        <v>CVLFRZ67S28D007O</v>
      </c>
      <c r="N204" s="3" t="s">
        <v>308</v>
      </c>
      <c r="O204" s="3" t="s">
        <v>38</v>
      </c>
      <c r="P204" s="3"/>
      <c r="Q204" s="4">
        <v>45944</v>
      </c>
      <c r="R204" s="3" t="s">
        <v>39</v>
      </c>
      <c r="S204" s="3" t="s">
        <v>38</v>
      </c>
      <c r="T204" s="3" t="s">
        <v>43</v>
      </c>
      <c r="U204" s="3"/>
      <c r="V204" s="3" t="s">
        <v>41</v>
      </c>
      <c r="W204" s="5">
        <v>3199.3</v>
      </c>
      <c r="X204" s="5">
        <v>3199.3</v>
      </c>
      <c r="Y204" s="3">
        <v>0</v>
      </c>
      <c r="Z204" s="3">
        <v>0</v>
      </c>
      <c r="AA204" s="3">
        <v>0</v>
      </c>
    </row>
    <row r="205" spans="1:27" ht="60.75" x14ac:dyDescent="0.25">
      <c r="A205" s="3" t="s">
        <v>28</v>
      </c>
      <c r="B205" s="3" t="s">
        <v>29</v>
      </c>
      <c r="C205" s="3" t="s">
        <v>30</v>
      </c>
      <c r="D205" s="3" t="s">
        <v>63</v>
      </c>
      <c r="E205" s="3" t="s">
        <v>53</v>
      </c>
      <c r="F205" s="3" t="s">
        <v>80</v>
      </c>
      <c r="G205" s="3">
        <v>2025</v>
      </c>
      <c r="H205" s="3" t="str">
        <f>CONCATENATE("54240543196")</f>
        <v>54240543196</v>
      </c>
      <c r="I205" s="3" t="s">
        <v>34</v>
      </c>
      <c r="J205" s="3" t="s">
        <v>35</v>
      </c>
      <c r="K205" s="3"/>
      <c r="L205" s="3" t="s">
        <v>36</v>
      </c>
      <c r="M205" s="3" t="str">
        <f>CONCATENATE("STCRSN62A46F501D")</f>
        <v>STCRSN62A46F501D</v>
      </c>
      <c r="N205" s="3" t="s">
        <v>309</v>
      </c>
      <c r="O205" s="3" t="s">
        <v>38</v>
      </c>
      <c r="P205" s="3"/>
      <c r="Q205" s="4">
        <v>45944</v>
      </c>
      <c r="R205" s="3" t="s">
        <v>39</v>
      </c>
      <c r="S205" s="3" t="s">
        <v>38</v>
      </c>
      <c r="T205" s="3" t="s">
        <v>43</v>
      </c>
      <c r="U205" s="3"/>
      <c r="V205" s="3" t="s">
        <v>41</v>
      </c>
      <c r="W205" s="5">
        <v>5835.78</v>
      </c>
      <c r="X205" s="5">
        <v>5835.78</v>
      </c>
      <c r="Y205" s="3">
        <v>0</v>
      </c>
      <c r="Z205" s="3">
        <v>0</v>
      </c>
      <c r="AA205" s="3">
        <v>0</v>
      </c>
    </row>
    <row r="206" spans="1:27" ht="72.75" x14ac:dyDescent="0.25">
      <c r="A206" s="3" t="s">
        <v>28</v>
      </c>
      <c r="B206" s="3" t="s">
        <v>29</v>
      </c>
      <c r="C206" s="3" t="s">
        <v>30</v>
      </c>
      <c r="D206" s="3" t="s">
        <v>63</v>
      </c>
      <c r="E206" s="3" t="s">
        <v>64</v>
      </c>
      <c r="F206" s="3" t="s">
        <v>65</v>
      </c>
      <c r="G206" s="3">
        <v>2025</v>
      </c>
      <c r="H206" s="3" t="str">
        <f>CONCATENATE("54240646346")</f>
        <v>54240646346</v>
      </c>
      <c r="I206" s="3" t="s">
        <v>34</v>
      </c>
      <c r="J206" s="3" t="s">
        <v>35</v>
      </c>
      <c r="K206" s="3"/>
      <c r="L206" s="3" t="s">
        <v>36</v>
      </c>
      <c r="M206" s="3" t="str">
        <f>CONCATENATE("CNDMDE61M21G005A")</f>
        <v>CNDMDE61M21G005A</v>
      </c>
      <c r="N206" s="3" t="s">
        <v>310</v>
      </c>
      <c r="O206" s="3" t="s">
        <v>38</v>
      </c>
      <c r="P206" s="3"/>
      <c r="Q206" s="4">
        <v>45944</v>
      </c>
      <c r="R206" s="3" t="s">
        <v>39</v>
      </c>
      <c r="S206" s="3" t="s">
        <v>38</v>
      </c>
      <c r="T206" s="3" t="s">
        <v>43</v>
      </c>
      <c r="U206" s="3"/>
      <c r="V206" s="3" t="s">
        <v>41</v>
      </c>
      <c r="W206" s="5">
        <v>6696.78</v>
      </c>
      <c r="X206" s="5">
        <v>6696.78</v>
      </c>
      <c r="Y206" s="3">
        <v>0</v>
      </c>
      <c r="Z206" s="3">
        <v>0</v>
      </c>
      <c r="AA206" s="3">
        <v>0</v>
      </c>
    </row>
    <row r="207" spans="1:27" ht="60.75" x14ac:dyDescent="0.25">
      <c r="A207" s="3" t="s">
        <v>28</v>
      </c>
      <c r="B207" s="3" t="s">
        <v>29</v>
      </c>
      <c r="C207" s="3" t="s">
        <v>30</v>
      </c>
      <c r="D207" s="3" t="s">
        <v>63</v>
      </c>
      <c r="E207" s="3" t="s">
        <v>64</v>
      </c>
      <c r="F207" s="3" t="s">
        <v>65</v>
      </c>
      <c r="G207" s="3">
        <v>2025</v>
      </c>
      <c r="H207" s="3" t="str">
        <f>CONCATENATE("54240646486")</f>
        <v>54240646486</v>
      </c>
      <c r="I207" s="3" t="s">
        <v>34</v>
      </c>
      <c r="J207" s="3" t="s">
        <v>35</v>
      </c>
      <c r="K207" s="3"/>
      <c r="L207" s="3" t="s">
        <v>36</v>
      </c>
      <c r="M207" s="3" t="str">
        <f>CONCATENATE("DSLNTN61D16F415G")</f>
        <v>DSLNTN61D16F415G</v>
      </c>
      <c r="N207" s="3" t="s">
        <v>311</v>
      </c>
      <c r="O207" s="3" t="s">
        <v>38</v>
      </c>
      <c r="P207" s="3"/>
      <c r="Q207" s="4">
        <v>45944</v>
      </c>
      <c r="R207" s="3" t="s">
        <v>39</v>
      </c>
      <c r="S207" s="3" t="s">
        <v>38</v>
      </c>
      <c r="T207" s="3" t="s">
        <v>43</v>
      </c>
      <c r="U207" s="3"/>
      <c r="V207" s="3" t="s">
        <v>41</v>
      </c>
      <c r="W207" s="5">
        <v>2694.2</v>
      </c>
      <c r="X207" s="5">
        <v>2694.2</v>
      </c>
      <c r="Y207" s="3">
        <v>0</v>
      </c>
      <c r="Z207" s="3">
        <v>0</v>
      </c>
      <c r="AA207" s="3">
        <v>0</v>
      </c>
    </row>
    <row r="208" spans="1:27" ht="60.75" x14ac:dyDescent="0.25">
      <c r="A208" s="3" t="s">
        <v>28</v>
      </c>
      <c r="B208" s="3" t="s">
        <v>29</v>
      </c>
      <c r="C208" s="3" t="s">
        <v>30</v>
      </c>
      <c r="D208" s="3" t="s">
        <v>63</v>
      </c>
      <c r="E208" s="3" t="s">
        <v>64</v>
      </c>
      <c r="F208" s="3" t="s">
        <v>65</v>
      </c>
      <c r="G208" s="3">
        <v>2025</v>
      </c>
      <c r="H208" s="3" t="str">
        <f>CONCATENATE("54240645694")</f>
        <v>54240645694</v>
      </c>
      <c r="I208" s="3" t="s">
        <v>34</v>
      </c>
      <c r="J208" s="3" t="s">
        <v>35</v>
      </c>
      <c r="K208" s="3"/>
      <c r="L208" s="3" t="s">
        <v>36</v>
      </c>
      <c r="M208" s="3" t="str">
        <f>CONCATENATE("DGSPIO61D07D643M")</f>
        <v>DGSPIO61D07D643M</v>
      </c>
      <c r="N208" s="3" t="s">
        <v>312</v>
      </c>
      <c r="O208" s="3" t="s">
        <v>38</v>
      </c>
      <c r="P208" s="3"/>
      <c r="Q208" s="4">
        <v>45944</v>
      </c>
      <c r="R208" s="3" t="s">
        <v>39</v>
      </c>
      <c r="S208" s="3" t="s">
        <v>38</v>
      </c>
      <c r="T208" s="3" t="s">
        <v>43</v>
      </c>
      <c r="U208" s="3"/>
      <c r="V208" s="3" t="s">
        <v>41</v>
      </c>
      <c r="W208" s="3">
        <v>505.3</v>
      </c>
      <c r="X208" s="3">
        <v>505.3</v>
      </c>
      <c r="Y208" s="3">
        <v>0</v>
      </c>
      <c r="Z208" s="3">
        <v>0</v>
      </c>
      <c r="AA208" s="3">
        <v>0</v>
      </c>
    </row>
    <row r="209" spans="1:27" ht="60.75" x14ac:dyDescent="0.25">
      <c r="A209" s="3" t="s">
        <v>28</v>
      </c>
      <c r="B209" s="3" t="s">
        <v>29</v>
      </c>
      <c r="C209" s="3" t="s">
        <v>30</v>
      </c>
      <c r="D209" s="3" t="s">
        <v>63</v>
      </c>
      <c r="E209" s="3" t="s">
        <v>64</v>
      </c>
      <c r="F209" s="3" t="s">
        <v>65</v>
      </c>
      <c r="G209" s="3">
        <v>2025</v>
      </c>
      <c r="H209" s="3" t="str">
        <f>CONCATENATE("54240646551")</f>
        <v>54240646551</v>
      </c>
      <c r="I209" s="3" t="s">
        <v>34</v>
      </c>
      <c r="J209" s="3" t="s">
        <v>35</v>
      </c>
      <c r="K209" s="3"/>
      <c r="L209" s="3" t="s">
        <v>36</v>
      </c>
      <c r="M209" s="3" t="str">
        <f>CONCATENATE("GDCFPP65E25G005G")</f>
        <v>GDCFPP65E25G005G</v>
      </c>
      <c r="N209" s="3" t="s">
        <v>313</v>
      </c>
      <c r="O209" s="3" t="s">
        <v>38</v>
      </c>
      <c r="P209" s="3"/>
      <c r="Q209" s="4">
        <v>45944</v>
      </c>
      <c r="R209" s="3" t="s">
        <v>39</v>
      </c>
      <c r="S209" s="3" t="s">
        <v>38</v>
      </c>
      <c r="T209" s="3" t="s">
        <v>43</v>
      </c>
      <c r="U209" s="3"/>
      <c r="V209" s="3" t="s">
        <v>41</v>
      </c>
      <c r="W209" s="3">
        <v>942.77</v>
      </c>
      <c r="X209" s="3">
        <v>942.77</v>
      </c>
      <c r="Y209" s="3">
        <v>0</v>
      </c>
      <c r="Z209" s="3">
        <v>0</v>
      </c>
      <c r="AA209" s="3">
        <v>0</v>
      </c>
    </row>
    <row r="210" spans="1:27" ht="60.75" x14ac:dyDescent="0.25">
      <c r="A210" s="3" t="s">
        <v>28</v>
      </c>
      <c r="B210" s="3" t="s">
        <v>29</v>
      </c>
      <c r="C210" s="3" t="s">
        <v>30</v>
      </c>
      <c r="D210" s="3" t="s">
        <v>31</v>
      </c>
      <c r="E210" s="3" t="s">
        <v>32</v>
      </c>
      <c r="F210" s="3" t="s">
        <v>153</v>
      </c>
      <c r="G210" s="3">
        <v>2025</v>
      </c>
      <c r="H210" s="3" t="str">
        <f>CONCATENATE("54240543956")</f>
        <v>54240543956</v>
      </c>
      <c r="I210" s="3" t="s">
        <v>34</v>
      </c>
      <c r="J210" s="3" t="s">
        <v>35</v>
      </c>
      <c r="K210" s="3"/>
      <c r="L210" s="3" t="s">
        <v>36</v>
      </c>
      <c r="M210" s="3" t="str">
        <f>CONCATENATE("SFGDNL89L24D488S")</f>
        <v>SFGDNL89L24D488S</v>
      </c>
      <c r="N210" s="3" t="s">
        <v>314</v>
      </c>
      <c r="O210" s="3" t="s">
        <v>38</v>
      </c>
      <c r="P210" s="3"/>
      <c r="Q210" s="4">
        <v>45944</v>
      </c>
      <c r="R210" s="3" t="s">
        <v>39</v>
      </c>
      <c r="S210" s="3" t="s">
        <v>38</v>
      </c>
      <c r="T210" s="3" t="s">
        <v>43</v>
      </c>
      <c r="U210" s="3"/>
      <c r="V210" s="3" t="s">
        <v>41</v>
      </c>
      <c r="W210" s="3">
        <v>920.66</v>
      </c>
      <c r="X210" s="3">
        <v>920.66</v>
      </c>
      <c r="Y210" s="3">
        <v>0</v>
      </c>
      <c r="Z210" s="3">
        <v>0</v>
      </c>
      <c r="AA210" s="3">
        <v>0</v>
      </c>
    </row>
    <row r="211" spans="1:27" ht="60.75" x14ac:dyDescent="0.25">
      <c r="A211" s="3" t="s">
        <v>28</v>
      </c>
      <c r="B211" s="3" t="s">
        <v>29</v>
      </c>
      <c r="C211" s="3" t="s">
        <v>30</v>
      </c>
      <c r="D211" s="3" t="s">
        <v>49</v>
      </c>
      <c r="E211" s="3" t="s">
        <v>46</v>
      </c>
      <c r="F211" s="3" t="s">
        <v>131</v>
      </c>
      <c r="G211" s="3">
        <v>2025</v>
      </c>
      <c r="H211" s="3" t="str">
        <f>CONCATENATE("54240544988")</f>
        <v>54240544988</v>
      </c>
      <c r="I211" s="3" t="s">
        <v>34</v>
      </c>
      <c r="J211" s="3" t="s">
        <v>35</v>
      </c>
      <c r="K211" s="3"/>
      <c r="L211" s="3" t="s">
        <v>36</v>
      </c>
      <c r="M211" s="3" t="str">
        <f>CONCATENATE("GTTDNC48H24B398Y")</f>
        <v>GTTDNC48H24B398Y</v>
      </c>
      <c r="N211" s="3" t="s">
        <v>315</v>
      </c>
      <c r="O211" s="3" t="s">
        <v>38</v>
      </c>
      <c r="P211" s="3"/>
      <c r="Q211" s="4">
        <v>45944</v>
      </c>
      <c r="R211" s="3" t="s">
        <v>39</v>
      </c>
      <c r="S211" s="3" t="s">
        <v>38</v>
      </c>
      <c r="T211" s="3" t="s">
        <v>43</v>
      </c>
      <c r="U211" s="3"/>
      <c r="V211" s="3" t="s">
        <v>41</v>
      </c>
      <c r="W211" s="5">
        <v>4546.3100000000004</v>
      </c>
      <c r="X211" s="5">
        <v>4546.3100000000004</v>
      </c>
      <c r="Y211" s="3">
        <v>0</v>
      </c>
      <c r="Z211" s="3">
        <v>0</v>
      </c>
      <c r="AA211" s="3">
        <v>0</v>
      </c>
    </row>
    <row r="212" spans="1:27" ht="72.75" x14ac:dyDescent="0.25">
      <c r="A212" s="3" t="s">
        <v>28</v>
      </c>
      <c r="B212" s="3" t="s">
        <v>29</v>
      </c>
      <c r="C212" s="3" t="s">
        <v>30</v>
      </c>
      <c r="D212" s="3" t="s">
        <v>31</v>
      </c>
      <c r="E212" s="3" t="s">
        <v>53</v>
      </c>
      <c r="F212" s="3" t="s">
        <v>233</v>
      </c>
      <c r="G212" s="3">
        <v>2025</v>
      </c>
      <c r="H212" s="3" t="str">
        <f>CONCATENATE("54240602455")</f>
        <v>54240602455</v>
      </c>
      <c r="I212" s="3" t="s">
        <v>34</v>
      </c>
      <c r="J212" s="3" t="s">
        <v>35</v>
      </c>
      <c r="K212" s="3"/>
      <c r="L212" s="3" t="s">
        <v>36</v>
      </c>
      <c r="M212" s="3" t="str">
        <f>CONCATENATE("GRLDMA87R07D488R")</f>
        <v>GRLDMA87R07D488R</v>
      </c>
      <c r="N212" s="3" t="s">
        <v>316</v>
      </c>
      <c r="O212" s="3" t="s">
        <v>38</v>
      </c>
      <c r="P212" s="3"/>
      <c r="Q212" s="4">
        <v>45944</v>
      </c>
      <c r="R212" s="3" t="s">
        <v>39</v>
      </c>
      <c r="S212" s="3" t="s">
        <v>38</v>
      </c>
      <c r="T212" s="3" t="s">
        <v>43</v>
      </c>
      <c r="U212" s="3"/>
      <c r="V212" s="3" t="s">
        <v>41</v>
      </c>
      <c r="W212" s="5">
        <v>1505.02</v>
      </c>
      <c r="X212" s="5">
        <v>1505.02</v>
      </c>
      <c r="Y212" s="3">
        <v>0</v>
      </c>
      <c r="Z212" s="3">
        <v>0</v>
      </c>
      <c r="AA212" s="3">
        <v>0</v>
      </c>
    </row>
    <row r="213" spans="1:27" ht="60.75" x14ac:dyDescent="0.25">
      <c r="A213" s="3" t="s">
        <v>28</v>
      </c>
      <c r="B213" s="3" t="s">
        <v>29</v>
      </c>
      <c r="C213" s="3" t="s">
        <v>30</v>
      </c>
      <c r="D213" s="3" t="s">
        <v>58</v>
      </c>
      <c r="E213" s="3" t="s">
        <v>32</v>
      </c>
      <c r="F213" s="3" t="s">
        <v>239</v>
      </c>
      <c r="G213" s="3">
        <v>2025</v>
      </c>
      <c r="H213" s="3" t="str">
        <f>CONCATENATE("54240545928")</f>
        <v>54240545928</v>
      </c>
      <c r="I213" s="3" t="s">
        <v>34</v>
      </c>
      <c r="J213" s="3" t="s">
        <v>35</v>
      </c>
      <c r="K213" s="3"/>
      <c r="L213" s="3" t="s">
        <v>36</v>
      </c>
      <c r="M213" s="3" t="str">
        <f>CONCATENATE("RSSRFL54B08A626R")</f>
        <v>RSSRFL54B08A626R</v>
      </c>
      <c r="N213" s="3" t="s">
        <v>317</v>
      </c>
      <c r="O213" s="3" t="s">
        <v>38</v>
      </c>
      <c r="P213" s="3"/>
      <c r="Q213" s="4">
        <v>45944</v>
      </c>
      <c r="R213" s="3" t="s">
        <v>39</v>
      </c>
      <c r="S213" s="3" t="s">
        <v>38</v>
      </c>
      <c r="T213" s="3" t="s">
        <v>43</v>
      </c>
      <c r="U213" s="3"/>
      <c r="V213" s="3" t="s">
        <v>41</v>
      </c>
      <c r="W213" s="5">
        <v>3144.61</v>
      </c>
      <c r="X213" s="5">
        <v>3144.61</v>
      </c>
      <c r="Y213" s="3">
        <v>0</v>
      </c>
      <c r="Z213" s="3">
        <v>0</v>
      </c>
      <c r="AA213" s="3">
        <v>0</v>
      </c>
    </row>
    <row r="214" spans="1:27" ht="36.75" x14ac:dyDescent="0.25">
      <c r="A214" s="3" t="s">
        <v>28</v>
      </c>
      <c r="B214" s="3" t="s">
        <v>29</v>
      </c>
      <c r="C214" s="3" t="s">
        <v>30</v>
      </c>
      <c r="D214" s="3" t="s">
        <v>31</v>
      </c>
      <c r="E214" s="3" t="s">
        <v>91</v>
      </c>
      <c r="F214" s="3" t="s">
        <v>111</v>
      </c>
      <c r="G214" s="3">
        <v>2025</v>
      </c>
      <c r="H214" s="3" t="str">
        <f>CONCATENATE("54240547247")</f>
        <v>54240547247</v>
      </c>
      <c r="I214" s="3" t="s">
        <v>34</v>
      </c>
      <c r="J214" s="3" t="s">
        <v>35</v>
      </c>
      <c r="K214" s="3"/>
      <c r="L214" s="3" t="s">
        <v>36</v>
      </c>
      <c r="M214" s="3" t="str">
        <f>CONCATENATE("02111690414")</f>
        <v>02111690414</v>
      </c>
      <c r="N214" s="3" t="s">
        <v>318</v>
      </c>
      <c r="O214" s="3" t="s">
        <v>38</v>
      </c>
      <c r="P214" s="3"/>
      <c r="Q214" s="4">
        <v>45944</v>
      </c>
      <c r="R214" s="3" t="s">
        <v>39</v>
      </c>
      <c r="S214" s="3" t="s">
        <v>38</v>
      </c>
      <c r="T214" s="3" t="s">
        <v>43</v>
      </c>
      <c r="U214" s="3"/>
      <c r="V214" s="3" t="s">
        <v>41</v>
      </c>
      <c r="W214" s="5">
        <v>3313.57</v>
      </c>
      <c r="X214" s="5">
        <v>3313.57</v>
      </c>
      <c r="Y214" s="3">
        <v>0</v>
      </c>
      <c r="Z214" s="3">
        <v>0</v>
      </c>
      <c r="AA214" s="3">
        <v>0</v>
      </c>
    </row>
    <row r="215" spans="1:27" ht="60.75" x14ac:dyDescent="0.25">
      <c r="A215" s="3" t="s">
        <v>28</v>
      </c>
      <c r="B215" s="3" t="s">
        <v>29</v>
      </c>
      <c r="C215" s="3" t="s">
        <v>30</v>
      </c>
      <c r="D215" s="3" t="s">
        <v>63</v>
      </c>
      <c r="E215" s="3" t="s">
        <v>64</v>
      </c>
      <c r="F215" s="3" t="s">
        <v>65</v>
      </c>
      <c r="G215" s="3">
        <v>2025</v>
      </c>
      <c r="H215" s="3" t="str">
        <f>CONCATENATE("54240646460")</f>
        <v>54240646460</v>
      </c>
      <c r="I215" s="3" t="s">
        <v>34</v>
      </c>
      <c r="J215" s="3" t="s">
        <v>35</v>
      </c>
      <c r="K215" s="3"/>
      <c r="L215" s="3" t="s">
        <v>36</v>
      </c>
      <c r="M215" s="3" t="str">
        <f>CONCATENATE("CRRMHL00H06H769Y")</f>
        <v>CRRMHL00H06H769Y</v>
      </c>
      <c r="N215" s="3" t="s">
        <v>319</v>
      </c>
      <c r="O215" s="3" t="s">
        <v>38</v>
      </c>
      <c r="P215" s="3"/>
      <c r="Q215" s="4">
        <v>45944</v>
      </c>
      <c r="R215" s="3" t="s">
        <v>39</v>
      </c>
      <c r="S215" s="3" t="s">
        <v>38</v>
      </c>
      <c r="T215" s="3" t="s">
        <v>43</v>
      </c>
      <c r="U215" s="3"/>
      <c r="V215" s="3" t="s">
        <v>41</v>
      </c>
      <c r="W215" s="5">
        <v>1872.07</v>
      </c>
      <c r="X215" s="5">
        <v>1872.07</v>
      </c>
      <c r="Y215" s="3">
        <v>0</v>
      </c>
      <c r="Z215" s="3">
        <v>0</v>
      </c>
      <c r="AA215" s="3">
        <v>0</v>
      </c>
    </row>
    <row r="216" spans="1:27" ht="36.75" x14ac:dyDescent="0.25">
      <c r="A216" s="3" t="s">
        <v>28</v>
      </c>
      <c r="B216" s="3" t="s">
        <v>29</v>
      </c>
      <c r="C216" s="3" t="s">
        <v>30</v>
      </c>
      <c r="D216" s="3" t="s">
        <v>49</v>
      </c>
      <c r="E216" s="3" t="s">
        <v>46</v>
      </c>
      <c r="F216" s="3" t="s">
        <v>205</v>
      </c>
      <c r="G216" s="3">
        <v>2025</v>
      </c>
      <c r="H216" s="3" t="str">
        <f>CONCATENATE("54240548435")</f>
        <v>54240548435</v>
      </c>
      <c r="I216" s="3" t="s">
        <v>34</v>
      </c>
      <c r="J216" s="3" t="s">
        <v>35</v>
      </c>
      <c r="K216" s="3"/>
      <c r="L216" s="3" t="s">
        <v>36</v>
      </c>
      <c r="M216" s="3" t="str">
        <f>CONCATENATE("02366730444")</f>
        <v>02366730444</v>
      </c>
      <c r="N216" s="3" t="s">
        <v>320</v>
      </c>
      <c r="O216" s="3" t="s">
        <v>38</v>
      </c>
      <c r="P216" s="3"/>
      <c r="Q216" s="4">
        <v>45944</v>
      </c>
      <c r="R216" s="3" t="s">
        <v>39</v>
      </c>
      <c r="S216" s="3" t="s">
        <v>38</v>
      </c>
      <c r="T216" s="3" t="s">
        <v>43</v>
      </c>
      <c r="U216" s="3"/>
      <c r="V216" s="3" t="s">
        <v>41</v>
      </c>
      <c r="W216" s="3">
        <v>469.72</v>
      </c>
      <c r="X216" s="3">
        <v>469.72</v>
      </c>
      <c r="Y216" s="3">
        <v>0</v>
      </c>
      <c r="Z216" s="3">
        <v>0</v>
      </c>
      <c r="AA216" s="3">
        <v>0</v>
      </c>
    </row>
    <row r="217" spans="1:27" ht="60.75" x14ac:dyDescent="0.25">
      <c r="A217" s="3" t="s">
        <v>28</v>
      </c>
      <c r="B217" s="3" t="s">
        <v>29</v>
      </c>
      <c r="C217" s="3" t="s">
        <v>30</v>
      </c>
      <c r="D217" s="3" t="s">
        <v>31</v>
      </c>
      <c r="E217" s="3" t="s">
        <v>53</v>
      </c>
      <c r="F217" s="3" t="s">
        <v>172</v>
      </c>
      <c r="G217" s="3">
        <v>2025</v>
      </c>
      <c r="H217" s="3" t="str">
        <f>CONCATENATE("54240549730")</f>
        <v>54240549730</v>
      </c>
      <c r="I217" s="3" t="s">
        <v>34</v>
      </c>
      <c r="J217" s="3" t="s">
        <v>35</v>
      </c>
      <c r="K217" s="3"/>
      <c r="L217" s="3" t="s">
        <v>36</v>
      </c>
      <c r="M217" s="3" t="str">
        <f>CONCATENATE("BRFVNI49S60F589H")</f>
        <v>BRFVNI49S60F589H</v>
      </c>
      <c r="N217" s="3" t="s">
        <v>321</v>
      </c>
      <c r="O217" s="3" t="s">
        <v>38</v>
      </c>
      <c r="P217" s="3"/>
      <c r="Q217" s="4">
        <v>45944</v>
      </c>
      <c r="R217" s="3" t="s">
        <v>39</v>
      </c>
      <c r="S217" s="3" t="s">
        <v>38</v>
      </c>
      <c r="T217" s="3" t="s">
        <v>43</v>
      </c>
      <c r="U217" s="3"/>
      <c r="V217" s="3" t="s">
        <v>41</v>
      </c>
      <c r="W217" s="3">
        <v>821.12</v>
      </c>
      <c r="X217" s="3">
        <v>821.12</v>
      </c>
      <c r="Y217" s="3">
        <v>0</v>
      </c>
      <c r="Z217" s="3">
        <v>0</v>
      </c>
      <c r="AA217" s="3">
        <v>0</v>
      </c>
    </row>
    <row r="218" spans="1:27" ht="60.75" x14ac:dyDescent="0.25">
      <c r="A218" s="3" t="s">
        <v>28</v>
      </c>
      <c r="B218" s="3" t="s">
        <v>29</v>
      </c>
      <c r="C218" s="3" t="s">
        <v>30</v>
      </c>
      <c r="D218" s="3" t="s">
        <v>49</v>
      </c>
      <c r="E218" s="3" t="s">
        <v>32</v>
      </c>
      <c r="F218" s="3" t="s">
        <v>78</v>
      </c>
      <c r="G218" s="3">
        <v>2025</v>
      </c>
      <c r="H218" s="3" t="str">
        <f>CONCATENATE("54240551207")</f>
        <v>54240551207</v>
      </c>
      <c r="I218" s="3" t="s">
        <v>34</v>
      </c>
      <c r="J218" s="3" t="s">
        <v>35</v>
      </c>
      <c r="K218" s="3"/>
      <c r="L218" s="3" t="s">
        <v>36</v>
      </c>
      <c r="M218" s="3" t="str">
        <f>CONCATENATE("RVRGNN49C02F051L")</f>
        <v>RVRGNN49C02F051L</v>
      </c>
      <c r="N218" s="3" t="s">
        <v>322</v>
      </c>
      <c r="O218" s="3" t="s">
        <v>38</v>
      </c>
      <c r="P218" s="3"/>
      <c r="Q218" s="4">
        <v>45944</v>
      </c>
      <c r="R218" s="3" t="s">
        <v>39</v>
      </c>
      <c r="S218" s="3" t="s">
        <v>38</v>
      </c>
      <c r="T218" s="3" t="s">
        <v>43</v>
      </c>
      <c r="U218" s="3"/>
      <c r="V218" s="3" t="s">
        <v>41</v>
      </c>
      <c r="W218" s="5">
        <v>2387.4</v>
      </c>
      <c r="X218" s="5">
        <v>2387.4</v>
      </c>
      <c r="Y218" s="3">
        <v>0</v>
      </c>
      <c r="Z218" s="3">
        <v>0</v>
      </c>
      <c r="AA218" s="3">
        <v>0</v>
      </c>
    </row>
    <row r="219" spans="1:27" ht="60.75" x14ac:dyDescent="0.25">
      <c r="A219" s="3" t="s">
        <v>28</v>
      </c>
      <c r="B219" s="3" t="s">
        <v>29</v>
      </c>
      <c r="C219" s="3" t="s">
        <v>30</v>
      </c>
      <c r="D219" s="3" t="s">
        <v>58</v>
      </c>
      <c r="E219" s="3" t="s">
        <v>32</v>
      </c>
      <c r="F219" s="3" t="s">
        <v>102</v>
      </c>
      <c r="G219" s="3">
        <v>2025</v>
      </c>
      <c r="H219" s="3" t="str">
        <f>CONCATENATE("54240550167")</f>
        <v>54240550167</v>
      </c>
      <c r="I219" s="3" t="s">
        <v>34</v>
      </c>
      <c r="J219" s="3" t="s">
        <v>35</v>
      </c>
      <c r="K219" s="3"/>
      <c r="L219" s="3" t="s">
        <v>36</v>
      </c>
      <c r="M219" s="3" t="str">
        <f>CONCATENATE("GMPGPP51L27A271Z")</f>
        <v>GMPGPP51L27A271Z</v>
      </c>
      <c r="N219" s="3" t="s">
        <v>323</v>
      </c>
      <c r="O219" s="3" t="s">
        <v>38</v>
      </c>
      <c r="P219" s="3"/>
      <c r="Q219" s="4">
        <v>45944</v>
      </c>
      <c r="R219" s="3" t="s">
        <v>39</v>
      </c>
      <c r="S219" s="3" t="s">
        <v>38</v>
      </c>
      <c r="T219" s="3" t="s">
        <v>43</v>
      </c>
      <c r="U219" s="3"/>
      <c r="V219" s="3" t="s">
        <v>41</v>
      </c>
      <c r="W219" s="5">
        <v>2234.0500000000002</v>
      </c>
      <c r="X219" s="5">
        <v>2234.0500000000002</v>
      </c>
      <c r="Y219" s="3">
        <v>0</v>
      </c>
      <c r="Z219" s="3">
        <v>0</v>
      </c>
      <c r="AA219" s="3">
        <v>0</v>
      </c>
    </row>
    <row r="220" spans="1:27" ht="60.75" x14ac:dyDescent="0.25">
      <c r="A220" s="3" t="s">
        <v>28</v>
      </c>
      <c r="B220" s="3" t="s">
        <v>29</v>
      </c>
      <c r="C220" s="3" t="s">
        <v>30</v>
      </c>
      <c r="D220" s="3" t="s">
        <v>49</v>
      </c>
      <c r="E220" s="3" t="s">
        <v>32</v>
      </c>
      <c r="F220" s="3" t="s">
        <v>78</v>
      </c>
      <c r="G220" s="3">
        <v>2025</v>
      </c>
      <c r="H220" s="3" t="str">
        <f>CONCATENATE("54240550241")</f>
        <v>54240550241</v>
      </c>
      <c r="I220" s="3" t="s">
        <v>34</v>
      </c>
      <c r="J220" s="3" t="s">
        <v>35</v>
      </c>
      <c r="K220" s="3"/>
      <c r="L220" s="3" t="s">
        <v>36</v>
      </c>
      <c r="M220" s="3" t="str">
        <f>CONCATENATE("DVNLSN60C26I726H")</f>
        <v>DVNLSN60C26I726H</v>
      </c>
      <c r="N220" s="3" t="s">
        <v>324</v>
      </c>
      <c r="O220" s="3" t="s">
        <v>38</v>
      </c>
      <c r="P220" s="3"/>
      <c r="Q220" s="4">
        <v>45944</v>
      </c>
      <c r="R220" s="3" t="s">
        <v>39</v>
      </c>
      <c r="S220" s="3" t="s">
        <v>38</v>
      </c>
      <c r="T220" s="3" t="s">
        <v>43</v>
      </c>
      <c r="U220" s="3"/>
      <c r="V220" s="3" t="s">
        <v>41</v>
      </c>
      <c r="W220" s="5">
        <v>1239.78</v>
      </c>
      <c r="X220" s="5">
        <v>1239.78</v>
      </c>
      <c r="Y220" s="3">
        <v>0</v>
      </c>
      <c r="Z220" s="3">
        <v>0</v>
      </c>
      <c r="AA220" s="3">
        <v>0</v>
      </c>
    </row>
    <row r="221" spans="1:27" ht="36.75" x14ac:dyDescent="0.25">
      <c r="A221" s="3" t="s">
        <v>28</v>
      </c>
      <c r="B221" s="3" t="s">
        <v>29</v>
      </c>
      <c r="C221" s="3" t="s">
        <v>30</v>
      </c>
      <c r="D221" s="3" t="s">
        <v>58</v>
      </c>
      <c r="E221" s="3" t="s">
        <v>53</v>
      </c>
      <c r="F221" s="3" t="s">
        <v>59</v>
      </c>
      <c r="G221" s="3">
        <v>2025</v>
      </c>
      <c r="H221" s="3" t="str">
        <f>CONCATENATE("54240656717")</f>
        <v>54240656717</v>
      </c>
      <c r="I221" s="3" t="s">
        <v>34</v>
      </c>
      <c r="J221" s="3" t="s">
        <v>35</v>
      </c>
      <c r="K221" s="3"/>
      <c r="L221" s="3" t="s">
        <v>36</v>
      </c>
      <c r="M221" s="3" t="str">
        <f>CONCATENATE("00973030422")</f>
        <v>00973030422</v>
      </c>
      <c r="N221" s="3" t="s">
        <v>325</v>
      </c>
      <c r="O221" s="3" t="s">
        <v>38</v>
      </c>
      <c r="P221" s="3"/>
      <c r="Q221" s="4">
        <v>45944</v>
      </c>
      <c r="R221" s="3" t="s">
        <v>39</v>
      </c>
      <c r="S221" s="3" t="s">
        <v>38</v>
      </c>
      <c r="T221" s="3" t="s">
        <v>43</v>
      </c>
      <c r="U221" s="3"/>
      <c r="V221" s="3" t="s">
        <v>41</v>
      </c>
      <c r="W221" s="5">
        <v>10851.39</v>
      </c>
      <c r="X221" s="5">
        <v>10851.39</v>
      </c>
      <c r="Y221" s="3">
        <v>0</v>
      </c>
      <c r="Z221" s="3">
        <v>0</v>
      </c>
      <c r="AA221" s="3">
        <v>0</v>
      </c>
    </row>
    <row r="222" spans="1:27" ht="60.75" x14ac:dyDescent="0.25">
      <c r="A222" s="3" t="s">
        <v>28</v>
      </c>
      <c r="B222" s="3" t="s">
        <v>29</v>
      </c>
      <c r="C222" s="3" t="s">
        <v>30</v>
      </c>
      <c r="D222" s="3" t="s">
        <v>49</v>
      </c>
      <c r="E222" s="3" t="s">
        <v>74</v>
      </c>
      <c r="F222" s="3" t="s">
        <v>217</v>
      </c>
      <c r="G222" s="3">
        <v>2025</v>
      </c>
      <c r="H222" s="3" t="str">
        <f>CONCATENATE("54240550621")</f>
        <v>54240550621</v>
      </c>
      <c r="I222" s="3" t="s">
        <v>34</v>
      </c>
      <c r="J222" s="3" t="s">
        <v>35</v>
      </c>
      <c r="K222" s="3"/>
      <c r="L222" s="3" t="s">
        <v>36</v>
      </c>
      <c r="M222" s="3" t="str">
        <f>CONCATENATE("BSSGLI65A18F104Z")</f>
        <v>BSSGLI65A18F104Z</v>
      </c>
      <c r="N222" s="3" t="s">
        <v>326</v>
      </c>
      <c r="O222" s="3" t="s">
        <v>38</v>
      </c>
      <c r="P222" s="3"/>
      <c r="Q222" s="4">
        <v>45944</v>
      </c>
      <c r="R222" s="3" t="s">
        <v>39</v>
      </c>
      <c r="S222" s="3" t="s">
        <v>38</v>
      </c>
      <c r="T222" s="3" t="s">
        <v>43</v>
      </c>
      <c r="U222" s="3"/>
      <c r="V222" s="3" t="s">
        <v>41</v>
      </c>
      <c r="W222" s="5">
        <v>1020.31</v>
      </c>
      <c r="X222" s="5">
        <v>1020.31</v>
      </c>
      <c r="Y222" s="3">
        <v>0</v>
      </c>
      <c r="Z222" s="3">
        <v>0</v>
      </c>
      <c r="AA222" s="3">
        <v>0</v>
      </c>
    </row>
    <row r="223" spans="1:27" ht="60.75" x14ac:dyDescent="0.25">
      <c r="A223" s="3" t="s">
        <v>28</v>
      </c>
      <c r="B223" s="3" t="s">
        <v>29</v>
      </c>
      <c r="C223" s="3" t="s">
        <v>30</v>
      </c>
      <c r="D223" s="3" t="s">
        <v>49</v>
      </c>
      <c r="E223" s="3" t="s">
        <v>46</v>
      </c>
      <c r="F223" s="3" t="s">
        <v>131</v>
      </c>
      <c r="G223" s="3">
        <v>2025</v>
      </c>
      <c r="H223" s="3" t="str">
        <f>CONCATENATE("54240550910")</f>
        <v>54240550910</v>
      </c>
      <c r="I223" s="3" t="s">
        <v>34</v>
      </c>
      <c r="J223" s="3" t="s">
        <v>35</v>
      </c>
      <c r="K223" s="3"/>
      <c r="L223" s="3" t="s">
        <v>36</v>
      </c>
      <c r="M223" s="3" t="str">
        <f>CONCATENATE("PSSGNN61H64E690T")</f>
        <v>PSSGNN61H64E690T</v>
      </c>
      <c r="N223" s="3" t="s">
        <v>327</v>
      </c>
      <c r="O223" s="3" t="s">
        <v>38</v>
      </c>
      <c r="P223" s="3"/>
      <c r="Q223" s="4">
        <v>45944</v>
      </c>
      <c r="R223" s="3" t="s">
        <v>39</v>
      </c>
      <c r="S223" s="3" t="s">
        <v>38</v>
      </c>
      <c r="T223" s="3" t="s">
        <v>43</v>
      </c>
      <c r="U223" s="3"/>
      <c r="V223" s="3" t="s">
        <v>41</v>
      </c>
      <c r="W223" s="3">
        <v>839.92</v>
      </c>
      <c r="X223" s="3">
        <v>839.92</v>
      </c>
      <c r="Y223" s="3">
        <v>0</v>
      </c>
      <c r="Z223" s="3">
        <v>0</v>
      </c>
      <c r="AA223" s="3">
        <v>0</v>
      </c>
    </row>
    <row r="224" spans="1:27" ht="60.75" x14ac:dyDescent="0.25">
      <c r="A224" s="3" t="s">
        <v>28</v>
      </c>
      <c r="B224" s="3" t="s">
        <v>29</v>
      </c>
      <c r="C224" s="3" t="s">
        <v>30</v>
      </c>
      <c r="D224" s="3" t="s">
        <v>58</v>
      </c>
      <c r="E224" s="3" t="s">
        <v>53</v>
      </c>
      <c r="F224" s="3" t="s">
        <v>59</v>
      </c>
      <c r="G224" s="3">
        <v>2025</v>
      </c>
      <c r="H224" s="3" t="str">
        <f>CONCATENATE("54240551298")</f>
        <v>54240551298</v>
      </c>
      <c r="I224" s="3" t="s">
        <v>34</v>
      </c>
      <c r="J224" s="3" t="s">
        <v>35</v>
      </c>
      <c r="K224" s="3"/>
      <c r="L224" s="3" t="s">
        <v>36</v>
      </c>
      <c r="M224" s="3" t="str">
        <f>CONCATENATE("CLDNLS83C09I608S")</f>
        <v>CLDNLS83C09I608S</v>
      </c>
      <c r="N224" s="3" t="s">
        <v>328</v>
      </c>
      <c r="O224" s="3" t="s">
        <v>38</v>
      </c>
      <c r="P224" s="3"/>
      <c r="Q224" s="4">
        <v>45944</v>
      </c>
      <c r="R224" s="3" t="s">
        <v>39</v>
      </c>
      <c r="S224" s="3" t="s">
        <v>38</v>
      </c>
      <c r="T224" s="3" t="s">
        <v>43</v>
      </c>
      <c r="U224" s="3"/>
      <c r="V224" s="3" t="s">
        <v>41</v>
      </c>
      <c r="W224" s="5">
        <v>5187.6499999999996</v>
      </c>
      <c r="X224" s="5">
        <v>5187.6499999999996</v>
      </c>
      <c r="Y224" s="3">
        <v>0</v>
      </c>
      <c r="Z224" s="3">
        <v>0</v>
      </c>
      <c r="AA224" s="3">
        <v>0</v>
      </c>
    </row>
    <row r="225" spans="1:27" ht="36.75" x14ac:dyDescent="0.25">
      <c r="A225" s="3" t="s">
        <v>28</v>
      </c>
      <c r="B225" s="3" t="s">
        <v>29</v>
      </c>
      <c r="C225" s="3" t="s">
        <v>30</v>
      </c>
      <c r="D225" s="3" t="s">
        <v>49</v>
      </c>
      <c r="E225" s="3" t="s">
        <v>32</v>
      </c>
      <c r="F225" s="3" t="s">
        <v>78</v>
      </c>
      <c r="G225" s="3">
        <v>2025</v>
      </c>
      <c r="H225" s="3" t="str">
        <f>CONCATENATE("54240554219")</f>
        <v>54240554219</v>
      </c>
      <c r="I225" s="3" t="s">
        <v>34</v>
      </c>
      <c r="J225" s="3" t="s">
        <v>35</v>
      </c>
      <c r="K225" s="3"/>
      <c r="L225" s="3" t="s">
        <v>36</v>
      </c>
      <c r="M225" s="3" t="str">
        <f>CONCATENATE("01883030437")</f>
        <v>01883030437</v>
      </c>
      <c r="N225" s="3" t="s">
        <v>329</v>
      </c>
      <c r="O225" s="3" t="s">
        <v>38</v>
      </c>
      <c r="P225" s="3"/>
      <c r="Q225" s="4">
        <v>45944</v>
      </c>
      <c r="R225" s="3" t="s">
        <v>39</v>
      </c>
      <c r="S225" s="3" t="s">
        <v>38</v>
      </c>
      <c r="T225" s="3" t="s">
        <v>43</v>
      </c>
      <c r="U225" s="3"/>
      <c r="V225" s="3" t="s">
        <v>41</v>
      </c>
      <c r="W225" s="5">
        <v>21163.14</v>
      </c>
      <c r="X225" s="5">
        <v>21163.14</v>
      </c>
      <c r="Y225" s="3">
        <v>0</v>
      </c>
      <c r="Z225" s="3">
        <v>0</v>
      </c>
      <c r="AA225" s="3">
        <v>0</v>
      </c>
    </row>
    <row r="226" spans="1:27" ht="36.75" x14ac:dyDescent="0.25">
      <c r="A226" s="3" t="s">
        <v>28</v>
      </c>
      <c r="B226" s="3" t="s">
        <v>29</v>
      </c>
      <c r="C226" s="3" t="s">
        <v>30</v>
      </c>
      <c r="D226" s="3" t="s">
        <v>49</v>
      </c>
      <c r="E226" s="3" t="s">
        <v>91</v>
      </c>
      <c r="F226" s="3" t="s">
        <v>92</v>
      </c>
      <c r="G226" s="3">
        <v>2025</v>
      </c>
      <c r="H226" s="3" t="str">
        <f>CONCATENATE("54240551397")</f>
        <v>54240551397</v>
      </c>
      <c r="I226" s="3" t="s">
        <v>34</v>
      </c>
      <c r="J226" s="3" t="s">
        <v>35</v>
      </c>
      <c r="K226" s="3"/>
      <c r="L226" s="3" t="s">
        <v>36</v>
      </c>
      <c r="M226" s="3" t="str">
        <f>CONCATENATE("00811080431")</f>
        <v>00811080431</v>
      </c>
      <c r="N226" s="3" t="s">
        <v>330</v>
      </c>
      <c r="O226" s="3" t="s">
        <v>38</v>
      </c>
      <c r="P226" s="3"/>
      <c r="Q226" s="4">
        <v>45944</v>
      </c>
      <c r="R226" s="3" t="s">
        <v>39</v>
      </c>
      <c r="S226" s="3" t="s">
        <v>38</v>
      </c>
      <c r="T226" s="3" t="s">
        <v>43</v>
      </c>
      <c r="U226" s="3"/>
      <c r="V226" s="3" t="s">
        <v>41</v>
      </c>
      <c r="W226" s="5">
        <v>9545.75</v>
      </c>
      <c r="X226" s="5">
        <v>9545.75</v>
      </c>
      <c r="Y226" s="3">
        <v>0</v>
      </c>
      <c r="Z226" s="3">
        <v>0</v>
      </c>
      <c r="AA226" s="3">
        <v>0</v>
      </c>
    </row>
    <row r="227" spans="1:27" ht="60.75" x14ac:dyDescent="0.25">
      <c r="A227" s="3" t="s">
        <v>28</v>
      </c>
      <c r="B227" s="3" t="s">
        <v>29</v>
      </c>
      <c r="C227" s="3" t="s">
        <v>30</v>
      </c>
      <c r="D227" s="3" t="s">
        <v>49</v>
      </c>
      <c r="E227" s="3" t="s">
        <v>46</v>
      </c>
      <c r="F227" s="3" t="s">
        <v>131</v>
      </c>
      <c r="G227" s="3">
        <v>2025</v>
      </c>
      <c r="H227" s="3" t="str">
        <f>CONCATENATE("54240551694")</f>
        <v>54240551694</v>
      </c>
      <c r="I227" s="3" t="s">
        <v>34</v>
      </c>
      <c r="J227" s="3" t="s">
        <v>35</v>
      </c>
      <c r="K227" s="3"/>
      <c r="L227" s="3" t="s">
        <v>36</v>
      </c>
      <c r="M227" s="3" t="str">
        <f>CONCATENATE("PLTJCP99T09I156U")</f>
        <v>PLTJCP99T09I156U</v>
      </c>
      <c r="N227" s="3" t="s">
        <v>331</v>
      </c>
      <c r="O227" s="3" t="s">
        <v>38</v>
      </c>
      <c r="P227" s="3"/>
      <c r="Q227" s="4">
        <v>45944</v>
      </c>
      <c r="R227" s="3" t="s">
        <v>39</v>
      </c>
      <c r="S227" s="3" t="s">
        <v>38</v>
      </c>
      <c r="T227" s="3" t="s">
        <v>43</v>
      </c>
      <c r="U227" s="3"/>
      <c r="V227" s="3" t="s">
        <v>41</v>
      </c>
      <c r="W227" s="5">
        <v>5661.73</v>
      </c>
      <c r="X227" s="5">
        <v>5661.73</v>
      </c>
      <c r="Y227" s="3">
        <v>0</v>
      </c>
      <c r="Z227" s="3">
        <v>0</v>
      </c>
      <c r="AA227" s="3">
        <v>0</v>
      </c>
    </row>
    <row r="228" spans="1:27" ht="36.75" x14ac:dyDescent="0.25">
      <c r="A228" s="3" t="s">
        <v>28</v>
      </c>
      <c r="B228" s="3" t="s">
        <v>29</v>
      </c>
      <c r="C228" s="3" t="s">
        <v>30</v>
      </c>
      <c r="D228" s="3" t="s">
        <v>49</v>
      </c>
      <c r="E228" s="3" t="s">
        <v>46</v>
      </c>
      <c r="F228" s="3" t="s">
        <v>205</v>
      </c>
      <c r="G228" s="3">
        <v>2025</v>
      </c>
      <c r="H228" s="3" t="str">
        <f>CONCATENATE("54240551728")</f>
        <v>54240551728</v>
      </c>
      <c r="I228" s="3" t="s">
        <v>34</v>
      </c>
      <c r="J228" s="3" t="s">
        <v>35</v>
      </c>
      <c r="K228" s="3"/>
      <c r="L228" s="3" t="s">
        <v>36</v>
      </c>
      <c r="M228" s="3" t="str">
        <f>CONCATENATE("02115330439")</f>
        <v>02115330439</v>
      </c>
      <c r="N228" s="3" t="s">
        <v>332</v>
      </c>
      <c r="O228" s="3" t="s">
        <v>38</v>
      </c>
      <c r="P228" s="3"/>
      <c r="Q228" s="4">
        <v>45944</v>
      </c>
      <c r="R228" s="3" t="s">
        <v>39</v>
      </c>
      <c r="S228" s="3" t="s">
        <v>38</v>
      </c>
      <c r="T228" s="3" t="s">
        <v>43</v>
      </c>
      <c r="U228" s="3"/>
      <c r="V228" s="3" t="s">
        <v>41</v>
      </c>
      <c r="W228" s="5">
        <v>16055.67</v>
      </c>
      <c r="X228" s="5">
        <v>16055.67</v>
      </c>
      <c r="Y228" s="3">
        <v>0</v>
      </c>
      <c r="Z228" s="3">
        <v>0</v>
      </c>
      <c r="AA228" s="3">
        <v>0</v>
      </c>
    </row>
    <row r="229" spans="1:27" ht="36.75" x14ac:dyDescent="0.25">
      <c r="A229" s="3" t="s">
        <v>28</v>
      </c>
      <c r="B229" s="3" t="s">
        <v>29</v>
      </c>
      <c r="C229" s="3" t="s">
        <v>30</v>
      </c>
      <c r="D229" s="3" t="s">
        <v>49</v>
      </c>
      <c r="E229" s="3" t="s">
        <v>46</v>
      </c>
      <c r="F229" s="3" t="s">
        <v>205</v>
      </c>
      <c r="G229" s="3">
        <v>2025</v>
      </c>
      <c r="H229" s="3" t="str">
        <f>CONCATENATE("54240551785")</f>
        <v>54240551785</v>
      </c>
      <c r="I229" s="3" t="s">
        <v>34</v>
      </c>
      <c r="J229" s="3" t="s">
        <v>35</v>
      </c>
      <c r="K229" s="3"/>
      <c r="L229" s="3" t="s">
        <v>36</v>
      </c>
      <c r="M229" s="3" t="str">
        <f>CONCATENATE("01988060438")</f>
        <v>01988060438</v>
      </c>
      <c r="N229" s="3" t="s">
        <v>333</v>
      </c>
      <c r="O229" s="3" t="s">
        <v>38</v>
      </c>
      <c r="P229" s="3"/>
      <c r="Q229" s="4">
        <v>45944</v>
      </c>
      <c r="R229" s="3" t="s">
        <v>39</v>
      </c>
      <c r="S229" s="3" t="s">
        <v>38</v>
      </c>
      <c r="T229" s="3" t="s">
        <v>43</v>
      </c>
      <c r="U229" s="3"/>
      <c r="V229" s="3" t="s">
        <v>41</v>
      </c>
      <c r="W229" s="5">
        <v>2173.4299999999998</v>
      </c>
      <c r="X229" s="5">
        <v>2173.4299999999998</v>
      </c>
      <c r="Y229" s="3">
        <v>0</v>
      </c>
      <c r="Z229" s="3">
        <v>0</v>
      </c>
      <c r="AA229" s="3">
        <v>0</v>
      </c>
    </row>
    <row r="230" spans="1:27" ht="60.75" x14ac:dyDescent="0.25">
      <c r="A230" s="3" t="s">
        <v>28</v>
      </c>
      <c r="B230" s="3" t="s">
        <v>29</v>
      </c>
      <c r="C230" s="3" t="s">
        <v>30</v>
      </c>
      <c r="D230" s="3" t="s">
        <v>63</v>
      </c>
      <c r="E230" s="3" t="s">
        <v>32</v>
      </c>
      <c r="F230" s="3" t="s">
        <v>142</v>
      </c>
      <c r="G230" s="3">
        <v>2025</v>
      </c>
      <c r="H230" s="3" t="str">
        <f>CONCATENATE("54240552726")</f>
        <v>54240552726</v>
      </c>
      <c r="I230" s="3" t="s">
        <v>34</v>
      </c>
      <c r="J230" s="3" t="s">
        <v>35</v>
      </c>
      <c r="K230" s="3"/>
      <c r="L230" s="3" t="s">
        <v>36</v>
      </c>
      <c r="M230" s="3" t="str">
        <f>CONCATENATE("VLLNTN63S09I774B")</f>
        <v>VLLNTN63S09I774B</v>
      </c>
      <c r="N230" s="3" t="s">
        <v>334</v>
      </c>
      <c r="O230" s="3" t="s">
        <v>38</v>
      </c>
      <c r="P230" s="3"/>
      <c r="Q230" s="4">
        <v>45944</v>
      </c>
      <c r="R230" s="3" t="s">
        <v>39</v>
      </c>
      <c r="S230" s="3" t="s">
        <v>38</v>
      </c>
      <c r="T230" s="3" t="s">
        <v>43</v>
      </c>
      <c r="U230" s="3"/>
      <c r="V230" s="3" t="s">
        <v>41</v>
      </c>
      <c r="W230" s="5">
        <v>2472.6999999999998</v>
      </c>
      <c r="X230" s="5">
        <v>2472.6999999999998</v>
      </c>
      <c r="Y230" s="3">
        <v>0</v>
      </c>
      <c r="Z230" s="3">
        <v>0</v>
      </c>
      <c r="AA230" s="3">
        <v>0</v>
      </c>
    </row>
    <row r="231" spans="1:27" ht="36.75" x14ac:dyDescent="0.25">
      <c r="A231" s="3" t="s">
        <v>28</v>
      </c>
      <c r="B231" s="3" t="s">
        <v>29</v>
      </c>
      <c r="C231" s="3" t="s">
        <v>30</v>
      </c>
      <c r="D231" s="3" t="s">
        <v>63</v>
      </c>
      <c r="E231" s="3" t="s">
        <v>46</v>
      </c>
      <c r="F231" s="3" t="s">
        <v>205</v>
      </c>
      <c r="G231" s="3">
        <v>2025</v>
      </c>
      <c r="H231" s="3" t="str">
        <f>CONCATENATE("54240553161")</f>
        <v>54240553161</v>
      </c>
      <c r="I231" s="3" t="s">
        <v>34</v>
      </c>
      <c r="J231" s="3" t="s">
        <v>35</v>
      </c>
      <c r="K231" s="3"/>
      <c r="L231" s="3" t="s">
        <v>36</v>
      </c>
      <c r="M231" s="3" t="str">
        <f>CONCATENATE("02449540448")</f>
        <v>02449540448</v>
      </c>
      <c r="N231" s="3" t="s">
        <v>335</v>
      </c>
      <c r="O231" s="3" t="s">
        <v>38</v>
      </c>
      <c r="P231" s="3"/>
      <c r="Q231" s="4">
        <v>45944</v>
      </c>
      <c r="R231" s="3" t="s">
        <v>39</v>
      </c>
      <c r="S231" s="3" t="s">
        <v>38</v>
      </c>
      <c r="T231" s="3" t="s">
        <v>43</v>
      </c>
      <c r="U231" s="3"/>
      <c r="V231" s="3" t="s">
        <v>41</v>
      </c>
      <c r="W231" s="3">
        <v>322.97000000000003</v>
      </c>
      <c r="X231" s="3">
        <v>322.97000000000003</v>
      </c>
      <c r="Y231" s="3">
        <v>0</v>
      </c>
      <c r="Z231" s="3">
        <v>0</v>
      </c>
      <c r="AA231" s="3">
        <v>0</v>
      </c>
    </row>
    <row r="232" spans="1:27" ht="36.75" x14ac:dyDescent="0.25">
      <c r="A232" s="3" t="s">
        <v>28</v>
      </c>
      <c r="B232" s="3" t="s">
        <v>29</v>
      </c>
      <c r="C232" s="3" t="s">
        <v>30</v>
      </c>
      <c r="D232" s="3" t="s">
        <v>49</v>
      </c>
      <c r="E232" s="3" t="s">
        <v>32</v>
      </c>
      <c r="F232" s="3" t="s">
        <v>78</v>
      </c>
      <c r="G232" s="3">
        <v>2025</v>
      </c>
      <c r="H232" s="3" t="str">
        <f>CONCATENATE("54240553476")</f>
        <v>54240553476</v>
      </c>
      <c r="I232" s="3" t="s">
        <v>34</v>
      </c>
      <c r="J232" s="3" t="s">
        <v>35</v>
      </c>
      <c r="K232" s="3"/>
      <c r="L232" s="3" t="s">
        <v>36</v>
      </c>
      <c r="M232" s="3" t="str">
        <f>CONCATENATE("81000380436")</f>
        <v>81000380436</v>
      </c>
      <c r="N232" s="3" t="s">
        <v>336</v>
      </c>
      <c r="O232" s="3" t="s">
        <v>38</v>
      </c>
      <c r="P232" s="3"/>
      <c r="Q232" s="4">
        <v>45944</v>
      </c>
      <c r="R232" s="3" t="s">
        <v>39</v>
      </c>
      <c r="S232" s="3" t="s">
        <v>38</v>
      </c>
      <c r="T232" s="3" t="s">
        <v>43</v>
      </c>
      <c r="U232" s="3"/>
      <c r="V232" s="3" t="s">
        <v>41</v>
      </c>
      <c r="W232" s="5">
        <v>17228.39</v>
      </c>
      <c r="X232" s="5">
        <v>17228.39</v>
      </c>
      <c r="Y232" s="3">
        <v>0</v>
      </c>
      <c r="Z232" s="3">
        <v>0</v>
      </c>
      <c r="AA232" s="3">
        <v>0</v>
      </c>
    </row>
    <row r="233" spans="1:27" ht="60.75" x14ac:dyDescent="0.25">
      <c r="A233" s="3" t="s">
        <v>28</v>
      </c>
      <c r="B233" s="3" t="s">
        <v>29</v>
      </c>
      <c r="C233" s="3" t="s">
        <v>30</v>
      </c>
      <c r="D233" s="3" t="s">
        <v>31</v>
      </c>
      <c r="E233" s="3" t="s">
        <v>46</v>
      </c>
      <c r="F233" s="3" t="s">
        <v>108</v>
      </c>
      <c r="G233" s="3">
        <v>2025</v>
      </c>
      <c r="H233" s="3" t="str">
        <f>CONCATENATE("54240529708")</f>
        <v>54240529708</v>
      </c>
      <c r="I233" s="3" t="s">
        <v>34</v>
      </c>
      <c r="J233" s="3" t="s">
        <v>35</v>
      </c>
      <c r="K233" s="3"/>
      <c r="L233" s="3" t="s">
        <v>36</v>
      </c>
      <c r="M233" s="3" t="str">
        <f>CONCATENATE("PRTPRZ69L56B352S")</f>
        <v>PRTPRZ69L56B352S</v>
      </c>
      <c r="N233" s="3" t="s">
        <v>337</v>
      </c>
      <c r="O233" s="3" t="s">
        <v>38</v>
      </c>
      <c r="P233" s="3"/>
      <c r="Q233" s="4">
        <v>45944</v>
      </c>
      <c r="R233" s="3" t="s">
        <v>39</v>
      </c>
      <c r="S233" s="3" t="s">
        <v>38</v>
      </c>
      <c r="T233" s="3" t="s">
        <v>43</v>
      </c>
      <c r="U233" s="3"/>
      <c r="V233" s="3" t="s">
        <v>41</v>
      </c>
      <c r="W233" s="5">
        <v>2600</v>
      </c>
      <c r="X233" s="5">
        <v>2600</v>
      </c>
      <c r="Y233" s="3">
        <v>0</v>
      </c>
      <c r="Z233" s="3">
        <v>0</v>
      </c>
      <c r="AA233" s="3">
        <v>0</v>
      </c>
    </row>
    <row r="234" spans="1:27" ht="60.75" x14ac:dyDescent="0.25">
      <c r="A234" s="3" t="s">
        <v>28</v>
      </c>
      <c r="B234" s="3" t="s">
        <v>29</v>
      </c>
      <c r="C234" s="3" t="s">
        <v>30</v>
      </c>
      <c r="D234" s="3" t="s">
        <v>49</v>
      </c>
      <c r="E234" s="3" t="s">
        <v>46</v>
      </c>
      <c r="F234" s="3" t="s">
        <v>205</v>
      </c>
      <c r="G234" s="3">
        <v>2025</v>
      </c>
      <c r="H234" s="3" t="str">
        <f>CONCATENATE("54240529971")</f>
        <v>54240529971</v>
      </c>
      <c r="I234" s="3" t="s">
        <v>34</v>
      </c>
      <c r="J234" s="3" t="s">
        <v>35</v>
      </c>
      <c r="K234" s="3"/>
      <c r="L234" s="3" t="s">
        <v>36</v>
      </c>
      <c r="M234" s="3" t="str">
        <f>CONCATENATE("GSPMRT85T47L366R")</f>
        <v>GSPMRT85T47L366R</v>
      </c>
      <c r="N234" s="3" t="s">
        <v>338</v>
      </c>
      <c r="O234" s="3" t="s">
        <v>38</v>
      </c>
      <c r="P234" s="3"/>
      <c r="Q234" s="4">
        <v>45944</v>
      </c>
      <c r="R234" s="3" t="s">
        <v>39</v>
      </c>
      <c r="S234" s="3" t="s">
        <v>38</v>
      </c>
      <c r="T234" s="3" t="s">
        <v>43</v>
      </c>
      <c r="U234" s="3"/>
      <c r="V234" s="3" t="s">
        <v>41</v>
      </c>
      <c r="W234" s="5">
        <v>1832.11</v>
      </c>
      <c r="X234" s="5">
        <v>1832.11</v>
      </c>
      <c r="Y234" s="3">
        <v>0</v>
      </c>
      <c r="Z234" s="3">
        <v>0</v>
      </c>
      <c r="AA234" s="3">
        <v>0</v>
      </c>
    </row>
    <row r="235" spans="1:27" ht="36.75" x14ac:dyDescent="0.25">
      <c r="A235" s="3" t="s">
        <v>28</v>
      </c>
      <c r="B235" s="3" t="s">
        <v>29</v>
      </c>
      <c r="C235" s="3" t="s">
        <v>30</v>
      </c>
      <c r="D235" s="3" t="s">
        <v>31</v>
      </c>
      <c r="E235" s="3" t="s">
        <v>53</v>
      </c>
      <c r="F235" s="3" t="s">
        <v>54</v>
      </c>
      <c r="G235" s="3">
        <v>2025</v>
      </c>
      <c r="H235" s="3" t="str">
        <f>CONCATENATE("54240529823")</f>
        <v>54240529823</v>
      </c>
      <c r="I235" s="3" t="s">
        <v>34</v>
      </c>
      <c r="J235" s="3" t="s">
        <v>35</v>
      </c>
      <c r="K235" s="3"/>
      <c r="L235" s="3" t="s">
        <v>36</v>
      </c>
      <c r="M235" s="3" t="str">
        <f>CONCATENATE("02679220414")</f>
        <v>02679220414</v>
      </c>
      <c r="N235" s="3" t="s">
        <v>339</v>
      </c>
      <c r="O235" s="3" t="s">
        <v>38</v>
      </c>
      <c r="P235" s="3"/>
      <c r="Q235" s="4">
        <v>45944</v>
      </c>
      <c r="R235" s="3" t="s">
        <v>39</v>
      </c>
      <c r="S235" s="3" t="s">
        <v>38</v>
      </c>
      <c r="T235" s="3" t="s">
        <v>43</v>
      </c>
      <c r="U235" s="3"/>
      <c r="V235" s="3" t="s">
        <v>41</v>
      </c>
      <c r="W235" s="5">
        <v>6339.41</v>
      </c>
      <c r="X235" s="5">
        <v>6339.41</v>
      </c>
      <c r="Y235" s="3">
        <v>0</v>
      </c>
      <c r="Z235" s="3">
        <v>0</v>
      </c>
      <c r="AA235" s="3">
        <v>0</v>
      </c>
    </row>
    <row r="236" spans="1:27" ht="60.75" x14ac:dyDescent="0.25">
      <c r="A236" s="3" t="s">
        <v>28</v>
      </c>
      <c r="B236" s="3" t="s">
        <v>29</v>
      </c>
      <c r="C236" s="3" t="s">
        <v>30</v>
      </c>
      <c r="D236" s="3" t="s">
        <v>49</v>
      </c>
      <c r="E236" s="3" t="s">
        <v>74</v>
      </c>
      <c r="F236" s="3" t="s">
        <v>217</v>
      </c>
      <c r="G236" s="3">
        <v>2025</v>
      </c>
      <c r="H236" s="3" t="str">
        <f>CONCATENATE("54240529831")</f>
        <v>54240529831</v>
      </c>
      <c r="I236" s="3" t="s">
        <v>34</v>
      </c>
      <c r="J236" s="3" t="s">
        <v>35</v>
      </c>
      <c r="K236" s="3"/>
      <c r="L236" s="3" t="s">
        <v>36</v>
      </c>
      <c r="M236" s="3" t="str">
        <f>CONCATENATE("BRBRGL46C52F051X")</f>
        <v>BRBRGL46C52F051X</v>
      </c>
      <c r="N236" s="3" t="s">
        <v>340</v>
      </c>
      <c r="O236" s="3" t="s">
        <v>38</v>
      </c>
      <c r="P236" s="3"/>
      <c r="Q236" s="4">
        <v>45944</v>
      </c>
      <c r="R236" s="3" t="s">
        <v>39</v>
      </c>
      <c r="S236" s="3" t="s">
        <v>38</v>
      </c>
      <c r="T236" s="3" t="s">
        <v>43</v>
      </c>
      <c r="U236" s="3"/>
      <c r="V236" s="3" t="s">
        <v>41</v>
      </c>
      <c r="W236" s="5">
        <v>1063.6400000000001</v>
      </c>
      <c r="X236" s="5">
        <v>1063.6400000000001</v>
      </c>
      <c r="Y236" s="3">
        <v>0</v>
      </c>
      <c r="Z236" s="3">
        <v>0</v>
      </c>
      <c r="AA236" s="3">
        <v>0</v>
      </c>
    </row>
    <row r="237" spans="1:27" ht="36.75" x14ac:dyDescent="0.25">
      <c r="A237" s="3" t="s">
        <v>28</v>
      </c>
      <c r="B237" s="3" t="s">
        <v>29</v>
      </c>
      <c r="C237" s="3" t="s">
        <v>30</v>
      </c>
      <c r="D237" s="3" t="s">
        <v>49</v>
      </c>
      <c r="E237" s="3" t="s">
        <v>50</v>
      </c>
      <c r="F237" s="3" t="s">
        <v>51</v>
      </c>
      <c r="G237" s="3">
        <v>2025</v>
      </c>
      <c r="H237" s="3" t="str">
        <f>CONCATENATE("54240665700")</f>
        <v>54240665700</v>
      </c>
      <c r="I237" s="3" t="s">
        <v>34</v>
      </c>
      <c r="J237" s="3" t="s">
        <v>35</v>
      </c>
      <c r="K237" s="3"/>
      <c r="L237" s="3" t="s">
        <v>36</v>
      </c>
      <c r="M237" s="3" t="str">
        <f>CONCATENATE("02157390432")</f>
        <v>02157390432</v>
      </c>
      <c r="N237" s="3" t="s">
        <v>341</v>
      </c>
      <c r="O237" s="3" t="s">
        <v>38</v>
      </c>
      <c r="P237" s="3"/>
      <c r="Q237" s="4">
        <v>45944</v>
      </c>
      <c r="R237" s="3" t="s">
        <v>39</v>
      </c>
      <c r="S237" s="3" t="s">
        <v>38</v>
      </c>
      <c r="T237" s="3" t="s">
        <v>43</v>
      </c>
      <c r="U237" s="3"/>
      <c r="V237" s="3" t="s">
        <v>41</v>
      </c>
      <c r="W237" s="5">
        <v>1994.56</v>
      </c>
      <c r="X237" s="5">
        <v>1994.56</v>
      </c>
      <c r="Y237" s="3">
        <v>0</v>
      </c>
      <c r="Z237" s="3">
        <v>0</v>
      </c>
      <c r="AA237" s="3">
        <v>0</v>
      </c>
    </row>
    <row r="238" spans="1:27" ht="36.75" x14ac:dyDescent="0.25">
      <c r="A238" s="3" t="s">
        <v>28</v>
      </c>
      <c r="B238" s="3" t="s">
        <v>29</v>
      </c>
      <c r="C238" s="3" t="s">
        <v>30</v>
      </c>
      <c r="D238" s="3" t="s">
        <v>49</v>
      </c>
      <c r="E238" s="3" t="s">
        <v>46</v>
      </c>
      <c r="F238" s="3" t="s">
        <v>126</v>
      </c>
      <c r="G238" s="3">
        <v>2025</v>
      </c>
      <c r="H238" s="3" t="str">
        <f>CONCATENATE("54240667979")</f>
        <v>54240667979</v>
      </c>
      <c r="I238" s="3" t="s">
        <v>34</v>
      </c>
      <c r="J238" s="3" t="s">
        <v>35</v>
      </c>
      <c r="K238" s="3"/>
      <c r="L238" s="3" t="s">
        <v>36</v>
      </c>
      <c r="M238" s="3" t="str">
        <f>CONCATENATE("01434100432")</f>
        <v>01434100432</v>
      </c>
      <c r="N238" s="3" t="s">
        <v>342</v>
      </c>
      <c r="O238" s="3" t="s">
        <v>38</v>
      </c>
      <c r="P238" s="3"/>
      <c r="Q238" s="4">
        <v>45944</v>
      </c>
      <c r="R238" s="3" t="s">
        <v>39</v>
      </c>
      <c r="S238" s="3" t="s">
        <v>38</v>
      </c>
      <c r="T238" s="3" t="s">
        <v>43</v>
      </c>
      <c r="U238" s="3"/>
      <c r="V238" s="3" t="s">
        <v>41</v>
      </c>
      <c r="W238" s="5">
        <v>5117.17</v>
      </c>
      <c r="X238" s="5">
        <v>5117.17</v>
      </c>
      <c r="Y238" s="3">
        <v>0</v>
      </c>
      <c r="Z238" s="3">
        <v>0</v>
      </c>
      <c r="AA238" s="3">
        <v>0</v>
      </c>
    </row>
    <row r="239" spans="1:27" ht="36.75" x14ac:dyDescent="0.25">
      <c r="A239" s="3" t="s">
        <v>28</v>
      </c>
      <c r="B239" s="3" t="s">
        <v>29</v>
      </c>
      <c r="C239" s="3" t="s">
        <v>30</v>
      </c>
      <c r="D239" s="3" t="s">
        <v>58</v>
      </c>
      <c r="E239" s="3" t="s">
        <v>343</v>
      </c>
      <c r="F239" s="3" t="s">
        <v>344</v>
      </c>
      <c r="G239" s="3">
        <v>2025</v>
      </c>
      <c r="H239" s="3" t="str">
        <f>CONCATENATE("54240668167")</f>
        <v>54240668167</v>
      </c>
      <c r="I239" s="3" t="s">
        <v>34</v>
      </c>
      <c r="J239" s="3" t="s">
        <v>35</v>
      </c>
      <c r="K239" s="3"/>
      <c r="L239" s="3" t="s">
        <v>36</v>
      </c>
      <c r="M239" s="3" t="str">
        <f>CONCATENATE("02970700429")</f>
        <v>02970700429</v>
      </c>
      <c r="N239" s="3" t="s">
        <v>345</v>
      </c>
      <c r="O239" s="3" t="s">
        <v>38</v>
      </c>
      <c r="P239" s="3"/>
      <c r="Q239" s="4">
        <v>45944</v>
      </c>
      <c r="R239" s="3" t="s">
        <v>39</v>
      </c>
      <c r="S239" s="3" t="s">
        <v>38</v>
      </c>
      <c r="T239" s="3" t="s">
        <v>43</v>
      </c>
      <c r="U239" s="3"/>
      <c r="V239" s="3" t="s">
        <v>41</v>
      </c>
      <c r="W239" s="5">
        <v>4024.81</v>
      </c>
      <c r="X239" s="5">
        <v>4024.81</v>
      </c>
      <c r="Y239" s="3">
        <v>0</v>
      </c>
      <c r="Z239" s="3">
        <v>0</v>
      </c>
      <c r="AA239" s="3">
        <v>0</v>
      </c>
    </row>
    <row r="240" spans="1:27" ht="36.75" x14ac:dyDescent="0.25">
      <c r="A240" s="3" t="s">
        <v>28</v>
      </c>
      <c r="B240" s="3" t="s">
        <v>29</v>
      </c>
      <c r="C240" s="3" t="s">
        <v>30</v>
      </c>
      <c r="D240" s="3" t="s">
        <v>49</v>
      </c>
      <c r="E240" s="3" t="s">
        <v>32</v>
      </c>
      <c r="F240" s="3" t="s">
        <v>71</v>
      </c>
      <c r="G240" s="3">
        <v>2025</v>
      </c>
      <c r="H240" s="3" t="str">
        <f>CONCATENATE("54240669454")</f>
        <v>54240669454</v>
      </c>
      <c r="I240" s="3" t="s">
        <v>34</v>
      </c>
      <c r="J240" s="3" t="s">
        <v>35</v>
      </c>
      <c r="K240" s="3"/>
      <c r="L240" s="3" t="s">
        <v>36</v>
      </c>
      <c r="M240" s="3" t="str">
        <f>CONCATENATE("02069130439")</f>
        <v>02069130439</v>
      </c>
      <c r="N240" s="3" t="s">
        <v>346</v>
      </c>
      <c r="O240" s="3" t="s">
        <v>38</v>
      </c>
      <c r="P240" s="3"/>
      <c r="Q240" s="4">
        <v>45944</v>
      </c>
      <c r="R240" s="3" t="s">
        <v>39</v>
      </c>
      <c r="S240" s="3" t="s">
        <v>38</v>
      </c>
      <c r="T240" s="3" t="s">
        <v>43</v>
      </c>
      <c r="U240" s="3"/>
      <c r="V240" s="3" t="s">
        <v>41</v>
      </c>
      <c r="W240" s="5">
        <v>3380.76</v>
      </c>
      <c r="X240" s="5">
        <v>3380.76</v>
      </c>
      <c r="Y240" s="3">
        <v>0</v>
      </c>
      <c r="Z240" s="3">
        <v>0</v>
      </c>
      <c r="AA240" s="3">
        <v>0</v>
      </c>
    </row>
    <row r="241" spans="1:27" ht="60.75" x14ac:dyDescent="0.25">
      <c r="A241" s="3" t="s">
        <v>28</v>
      </c>
      <c r="B241" s="3" t="s">
        <v>29</v>
      </c>
      <c r="C241" s="3" t="s">
        <v>30</v>
      </c>
      <c r="D241" s="3" t="s">
        <v>58</v>
      </c>
      <c r="E241" s="3" t="s">
        <v>74</v>
      </c>
      <c r="F241" s="3" t="s">
        <v>75</v>
      </c>
      <c r="G241" s="3">
        <v>2025</v>
      </c>
      <c r="H241" s="3" t="str">
        <f>CONCATENATE("54240669645")</f>
        <v>54240669645</v>
      </c>
      <c r="I241" s="3" t="s">
        <v>34</v>
      </c>
      <c r="J241" s="3" t="s">
        <v>35</v>
      </c>
      <c r="K241" s="3"/>
      <c r="L241" s="3" t="s">
        <v>36</v>
      </c>
      <c r="M241" s="3" t="str">
        <f>CONCATENATE("STGLCN57S22L506X")</f>
        <v>STGLCN57S22L506X</v>
      </c>
      <c r="N241" s="3" t="s">
        <v>347</v>
      </c>
      <c r="O241" s="3" t="s">
        <v>38</v>
      </c>
      <c r="P241" s="3"/>
      <c r="Q241" s="4">
        <v>45944</v>
      </c>
      <c r="R241" s="3" t="s">
        <v>39</v>
      </c>
      <c r="S241" s="3" t="s">
        <v>38</v>
      </c>
      <c r="T241" s="3" t="s">
        <v>43</v>
      </c>
      <c r="U241" s="3"/>
      <c r="V241" s="3" t="s">
        <v>41</v>
      </c>
      <c r="W241" s="3">
        <v>693.75</v>
      </c>
      <c r="X241" s="3">
        <v>693.75</v>
      </c>
      <c r="Y241" s="3">
        <v>0</v>
      </c>
      <c r="Z241" s="3">
        <v>0</v>
      </c>
      <c r="AA241" s="3">
        <v>0</v>
      </c>
    </row>
    <row r="242" spans="1:27" ht="60.75" x14ac:dyDescent="0.25">
      <c r="A242" s="3" t="s">
        <v>28</v>
      </c>
      <c r="B242" s="3" t="s">
        <v>29</v>
      </c>
      <c r="C242" s="3" t="s">
        <v>30</v>
      </c>
      <c r="D242" s="3" t="s">
        <v>49</v>
      </c>
      <c r="E242" s="3" t="s">
        <v>46</v>
      </c>
      <c r="F242" s="3" t="s">
        <v>126</v>
      </c>
      <c r="G242" s="3">
        <v>2025</v>
      </c>
      <c r="H242" s="3" t="str">
        <f>CONCATENATE("54240669546")</f>
        <v>54240669546</v>
      </c>
      <c r="I242" s="3" t="s">
        <v>34</v>
      </c>
      <c r="J242" s="3" t="s">
        <v>35</v>
      </c>
      <c r="K242" s="3"/>
      <c r="L242" s="3" t="s">
        <v>36</v>
      </c>
      <c r="M242" s="3" t="str">
        <f>CONCATENATE("LSSDNC80P19D653D")</f>
        <v>LSSDNC80P19D653D</v>
      </c>
      <c r="N242" s="3" t="s">
        <v>348</v>
      </c>
      <c r="O242" s="3" t="s">
        <v>38</v>
      </c>
      <c r="P242" s="3"/>
      <c r="Q242" s="4">
        <v>45944</v>
      </c>
      <c r="R242" s="3" t="s">
        <v>39</v>
      </c>
      <c r="S242" s="3" t="s">
        <v>38</v>
      </c>
      <c r="T242" s="3" t="s">
        <v>43</v>
      </c>
      <c r="U242" s="3"/>
      <c r="V242" s="3" t="s">
        <v>41</v>
      </c>
      <c r="W242" s="5">
        <v>4001.32</v>
      </c>
      <c r="X242" s="5">
        <v>4001.32</v>
      </c>
      <c r="Y242" s="3">
        <v>0</v>
      </c>
      <c r="Z242" s="3">
        <v>0</v>
      </c>
      <c r="AA242" s="3">
        <v>0</v>
      </c>
    </row>
    <row r="243" spans="1:27" ht="60.75" x14ac:dyDescent="0.25">
      <c r="A243" s="3" t="s">
        <v>28</v>
      </c>
      <c r="B243" s="3" t="s">
        <v>29</v>
      </c>
      <c r="C243" s="3" t="s">
        <v>30</v>
      </c>
      <c r="D243" s="3" t="s">
        <v>31</v>
      </c>
      <c r="E243" s="3" t="s">
        <v>32</v>
      </c>
      <c r="F243" s="3" t="s">
        <v>178</v>
      </c>
      <c r="G243" s="3">
        <v>2025</v>
      </c>
      <c r="H243" s="3" t="str">
        <f>CONCATENATE("54240670577")</f>
        <v>54240670577</v>
      </c>
      <c r="I243" s="3" t="s">
        <v>34</v>
      </c>
      <c r="J243" s="3" t="s">
        <v>35</v>
      </c>
      <c r="K243" s="3"/>
      <c r="L243" s="3" t="s">
        <v>36</v>
      </c>
      <c r="M243" s="3" t="str">
        <f>CONCATENATE("CVLFNZ59D58D749W")</f>
        <v>CVLFNZ59D58D749W</v>
      </c>
      <c r="N243" s="3" t="s">
        <v>349</v>
      </c>
      <c r="O243" s="3" t="s">
        <v>38</v>
      </c>
      <c r="P243" s="3"/>
      <c r="Q243" s="4">
        <v>45944</v>
      </c>
      <c r="R243" s="3" t="s">
        <v>39</v>
      </c>
      <c r="S243" s="3" t="s">
        <v>38</v>
      </c>
      <c r="T243" s="3" t="s">
        <v>43</v>
      </c>
      <c r="U243" s="3"/>
      <c r="V243" s="3" t="s">
        <v>41</v>
      </c>
      <c r="W243" s="5">
        <v>2706.95</v>
      </c>
      <c r="X243" s="5">
        <v>2706.95</v>
      </c>
      <c r="Y243" s="3">
        <v>0</v>
      </c>
      <c r="Z243" s="3">
        <v>0</v>
      </c>
      <c r="AA243" s="3">
        <v>0</v>
      </c>
    </row>
    <row r="244" spans="1:27" ht="72.75" x14ac:dyDescent="0.25">
      <c r="A244" s="3" t="s">
        <v>28</v>
      </c>
      <c r="B244" s="3" t="s">
        <v>29</v>
      </c>
      <c r="C244" s="3" t="s">
        <v>30</v>
      </c>
      <c r="D244" s="3" t="s">
        <v>58</v>
      </c>
      <c r="E244" s="3" t="s">
        <v>74</v>
      </c>
      <c r="F244" s="3" t="s">
        <v>84</v>
      </c>
      <c r="G244" s="3">
        <v>2025</v>
      </c>
      <c r="H244" s="3" t="str">
        <f>CONCATENATE("54240670668")</f>
        <v>54240670668</v>
      </c>
      <c r="I244" s="3" t="s">
        <v>34</v>
      </c>
      <c r="J244" s="3" t="s">
        <v>35</v>
      </c>
      <c r="K244" s="3"/>
      <c r="L244" s="3" t="s">
        <v>36</v>
      </c>
      <c r="M244" s="3" t="str">
        <f>CONCATENATE("CNGGPP58D64D597M")</f>
        <v>CNGGPP58D64D597M</v>
      </c>
      <c r="N244" s="3" t="s">
        <v>350</v>
      </c>
      <c r="O244" s="3" t="s">
        <v>38</v>
      </c>
      <c r="P244" s="3"/>
      <c r="Q244" s="4">
        <v>45944</v>
      </c>
      <c r="R244" s="3" t="s">
        <v>39</v>
      </c>
      <c r="S244" s="3" t="s">
        <v>38</v>
      </c>
      <c r="T244" s="3" t="s">
        <v>43</v>
      </c>
      <c r="U244" s="3"/>
      <c r="V244" s="3" t="s">
        <v>41</v>
      </c>
      <c r="W244" s="5">
        <v>7499.07</v>
      </c>
      <c r="X244" s="5">
        <v>7499.07</v>
      </c>
      <c r="Y244" s="3">
        <v>0</v>
      </c>
      <c r="Z244" s="3">
        <v>0</v>
      </c>
      <c r="AA244" s="3">
        <v>0</v>
      </c>
    </row>
    <row r="245" spans="1:27" ht="36.75" x14ac:dyDescent="0.25">
      <c r="A245" s="3" t="s">
        <v>28</v>
      </c>
      <c r="B245" s="3" t="s">
        <v>29</v>
      </c>
      <c r="C245" s="3" t="s">
        <v>30</v>
      </c>
      <c r="D245" s="3" t="s">
        <v>63</v>
      </c>
      <c r="E245" s="3" t="s">
        <v>32</v>
      </c>
      <c r="F245" s="3" t="s">
        <v>158</v>
      </c>
      <c r="G245" s="3">
        <v>2025</v>
      </c>
      <c r="H245" s="3" t="str">
        <f>CONCATENATE("54240671815")</f>
        <v>54240671815</v>
      </c>
      <c r="I245" s="3" t="s">
        <v>34</v>
      </c>
      <c r="J245" s="3" t="s">
        <v>35</v>
      </c>
      <c r="K245" s="3"/>
      <c r="L245" s="3" t="s">
        <v>36</v>
      </c>
      <c r="M245" s="3" t="str">
        <f>CONCATENATE("02576200444")</f>
        <v>02576200444</v>
      </c>
      <c r="N245" s="3" t="s">
        <v>351</v>
      </c>
      <c r="O245" s="3" t="s">
        <v>38</v>
      </c>
      <c r="P245" s="3"/>
      <c r="Q245" s="4">
        <v>45944</v>
      </c>
      <c r="R245" s="3" t="s">
        <v>39</v>
      </c>
      <c r="S245" s="3" t="s">
        <v>38</v>
      </c>
      <c r="T245" s="3" t="s">
        <v>43</v>
      </c>
      <c r="U245" s="3"/>
      <c r="V245" s="3" t="s">
        <v>41</v>
      </c>
      <c r="W245" s="5">
        <v>4218.8999999999996</v>
      </c>
      <c r="X245" s="5">
        <v>4218.8999999999996</v>
      </c>
      <c r="Y245" s="3">
        <v>0</v>
      </c>
      <c r="Z245" s="3">
        <v>0</v>
      </c>
      <c r="AA245" s="3">
        <v>0</v>
      </c>
    </row>
    <row r="246" spans="1:27" ht="60.75" x14ac:dyDescent="0.25">
      <c r="A246" s="3" t="s">
        <v>28</v>
      </c>
      <c r="B246" s="3" t="s">
        <v>29</v>
      </c>
      <c r="C246" s="3" t="s">
        <v>30</v>
      </c>
      <c r="D246" s="3" t="s">
        <v>49</v>
      </c>
      <c r="E246" s="3" t="s">
        <v>46</v>
      </c>
      <c r="F246" s="3" t="s">
        <v>131</v>
      </c>
      <c r="G246" s="3">
        <v>2025</v>
      </c>
      <c r="H246" s="3" t="str">
        <f>CONCATENATE("54240672276")</f>
        <v>54240672276</v>
      </c>
      <c r="I246" s="3" t="s">
        <v>34</v>
      </c>
      <c r="J246" s="3" t="s">
        <v>35</v>
      </c>
      <c r="K246" s="3"/>
      <c r="L246" s="3" t="s">
        <v>36</v>
      </c>
      <c r="M246" s="3" t="str">
        <f>CONCATENATE("ZMPRLD36B11A329C")</f>
        <v>ZMPRLD36B11A329C</v>
      </c>
      <c r="N246" s="3" t="s">
        <v>352</v>
      </c>
      <c r="O246" s="3" t="s">
        <v>38</v>
      </c>
      <c r="P246" s="3"/>
      <c r="Q246" s="4">
        <v>45944</v>
      </c>
      <c r="R246" s="3" t="s">
        <v>39</v>
      </c>
      <c r="S246" s="3" t="s">
        <v>38</v>
      </c>
      <c r="T246" s="3" t="s">
        <v>43</v>
      </c>
      <c r="U246" s="3"/>
      <c r="V246" s="3" t="s">
        <v>41</v>
      </c>
      <c r="W246" s="5">
        <v>3780.2</v>
      </c>
      <c r="X246" s="5">
        <v>3780.2</v>
      </c>
      <c r="Y246" s="3">
        <v>0</v>
      </c>
      <c r="Z246" s="3">
        <v>0</v>
      </c>
      <c r="AA246" s="3">
        <v>0</v>
      </c>
    </row>
    <row r="247" spans="1:27" ht="60.75" x14ac:dyDescent="0.25">
      <c r="A247" s="3" t="s">
        <v>28</v>
      </c>
      <c r="B247" s="3" t="s">
        <v>29</v>
      </c>
      <c r="C247" s="3" t="s">
        <v>30</v>
      </c>
      <c r="D247" s="3" t="s">
        <v>49</v>
      </c>
      <c r="E247" s="3" t="s">
        <v>46</v>
      </c>
      <c r="F247" s="3" t="s">
        <v>205</v>
      </c>
      <c r="G247" s="3">
        <v>2025</v>
      </c>
      <c r="H247" s="3" t="str">
        <f>CONCATENATE("54240672649")</f>
        <v>54240672649</v>
      </c>
      <c r="I247" s="3" t="s">
        <v>34</v>
      </c>
      <c r="J247" s="3" t="s">
        <v>35</v>
      </c>
      <c r="K247" s="3"/>
      <c r="L247" s="3" t="s">
        <v>36</v>
      </c>
      <c r="M247" s="3" t="str">
        <f>CONCATENATE("MRLMRL66A18G921L")</f>
        <v>MRLMRL66A18G921L</v>
      </c>
      <c r="N247" s="3" t="s">
        <v>353</v>
      </c>
      <c r="O247" s="3" t="s">
        <v>38</v>
      </c>
      <c r="P247" s="3"/>
      <c r="Q247" s="4">
        <v>45944</v>
      </c>
      <c r="R247" s="3" t="s">
        <v>39</v>
      </c>
      <c r="S247" s="3" t="s">
        <v>38</v>
      </c>
      <c r="T247" s="3" t="s">
        <v>43</v>
      </c>
      <c r="U247" s="3"/>
      <c r="V247" s="3" t="s">
        <v>41</v>
      </c>
      <c r="W247" s="5">
        <v>2506.06</v>
      </c>
      <c r="X247" s="5">
        <v>2506.06</v>
      </c>
      <c r="Y247" s="3">
        <v>0</v>
      </c>
      <c r="Z247" s="3">
        <v>0</v>
      </c>
      <c r="AA247" s="3">
        <v>0</v>
      </c>
    </row>
    <row r="248" spans="1:27" ht="36.75" x14ac:dyDescent="0.25">
      <c r="A248" s="3" t="s">
        <v>28</v>
      </c>
      <c r="B248" s="3" t="s">
        <v>29</v>
      </c>
      <c r="C248" s="3" t="s">
        <v>30</v>
      </c>
      <c r="D248" s="3" t="s">
        <v>49</v>
      </c>
      <c r="E248" s="3" t="s">
        <v>46</v>
      </c>
      <c r="F248" s="3" t="s">
        <v>205</v>
      </c>
      <c r="G248" s="3">
        <v>2025</v>
      </c>
      <c r="H248" s="3" t="str">
        <f>CONCATENATE("54240672953")</f>
        <v>54240672953</v>
      </c>
      <c r="I248" s="3" t="s">
        <v>34</v>
      </c>
      <c r="J248" s="3" t="s">
        <v>35</v>
      </c>
      <c r="K248" s="3"/>
      <c r="L248" s="3" t="s">
        <v>36</v>
      </c>
      <c r="M248" s="3" t="str">
        <f>CONCATENATE("02133140430")</f>
        <v>02133140430</v>
      </c>
      <c r="N248" s="3" t="s">
        <v>354</v>
      </c>
      <c r="O248" s="3" t="s">
        <v>38</v>
      </c>
      <c r="P248" s="3"/>
      <c r="Q248" s="4">
        <v>45944</v>
      </c>
      <c r="R248" s="3" t="s">
        <v>39</v>
      </c>
      <c r="S248" s="3" t="s">
        <v>38</v>
      </c>
      <c r="T248" s="3" t="s">
        <v>43</v>
      </c>
      <c r="U248" s="3"/>
      <c r="V248" s="3" t="s">
        <v>41</v>
      </c>
      <c r="W248" s="5">
        <v>3776.51</v>
      </c>
      <c r="X248" s="5">
        <v>3776.51</v>
      </c>
      <c r="Y248" s="3">
        <v>0</v>
      </c>
      <c r="Z248" s="3">
        <v>0</v>
      </c>
      <c r="AA248" s="3">
        <v>0</v>
      </c>
    </row>
    <row r="249" spans="1:27" ht="36.75" x14ac:dyDescent="0.25">
      <c r="A249" s="3" t="s">
        <v>28</v>
      </c>
      <c r="B249" s="3" t="s">
        <v>29</v>
      </c>
      <c r="C249" s="3" t="s">
        <v>30</v>
      </c>
      <c r="D249" s="3" t="s">
        <v>58</v>
      </c>
      <c r="E249" s="3" t="s">
        <v>32</v>
      </c>
      <c r="F249" s="3" t="s">
        <v>100</v>
      </c>
      <c r="G249" s="3">
        <v>2025</v>
      </c>
      <c r="H249" s="3" t="str">
        <f>CONCATENATE("54240673050")</f>
        <v>54240673050</v>
      </c>
      <c r="I249" s="3" t="s">
        <v>149</v>
      </c>
      <c r="J249" s="3" t="s">
        <v>35</v>
      </c>
      <c r="K249" s="3"/>
      <c r="L249" s="3" t="s">
        <v>36</v>
      </c>
      <c r="M249" s="3" t="str">
        <f>CONCATENATE("03006890424")</f>
        <v>03006890424</v>
      </c>
      <c r="N249" s="3" t="s">
        <v>355</v>
      </c>
      <c r="O249" s="3" t="s">
        <v>38</v>
      </c>
      <c r="P249" s="3"/>
      <c r="Q249" s="4">
        <v>45944</v>
      </c>
      <c r="R249" s="3" t="s">
        <v>39</v>
      </c>
      <c r="S249" s="3" t="s">
        <v>38</v>
      </c>
      <c r="T249" s="3" t="s">
        <v>43</v>
      </c>
      <c r="U249" s="3"/>
      <c r="V249" s="3" t="s">
        <v>41</v>
      </c>
      <c r="W249" s="5">
        <v>1861.53</v>
      </c>
      <c r="X249" s="5">
        <v>1861.53</v>
      </c>
      <c r="Y249" s="3">
        <v>0</v>
      </c>
      <c r="Z249" s="3">
        <v>0</v>
      </c>
      <c r="AA249" s="3">
        <v>0</v>
      </c>
    </row>
    <row r="250" spans="1:27" ht="60.75" x14ac:dyDescent="0.25">
      <c r="A250" s="3" t="s">
        <v>28</v>
      </c>
      <c r="B250" s="3" t="s">
        <v>29</v>
      </c>
      <c r="C250" s="3" t="s">
        <v>30</v>
      </c>
      <c r="D250" s="3" t="s">
        <v>63</v>
      </c>
      <c r="E250" s="3" t="s">
        <v>32</v>
      </c>
      <c r="F250" s="3" t="s">
        <v>100</v>
      </c>
      <c r="G250" s="3">
        <v>2025</v>
      </c>
      <c r="H250" s="3" t="str">
        <f>CONCATENATE("54240673092")</f>
        <v>54240673092</v>
      </c>
      <c r="I250" s="3" t="s">
        <v>34</v>
      </c>
      <c r="J250" s="3" t="s">
        <v>35</v>
      </c>
      <c r="K250" s="3"/>
      <c r="L250" s="3" t="s">
        <v>36</v>
      </c>
      <c r="M250" s="3" t="str">
        <f>CONCATENATE("GDHVEA49S65Z112P")</f>
        <v>GDHVEA49S65Z112P</v>
      </c>
      <c r="N250" s="3" t="s">
        <v>356</v>
      </c>
      <c r="O250" s="3" t="s">
        <v>38</v>
      </c>
      <c r="P250" s="3"/>
      <c r="Q250" s="4">
        <v>45944</v>
      </c>
      <c r="R250" s="3" t="s">
        <v>39</v>
      </c>
      <c r="S250" s="3" t="s">
        <v>38</v>
      </c>
      <c r="T250" s="3" t="s">
        <v>43</v>
      </c>
      <c r="U250" s="3"/>
      <c r="V250" s="3" t="s">
        <v>41</v>
      </c>
      <c r="W250" s="3">
        <v>425.94</v>
      </c>
      <c r="X250" s="3">
        <v>425.94</v>
      </c>
      <c r="Y250" s="3">
        <v>0</v>
      </c>
      <c r="Z250" s="3">
        <v>0</v>
      </c>
      <c r="AA250" s="3">
        <v>0</v>
      </c>
    </row>
    <row r="251" spans="1:27" ht="60.75" x14ac:dyDescent="0.25">
      <c r="A251" s="3" t="s">
        <v>28</v>
      </c>
      <c r="B251" s="3" t="s">
        <v>29</v>
      </c>
      <c r="C251" s="3" t="s">
        <v>30</v>
      </c>
      <c r="D251" s="3" t="s">
        <v>31</v>
      </c>
      <c r="E251" s="3" t="s">
        <v>343</v>
      </c>
      <c r="F251" s="3" t="s">
        <v>344</v>
      </c>
      <c r="G251" s="3">
        <v>2025</v>
      </c>
      <c r="H251" s="3" t="str">
        <f>CONCATENATE("54240673696")</f>
        <v>54240673696</v>
      </c>
      <c r="I251" s="3" t="s">
        <v>34</v>
      </c>
      <c r="J251" s="3" t="s">
        <v>35</v>
      </c>
      <c r="K251" s="3"/>
      <c r="L251" s="3" t="s">
        <v>36</v>
      </c>
      <c r="M251" s="3" t="str">
        <f>CONCATENATE("LRDGNE65P03C357P")</f>
        <v>LRDGNE65P03C357P</v>
      </c>
      <c r="N251" s="3" t="s">
        <v>357</v>
      </c>
      <c r="O251" s="3" t="s">
        <v>38</v>
      </c>
      <c r="P251" s="3"/>
      <c r="Q251" s="4">
        <v>45944</v>
      </c>
      <c r="R251" s="3" t="s">
        <v>39</v>
      </c>
      <c r="S251" s="3" t="s">
        <v>38</v>
      </c>
      <c r="T251" s="3" t="s">
        <v>43</v>
      </c>
      <c r="U251" s="3"/>
      <c r="V251" s="3" t="s">
        <v>41</v>
      </c>
      <c r="W251" s="5">
        <v>3442.93</v>
      </c>
      <c r="X251" s="5">
        <v>3442.93</v>
      </c>
      <c r="Y251" s="3">
        <v>0</v>
      </c>
      <c r="Z251" s="3">
        <v>0</v>
      </c>
      <c r="AA251" s="3">
        <v>0</v>
      </c>
    </row>
    <row r="252" spans="1:27" ht="36.75" x14ac:dyDescent="0.25">
      <c r="A252" s="3" t="s">
        <v>28</v>
      </c>
      <c r="B252" s="3" t="s">
        <v>29</v>
      </c>
      <c r="C252" s="3" t="s">
        <v>30</v>
      </c>
      <c r="D252" s="3" t="s">
        <v>49</v>
      </c>
      <c r="E252" s="3" t="s">
        <v>74</v>
      </c>
      <c r="F252" s="3" t="s">
        <v>217</v>
      </c>
      <c r="G252" s="3">
        <v>2025</v>
      </c>
      <c r="H252" s="3" t="str">
        <f>CONCATENATE("54240529963")</f>
        <v>54240529963</v>
      </c>
      <c r="I252" s="3" t="s">
        <v>34</v>
      </c>
      <c r="J252" s="3" t="s">
        <v>35</v>
      </c>
      <c r="K252" s="3"/>
      <c r="L252" s="3" t="s">
        <v>36</v>
      </c>
      <c r="M252" s="3" t="str">
        <f>CONCATENATE("01985380433")</f>
        <v>01985380433</v>
      </c>
      <c r="N252" s="3" t="s">
        <v>358</v>
      </c>
      <c r="O252" s="3" t="s">
        <v>38</v>
      </c>
      <c r="P252" s="3"/>
      <c r="Q252" s="4">
        <v>45944</v>
      </c>
      <c r="R252" s="3" t="s">
        <v>39</v>
      </c>
      <c r="S252" s="3" t="s">
        <v>38</v>
      </c>
      <c r="T252" s="3" t="s">
        <v>43</v>
      </c>
      <c r="U252" s="3"/>
      <c r="V252" s="3" t="s">
        <v>41</v>
      </c>
      <c r="W252" s="5">
        <v>1743.54</v>
      </c>
      <c r="X252" s="5">
        <v>1743.54</v>
      </c>
      <c r="Y252" s="3">
        <v>0</v>
      </c>
      <c r="Z252" s="3">
        <v>0</v>
      </c>
      <c r="AA252" s="3">
        <v>0</v>
      </c>
    </row>
    <row r="253" spans="1:27" ht="60.75" x14ac:dyDescent="0.25">
      <c r="A253" s="3" t="s">
        <v>28</v>
      </c>
      <c r="B253" s="3" t="s">
        <v>29</v>
      </c>
      <c r="C253" s="3" t="s">
        <v>30</v>
      </c>
      <c r="D253" s="3" t="s">
        <v>49</v>
      </c>
      <c r="E253" s="3" t="s">
        <v>91</v>
      </c>
      <c r="F253" s="3" t="s">
        <v>92</v>
      </c>
      <c r="G253" s="3">
        <v>2025</v>
      </c>
      <c r="H253" s="3" t="str">
        <f>CONCATENATE("54240530391")</f>
        <v>54240530391</v>
      </c>
      <c r="I253" s="3" t="s">
        <v>34</v>
      </c>
      <c r="J253" s="3" t="s">
        <v>35</v>
      </c>
      <c r="K253" s="3"/>
      <c r="L253" s="3" t="s">
        <v>36</v>
      </c>
      <c r="M253" s="3" t="str">
        <f>CONCATENATE("RMLNCL95R25B474Y")</f>
        <v>RMLNCL95R25B474Y</v>
      </c>
      <c r="N253" s="3" t="s">
        <v>359</v>
      </c>
      <c r="O253" s="3" t="s">
        <v>38</v>
      </c>
      <c r="P253" s="3"/>
      <c r="Q253" s="4">
        <v>45944</v>
      </c>
      <c r="R253" s="3" t="s">
        <v>39</v>
      </c>
      <c r="S253" s="3" t="s">
        <v>38</v>
      </c>
      <c r="T253" s="3" t="s">
        <v>43</v>
      </c>
      <c r="U253" s="3"/>
      <c r="V253" s="3" t="s">
        <v>41</v>
      </c>
      <c r="W253" s="5">
        <v>1511.73</v>
      </c>
      <c r="X253" s="5">
        <v>1511.73</v>
      </c>
      <c r="Y253" s="3">
        <v>0</v>
      </c>
      <c r="Z253" s="3">
        <v>0</v>
      </c>
      <c r="AA253" s="3">
        <v>0</v>
      </c>
    </row>
    <row r="254" spans="1:27" ht="60.75" x14ac:dyDescent="0.25">
      <c r="A254" s="3" t="s">
        <v>28</v>
      </c>
      <c r="B254" s="3" t="s">
        <v>29</v>
      </c>
      <c r="C254" s="3" t="s">
        <v>30</v>
      </c>
      <c r="D254" s="3" t="s">
        <v>49</v>
      </c>
      <c r="E254" s="3" t="s">
        <v>74</v>
      </c>
      <c r="F254" s="3" t="s">
        <v>217</v>
      </c>
      <c r="G254" s="3">
        <v>2025</v>
      </c>
      <c r="H254" s="3" t="str">
        <f>CONCATENATE("54240530128")</f>
        <v>54240530128</v>
      </c>
      <c r="I254" s="3" t="s">
        <v>34</v>
      </c>
      <c r="J254" s="3" t="s">
        <v>35</v>
      </c>
      <c r="K254" s="3"/>
      <c r="L254" s="3" t="s">
        <v>36</v>
      </c>
      <c r="M254" s="3" t="str">
        <f>CONCATENATE("PRLGCM85S10D042U")</f>
        <v>PRLGCM85S10D042U</v>
      </c>
      <c r="N254" s="3" t="s">
        <v>360</v>
      </c>
      <c r="O254" s="3" t="s">
        <v>38</v>
      </c>
      <c r="P254" s="3"/>
      <c r="Q254" s="4">
        <v>45944</v>
      </c>
      <c r="R254" s="3" t="s">
        <v>39</v>
      </c>
      <c r="S254" s="3" t="s">
        <v>38</v>
      </c>
      <c r="T254" s="3" t="s">
        <v>43</v>
      </c>
      <c r="U254" s="3"/>
      <c r="V254" s="3" t="s">
        <v>41</v>
      </c>
      <c r="W254" s="5">
        <v>2507.64</v>
      </c>
      <c r="X254" s="5">
        <v>2507.64</v>
      </c>
      <c r="Y254" s="3">
        <v>0</v>
      </c>
      <c r="Z254" s="3">
        <v>0</v>
      </c>
      <c r="AA254" s="3">
        <v>0</v>
      </c>
    </row>
    <row r="255" spans="1:27" ht="60.75" x14ac:dyDescent="0.25">
      <c r="A255" s="3" t="s">
        <v>28</v>
      </c>
      <c r="B255" s="3" t="s">
        <v>29</v>
      </c>
      <c r="C255" s="3" t="s">
        <v>30</v>
      </c>
      <c r="D255" s="3" t="s">
        <v>49</v>
      </c>
      <c r="E255" s="3" t="s">
        <v>46</v>
      </c>
      <c r="F255" s="3" t="s">
        <v>140</v>
      </c>
      <c r="G255" s="3">
        <v>2025</v>
      </c>
      <c r="H255" s="3" t="str">
        <f>CONCATENATE("54240530888")</f>
        <v>54240530888</v>
      </c>
      <c r="I255" s="3" t="s">
        <v>34</v>
      </c>
      <c r="J255" s="3" t="s">
        <v>35</v>
      </c>
      <c r="K255" s="3"/>
      <c r="L255" s="3" t="s">
        <v>36</v>
      </c>
      <c r="M255" s="3" t="str">
        <f>CONCATENATE("BSLLCU99A45I156E")</f>
        <v>BSLLCU99A45I156E</v>
      </c>
      <c r="N255" s="3" t="s">
        <v>361</v>
      </c>
      <c r="O255" s="3" t="s">
        <v>38</v>
      </c>
      <c r="P255" s="3"/>
      <c r="Q255" s="4">
        <v>45944</v>
      </c>
      <c r="R255" s="3" t="s">
        <v>39</v>
      </c>
      <c r="S255" s="3" t="s">
        <v>38</v>
      </c>
      <c r="T255" s="3" t="s">
        <v>43</v>
      </c>
      <c r="U255" s="3"/>
      <c r="V255" s="3" t="s">
        <v>41</v>
      </c>
      <c r="W255" s="5">
        <v>11865.23</v>
      </c>
      <c r="X255" s="5">
        <v>11865.23</v>
      </c>
      <c r="Y255" s="3">
        <v>0</v>
      </c>
      <c r="Z255" s="3">
        <v>0</v>
      </c>
      <c r="AA255" s="3">
        <v>0</v>
      </c>
    </row>
    <row r="256" spans="1:27" ht="60.75" x14ac:dyDescent="0.25">
      <c r="A256" s="3" t="s">
        <v>28</v>
      </c>
      <c r="B256" s="3" t="s">
        <v>29</v>
      </c>
      <c r="C256" s="3" t="s">
        <v>30</v>
      </c>
      <c r="D256" s="3" t="s">
        <v>31</v>
      </c>
      <c r="E256" s="3" t="s">
        <v>53</v>
      </c>
      <c r="F256" s="3" t="s">
        <v>54</v>
      </c>
      <c r="G256" s="3">
        <v>2025</v>
      </c>
      <c r="H256" s="3" t="str">
        <f>CONCATENATE("54240530672")</f>
        <v>54240530672</v>
      </c>
      <c r="I256" s="3" t="s">
        <v>34</v>
      </c>
      <c r="J256" s="3" t="s">
        <v>35</v>
      </c>
      <c r="K256" s="3"/>
      <c r="L256" s="3" t="s">
        <v>36</v>
      </c>
      <c r="M256" s="3" t="str">
        <f>CONCATENATE("PNSPLA75M30E785D")</f>
        <v>PNSPLA75M30E785D</v>
      </c>
      <c r="N256" s="3" t="s">
        <v>362</v>
      </c>
      <c r="O256" s="3" t="s">
        <v>38</v>
      </c>
      <c r="P256" s="3"/>
      <c r="Q256" s="4">
        <v>45944</v>
      </c>
      <c r="R256" s="3" t="s">
        <v>39</v>
      </c>
      <c r="S256" s="3" t="s">
        <v>38</v>
      </c>
      <c r="T256" s="3" t="s">
        <v>43</v>
      </c>
      <c r="U256" s="3"/>
      <c r="V256" s="3" t="s">
        <v>41</v>
      </c>
      <c r="W256" s="5">
        <v>3002.92</v>
      </c>
      <c r="X256" s="5">
        <v>3002.92</v>
      </c>
      <c r="Y256" s="3">
        <v>0</v>
      </c>
      <c r="Z256" s="3">
        <v>0</v>
      </c>
      <c r="AA256" s="3">
        <v>0</v>
      </c>
    </row>
    <row r="257" spans="1:27" ht="60.75" x14ac:dyDescent="0.25">
      <c r="A257" s="3" t="s">
        <v>28</v>
      </c>
      <c r="B257" s="3" t="s">
        <v>29</v>
      </c>
      <c r="C257" s="3" t="s">
        <v>30</v>
      </c>
      <c r="D257" s="3" t="s">
        <v>31</v>
      </c>
      <c r="E257" s="3" t="s">
        <v>53</v>
      </c>
      <c r="F257" s="3" t="s">
        <v>306</v>
      </c>
      <c r="G257" s="3">
        <v>2025</v>
      </c>
      <c r="H257" s="3" t="str">
        <f>CONCATENATE("54240530698")</f>
        <v>54240530698</v>
      </c>
      <c r="I257" s="3" t="s">
        <v>34</v>
      </c>
      <c r="J257" s="3" t="s">
        <v>35</v>
      </c>
      <c r="K257" s="3"/>
      <c r="L257" s="3" t="s">
        <v>36</v>
      </c>
      <c r="M257" s="3" t="str">
        <f>CONCATENATE("BRTMHL70D56F137K")</f>
        <v>BRTMHL70D56F137K</v>
      </c>
      <c r="N257" s="3" t="s">
        <v>363</v>
      </c>
      <c r="O257" s="3" t="s">
        <v>38</v>
      </c>
      <c r="P257" s="3"/>
      <c r="Q257" s="4">
        <v>45944</v>
      </c>
      <c r="R257" s="3" t="s">
        <v>39</v>
      </c>
      <c r="S257" s="3" t="s">
        <v>38</v>
      </c>
      <c r="T257" s="3" t="s">
        <v>43</v>
      </c>
      <c r="U257" s="3"/>
      <c r="V257" s="3" t="s">
        <v>41</v>
      </c>
      <c r="W257" s="5">
        <v>1863.01</v>
      </c>
      <c r="X257" s="5">
        <v>1863.01</v>
      </c>
      <c r="Y257" s="3">
        <v>0</v>
      </c>
      <c r="Z257" s="3">
        <v>0</v>
      </c>
      <c r="AA257" s="3">
        <v>0</v>
      </c>
    </row>
    <row r="258" spans="1:27" ht="60.75" x14ac:dyDescent="0.25">
      <c r="A258" s="3" t="s">
        <v>28</v>
      </c>
      <c r="B258" s="3" t="s">
        <v>29</v>
      </c>
      <c r="C258" s="3" t="s">
        <v>30</v>
      </c>
      <c r="D258" s="3" t="s">
        <v>49</v>
      </c>
      <c r="E258" s="3" t="s">
        <v>32</v>
      </c>
      <c r="F258" s="3" t="s">
        <v>78</v>
      </c>
      <c r="G258" s="3">
        <v>2025</v>
      </c>
      <c r="H258" s="3" t="str">
        <f>CONCATENATE("54240530896")</f>
        <v>54240530896</v>
      </c>
      <c r="I258" s="3" t="s">
        <v>34</v>
      </c>
      <c r="J258" s="3" t="s">
        <v>35</v>
      </c>
      <c r="K258" s="3"/>
      <c r="L258" s="3" t="s">
        <v>36</v>
      </c>
      <c r="M258" s="3" t="str">
        <f>CONCATENATE("LCRMLN78S70B474K")</f>
        <v>LCRMLN78S70B474K</v>
      </c>
      <c r="N258" s="3" t="s">
        <v>364</v>
      </c>
      <c r="O258" s="3" t="s">
        <v>38</v>
      </c>
      <c r="P258" s="3"/>
      <c r="Q258" s="4">
        <v>45944</v>
      </c>
      <c r="R258" s="3" t="s">
        <v>39</v>
      </c>
      <c r="S258" s="3" t="s">
        <v>38</v>
      </c>
      <c r="T258" s="3" t="s">
        <v>43</v>
      </c>
      <c r="U258" s="3"/>
      <c r="V258" s="3" t="s">
        <v>41</v>
      </c>
      <c r="W258" s="5">
        <v>3021.04</v>
      </c>
      <c r="X258" s="5">
        <v>3021.04</v>
      </c>
      <c r="Y258" s="3">
        <v>0</v>
      </c>
      <c r="Z258" s="3">
        <v>0</v>
      </c>
      <c r="AA258" s="3">
        <v>0</v>
      </c>
    </row>
    <row r="259" spans="1:27" ht="72.75" x14ac:dyDescent="0.25">
      <c r="A259" s="3" t="s">
        <v>28</v>
      </c>
      <c r="B259" s="3" t="s">
        <v>29</v>
      </c>
      <c r="C259" s="3" t="s">
        <v>30</v>
      </c>
      <c r="D259" s="3" t="s">
        <v>31</v>
      </c>
      <c r="E259" s="3" t="s">
        <v>53</v>
      </c>
      <c r="F259" s="3" t="s">
        <v>306</v>
      </c>
      <c r="G259" s="3">
        <v>2025</v>
      </c>
      <c r="H259" s="3" t="str">
        <f>CONCATENATE("54240530821")</f>
        <v>54240530821</v>
      </c>
      <c r="I259" s="3" t="s">
        <v>34</v>
      </c>
      <c r="J259" s="3" t="s">
        <v>35</v>
      </c>
      <c r="K259" s="3"/>
      <c r="L259" s="3" t="s">
        <v>36</v>
      </c>
      <c r="M259" s="3" t="str">
        <f>CONCATENATE("NRDMGR77M54G479F")</f>
        <v>NRDMGR77M54G479F</v>
      </c>
      <c r="N259" s="3" t="s">
        <v>365</v>
      </c>
      <c r="O259" s="3" t="s">
        <v>38</v>
      </c>
      <c r="P259" s="3"/>
      <c r="Q259" s="4">
        <v>45944</v>
      </c>
      <c r="R259" s="3" t="s">
        <v>39</v>
      </c>
      <c r="S259" s="3" t="s">
        <v>38</v>
      </c>
      <c r="T259" s="3" t="s">
        <v>43</v>
      </c>
      <c r="U259" s="3"/>
      <c r="V259" s="3" t="s">
        <v>41</v>
      </c>
      <c r="W259" s="5">
        <v>4934.05</v>
      </c>
      <c r="X259" s="5">
        <v>4934.05</v>
      </c>
      <c r="Y259" s="3">
        <v>0</v>
      </c>
      <c r="Z259" s="3">
        <v>0</v>
      </c>
      <c r="AA259" s="3">
        <v>0</v>
      </c>
    </row>
    <row r="260" spans="1:27" ht="36.75" x14ac:dyDescent="0.25">
      <c r="A260" s="3" t="s">
        <v>28</v>
      </c>
      <c r="B260" s="3" t="s">
        <v>29</v>
      </c>
      <c r="C260" s="3" t="s">
        <v>30</v>
      </c>
      <c r="D260" s="3" t="s">
        <v>63</v>
      </c>
      <c r="E260" s="3" t="s">
        <v>46</v>
      </c>
      <c r="F260" s="3" t="s">
        <v>126</v>
      </c>
      <c r="G260" s="3">
        <v>2025</v>
      </c>
      <c r="H260" s="3" t="str">
        <f>CONCATENATE("54240531035")</f>
        <v>54240531035</v>
      </c>
      <c r="I260" s="3" t="s">
        <v>34</v>
      </c>
      <c r="J260" s="3" t="s">
        <v>35</v>
      </c>
      <c r="K260" s="3"/>
      <c r="L260" s="3" t="s">
        <v>36</v>
      </c>
      <c r="M260" s="3" t="str">
        <f>CONCATENATE("02547490447")</f>
        <v>02547490447</v>
      </c>
      <c r="N260" s="3" t="s">
        <v>366</v>
      </c>
      <c r="O260" s="3" t="s">
        <v>38</v>
      </c>
      <c r="P260" s="3"/>
      <c r="Q260" s="4">
        <v>45944</v>
      </c>
      <c r="R260" s="3" t="s">
        <v>39</v>
      </c>
      <c r="S260" s="3" t="s">
        <v>38</v>
      </c>
      <c r="T260" s="3" t="s">
        <v>43</v>
      </c>
      <c r="U260" s="3"/>
      <c r="V260" s="3" t="s">
        <v>41</v>
      </c>
      <c r="W260" s="5">
        <v>5488.87</v>
      </c>
      <c r="X260" s="5">
        <v>5488.87</v>
      </c>
      <c r="Y260" s="3">
        <v>0</v>
      </c>
      <c r="Z260" s="3">
        <v>0</v>
      </c>
      <c r="AA260" s="3">
        <v>0</v>
      </c>
    </row>
    <row r="261" spans="1:27" ht="60.75" x14ac:dyDescent="0.25">
      <c r="A261" s="3" t="s">
        <v>28</v>
      </c>
      <c r="B261" s="3" t="s">
        <v>29</v>
      </c>
      <c r="C261" s="3" t="s">
        <v>30</v>
      </c>
      <c r="D261" s="3" t="s">
        <v>49</v>
      </c>
      <c r="E261" s="3" t="s">
        <v>46</v>
      </c>
      <c r="F261" s="3" t="s">
        <v>205</v>
      </c>
      <c r="G261" s="3">
        <v>2025</v>
      </c>
      <c r="H261" s="3" t="str">
        <f>CONCATENATE("54240531225")</f>
        <v>54240531225</v>
      </c>
      <c r="I261" s="3" t="s">
        <v>34</v>
      </c>
      <c r="J261" s="3" t="s">
        <v>35</v>
      </c>
      <c r="K261" s="3"/>
      <c r="L261" s="3" t="s">
        <v>36</v>
      </c>
      <c r="M261" s="3" t="str">
        <f>CONCATENATE("GRDCNZ87L54I156C")</f>
        <v>GRDCNZ87L54I156C</v>
      </c>
      <c r="N261" s="3" t="s">
        <v>367</v>
      </c>
      <c r="O261" s="3" t="s">
        <v>38</v>
      </c>
      <c r="P261" s="3"/>
      <c r="Q261" s="4">
        <v>45944</v>
      </c>
      <c r="R261" s="3" t="s">
        <v>39</v>
      </c>
      <c r="S261" s="3" t="s">
        <v>38</v>
      </c>
      <c r="T261" s="3" t="s">
        <v>43</v>
      </c>
      <c r="U261" s="3"/>
      <c r="V261" s="3" t="s">
        <v>41</v>
      </c>
      <c r="W261" s="3">
        <v>728.29</v>
      </c>
      <c r="X261" s="3">
        <v>728.29</v>
      </c>
      <c r="Y261" s="3">
        <v>0</v>
      </c>
      <c r="Z261" s="3">
        <v>0</v>
      </c>
      <c r="AA261" s="3">
        <v>0</v>
      </c>
    </row>
    <row r="262" spans="1:27" ht="36.75" x14ac:dyDescent="0.25">
      <c r="A262" s="3" t="s">
        <v>28</v>
      </c>
      <c r="B262" s="3" t="s">
        <v>29</v>
      </c>
      <c r="C262" s="3" t="s">
        <v>30</v>
      </c>
      <c r="D262" s="3" t="s">
        <v>49</v>
      </c>
      <c r="E262" s="3" t="s">
        <v>32</v>
      </c>
      <c r="F262" s="3" t="s">
        <v>368</v>
      </c>
      <c r="G262" s="3">
        <v>2025</v>
      </c>
      <c r="H262" s="3" t="str">
        <f>CONCATENATE("54240537834")</f>
        <v>54240537834</v>
      </c>
      <c r="I262" s="3" t="s">
        <v>34</v>
      </c>
      <c r="J262" s="3" t="s">
        <v>35</v>
      </c>
      <c r="K262" s="3"/>
      <c r="L262" s="3" t="s">
        <v>36</v>
      </c>
      <c r="M262" s="3" t="str">
        <f>CONCATENATE("02070260431")</f>
        <v>02070260431</v>
      </c>
      <c r="N262" s="3" t="s">
        <v>369</v>
      </c>
      <c r="O262" s="3" t="s">
        <v>38</v>
      </c>
      <c r="P262" s="3"/>
      <c r="Q262" s="4">
        <v>45944</v>
      </c>
      <c r="R262" s="3" t="s">
        <v>39</v>
      </c>
      <c r="S262" s="3" t="s">
        <v>38</v>
      </c>
      <c r="T262" s="3" t="s">
        <v>43</v>
      </c>
      <c r="U262" s="3"/>
      <c r="V262" s="3" t="s">
        <v>41</v>
      </c>
      <c r="W262" s="5">
        <v>5407.6</v>
      </c>
      <c r="X262" s="5">
        <v>5407.6</v>
      </c>
      <c r="Y262" s="3">
        <v>0</v>
      </c>
      <c r="Z262" s="3">
        <v>0</v>
      </c>
      <c r="AA262" s="3">
        <v>0</v>
      </c>
    </row>
    <row r="263" spans="1:27" ht="60.75" x14ac:dyDescent="0.25">
      <c r="A263" s="3" t="s">
        <v>28</v>
      </c>
      <c r="B263" s="3" t="s">
        <v>29</v>
      </c>
      <c r="C263" s="3" t="s">
        <v>30</v>
      </c>
      <c r="D263" s="3" t="s">
        <v>49</v>
      </c>
      <c r="E263" s="3" t="s">
        <v>46</v>
      </c>
      <c r="F263" s="3" t="s">
        <v>129</v>
      </c>
      <c r="G263" s="3">
        <v>2025</v>
      </c>
      <c r="H263" s="3" t="str">
        <f>CONCATENATE("54240532892")</f>
        <v>54240532892</v>
      </c>
      <c r="I263" s="3" t="s">
        <v>34</v>
      </c>
      <c r="J263" s="3" t="s">
        <v>35</v>
      </c>
      <c r="K263" s="3"/>
      <c r="L263" s="3" t="s">
        <v>36</v>
      </c>
      <c r="M263" s="3" t="str">
        <f>CONCATENATE("BLDLNE39M47F552G")</f>
        <v>BLDLNE39M47F552G</v>
      </c>
      <c r="N263" s="3" t="s">
        <v>370</v>
      </c>
      <c r="O263" s="3" t="s">
        <v>38</v>
      </c>
      <c r="P263" s="3"/>
      <c r="Q263" s="4">
        <v>45944</v>
      </c>
      <c r="R263" s="3" t="s">
        <v>39</v>
      </c>
      <c r="S263" s="3" t="s">
        <v>38</v>
      </c>
      <c r="T263" s="3" t="s">
        <v>43</v>
      </c>
      <c r="U263" s="3"/>
      <c r="V263" s="3" t="s">
        <v>41</v>
      </c>
      <c r="W263" s="3">
        <v>856.81</v>
      </c>
      <c r="X263" s="3">
        <v>856.81</v>
      </c>
      <c r="Y263" s="3">
        <v>0</v>
      </c>
      <c r="Z263" s="3">
        <v>0</v>
      </c>
      <c r="AA263" s="3">
        <v>0</v>
      </c>
    </row>
    <row r="264" spans="1:27" ht="60.75" x14ac:dyDescent="0.25">
      <c r="A264" s="3" t="s">
        <v>28</v>
      </c>
      <c r="B264" s="3" t="s">
        <v>29</v>
      </c>
      <c r="C264" s="3" t="s">
        <v>30</v>
      </c>
      <c r="D264" s="3" t="s">
        <v>49</v>
      </c>
      <c r="E264" s="3" t="s">
        <v>46</v>
      </c>
      <c r="F264" s="3" t="s">
        <v>205</v>
      </c>
      <c r="G264" s="3">
        <v>2025</v>
      </c>
      <c r="H264" s="3" t="str">
        <f>CONCATENATE("54240532751")</f>
        <v>54240532751</v>
      </c>
      <c r="I264" s="3" t="s">
        <v>34</v>
      </c>
      <c r="J264" s="3" t="s">
        <v>35</v>
      </c>
      <c r="K264" s="3"/>
      <c r="L264" s="3" t="s">
        <v>36</v>
      </c>
      <c r="M264" s="3" t="str">
        <f>CONCATENATE("MCCRNN56D07C582Q")</f>
        <v>MCCRNN56D07C582Q</v>
      </c>
      <c r="N264" s="3" t="s">
        <v>371</v>
      </c>
      <c r="O264" s="3" t="s">
        <v>38</v>
      </c>
      <c r="P264" s="3"/>
      <c r="Q264" s="4">
        <v>45944</v>
      </c>
      <c r="R264" s="3" t="s">
        <v>39</v>
      </c>
      <c r="S264" s="3" t="s">
        <v>38</v>
      </c>
      <c r="T264" s="3" t="s">
        <v>43</v>
      </c>
      <c r="U264" s="3"/>
      <c r="V264" s="3" t="s">
        <v>41</v>
      </c>
      <c r="W264" s="5">
        <v>2670.71</v>
      </c>
      <c r="X264" s="5">
        <v>2670.71</v>
      </c>
      <c r="Y264" s="3">
        <v>0</v>
      </c>
      <c r="Z264" s="3">
        <v>0</v>
      </c>
      <c r="AA264" s="3">
        <v>0</v>
      </c>
    </row>
    <row r="265" spans="1:27" ht="60.75" x14ac:dyDescent="0.25">
      <c r="A265" s="3" t="s">
        <v>28</v>
      </c>
      <c r="B265" s="3" t="s">
        <v>29</v>
      </c>
      <c r="C265" s="3" t="s">
        <v>30</v>
      </c>
      <c r="D265" s="3" t="s">
        <v>49</v>
      </c>
      <c r="E265" s="3" t="s">
        <v>46</v>
      </c>
      <c r="F265" s="3" t="s">
        <v>129</v>
      </c>
      <c r="G265" s="3">
        <v>2025</v>
      </c>
      <c r="H265" s="3" t="str">
        <f>CONCATENATE("54240532876")</f>
        <v>54240532876</v>
      </c>
      <c r="I265" s="3" t="s">
        <v>34</v>
      </c>
      <c r="J265" s="3" t="s">
        <v>35</v>
      </c>
      <c r="K265" s="3"/>
      <c r="L265" s="3" t="s">
        <v>36</v>
      </c>
      <c r="M265" s="3" t="str">
        <f>CONCATENATE("BRNCLD75M55C704C")</f>
        <v>BRNCLD75M55C704C</v>
      </c>
      <c r="N265" s="3" t="s">
        <v>372</v>
      </c>
      <c r="O265" s="3" t="s">
        <v>38</v>
      </c>
      <c r="P265" s="3"/>
      <c r="Q265" s="4">
        <v>45944</v>
      </c>
      <c r="R265" s="3" t="s">
        <v>39</v>
      </c>
      <c r="S265" s="3" t="s">
        <v>38</v>
      </c>
      <c r="T265" s="3" t="s">
        <v>43</v>
      </c>
      <c r="U265" s="3"/>
      <c r="V265" s="3" t="s">
        <v>41</v>
      </c>
      <c r="W265" s="5">
        <v>2249.59</v>
      </c>
      <c r="X265" s="5">
        <v>2249.59</v>
      </c>
      <c r="Y265" s="3">
        <v>0</v>
      </c>
      <c r="Z265" s="3">
        <v>0</v>
      </c>
      <c r="AA265" s="3">
        <v>0</v>
      </c>
    </row>
    <row r="266" spans="1:27" ht="60.75" x14ac:dyDescent="0.25">
      <c r="A266" s="3" t="s">
        <v>28</v>
      </c>
      <c r="B266" s="3" t="s">
        <v>29</v>
      </c>
      <c r="C266" s="3" t="s">
        <v>30</v>
      </c>
      <c r="D266" s="3" t="s">
        <v>49</v>
      </c>
      <c r="E266" s="3" t="s">
        <v>46</v>
      </c>
      <c r="F266" s="3" t="s">
        <v>205</v>
      </c>
      <c r="G266" s="3">
        <v>2025</v>
      </c>
      <c r="H266" s="3" t="str">
        <f>CONCATENATE("54240533270")</f>
        <v>54240533270</v>
      </c>
      <c r="I266" s="3" t="s">
        <v>34</v>
      </c>
      <c r="J266" s="3" t="s">
        <v>35</v>
      </c>
      <c r="K266" s="3"/>
      <c r="L266" s="3" t="s">
        <v>36</v>
      </c>
      <c r="M266" s="3" t="str">
        <f>CONCATENATE("NRDRTI33E56F567H")</f>
        <v>NRDRTI33E56F567H</v>
      </c>
      <c r="N266" s="3" t="s">
        <v>373</v>
      </c>
      <c r="O266" s="3" t="s">
        <v>38</v>
      </c>
      <c r="P266" s="3"/>
      <c r="Q266" s="4">
        <v>45944</v>
      </c>
      <c r="R266" s="3" t="s">
        <v>39</v>
      </c>
      <c r="S266" s="3" t="s">
        <v>38</v>
      </c>
      <c r="T266" s="3" t="s">
        <v>43</v>
      </c>
      <c r="U266" s="3"/>
      <c r="V266" s="3" t="s">
        <v>41</v>
      </c>
      <c r="W266" s="5">
        <v>1642.4</v>
      </c>
      <c r="X266" s="5">
        <v>1642.4</v>
      </c>
      <c r="Y266" s="3">
        <v>0</v>
      </c>
      <c r="Z266" s="3">
        <v>0</v>
      </c>
      <c r="AA266" s="3">
        <v>0</v>
      </c>
    </row>
    <row r="267" spans="1:27" ht="36.75" x14ac:dyDescent="0.25">
      <c r="A267" s="3" t="s">
        <v>28</v>
      </c>
      <c r="B267" s="3" t="s">
        <v>29</v>
      </c>
      <c r="C267" s="3" t="s">
        <v>30</v>
      </c>
      <c r="D267" s="3" t="s">
        <v>49</v>
      </c>
      <c r="E267" s="3" t="s">
        <v>46</v>
      </c>
      <c r="F267" s="3" t="s">
        <v>129</v>
      </c>
      <c r="G267" s="3">
        <v>2025</v>
      </c>
      <c r="H267" s="3" t="str">
        <f>CONCATENATE("54240532942")</f>
        <v>54240532942</v>
      </c>
      <c r="I267" s="3" t="s">
        <v>34</v>
      </c>
      <c r="J267" s="3" t="s">
        <v>35</v>
      </c>
      <c r="K267" s="3"/>
      <c r="L267" s="3" t="s">
        <v>36</v>
      </c>
      <c r="M267" s="3" t="str">
        <f>CONCATENATE("02079730434")</f>
        <v>02079730434</v>
      </c>
      <c r="N267" s="3" t="s">
        <v>374</v>
      </c>
      <c r="O267" s="3" t="s">
        <v>38</v>
      </c>
      <c r="P267" s="3"/>
      <c r="Q267" s="4">
        <v>45944</v>
      </c>
      <c r="R267" s="3" t="s">
        <v>39</v>
      </c>
      <c r="S267" s="3" t="s">
        <v>38</v>
      </c>
      <c r="T267" s="3" t="s">
        <v>43</v>
      </c>
      <c r="U267" s="3"/>
      <c r="V267" s="3" t="s">
        <v>41</v>
      </c>
      <c r="W267" s="5">
        <v>1134.95</v>
      </c>
      <c r="X267" s="5">
        <v>1134.95</v>
      </c>
      <c r="Y267" s="3">
        <v>0</v>
      </c>
      <c r="Z267" s="3">
        <v>0</v>
      </c>
      <c r="AA267" s="3">
        <v>0</v>
      </c>
    </row>
    <row r="268" spans="1:27" ht="60.75" x14ac:dyDescent="0.25">
      <c r="A268" s="3" t="s">
        <v>28</v>
      </c>
      <c r="B268" s="3" t="s">
        <v>29</v>
      </c>
      <c r="C268" s="3" t="s">
        <v>30</v>
      </c>
      <c r="D268" s="3" t="s">
        <v>49</v>
      </c>
      <c r="E268" s="3" t="s">
        <v>46</v>
      </c>
      <c r="F268" s="3" t="s">
        <v>129</v>
      </c>
      <c r="G268" s="3">
        <v>2025</v>
      </c>
      <c r="H268" s="3" t="str">
        <f>CONCATENATE("54240533072")</f>
        <v>54240533072</v>
      </c>
      <c r="I268" s="3" t="s">
        <v>34</v>
      </c>
      <c r="J268" s="3" t="s">
        <v>35</v>
      </c>
      <c r="K268" s="3"/>
      <c r="L268" s="3" t="s">
        <v>36</v>
      </c>
      <c r="M268" s="3" t="str">
        <f>CONCATENATE("GRZMTT91D13C794S")</f>
        <v>GRZMTT91D13C794S</v>
      </c>
      <c r="N268" s="3" t="s">
        <v>375</v>
      </c>
      <c r="O268" s="3" t="s">
        <v>38</v>
      </c>
      <c r="P268" s="3"/>
      <c r="Q268" s="4">
        <v>45944</v>
      </c>
      <c r="R268" s="3" t="s">
        <v>39</v>
      </c>
      <c r="S268" s="3" t="s">
        <v>38</v>
      </c>
      <c r="T268" s="3" t="s">
        <v>43</v>
      </c>
      <c r="U268" s="3"/>
      <c r="V268" s="3" t="s">
        <v>41</v>
      </c>
      <c r="W268" s="5">
        <v>2538.31</v>
      </c>
      <c r="X268" s="5">
        <v>2538.31</v>
      </c>
      <c r="Y268" s="3">
        <v>0</v>
      </c>
      <c r="Z268" s="3">
        <v>0</v>
      </c>
      <c r="AA268" s="3">
        <v>0</v>
      </c>
    </row>
    <row r="269" spans="1:27" ht="36.75" x14ac:dyDescent="0.25">
      <c r="A269" s="3" t="s">
        <v>28</v>
      </c>
      <c r="B269" s="3" t="s">
        <v>29</v>
      </c>
      <c r="C269" s="3" t="s">
        <v>30</v>
      </c>
      <c r="D269" s="3" t="s">
        <v>49</v>
      </c>
      <c r="E269" s="3" t="s">
        <v>32</v>
      </c>
      <c r="F269" s="3" t="s">
        <v>86</v>
      </c>
      <c r="G269" s="3">
        <v>2025</v>
      </c>
      <c r="H269" s="3" t="str">
        <f>CONCATENATE("54240533254")</f>
        <v>54240533254</v>
      </c>
      <c r="I269" s="3" t="s">
        <v>34</v>
      </c>
      <c r="J269" s="3" t="s">
        <v>35</v>
      </c>
      <c r="K269" s="3"/>
      <c r="L269" s="3" t="s">
        <v>36</v>
      </c>
      <c r="M269" s="3" t="str">
        <f>CONCATENATE("01263250431")</f>
        <v>01263250431</v>
      </c>
      <c r="N269" s="3" t="s">
        <v>376</v>
      </c>
      <c r="O269" s="3" t="s">
        <v>38</v>
      </c>
      <c r="P269" s="3"/>
      <c r="Q269" s="4">
        <v>45944</v>
      </c>
      <c r="R269" s="3" t="s">
        <v>39</v>
      </c>
      <c r="S269" s="3" t="s">
        <v>38</v>
      </c>
      <c r="T269" s="3" t="s">
        <v>43</v>
      </c>
      <c r="U269" s="3"/>
      <c r="V269" s="3" t="s">
        <v>41</v>
      </c>
      <c r="W269" s="5">
        <v>1215.77</v>
      </c>
      <c r="X269" s="5">
        <v>1215.77</v>
      </c>
      <c r="Y269" s="3">
        <v>0</v>
      </c>
      <c r="Z269" s="3">
        <v>0</v>
      </c>
      <c r="AA269" s="3">
        <v>0</v>
      </c>
    </row>
    <row r="270" spans="1:27" ht="60.75" x14ac:dyDescent="0.25">
      <c r="A270" s="3" t="s">
        <v>28</v>
      </c>
      <c r="B270" s="3" t="s">
        <v>29</v>
      </c>
      <c r="C270" s="3" t="s">
        <v>30</v>
      </c>
      <c r="D270" s="3" t="s">
        <v>49</v>
      </c>
      <c r="E270" s="3" t="s">
        <v>46</v>
      </c>
      <c r="F270" s="3" t="s">
        <v>129</v>
      </c>
      <c r="G270" s="3">
        <v>2025</v>
      </c>
      <c r="H270" s="3" t="str">
        <f>CONCATENATE("54240533353")</f>
        <v>54240533353</v>
      </c>
      <c r="I270" s="3" t="s">
        <v>34</v>
      </c>
      <c r="J270" s="3" t="s">
        <v>35</v>
      </c>
      <c r="K270" s="3"/>
      <c r="L270" s="3" t="s">
        <v>36</v>
      </c>
      <c r="M270" s="3" t="str">
        <f>CONCATENATE("PRGMRA81E05I156V")</f>
        <v>PRGMRA81E05I156V</v>
      </c>
      <c r="N270" s="3" t="s">
        <v>377</v>
      </c>
      <c r="O270" s="3" t="s">
        <v>38</v>
      </c>
      <c r="P270" s="3"/>
      <c r="Q270" s="4">
        <v>45944</v>
      </c>
      <c r="R270" s="3" t="s">
        <v>39</v>
      </c>
      <c r="S270" s="3" t="s">
        <v>38</v>
      </c>
      <c r="T270" s="3" t="s">
        <v>43</v>
      </c>
      <c r="U270" s="3"/>
      <c r="V270" s="3" t="s">
        <v>41</v>
      </c>
      <c r="W270" s="5">
        <v>2075.79</v>
      </c>
      <c r="X270" s="5">
        <v>2075.79</v>
      </c>
      <c r="Y270" s="3">
        <v>0</v>
      </c>
      <c r="Z270" s="3">
        <v>0</v>
      </c>
      <c r="AA270" s="3">
        <v>0</v>
      </c>
    </row>
    <row r="271" spans="1:27" ht="60.75" x14ac:dyDescent="0.25">
      <c r="A271" s="3" t="s">
        <v>28</v>
      </c>
      <c r="B271" s="3" t="s">
        <v>29</v>
      </c>
      <c r="C271" s="3" t="s">
        <v>30</v>
      </c>
      <c r="D271" s="3" t="s">
        <v>49</v>
      </c>
      <c r="E271" s="3" t="s">
        <v>46</v>
      </c>
      <c r="F271" s="3" t="s">
        <v>129</v>
      </c>
      <c r="G271" s="3">
        <v>2025</v>
      </c>
      <c r="H271" s="3" t="str">
        <f>CONCATENATE("54240533379")</f>
        <v>54240533379</v>
      </c>
      <c r="I271" s="3" t="s">
        <v>34</v>
      </c>
      <c r="J271" s="3" t="s">
        <v>35</v>
      </c>
      <c r="K271" s="3"/>
      <c r="L271" s="3" t="s">
        <v>36</v>
      </c>
      <c r="M271" s="3" t="str">
        <f>CONCATENATE("SLVFBA73D20B474Q")</f>
        <v>SLVFBA73D20B474Q</v>
      </c>
      <c r="N271" s="3" t="s">
        <v>378</v>
      </c>
      <c r="O271" s="3" t="s">
        <v>38</v>
      </c>
      <c r="P271" s="3"/>
      <c r="Q271" s="4">
        <v>45944</v>
      </c>
      <c r="R271" s="3" t="s">
        <v>39</v>
      </c>
      <c r="S271" s="3" t="s">
        <v>38</v>
      </c>
      <c r="T271" s="3" t="s">
        <v>43</v>
      </c>
      <c r="U271" s="3"/>
      <c r="V271" s="3" t="s">
        <v>41</v>
      </c>
      <c r="W271" s="5">
        <v>2090.09</v>
      </c>
      <c r="X271" s="5">
        <v>2090.09</v>
      </c>
      <c r="Y271" s="3">
        <v>0</v>
      </c>
      <c r="Z271" s="3">
        <v>0</v>
      </c>
      <c r="AA271" s="3">
        <v>0</v>
      </c>
    </row>
    <row r="272" spans="1:27" ht="60.75" x14ac:dyDescent="0.25">
      <c r="A272" s="3" t="s">
        <v>28</v>
      </c>
      <c r="B272" s="3" t="s">
        <v>29</v>
      </c>
      <c r="C272" s="3" t="s">
        <v>30</v>
      </c>
      <c r="D272" s="3" t="s">
        <v>49</v>
      </c>
      <c r="E272" s="3" t="s">
        <v>46</v>
      </c>
      <c r="F272" s="3" t="s">
        <v>205</v>
      </c>
      <c r="G272" s="3">
        <v>2025</v>
      </c>
      <c r="H272" s="3" t="str">
        <f>CONCATENATE("54240532991")</f>
        <v>54240532991</v>
      </c>
      <c r="I272" s="3" t="s">
        <v>34</v>
      </c>
      <c r="J272" s="3" t="s">
        <v>35</v>
      </c>
      <c r="K272" s="3"/>
      <c r="L272" s="3" t="s">
        <v>36</v>
      </c>
      <c r="M272" s="3" t="str">
        <f>CONCATENATE("MSCLSN89S13B474V")</f>
        <v>MSCLSN89S13B474V</v>
      </c>
      <c r="N272" s="3" t="s">
        <v>379</v>
      </c>
      <c r="O272" s="3" t="s">
        <v>38</v>
      </c>
      <c r="P272" s="3"/>
      <c r="Q272" s="4">
        <v>45944</v>
      </c>
      <c r="R272" s="3" t="s">
        <v>39</v>
      </c>
      <c r="S272" s="3" t="s">
        <v>38</v>
      </c>
      <c r="T272" s="3" t="s">
        <v>43</v>
      </c>
      <c r="U272" s="3"/>
      <c r="V272" s="3" t="s">
        <v>41</v>
      </c>
      <c r="W272" s="5">
        <v>4550.4799999999996</v>
      </c>
      <c r="X272" s="5">
        <v>4550.4799999999996</v>
      </c>
      <c r="Y272" s="3">
        <v>0</v>
      </c>
      <c r="Z272" s="3">
        <v>0</v>
      </c>
      <c r="AA272" s="3">
        <v>0</v>
      </c>
    </row>
    <row r="273" spans="1:27" ht="36.75" x14ac:dyDescent="0.25">
      <c r="A273" s="3" t="s">
        <v>28</v>
      </c>
      <c r="B273" s="3" t="s">
        <v>29</v>
      </c>
      <c r="C273" s="3" t="s">
        <v>30</v>
      </c>
      <c r="D273" s="3" t="s">
        <v>49</v>
      </c>
      <c r="E273" s="3" t="s">
        <v>46</v>
      </c>
      <c r="F273" s="3" t="s">
        <v>129</v>
      </c>
      <c r="G273" s="3">
        <v>2025</v>
      </c>
      <c r="H273" s="3" t="str">
        <f>CONCATENATE("54240533015")</f>
        <v>54240533015</v>
      </c>
      <c r="I273" s="3" t="s">
        <v>34</v>
      </c>
      <c r="J273" s="3" t="s">
        <v>35</v>
      </c>
      <c r="K273" s="3"/>
      <c r="L273" s="3" t="s">
        <v>36</v>
      </c>
      <c r="M273" s="3" t="str">
        <f>CONCATENATE("01724630437")</f>
        <v>01724630437</v>
      </c>
      <c r="N273" s="3" t="s">
        <v>380</v>
      </c>
      <c r="O273" s="3" t="s">
        <v>38</v>
      </c>
      <c r="P273" s="3"/>
      <c r="Q273" s="4">
        <v>45944</v>
      </c>
      <c r="R273" s="3" t="s">
        <v>39</v>
      </c>
      <c r="S273" s="3" t="s">
        <v>38</v>
      </c>
      <c r="T273" s="3" t="s">
        <v>43</v>
      </c>
      <c r="U273" s="3"/>
      <c r="V273" s="3" t="s">
        <v>41</v>
      </c>
      <c r="W273" s="5">
        <v>8120.93</v>
      </c>
      <c r="X273" s="5">
        <v>8120.93</v>
      </c>
      <c r="Y273" s="3">
        <v>0</v>
      </c>
      <c r="Z273" s="3">
        <v>0</v>
      </c>
      <c r="AA273" s="3">
        <v>0</v>
      </c>
    </row>
    <row r="274" spans="1:27" ht="60.75" x14ac:dyDescent="0.25">
      <c r="A274" s="3" t="s">
        <v>28</v>
      </c>
      <c r="B274" s="3" t="s">
        <v>29</v>
      </c>
      <c r="C274" s="3" t="s">
        <v>30</v>
      </c>
      <c r="D274" s="3" t="s">
        <v>49</v>
      </c>
      <c r="E274" s="3" t="s">
        <v>32</v>
      </c>
      <c r="F274" s="3" t="s">
        <v>86</v>
      </c>
      <c r="G274" s="3">
        <v>2025</v>
      </c>
      <c r="H274" s="3" t="str">
        <f>CONCATENATE("54240533098")</f>
        <v>54240533098</v>
      </c>
      <c r="I274" s="3" t="s">
        <v>34</v>
      </c>
      <c r="J274" s="3" t="s">
        <v>35</v>
      </c>
      <c r="K274" s="3"/>
      <c r="L274" s="3" t="s">
        <v>36</v>
      </c>
      <c r="M274" s="3" t="str">
        <f>CONCATENATE("CNFNLL53D24I156R")</f>
        <v>CNFNLL53D24I156R</v>
      </c>
      <c r="N274" s="3" t="s">
        <v>381</v>
      </c>
      <c r="O274" s="3" t="s">
        <v>38</v>
      </c>
      <c r="P274" s="3"/>
      <c r="Q274" s="4">
        <v>45944</v>
      </c>
      <c r="R274" s="3" t="s">
        <v>39</v>
      </c>
      <c r="S274" s="3" t="s">
        <v>38</v>
      </c>
      <c r="T274" s="3" t="s">
        <v>43</v>
      </c>
      <c r="U274" s="3"/>
      <c r="V274" s="3" t="s">
        <v>41</v>
      </c>
      <c r="W274" s="5">
        <v>9921.7900000000009</v>
      </c>
      <c r="X274" s="5">
        <v>9921.7900000000009</v>
      </c>
      <c r="Y274" s="3">
        <v>0</v>
      </c>
      <c r="Z274" s="3">
        <v>0</v>
      </c>
      <c r="AA274" s="3">
        <v>0</v>
      </c>
    </row>
    <row r="275" spans="1:27" ht="60.75" x14ac:dyDescent="0.25">
      <c r="A275" s="3" t="s">
        <v>28</v>
      </c>
      <c r="B275" s="3" t="s">
        <v>29</v>
      </c>
      <c r="C275" s="3" t="s">
        <v>30</v>
      </c>
      <c r="D275" s="3" t="s">
        <v>49</v>
      </c>
      <c r="E275" s="3" t="s">
        <v>46</v>
      </c>
      <c r="F275" s="3" t="s">
        <v>205</v>
      </c>
      <c r="G275" s="3">
        <v>2025</v>
      </c>
      <c r="H275" s="3" t="str">
        <f>CONCATENATE("54240533163")</f>
        <v>54240533163</v>
      </c>
      <c r="I275" s="3" t="s">
        <v>34</v>
      </c>
      <c r="J275" s="3" t="s">
        <v>35</v>
      </c>
      <c r="K275" s="3"/>
      <c r="L275" s="3" t="s">
        <v>36</v>
      </c>
      <c r="M275" s="3" t="str">
        <f>CONCATENATE("NRDDNL72S43H876M")</f>
        <v>NRDDNL72S43H876M</v>
      </c>
      <c r="N275" s="3" t="s">
        <v>382</v>
      </c>
      <c r="O275" s="3" t="s">
        <v>38</v>
      </c>
      <c r="P275" s="3"/>
      <c r="Q275" s="4">
        <v>45944</v>
      </c>
      <c r="R275" s="3" t="s">
        <v>39</v>
      </c>
      <c r="S275" s="3" t="s">
        <v>38</v>
      </c>
      <c r="T275" s="3" t="s">
        <v>43</v>
      </c>
      <c r="U275" s="3"/>
      <c r="V275" s="3" t="s">
        <v>41</v>
      </c>
      <c r="W275" s="5">
        <v>2073.21</v>
      </c>
      <c r="X275" s="5">
        <v>2073.21</v>
      </c>
      <c r="Y275" s="3">
        <v>0</v>
      </c>
      <c r="Z275" s="3">
        <v>0</v>
      </c>
      <c r="AA275" s="3">
        <v>0</v>
      </c>
    </row>
    <row r="276" spans="1:27" ht="60.75" x14ac:dyDescent="0.25">
      <c r="A276" s="3" t="s">
        <v>28</v>
      </c>
      <c r="B276" s="3" t="s">
        <v>29</v>
      </c>
      <c r="C276" s="3" t="s">
        <v>30</v>
      </c>
      <c r="D276" s="3" t="s">
        <v>49</v>
      </c>
      <c r="E276" s="3" t="s">
        <v>46</v>
      </c>
      <c r="F276" s="3" t="s">
        <v>129</v>
      </c>
      <c r="G276" s="3">
        <v>2025</v>
      </c>
      <c r="H276" s="3" t="str">
        <f>CONCATENATE("54240533239")</f>
        <v>54240533239</v>
      </c>
      <c r="I276" s="3" t="s">
        <v>34</v>
      </c>
      <c r="J276" s="3" t="s">
        <v>35</v>
      </c>
      <c r="K276" s="3"/>
      <c r="L276" s="3" t="s">
        <v>36</v>
      </c>
      <c r="M276" s="3" t="str">
        <f>CONCATENATE("CRVCLS52P17Z600D")</f>
        <v>CRVCLS52P17Z600D</v>
      </c>
      <c r="N276" s="3" t="s">
        <v>383</v>
      </c>
      <c r="O276" s="3" t="s">
        <v>38</v>
      </c>
      <c r="P276" s="3"/>
      <c r="Q276" s="4">
        <v>45944</v>
      </c>
      <c r="R276" s="3" t="s">
        <v>39</v>
      </c>
      <c r="S276" s="3" t="s">
        <v>38</v>
      </c>
      <c r="T276" s="3" t="s">
        <v>43</v>
      </c>
      <c r="U276" s="3"/>
      <c r="V276" s="3" t="s">
        <v>41</v>
      </c>
      <c r="W276" s="5">
        <v>1837.47</v>
      </c>
      <c r="X276" s="5">
        <v>1837.47</v>
      </c>
      <c r="Y276" s="3">
        <v>0</v>
      </c>
      <c r="Z276" s="3">
        <v>0</v>
      </c>
      <c r="AA276" s="3">
        <v>0</v>
      </c>
    </row>
    <row r="277" spans="1:27" ht="60.75" x14ac:dyDescent="0.25">
      <c r="A277" s="3" t="s">
        <v>28</v>
      </c>
      <c r="B277" s="3" t="s">
        <v>29</v>
      </c>
      <c r="C277" s="3" t="s">
        <v>30</v>
      </c>
      <c r="D277" s="3" t="s">
        <v>49</v>
      </c>
      <c r="E277" s="3" t="s">
        <v>46</v>
      </c>
      <c r="F277" s="3" t="s">
        <v>129</v>
      </c>
      <c r="G277" s="3">
        <v>2025</v>
      </c>
      <c r="H277" s="3" t="str">
        <f>CONCATENATE("54240533262")</f>
        <v>54240533262</v>
      </c>
      <c r="I277" s="3" t="s">
        <v>34</v>
      </c>
      <c r="J277" s="3" t="s">
        <v>35</v>
      </c>
      <c r="K277" s="3"/>
      <c r="L277" s="3" t="s">
        <v>36</v>
      </c>
      <c r="M277" s="3" t="str">
        <f>CONCATENATE("MCCMRC89M14E783J")</f>
        <v>MCCMRC89M14E783J</v>
      </c>
      <c r="N277" s="3" t="s">
        <v>384</v>
      </c>
      <c r="O277" s="3" t="s">
        <v>38</v>
      </c>
      <c r="P277" s="3"/>
      <c r="Q277" s="4">
        <v>45944</v>
      </c>
      <c r="R277" s="3" t="s">
        <v>39</v>
      </c>
      <c r="S277" s="3" t="s">
        <v>38</v>
      </c>
      <c r="T277" s="3" t="s">
        <v>43</v>
      </c>
      <c r="U277" s="3"/>
      <c r="V277" s="3" t="s">
        <v>41</v>
      </c>
      <c r="W277" s="5">
        <v>8259.06</v>
      </c>
      <c r="X277" s="5">
        <v>8259.06</v>
      </c>
      <c r="Y277" s="3">
        <v>0</v>
      </c>
      <c r="Z277" s="3">
        <v>0</v>
      </c>
      <c r="AA277" s="3">
        <v>0</v>
      </c>
    </row>
    <row r="278" spans="1:27" ht="60.75" x14ac:dyDescent="0.25">
      <c r="A278" s="3" t="s">
        <v>28</v>
      </c>
      <c r="B278" s="3" t="s">
        <v>29</v>
      </c>
      <c r="C278" s="3" t="s">
        <v>30</v>
      </c>
      <c r="D278" s="3" t="s">
        <v>49</v>
      </c>
      <c r="E278" s="3" t="s">
        <v>46</v>
      </c>
      <c r="F278" s="3" t="s">
        <v>129</v>
      </c>
      <c r="G278" s="3">
        <v>2025</v>
      </c>
      <c r="H278" s="3" t="str">
        <f>CONCATENATE("54240533288")</f>
        <v>54240533288</v>
      </c>
      <c r="I278" s="3" t="s">
        <v>34</v>
      </c>
      <c r="J278" s="3" t="s">
        <v>35</v>
      </c>
      <c r="K278" s="3"/>
      <c r="L278" s="3" t="s">
        <v>36</v>
      </c>
      <c r="M278" s="3" t="str">
        <f>CONCATENATE("MCCNDR82S22E783I")</f>
        <v>MCCNDR82S22E783I</v>
      </c>
      <c r="N278" s="3" t="s">
        <v>385</v>
      </c>
      <c r="O278" s="3" t="s">
        <v>38</v>
      </c>
      <c r="P278" s="3"/>
      <c r="Q278" s="4">
        <v>45944</v>
      </c>
      <c r="R278" s="3" t="s">
        <v>39</v>
      </c>
      <c r="S278" s="3" t="s">
        <v>38</v>
      </c>
      <c r="T278" s="3" t="s">
        <v>43</v>
      </c>
      <c r="U278" s="3"/>
      <c r="V278" s="3" t="s">
        <v>41</v>
      </c>
      <c r="W278" s="5">
        <v>9312.43</v>
      </c>
      <c r="X278" s="5">
        <v>9312.43</v>
      </c>
      <c r="Y278" s="3">
        <v>0</v>
      </c>
      <c r="Z278" s="3">
        <v>0</v>
      </c>
      <c r="AA278" s="3">
        <v>0</v>
      </c>
    </row>
    <row r="279" spans="1:27" ht="72.75" x14ac:dyDescent="0.25">
      <c r="A279" s="3" t="s">
        <v>28</v>
      </c>
      <c r="B279" s="3" t="s">
        <v>29</v>
      </c>
      <c r="C279" s="3" t="s">
        <v>30</v>
      </c>
      <c r="D279" s="3" t="s">
        <v>49</v>
      </c>
      <c r="E279" s="3" t="s">
        <v>91</v>
      </c>
      <c r="F279" s="3" t="s">
        <v>92</v>
      </c>
      <c r="G279" s="3">
        <v>2025</v>
      </c>
      <c r="H279" s="3" t="str">
        <f>CONCATENATE("54240533536")</f>
        <v>54240533536</v>
      </c>
      <c r="I279" s="3" t="s">
        <v>34</v>
      </c>
      <c r="J279" s="3" t="s">
        <v>35</v>
      </c>
      <c r="K279" s="3"/>
      <c r="L279" s="3" t="s">
        <v>36</v>
      </c>
      <c r="M279" s="3" t="str">
        <f>CONCATENATE("PNNMSM96L30E783N")</f>
        <v>PNNMSM96L30E783N</v>
      </c>
      <c r="N279" s="3" t="s">
        <v>386</v>
      </c>
      <c r="O279" s="3" t="s">
        <v>38</v>
      </c>
      <c r="P279" s="3"/>
      <c r="Q279" s="4">
        <v>45944</v>
      </c>
      <c r="R279" s="3" t="s">
        <v>39</v>
      </c>
      <c r="S279" s="3" t="s">
        <v>38</v>
      </c>
      <c r="T279" s="3" t="s">
        <v>43</v>
      </c>
      <c r="U279" s="3"/>
      <c r="V279" s="3" t="s">
        <v>41</v>
      </c>
      <c r="W279" s="5">
        <v>11297.9</v>
      </c>
      <c r="X279" s="5">
        <v>11297.9</v>
      </c>
      <c r="Y279" s="3">
        <v>0</v>
      </c>
      <c r="Z279" s="3">
        <v>0</v>
      </c>
      <c r="AA279" s="3">
        <v>0</v>
      </c>
    </row>
    <row r="280" spans="1:27" ht="60.75" x14ac:dyDescent="0.25">
      <c r="A280" s="3" t="s">
        <v>28</v>
      </c>
      <c r="B280" s="3" t="s">
        <v>29</v>
      </c>
      <c r="C280" s="3" t="s">
        <v>30</v>
      </c>
      <c r="D280" s="3" t="s">
        <v>31</v>
      </c>
      <c r="E280" s="3" t="s">
        <v>91</v>
      </c>
      <c r="F280" s="3" t="s">
        <v>111</v>
      </c>
      <c r="G280" s="3">
        <v>2025</v>
      </c>
      <c r="H280" s="3" t="str">
        <f>CONCATENATE("54240533890")</f>
        <v>54240533890</v>
      </c>
      <c r="I280" s="3" t="s">
        <v>34</v>
      </c>
      <c r="J280" s="3" t="s">
        <v>35</v>
      </c>
      <c r="K280" s="3"/>
      <c r="L280" s="3" t="s">
        <v>36</v>
      </c>
      <c r="M280" s="3" t="str">
        <f>CONCATENATE("CSTCTR65S30Z110D")</f>
        <v>CSTCTR65S30Z110D</v>
      </c>
      <c r="N280" s="3" t="s">
        <v>387</v>
      </c>
      <c r="O280" s="3" t="s">
        <v>38</v>
      </c>
      <c r="P280" s="3"/>
      <c r="Q280" s="4">
        <v>45944</v>
      </c>
      <c r="R280" s="3" t="s">
        <v>39</v>
      </c>
      <c r="S280" s="3" t="s">
        <v>38</v>
      </c>
      <c r="T280" s="3" t="s">
        <v>43</v>
      </c>
      <c r="U280" s="3"/>
      <c r="V280" s="3" t="s">
        <v>41</v>
      </c>
      <c r="W280" s="5">
        <v>3291.77</v>
      </c>
      <c r="X280" s="5">
        <v>3291.77</v>
      </c>
      <c r="Y280" s="3">
        <v>0</v>
      </c>
      <c r="Z280" s="3">
        <v>0</v>
      </c>
      <c r="AA280" s="3">
        <v>0</v>
      </c>
    </row>
    <row r="281" spans="1:27" ht="36.75" x14ac:dyDescent="0.25">
      <c r="A281" s="3" t="s">
        <v>28</v>
      </c>
      <c r="B281" s="3" t="s">
        <v>29</v>
      </c>
      <c r="C281" s="3" t="s">
        <v>30</v>
      </c>
      <c r="D281" s="3" t="s">
        <v>63</v>
      </c>
      <c r="E281" s="3" t="s">
        <v>46</v>
      </c>
      <c r="F281" s="3" t="s">
        <v>205</v>
      </c>
      <c r="G281" s="3">
        <v>2025</v>
      </c>
      <c r="H281" s="3" t="str">
        <f>CONCATENATE("54240534559")</f>
        <v>54240534559</v>
      </c>
      <c r="I281" s="3" t="s">
        <v>34</v>
      </c>
      <c r="J281" s="3" t="s">
        <v>35</v>
      </c>
      <c r="K281" s="3"/>
      <c r="L281" s="3" t="s">
        <v>36</v>
      </c>
      <c r="M281" s="3" t="str">
        <f>CONCATENATE("02448800447")</f>
        <v>02448800447</v>
      </c>
      <c r="N281" s="3" t="s">
        <v>388</v>
      </c>
      <c r="O281" s="3" t="s">
        <v>38</v>
      </c>
      <c r="P281" s="3"/>
      <c r="Q281" s="4">
        <v>45944</v>
      </c>
      <c r="R281" s="3" t="s">
        <v>39</v>
      </c>
      <c r="S281" s="3" t="s">
        <v>38</v>
      </c>
      <c r="T281" s="3" t="s">
        <v>43</v>
      </c>
      <c r="U281" s="3"/>
      <c r="V281" s="3" t="s">
        <v>41</v>
      </c>
      <c r="W281" s="5">
        <v>7352.97</v>
      </c>
      <c r="X281" s="5">
        <v>7352.97</v>
      </c>
      <c r="Y281" s="3">
        <v>0</v>
      </c>
      <c r="Z281" s="3">
        <v>0</v>
      </c>
      <c r="AA281" s="3">
        <v>0</v>
      </c>
    </row>
    <row r="282" spans="1:27" ht="36.75" x14ac:dyDescent="0.25">
      <c r="A282" s="3" t="s">
        <v>28</v>
      </c>
      <c r="B282" s="3" t="s">
        <v>29</v>
      </c>
      <c r="C282" s="3" t="s">
        <v>30</v>
      </c>
      <c r="D282" s="3" t="s">
        <v>31</v>
      </c>
      <c r="E282" s="3" t="s">
        <v>53</v>
      </c>
      <c r="F282" s="3" t="s">
        <v>82</v>
      </c>
      <c r="G282" s="3">
        <v>2025</v>
      </c>
      <c r="H282" s="3" t="str">
        <f>CONCATENATE("54240535127")</f>
        <v>54240535127</v>
      </c>
      <c r="I282" s="3" t="s">
        <v>149</v>
      </c>
      <c r="J282" s="3" t="s">
        <v>35</v>
      </c>
      <c r="K282" s="3"/>
      <c r="L282" s="3" t="s">
        <v>36</v>
      </c>
      <c r="M282" s="3" t="str">
        <f>CONCATENATE("00457490415")</f>
        <v>00457490415</v>
      </c>
      <c r="N282" s="3" t="s">
        <v>389</v>
      </c>
      <c r="O282" s="3" t="s">
        <v>38</v>
      </c>
      <c r="P282" s="3"/>
      <c r="Q282" s="4">
        <v>45944</v>
      </c>
      <c r="R282" s="3" t="s">
        <v>39</v>
      </c>
      <c r="S282" s="3" t="s">
        <v>38</v>
      </c>
      <c r="T282" s="3" t="s">
        <v>43</v>
      </c>
      <c r="U282" s="3"/>
      <c r="V282" s="3" t="s">
        <v>41</v>
      </c>
      <c r="W282" s="5">
        <v>10220.09</v>
      </c>
      <c r="X282" s="5">
        <v>10220.09</v>
      </c>
      <c r="Y282" s="3">
        <v>0</v>
      </c>
      <c r="Z282" s="3">
        <v>0</v>
      </c>
      <c r="AA282" s="3">
        <v>0</v>
      </c>
    </row>
    <row r="283" spans="1:27" ht="60.75" x14ac:dyDescent="0.25">
      <c r="A283" s="3" t="s">
        <v>28</v>
      </c>
      <c r="B283" s="3" t="s">
        <v>29</v>
      </c>
      <c r="C283" s="3" t="s">
        <v>30</v>
      </c>
      <c r="D283" s="3" t="s">
        <v>31</v>
      </c>
      <c r="E283" s="3" t="s">
        <v>53</v>
      </c>
      <c r="F283" s="3" t="s">
        <v>82</v>
      </c>
      <c r="G283" s="3">
        <v>2025</v>
      </c>
      <c r="H283" s="3" t="str">
        <f>CONCATENATE("54240535465")</f>
        <v>54240535465</v>
      </c>
      <c r="I283" s="3" t="s">
        <v>34</v>
      </c>
      <c r="J283" s="3" t="s">
        <v>35</v>
      </c>
      <c r="K283" s="3"/>
      <c r="L283" s="3" t="s">
        <v>36</v>
      </c>
      <c r="M283" s="3" t="str">
        <f>CONCATENATE("CLLLCN61D41I287K")</f>
        <v>CLLLCN61D41I287K</v>
      </c>
      <c r="N283" s="3" t="s">
        <v>390</v>
      </c>
      <c r="O283" s="3" t="s">
        <v>38</v>
      </c>
      <c r="P283" s="3"/>
      <c r="Q283" s="4">
        <v>45944</v>
      </c>
      <c r="R283" s="3" t="s">
        <v>39</v>
      </c>
      <c r="S283" s="3" t="s">
        <v>38</v>
      </c>
      <c r="T283" s="3" t="s">
        <v>43</v>
      </c>
      <c r="U283" s="3"/>
      <c r="V283" s="3" t="s">
        <v>41</v>
      </c>
      <c r="W283" s="5">
        <v>2285</v>
      </c>
      <c r="X283" s="5">
        <v>2285</v>
      </c>
      <c r="Y283" s="3">
        <v>0</v>
      </c>
      <c r="Z283" s="3">
        <v>0</v>
      </c>
      <c r="AA283" s="3">
        <v>0</v>
      </c>
    </row>
    <row r="284" spans="1:27" ht="60.75" x14ac:dyDescent="0.25">
      <c r="A284" s="3" t="s">
        <v>28</v>
      </c>
      <c r="B284" s="3" t="s">
        <v>29</v>
      </c>
      <c r="C284" s="3" t="s">
        <v>30</v>
      </c>
      <c r="D284" s="3" t="s">
        <v>49</v>
      </c>
      <c r="E284" s="3" t="s">
        <v>46</v>
      </c>
      <c r="F284" s="3" t="s">
        <v>129</v>
      </c>
      <c r="G284" s="3">
        <v>2025</v>
      </c>
      <c r="H284" s="3" t="str">
        <f>CONCATENATE("54240535739")</f>
        <v>54240535739</v>
      </c>
      <c r="I284" s="3" t="s">
        <v>34</v>
      </c>
      <c r="J284" s="3" t="s">
        <v>35</v>
      </c>
      <c r="K284" s="3"/>
      <c r="L284" s="3" t="s">
        <v>36</v>
      </c>
      <c r="M284" s="3" t="str">
        <f>CONCATENATE("RSSVCN50P17I156J")</f>
        <v>RSSVCN50P17I156J</v>
      </c>
      <c r="N284" s="3" t="s">
        <v>391</v>
      </c>
      <c r="O284" s="3" t="s">
        <v>38</v>
      </c>
      <c r="P284" s="3"/>
      <c r="Q284" s="4">
        <v>45944</v>
      </c>
      <c r="R284" s="3" t="s">
        <v>39</v>
      </c>
      <c r="S284" s="3" t="s">
        <v>38</v>
      </c>
      <c r="T284" s="3" t="s">
        <v>43</v>
      </c>
      <c r="U284" s="3"/>
      <c r="V284" s="3" t="s">
        <v>41</v>
      </c>
      <c r="W284" s="5">
        <v>9624.11</v>
      </c>
      <c r="X284" s="5">
        <v>9624.11</v>
      </c>
      <c r="Y284" s="3">
        <v>0</v>
      </c>
      <c r="Z284" s="3">
        <v>0</v>
      </c>
      <c r="AA284" s="3">
        <v>0</v>
      </c>
    </row>
    <row r="285" spans="1:27" ht="36.75" x14ac:dyDescent="0.25">
      <c r="A285" s="3" t="s">
        <v>28</v>
      </c>
      <c r="B285" s="3" t="s">
        <v>29</v>
      </c>
      <c r="C285" s="3" t="s">
        <v>30</v>
      </c>
      <c r="D285" s="3" t="s">
        <v>63</v>
      </c>
      <c r="E285" s="3" t="s">
        <v>32</v>
      </c>
      <c r="F285" s="3" t="s">
        <v>392</v>
      </c>
      <c r="G285" s="3">
        <v>2025</v>
      </c>
      <c r="H285" s="3" t="str">
        <f>CONCATENATE("54240535853")</f>
        <v>54240535853</v>
      </c>
      <c r="I285" s="3" t="s">
        <v>34</v>
      </c>
      <c r="J285" s="3" t="s">
        <v>35</v>
      </c>
      <c r="K285" s="3"/>
      <c r="L285" s="3" t="s">
        <v>36</v>
      </c>
      <c r="M285" s="3" t="str">
        <f>CONCATENATE("02364060448")</f>
        <v>02364060448</v>
      </c>
      <c r="N285" s="3" t="s">
        <v>393</v>
      </c>
      <c r="O285" s="3" t="s">
        <v>38</v>
      </c>
      <c r="P285" s="3"/>
      <c r="Q285" s="4">
        <v>45944</v>
      </c>
      <c r="R285" s="3" t="s">
        <v>39</v>
      </c>
      <c r="S285" s="3" t="s">
        <v>38</v>
      </c>
      <c r="T285" s="3" t="s">
        <v>43</v>
      </c>
      <c r="U285" s="3"/>
      <c r="V285" s="3" t="s">
        <v>41</v>
      </c>
      <c r="W285" s="5">
        <v>8749.19</v>
      </c>
      <c r="X285" s="5">
        <v>8749.19</v>
      </c>
      <c r="Y285" s="3">
        <v>0</v>
      </c>
      <c r="Z285" s="3">
        <v>0</v>
      </c>
      <c r="AA285" s="3">
        <v>0</v>
      </c>
    </row>
    <row r="286" spans="1:27" ht="72.75" x14ac:dyDescent="0.25">
      <c r="A286" s="3" t="s">
        <v>28</v>
      </c>
      <c r="B286" s="3" t="s">
        <v>29</v>
      </c>
      <c r="C286" s="3" t="s">
        <v>30</v>
      </c>
      <c r="D286" s="3" t="s">
        <v>31</v>
      </c>
      <c r="E286" s="3" t="s">
        <v>53</v>
      </c>
      <c r="F286" s="3" t="s">
        <v>82</v>
      </c>
      <c r="G286" s="3">
        <v>2025</v>
      </c>
      <c r="H286" s="3" t="str">
        <f>CONCATENATE("54240535556")</f>
        <v>54240535556</v>
      </c>
      <c r="I286" s="3" t="s">
        <v>34</v>
      </c>
      <c r="J286" s="3" t="s">
        <v>35</v>
      </c>
      <c r="K286" s="3"/>
      <c r="L286" s="3" t="s">
        <v>36</v>
      </c>
      <c r="M286" s="3" t="str">
        <f>CONCATENATE("CRDFRZ68M04G514Q")</f>
        <v>CRDFRZ68M04G514Q</v>
      </c>
      <c r="N286" s="3" t="s">
        <v>394</v>
      </c>
      <c r="O286" s="3" t="s">
        <v>38</v>
      </c>
      <c r="P286" s="3"/>
      <c r="Q286" s="4">
        <v>45944</v>
      </c>
      <c r="R286" s="3" t="s">
        <v>39</v>
      </c>
      <c r="S286" s="3" t="s">
        <v>38</v>
      </c>
      <c r="T286" s="3" t="s">
        <v>43</v>
      </c>
      <c r="U286" s="3"/>
      <c r="V286" s="3" t="s">
        <v>41</v>
      </c>
      <c r="W286" s="5">
        <v>3889.18</v>
      </c>
      <c r="X286" s="5">
        <v>3889.18</v>
      </c>
      <c r="Y286" s="3">
        <v>0</v>
      </c>
      <c r="Z286" s="3">
        <v>0</v>
      </c>
      <c r="AA286" s="3">
        <v>0</v>
      </c>
    </row>
    <row r="287" spans="1:27" ht="72.75" x14ac:dyDescent="0.25">
      <c r="A287" s="3" t="s">
        <v>28</v>
      </c>
      <c r="B287" s="3" t="s">
        <v>29</v>
      </c>
      <c r="C287" s="3" t="s">
        <v>30</v>
      </c>
      <c r="D287" s="3" t="s">
        <v>31</v>
      </c>
      <c r="E287" s="3" t="s">
        <v>53</v>
      </c>
      <c r="F287" s="3" t="s">
        <v>82</v>
      </c>
      <c r="G287" s="3">
        <v>2025</v>
      </c>
      <c r="H287" s="3" t="str">
        <f>CONCATENATE("54240535903")</f>
        <v>54240535903</v>
      </c>
      <c r="I287" s="3" t="s">
        <v>34</v>
      </c>
      <c r="J287" s="3" t="s">
        <v>35</v>
      </c>
      <c r="K287" s="3"/>
      <c r="L287" s="3" t="s">
        <v>36</v>
      </c>
      <c r="M287" s="3" t="str">
        <f>CONCATENATE("CWNJBT61B44Z126Q")</f>
        <v>CWNJBT61B44Z126Q</v>
      </c>
      <c r="N287" s="3" t="s">
        <v>395</v>
      </c>
      <c r="O287" s="3" t="s">
        <v>38</v>
      </c>
      <c r="P287" s="3"/>
      <c r="Q287" s="4">
        <v>45944</v>
      </c>
      <c r="R287" s="3" t="s">
        <v>39</v>
      </c>
      <c r="S287" s="3" t="s">
        <v>38</v>
      </c>
      <c r="T287" s="3" t="s">
        <v>43</v>
      </c>
      <c r="U287" s="3"/>
      <c r="V287" s="3" t="s">
        <v>41</v>
      </c>
      <c r="W287" s="5">
        <v>1255.1199999999999</v>
      </c>
      <c r="X287" s="5">
        <v>1255.1199999999999</v>
      </c>
      <c r="Y287" s="3">
        <v>0</v>
      </c>
      <c r="Z287" s="3">
        <v>0</v>
      </c>
      <c r="AA287" s="3">
        <v>0</v>
      </c>
    </row>
    <row r="288" spans="1:27" ht="60.75" x14ac:dyDescent="0.25">
      <c r="A288" s="3" t="s">
        <v>28</v>
      </c>
      <c r="B288" s="3" t="s">
        <v>29</v>
      </c>
      <c r="C288" s="3" t="s">
        <v>30</v>
      </c>
      <c r="D288" s="3" t="s">
        <v>31</v>
      </c>
      <c r="E288" s="3" t="s">
        <v>32</v>
      </c>
      <c r="F288" s="3" t="s">
        <v>44</v>
      </c>
      <c r="G288" s="3">
        <v>2025</v>
      </c>
      <c r="H288" s="3" t="str">
        <f>CONCATENATE("54240536166")</f>
        <v>54240536166</v>
      </c>
      <c r="I288" s="3" t="s">
        <v>34</v>
      </c>
      <c r="J288" s="3" t="s">
        <v>35</v>
      </c>
      <c r="K288" s="3"/>
      <c r="L288" s="3" t="s">
        <v>36</v>
      </c>
      <c r="M288" s="3" t="str">
        <f>CONCATENATE("CNMGPP68C19B352Y")</f>
        <v>CNMGPP68C19B352Y</v>
      </c>
      <c r="N288" s="3" t="s">
        <v>396</v>
      </c>
      <c r="O288" s="3" t="s">
        <v>38</v>
      </c>
      <c r="P288" s="3"/>
      <c r="Q288" s="4">
        <v>45944</v>
      </c>
      <c r="R288" s="3" t="s">
        <v>39</v>
      </c>
      <c r="S288" s="3" t="s">
        <v>38</v>
      </c>
      <c r="T288" s="3" t="s">
        <v>43</v>
      </c>
      <c r="U288" s="3"/>
      <c r="V288" s="3" t="s">
        <v>41</v>
      </c>
      <c r="W288" s="5">
        <v>3333.22</v>
      </c>
      <c r="X288" s="5">
        <v>3333.22</v>
      </c>
      <c r="Y288" s="3">
        <v>0</v>
      </c>
      <c r="Z288" s="3">
        <v>0</v>
      </c>
      <c r="AA288" s="3">
        <v>0</v>
      </c>
    </row>
    <row r="289" spans="1:27" ht="36.75" x14ac:dyDescent="0.25">
      <c r="A289" s="3" t="s">
        <v>28</v>
      </c>
      <c r="B289" s="3" t="s">
        <v>29</v>
      </c>
      <c r="C289" s="3" t="s">
        <v>30</v>
      </c>
      <c r="D289" s="3" t="s">
        <v>49</v>
      </c>
      <c r="E289" s="3" t="s">
        <v>46</v>
      </c>
      <c r="F289" s="3" t="s">
        <v>205</v>
      </c>
      <c r="G289" s="3">
        <v>2025</v>
      </c>
      <c r="H289" s="3" t="str">
        <f>CONCATENATE("54240536430")</f>
        <v>54240536430</v>
      </c>
      <c r="I289" s="3" t="s">
        <v>34</v>
      </c>
      <c r="J289" s="3" t="s">
        <v>35</v>
      </c>
      <c r="K289" s="3"/>
      <c r="L289" s="3" t="s">
        <v>36</v>
      </c>
      <c r="M289" s="3" t="str">
        <f>CONCATENATE("00608380432")</f>
        <v>00608380432</v>
      </c>
      <c r="N289" s="3" t="s">
        <v>397</v>
      </c>
      <c r="O289" s="3" t="s">
        <v>38</v>
      </c>
      <c r="P289" s="3"/>
      <c r="Q289" s="4">
        <v>45944</v>
      </c>
      <c r="R289" s="3" t="s">
        <v>39</v>
      </c>
      <c r="S289" s="3" t="s">
        <v>38</v>
      </c>
      <c r="T289" s="3" t="s">
        <v>43</v>
      </c>
      <c r="U289" s="3"/>
      <c r="V289" s="3" t="s">
        <v>41</v>
      </c>
      <c r="W289" s="5">
        <v>3600.81</v>
      </c>
      <c r="X289" s="5">
        <v>3600.81</v>
      </c>
      <c r="Y289" s="3">
        <v>0</v>
      </c>
      <c r="Z289" s="3">
        <v>0</v>
      </c>
      <c r="AA289" s="3">
        <v>0</v>
      </c>
    </row>
    <row r="290" spans="1:27" ht="60.75" x14ac:dyDescent="0.25">
      <c r="A290" s="3" t="s">
        <v>28</v>
      </c>
      <c r="B290" s="3" t="s">
        <v>29</v>
      </c>
      <c r="C290" s="3" t="s">
        <v>30</v>
      </c>
      <c r="D290" s="3" t="s">
        <v>31</v>
      </c>
      <c r="E290" s="3" t="s">
        <v>46</v>
      </c>
      <c r="F290" s="3" t="s">
        <v>126</v>
      </c>
      <c r="G290" s="3">
        <v>2025</v>
      </c>
      <c r="H290" s="3" t="str">
        <f>CONCATENATE("54240557139")</f>
        <v>54240557139</v>
      </c>
      <c r="I290" s="3" t="s">
        <v>34</v>
      </c>
      <c r="J290" s="3" t="s">
        <v>35</v>
      </c>
      <c r="K290" s="3"/>
      <c r="L290" s="3" t="s">
        <v>36</v>
      </c>
      <c r="M290" s="3" t="str">
        <f>CONCATENATE("CHRPFR67M24F979O")</f>
        <v>CHRPFR67M24F979O</v>
      </c>
      <c r="N290" s="3" t="s">
        <v>398</v>
      </c>
      <c r="O290" s="3" t="s">
        <v>38</v>
      </c>
      <c r="P290" s="3"/>
      <c r="Q290" s="4">
        <v>45944</v>
      </c>
      <c r="R290" s="3" t="s">
        <v>39</v>
      </c>
      <c r="S290" s="3" t="s">
        <v>38</v>
      </c>
      <c r="T290" s="3" t="s">
        <v>43</v>
      </c>
      <c r="U290" s="3"/>
      <c r="V290" s="3" t="s">
        <v>41</v>
      </c>
      <c r="W290" s="5">
        <v>3521.34</v>
      </c>
      <c r="X290" s="5">
        <v>3521.34</v>
      </c>
      <c r="Y290" s="3">
        <v>0</v>
      </c>
      <c r="Z290" s="3">
        <v>0</v>
      </c>
      <c r="AA290" s="3">
        <v>0</v>
      </c>
    </row>
    <row r="291" spans="1:27" ht="72.75" x14ac:dyDescent="0.25">
      <c r="A291" s="3" t="s">
        <v>28</v>
      </c>
      <c r="B291" s="3" t="s">
        <v>29</v>
      </c>
      <c r="C291" s="3" t="s">
        <v>30</v>
      </c>
      <c r="D291" s="3" t="s">
        <v>63</v>
      </c>
      <c r="E291" s="3" t="s">
        <v>53</v>
      </c>
      <c r="F291" s="3" t="s">
        <v>80</v>
      </c>
      <c r="G291" s="3">
        <v>2025</v>
      </c>
      <c r="H291" s="3" t="str">
        <f>CONCATENATE("54240537826")</f>
        <v>54240537826</v>
      </c>
      <c r="I291" s="3" t="s">
        <v>149</v>
      </c>
      <c r="J291" s="3" t="s">
        <v>35</v>
      </c>
      <c r="K291" s="3"/>
      <c r="L291" s="3" t="s">
        <v>36</v>
      </c>
      <c r="M291" s="3" t="str">
        <f>CONCATENATE("MRCGRL74D05G005W")</f>
        <v>MRCGRL74D05G005W</v>
      </c>
      <c r="N291" s="3" t="s">
        <v>399</v>
      </c>
      <c r="O291" s="3" t="s">
        <v>38</v>
      </c>
      <c r="P291" s="3"/>
      <c r="Q291" s="4">
        <v>45944</v>
      </c>
      <c r="R291" s="3" t="s">
        <v>39</v>
      </c>
      <c r="S291" s="3" t="s">
        <v>38</v>
      </c>
      <c r="T291" s="3" t="s">
        <v>43</v>
      </c>
      <c r="U291" s="3"/>
      <c r="V291" s="3" t="s">
        <v>41</v>
      </c>
      <c r="W291" s="5">
        <v>3443.8</v>
      </c>
      <c r="X291" s="5">
        <v>3443.8</v>
      </c>
      <c r="Y291" s="3">
        <v>0</v>
      </c>
      <c r="Z291" s="3">
        <v>0</v>
      </c>
      <c r="AA291" s="3">
        <v>0</v>
      </c>
    </row>
    <row r="292" spans="1:27" ht="36.75" x14ac:dyDescent="0.25">
      <c r="A292" s="3" t="s">
        <v>28</v>
      </c>
      <c r="B292" s="3" t="s">
        <v>29</v>
      </c>
      <c r="C292" s="3" t="s">
        <v>30</v>
      </c>
      <c r="D292" s="3" t="s">
        <v>49</v>
      </c>
      <c r="E292" s="3" t="s">
        <v>91</v>
      </c>
      <c r="F292" s="3" t="s">
        <v>92</v>
      </c>
      <c r="G292" s="3">
        <v>2025</v>
      </c>
      <c r="H292" s="3" t="str">
        <f>CONCATENATE("54240536810")</f>
        <v>54240536810</v>
      </c>
      <c r="I292" s="3" t="s">
        <v>34</v>
      </c>
      <c r="J292" s="3" t="s">
        <v>35</v>
      </c>
      <c r="K292" s="3"/>
      <c r="L292" s="3" t="s">
        <v>36</v>
      </c>
      <c r="M292" s="3" t="str">
        <f>CONCATENATE("01906200439")</f>
        <v>01906200439</v>
      </c>
      <c r="N292" s="3" t="s">
        <v>400</v>
      </c>
      <c r="O292" s="3" t="s">
        <v>38</v>
      </c>
      <c r="P292" s="3"/>
      <c r="Q292" s="4">
        <v>45944</v>
      </c>
      <c r="R292" s="3" t="s">
        <v>39</v>
      </c>
      <c r="S292" s="3" t="s">
        <v>38</v>
      </c>
      <c r="T292" s="3" t="s">
        <v>43</v>
      </c>
      <c r="U292" s="3"/>
      <c r="V292" s="3" t="s">
        <v>41</v>
      </c>
      <c r="W292" s="5">
        <v>1157.25</v>
      </c>
      <c r="X292" s="5">
        <v>1157.25</v>
      </c>
      <c r="Y292" s="3">
        <v>0</v>
      </c>
      <c r="Z292" s="3">
        <v>0</v>
      </c>
      <c r="AA292" s="3">
        <v>0</v>
      </c>
    </row>
    <row r="293" spans="1:27" ht="60.75" x14ac:dyDescent="0.25">
      <c r="A293" s="3" t="s">
        <v>28</v>
      </c>
      <c r="B293" s="3" t="s">
        <v>29</v>
      </c>
      <c r="C293" s="3" t="s">
        <v>30</v>
      </c>
      <c r="D293" s="3" t="s">
        <v>31</v>
      </c>
      <c r="E293" s="3" t="s">
        <v>53</v>
      </c>
      <c r="F293" s="3" t="s">
        <v>82</v>
      </c>
      <c r="G293" s="3">
        <v>2025</v>
      </c>
      <c r="H293" s="3" t="str">
        <f>CONCATENATE("54240537347")</f>
        <v>54240537347</v>
      </c>
      <c r="I293" s="3" t="s">
        <v>149</v>
      </c>
      <c r="J293" s="3" t="s">
        <v>35</v>
      </c>
      <c r="K293" s="3"/>
      <c r="L293" s="3" t="s">
        <v>36</v>
      </c>
      <c r="M293" s="3" t="str">
        <f>CONCATENATE("CGRMRA49C14A978P")</f>
        <v>CGRMRA49C14A978P</v>
      </c>
      <c r="N293" s="3" t="s">
        <v>401</v>
      </c>
      <c r="O293" s="3" t="s">
        <v>38</v>
      </c>
      <c r="P293" s="3"/>
      <c r="Q293" s="4">
        <v>45944</v>
      </c>
      <c r="R293" s="3" t="s">
        <v>39</v>
      </c>
      <c r="S293" s="3" t="s">
        <v>38</v>
      </c>
      <c r="T293" s="3" t="s">
        <v>43</v>
      </c>
      <c r="U293" s="3"/>
      <c r="V293" s="3" t="s">
        <v>41</v>
      </c>
      <c r="W293" s="5">
        <v>5128.7700000000004</v>
      </c>
      <c r="X293" s="5">
        <v>5128.7700000000004</v>
      </c>
      <c r="Y293" s="3">
        <v>0</v>
      </c>
      <c r="Z293" s="3">
        <v>0</v>
      </c>
      <c r="AA293" s="3">
        <v>0</v>
      </c>
    </row>
    <row r="294" spans="1:27" ht="36.75" x14ac:dyDescent="0.25">
      <c r="A294" s="3" t="s">
        <v>28</v>
      </c>
      <c r="B294" s="3" t="s">
        <v>29</v>
      </c>
      <c r="C294" s="3" t="s">
        <v>30</v>
      </c>
      <c r="D294" s="3" t="s">
        <v>63</v>
      </c>
      <c r="E294" s="3" t="s">
        <v>32</v>
      </c>
      <c r="F294" s="3" t="s">
        <v>269</v>
      </c>
      <c r="G294" s="3">
        <v>2025</v>
      </c>
      <c r="H294" s="3" t="str">
        <f>CONCATENATE("54240538444")</f>
        <v>54240538444</v>
      </c>
      <c r="I294" s="3" t="s">
        <v>34</v>
      </c>
      <c r="J294" s="3" t="s">
        <v>35</v>
      </c>
      <c r="K294" s="3"/>
      <c r="L294" s="3" t="s">
        <v>36</v>
      </c>
      <c r="M294" s="3" t="str">
        <f>CONCATENATE("01614520441")</f>
        <v>01614520441</v>
      </c>
      <c r="N294" s="3" t="s">
        <v>402</v>
      </c>
      <c r="O294" s="3" t="s">
        <v>38</v>
      </c>
      <c r="P294" s="3"/>
      <c r="Q294" s="4">
        <v>45944</v>
      </c>
      <c r="R294" s="3" t="s">
        <v>39</v>
      </c>
      <c r="S294" s="3" t="s">
        <v>38</v>
      </c>
      <c r="T294" s="3" t="s">
        <v>43</v>
      </c>
      <c r="U294" s="3"/>
      <c r="V294" s="3" t="s">
        <v>41</v>
      </c>
      <c r="W294" s="3">
        <v>927.21</v>
      </c>
      <c r="X294" s="3">
        <v>927.21</v>
      </c>
      <c r="Y294" s="3">
        <v>0</v>
      </c>
      <c r="Z294" s="3">
        <v>0</v>
      </c>
      <c r="AA294" s="3">
        <v>0</v>
      </c>
    </row>
    <row r="295" spans="1:27" ht="60.75" x14ac:dyDescent="0.25">
      <c r="A295" s="3" t="s">
        <v>28</v>
      </c>
      <c r="B295" s="3" t="s">
        <v>29</v>
      </c>
      <c r="C295" s="3" t="s">
        <v>30</v>
      </c>
      <c r="D295" s="3" t="s">
        <v>58</v>
      </c>
      <c r="E295" s="3" t="s">
        <v>32</v>
      </c>
      <c r="F295" s="3" t="s">
        <v>96</v>
      </c>
      <c r="G295" s="3">
        <v>2025</v>
      </c>
      <c r="H295" s="3" t="str">
        <f>CONCATENATE("54240518867")</f>
        <v>54240518867</v>
      </c>
      <c r="I295" s="3" t="s">
        <v>34</v>
      </c>
      <c r="J295" s="3" t="s">
        <v>35</v>
      </c>
      <c r="K295" s="3"/>
      <c r="L295" s="3" t="s">
        <v>36</v>
      </c>
      <c r="M295" s="3" t="str">
        <f>CONCATENATE("STRCLL99C58D451C")</f>
        <v>STRCLL99C58D451C</v>
      </c>
      <c r="N295" s="3" t="s">
        <v>403</v>
      </c>
      <c r="O295" s="3" t="s">
        <v>38</v>
      </c>
      <c r="P295" s="3"/>
      <c r="Q295" s="4">
        <v>45944</v>
      </c>
      <c r="R295" s="3" t="s">
        <v>39</v>
      </c>
      <c r="S295" s="3" t="s">
        <v>38</v>
      </c>
      <c r="T295" s="3" t="s">
        <v>43</v>
      </c>
      <c r="U295" s="3"/>
      <c r="V295" s="3" t="s">
        <v>41</v>
      </c>
      <c r="W295" s="5">
        <v>2633.78</v>
      </c>
      <c r="X295" s="5">
        <v>2633.78</v>
      </c>
      <c r="Y295" s="3">
        <v>0</v>
      </c>
      <c r="Z295" s="3">
        <v>0</v>
      </c>
      <c r="AA295" s="3">
        <v>0</v>
      </c>
    </row>
    <row r="296" spans="1:27" ht="60.75" x14ac:dyDescent="0.25">
      <c r="A296" s="3" t="s">
        <v>28</v>
      </c>
      <c r="B296" s="3" t="s">
        <v>29</v>
      </c>
      <c r="C296" s="3" t="s">
        <v>30</v>
      </c>
      <c r="D296" s="3" t="s">
        <v>49</v>
      </c>
      <c r="E296" s="3" t="s">
        <v>46</v>
      </c>
      <c r="F296" s="3" t="s">
        <v>205</v>
      </c>
      <c r="G296" s="3">
        <v>2025</v>
      </c>
      <c r="H296" s="3" t="str">
        <f>CONCATENATE("54240519030")</f>
        <v>54240519030</v>
      </c>
      <c r="I296" s="3" t="s">
        <v>34</v>
      </c>
      <c r="J296" s="3" t="s">
        <v>35</v>
      </c>
      <c r="K296" s="3"/>
      <c r="L296" s="3" t="s">
        <v>36</v>
      </c>
      <c r="M296" s="3" t="str">
        <f>CONCATENATE("NTLPLA67B18G436H")</f>
        <v>NTLPLA67B18G436H</v>
      </c>
      <c r="N296" s="3" t="s">
        <v>404</v>
      </c>
      <c r="O296" s="3" t="s">
        <v>38</v>
      </c>
      <c r="P296" s="3"/>
      <c r="Q296" s="4">
        <v>45944</v>
      </c>
      <c r="R296" s="3" t="s">
        <v>39</v>
      </c>
      <c r="S296" s="3" t="s">
        <v>38</v>
      </c>
      <c r="T296" s="3" t="s">
        <v>43</v>
      </c>
      <c r="U296" s="3"/>
      <c r="V296" s="3" t="s">
        <v>41</v>
      </c>
      <c r="W296" s="5">
        <v>5192.18</v>
      </c>
      <c r="X296" s="5">
        <v>5192.18</v>
      </c>
      <c r="Y296" s="3">
        <v>0</v>
      </c>
      <c r="Z296" s="3">
        <v>0</v>
      </c>
      <c r="AA296" s="3">
        <v>0</v>
      </c>
    </row>
    <row r="297" spans="1:27" ht="72.75" x14ac:dyDescent="0.25">
      <c r="A297" s="3" t="s">
        <v>28</v>
      </c>
      <c r="B297" s="3" t="s">
        <v>29</v>
      </c>
      <c r="C297" s="3" t="s">
        <v>30</v>
      </c>
      <c r="D297" s="3" t="s">
        <v>63</v>
      </c>
      <c r="E297" s="3" t="s">
        <v>32</v>
      </c>
      <c r="F297" s="3" t="s">
        <v>392</v>
      </c>
      <c r="G297" s="3">
        <v>2025</v>
      </c>
      <c r="H297" s="3" t="str">
        <f>CONCATENATE("54240519071")</f>
        <v>54240519071</v>
      </c>
      <c r="I297" s="3" t="s">
        <v>34</v>
      </c>
      <c r="J297" s="3" t="s">
        <v>35</v>
      </c>
      <c r="K297" s="3"/>
      <c r="L297" s="3" t="s">
        <v>36</v>
      </c>
      <c r="M297" s="3" t="str">
        <f>CONCATENATE("CRRMKA79M42G005N")</f>
        <v>CRRMKA79M42G005N</v>
      </c>
      <c r="N297" s="3" t="s">
        <v>405</v>
      </c>
      <c r="O297" s="3" t="s">
        <v>38</v>
      </c>
      <c r="P297" s="3"/>
      <c r="Q297" s="4">
        <v>45944</v>
      </c>
      <c r="R297" s="3" t="s">
        <v>39</v>
      </c>
      <c r="S297" s="3" t="s">
        <v>38</v>
      </c>
      <c r="T297" s="3" t="s">
        <v>43</v>
      </c>
      <c r="U297" s="3"/>
      <c r="V297" s="3" t="s">
        <v>41</v>
      </c>
      <c r="W297" s="5">
        <v>5958.61</v>
      </c>
      <c r="X297" s="5">
        <v>5958.61</v>
      </c>
      <c r="Y297" s="3">
        <v>0</v>
      </c>
      <c r="Z297" s="3">
        <v>0</v>
      </c>
      <c r="AA297" s="3">
        <v>0</v>
      </c>
    </row>
    <row r="298" spans="1:27" ht="36.75" x14ac:dyDescent="0.25">
      <c r="A298" s="3" t="s">
        <v>28</v>
      </c>
      <c r="B298" s="3" t="s">
        <v>29</v>
      </c>
      <c r="C298" s="3" t="s">
        <v>30</v>
      </c>
      <c r="D298" s="3" t="s">
        <v>31</v>
      </c>
      <c r="E298" s="3" t="s">
        <v>32</v>
      </c>
      <c r="F298" s="3" t="s">
        <v>44</v>
      </c>
      <c r="G298" s="3">
        <v>2025</v>
      </c>
      <c r="H298" s="3" t="str">
        <f>CONCATENATE("54240519154")</f>
        <v>54240519154</v>
      </c>
      <c r="I298" s="3" t="s">
        <v>34</v>
      </c>
      <c r="J298" s="3" t="s">
        <v>35</v>
      </c>
      <c r="K298" s="3"/>
      <c r="L298" s="3" t="s">
        <v>36</v>
      </c>
      <c r="M298" s="3" t="str">
        <f>CONCATENATE("02452270412")</f>
        <v>02452270412</v>
      </c>
      <c r="N298" s="3" t="s">
        <v>406</v>
      </c>
      <c r="O298" s="3" t="s">
        <v>38</v>
      </c>
      <c r="P298" s="3"/>
      <c r="Q298" s="4">
        <v>45944</v>
      </c>
      <c r="R298" s="3" t="s">
        <v>39</v>
      </c>
      <c r="S298" s="3" t="s">
        <v>38</v>
      </c>
      <c r="T298" s="3" t="s">
        <v>43</v>
      </c>
      <c r="U298" s="3"/>
      <c r="V298" s="3" t="s">
        <v>41</v>
      </c>
      <c r="W298" s="5">
        <v>1425.89</v>
      </c>
      <c r="X298" s="5">
        <v>1425.89</v>
      </c>
      <c r="Y298" s="3">
        <v>0</v>
      </c>
      <c r="Z298" s="3">
        <v>0</v>
      </c>
      <c r="AA298" s="3">
        <v>0</v>
      </c>
    </row>
    <row r="299" spans="1:27" ht="36.75" x14ac:dyDescent="0.25">
      <c r="A299" s="3" t="s">
        <v>28</v>
      </c>
      <c r="B299" s="3" t="s">
        <v>29</v>
      </c>
      <c r="C299" s="3" t="s">
        <v>30</v>
      </c>
      <c r="D299" s="3" t="s">
        <v>31</v>
      </c>
      <c r="E299" s="3" t="s">
        <v>32</v>
      </c>
      <c r="F299" s="3" t="s">
        <v>178</v>
      </c>
      <c r="G299" s="3">
        <v>2025</v>
      </c>
      <c r="H299" s="3" t="str">
        <f>CONCATENATE("54240519378")</f>
        <v>54240519378</v>
      </c>
      <c r="I299" s="3" t="s">
        <v>34</v>
      </c>
      <c r="J299" s="3" t="s">
        <v>35</v>
      </c>
      <c r="K299" s="3"/>
      <c r="L299" s="3" t="s">
        <v>36</v>
      </c>
      <c r="M299" s="3" t="str">
        <f>CONCATENATE("02831740416")</f>
        <v>02831740416</v>
      </c>
      <c r="N299" s="3" t="s">
        <v>407</v>
      </c>
      <c r="O299" s="3" t="s">
        <v>38</v>
      </c>
      <c r="P299" s="3"/>
      <c r="Q299" s="4">
        <v>45944</v>
      </c>
      <c r="R299" s="3" t="s">
        <v>39</v>
      </c>
      <c r="S299" s="3" t="s">
        <v>38</v>
      </c>
      <c r="T299" s="3" t="s">
        <v>43</v>
      </c>
      <c r="U299" s="3"/>
      <c r="V299" s="3" t="s">
        <v>41</v>
      </c>
      <c r="W299" s="5">
        <v>9685.34</v>
      </c>
      <c r="X299" s="5">
        <v>9685.34</v>
      </c>
      <c r="Y299" s="3">
        <v>0</v>
      </c>
      <c r="Z299" s="3">
        <v>0</v>
      </c>
      <c r="AA299" s="3">
        <v>0</v>
      </c>
    </row>
    <row r="300" spans="1:27" ht="60.75" x14ac:dyDescent="0.25">
      <c r="A300" s="3" t="s">
        <v>28</v>
      </c>
      <c r="B300" s="3" t="s">
        <v>29</v>
      </c>
      <c r="C300" s="3" t="s">
        <v>30</v>
      </c>
      <c r="D300" s="3" t="s">
        <v>31</v>
      </c>
      <c r="E300" s="3" t="s">
        <v>46</v>
      </c>
      <c r="F300" s="3" t="s">
        <v>47</v>
      </c>
      <c r="G300" s="3">
        <v>2025</v>
      </c>
      <c r="H300" s="3" t="str">
        <f>CONCATENATE("54240519329")</f>
        <v>54240519329</v>
      </c>
      <c r="I300" s="3" t="s">
        <v>34</v>
      </c>
      <c r="J300" s="3" t="s">
        <v>35</v>
      </c>
      <c r="K300" s="3"/>
      <c r="L300" s="3" t="s">
        <v>36</v>
      </c>
      <c r="M300" s="3" t="str">
        <f>CONCATENATE("MNCMRA73L18D007R")</f>
        <v>MNCMRA73L18D007R</v>
      </c>
      <c r="N300" s="3" t="s">
        <v>408</v>
      </c>
      <c r="O300" s="3" t="s">
        <v>38</v>
      </c>
      <c r="P300" s="3"/>
      <c r="Q300" s="4">
        <v>45944</v>
      </c>
      <c r="R300" s="3" t="s">
        <v>39</v>
      </c>
      <c r="S300" s="3" t="s">
        <v>38</v>
      </c>
      <c r="T300" s="3" t="s">
        <v>43</v>
      </c>
      <c r="U300" s="3"/>
      <c r="V300" s="3" t="s">
        <v>41</v>
      </c>
      <c r="W300" s="5">
        <v>6524.47</v>
      </c>
      <c r="X300" s="5">
        <v>6524.47</v>
      </c>
      <c r="Y300" s="3">
        <v>0</v>
      </c>
      <c r="Z300" s="3">
        <v>0</v>
      </c>
      <c r="AA300" s="3">
        <v>0</v>
      </c>
    </row>
    <row r="301" spans="1:27" ht="60.75" x14ac:dyDescent="0.25">
      <c r="A301" s="3" t="s">
        <v>28</v>
      </c>
      <c r="B301" s="3" t="s">
        <v>29</v>
      </c>
      <c r="C301" s="3" t="s">
        <v>30</v>
      </c>
      <c r="D301" s="3" t="s">
        <v>49</v>
      </c>
      <c r="E301" s="3" t="s">
        <v>32</v>
      </c>
      <c r="F301" s="3" t="s">
        <v>69</v>
      </c>
      <c r="G301" s="3">
        <v>2025</v>
      </c>
      <c r="H301" s="3" t="str">
        <f>CONCATENATE("54240525797")</f>
        <v>54240525797</v>
      </c>
      <c r="I301" s="3" t="s">
        <v>34</v>
      </c>
      <c r="J301" s="3" t="s">
        <v>35</v>
      </c>
      <c r="K301" s="3"/>
      <c r="L301" s="3" t="s">
        <v>36</v>
      </c>
      <c r="M301" s="3" t="str">
        <f>CONCATENATE("ZMPNRC55D10E783U")</f>
        <v>ZMPNRC55D10E783U</v>
      </c>
      <c r="N301" s="3" t="s">
        <v>409</v>
      </c>
      <c r="O301" s="3" t="s">
        <v>38</v>
      </c>
      <c r="P301" s="3"/>
      <c r="Q301" s="4">
        <v>45944</v>
      </c>
      <c r="R301" s="3" t="s">
        <v>39</v>
      </c>
      <c r="S301" s="3" t="s">
        <v>38</v>
      </c>
      <c r="T301" s="3" t="s">
        <v>43</v>
      </c>
      <c r="U301" s="3"/>
      <c r="V301" s="3" t="s">
        <v>41</v>
      </c>
      <c r="W301" s="5">
        <v>2790.94</v>
      </c>
      <c r="X301" s="5">
        <v>2790.94</v>
      </c>
      <c r="Y301" s="3">
        <v>0</v>
      </c>
      <c r="Z301" s="3">
        <v>0</v>
      </c>
      <c r="AA301" s="3">
        <v>0</v>
      </c>
    </row>
    <row r="302" spans="1:27" ht="60.75" x14ac:dyDescent="0.25">
      <c r="A302" s="3" t="s">
        <v>28</v>
      </c>
      <c r="B302" s="3" t="s">
        <v>29</v>
      </c>
      <c r="C302" s="3" t="s">
        <v>30</v>
      </c>
      <c r="D302" s="3" t="s">
        <v>49</v>
      </c>
      <c r="E302" s="3" t="s">
        <v>46</v>
      </c>
      <c r="F302" s="3" t="s">
        <v>131</v>
      </c>
      <c r="G302" s="3">
        <v>2025</v>
      </c>
      <c r="H302" s="3" t="str">
        <f>CONCATENATE("54240519360")</f>
        <v>54240519360</v>
      </c>
      <c r="I302" s="3" t="s">
        <v>34</v>
      </c>
      <c r="J302" s="3" t="s">
        <v>35</v>
      </c>
      <c r="K302" s="3"/>
      <c r="L302" s="3" t="s">
        <v>36</v>
      </c>
      <c r="M302" s="3" t="str">
        <f>CONCATENATE("CZZLSN74S07F205G")</f>
        <v>CZZLSN74S07F205G</v>
      </c>
      <c r="N302" s="3" t="s">
        <v>410</v>
      </c>
      <c r="O302" s="3" t="s">
        <v>38</v>
      </c>
      <c r="P302" s="3"/>
      <c r="Q302" s="4">
        <v>45944</v>
      </c>
      <c r="R302" s="3" t="s">
        <v>39</v>
      </c>
      <c r="S302" s="3" t="s">
        <v>38</v>
      </c>
      <c r="T302" s="3" t="s">
        <v>43</v>
      </c>
      <c r="U302" s="3"/>
      <c r="V302" s="3" t="s">
        <v>41</v>
      </c>
      <c r="W302" s="5">
        <v>2649.99</v>
      </c>
      <c r="X302" s="5">
        <v>2649.99</v>
      </c>
      <c r="Y302" s="3">
        <v>0</v>
      </c>
      <c r="Z302" s="3">
        <v>0</v>
      </c>
      <c r="AA302" s="3">
        <v>0</v>
      </c>
    </row>
    <row r="303" spans="1:27" ht="36.75" x14ac:dyDescent="0.25">
      <c r="A303" s="3" t="s">
        <v>28</v>
      </c>
      <c r="B303" s="3" t="s">
        <v>29</v>
      </c>
      <c r="C303" s="3" t="s">
        <v>30</v>
      </c>
      <c r="D303" s="3" t="s">
        <v>49</v>
      </c>
      <c r="E303" s="3" t="s">
        <v>46</v>
      </c>
      <c r="F303" s="3" t="s">
        <v>205</v>
      </c>
      <c r="G303" s="3">
        <v>2025</v>
      </c>
      <c r="H303" s="3" t="str">
        <f>CONCATENATE("54240519576")</f>
        <v>54240519576</v>
      </c>
      <c r="I303" s="3" t="s">
        <v>34</v>
      </c>
      <c r="J303" s="3" t="s">
        <v>35</v>
      </c>
      <c r="K303" s="3"/>
      <c r="L303" s="3" t="s">
        <v>36</v>
      </c>
      <c r="M303" s="3" t="str">
        <f>CONCATENATE("00121480438")</f>
        <v>00121480438</v>
      </c>
      <c r="N303" s="3" t="s">
        <v>411</v>
      </c>
      <c r="O303" s="3" t="s">
        <v>38</v>
      </c>
      <c r="P303" s="3"/>
      <c r="Q303" s="4">
        <v>45944</v>
      </c>
      <c r="R303" s="3" t="s">
        <v>39</v>
      </c>
      <c r="S303" s="3" t="s">
        <v>38</v>
      </c>
      <c r="T303" s="3" t="s">
        <v>43</v>
      </c>
      <c r="U303" s="3"/>
      <c r="V303" s="3" t="s">
        <v>41</v>
      </c>
      <c r="W303" s="5">
        <v>2328.86</v>
      </c>
      <c r="X303" s="5">
        <v>2328.86</v>
      </c>
      <c r="Y303" s="3">
        <v>0</v>
      </c>
      <c r="Z303" s="3">
        <v>0</v>
      </c>
      <c r="AA303" s="3">
        <v>0</v>
      </c>
    </row>
    <row r="304" spans="1:27" ht="72.75" x14ac:dyDescent="0.25">
      <c r="A304" s="3" t="s">
        <v>28</v>
      </c>
      <c r="B304" s="3" t="s">
        <v>29</v>
      </c>
      <c r="C304" s="3" t="s">
        <v>30</v>
      </c>
      <c r="D304" s="3" t="s">
        <v>63</v>
      </c>
      <c r="E304" s="3" t="s">
        <v>32</v>
      </c>
      <c r="F304" s="3" t="s">
        <v>392</v>
      </c>
      <c r="G304" s="3">
        <v>2025</v>
      </c>
      <c r="H304" s="3" t="str">
        <f>CONCATENATE("54240519600")</f>
        <v>54240519600</v>
      </c>
      <c r="I304" s="3" t="s">
        <v>34</v>
      </c>
      <c r="J304" s="3" t="s">
        <v>35</v>
      </c>
      <c r="K304" s="3"/>
      <c r="L304" s="3" t="s">
        <v>36</v>
      </c>
      <c r="M304" s="3" t="str">
        <f>CONCATENATE("FRVNLP65A60G005Q")</f>
        <v>FRVNLP65A60G005Q</v>
      </c>
      <c r="N304" s="3" t="s">
        <v>412</v>
      </c>
      <c r="O304" s="3" t="s">
        <v>38</v>
      </c>
      <c r="P304" s="3"/>
      <c r="Q304" s="4">
        <v>45944</v>
      </c>
      <c r="R304" s="3" t="s">
        <v>39</v>
      </c>
      <c r="S304" s="3" t="s">
        <v>38</v>
      </c>
      <c r="T304" s="3" t="s">
        <v>43</v>
      </c>
      <c r="U304" s="3"/>
      <c r="V304" s="3" t="s">
        <v>41</v>
      </c>
      <c r="W304" s="5">
        <v>2624.88</v>
      </c>
      <c r="X304" s="5">
        <v>2624.88</v>
      </c>
      <c r="Y304" s="3">
        <v>0</v>
      </c>
      <c r="Z304" s="3">
        <v>0</v>
      </c>
      <c r="AA304" s="3">
        <v>0</v>
      </c>
    </row>
    <row r="305" spans="1:27" ht="60.75" x14ac:dyDescent="0.25">
      <c r="A305" s="3" t="s">
        <v>28</v>
      </c>
      <c r="B305" s="3" t="s">
        <v>29</v>
      </c>
      <c r="C305" s="3" t="s">
        <v>30</v>
      </c>
      <c r="D305" s="3" t="s">
        <v>58</v>
      </c>
      <c r="E305" s="3" t="s">
        <v>53</v>
      </c>
      <c r="F305" s="3" t="s">
        <v>59</v>
      </c>
      <c r="G305" s="3">
        <v>2025</v>
      </c>
      <c r="H305" s="3" t="str">
        <f>CONCATENATE("54240520236")</f>
        <v>54240520236</v>
      </c>
      <c r="I305" s="3" t="s">
        <v>34</v>
      </c>
      <c r="J305" s="3" t="s">
        <v>35</v>
      </c>
      <c r="K305" s="3"/>
      <c r="L305" s="3" t="s">
        <v>36</v>
      </c>
      <c r="M305" s="3" t="str">
        <f>CONCATENATE("CNTTNN61C05A366Q")</f>
        <v>CNTTNN61C05A366Q</v>
      </c>
      <c r="N305" s="3" t="s">
        <v>413</v>
      </c>
      <c r="O305" s="3" t="s">
        <v>38</v>
      </c>
      <c r="P305" s="3"/>
      <c r="Q305" s="4">
        <v>45944</v>
      </c>
      <c r="R305" s="3" t="s">
        <v>39</v>
      </c>
      <c r="S305" s="3" t="s">
        <v>38</v>
      </c>
      <c r="T305" s="3" t="s">
        <v>43</v>
      </c>
      <c r="U305" s="3"/>
      <c r="V305" s="3" t="s">
        <v>41</v>
      </c>
      <c r="W305" s="5">
        <v>1613.95</v>
      </c>
      <c r="X305" s="5">
        <v>1613.95</v>
      </c>
      <c r="Y305" s="3">
        <v>0</v>
      </c>
      <c r="Z305" s="3">
        <v>0</v>
      </c>
      <c r="AA305" s="3">
        <v>0</v>
      </c>
    </row>
    <row r="306" spans="1:27" ht="60.75" x14ac:dyDescent="0.25">
      <c r="A306" s="3" t="s">
        <v>28</v>
      </c>
      <c r="B306" s="3" t="s">
        <v>29</v>
      </c>
      <c r="C306" s="3" t="s">
        <v>30</v>
      </c>
      <c r="D306" s="3" t="s">
        <v>31</v>
      </c>
      <c r="E306" s="3" t="s">
        <v>53</v>
      </c>
      <c r="F306" s="3" t="s">
        <v>414</v>
      </c>
      <c r="G306" s="3">
        <v>2025</v>
      </c>
      <c r="H306" s="3" t="str">
        <f>CONCATENATE("54240520061")</f>
        <v>54240520061</v>
      </c>
      <c r="I306" s="3" t="s">
        <v>34</v>
      </c>
      <c r="J306" s="3" t="s">
        <v>35</v>
      </c>
      <c r="K306" s="3"/>
      <c r="L306" s="3" t="s">
        <v>36</v>
      </c>
      <c r="M306" s="3" t="str">
        <f>CONCATENATE("CVNPLA51D49L736B")</f>
        <v>CVNPLA51D49L736B</v>
      </c>
      <c r="N306" s="3" t="s">
        <v>415</v>
      </c>
      <c r="O306" s="3" t="s">
        <v>38</v>
      </c>
      <c r="P306" s="3"/>
      <c r="Q306" s="4">
        <v>45944</v>
      </c>
      <c r="R306" s="3" t="s">
        <v>39</v>
      </c>
      <c r="S306" s="3" t="s">
        <v>38</v>
      </c>
      <c r="T306" s="3" t="s">
        <v>43</v>
      </c>
      <c r="U306" s="3"/>
      <c r="V306" s="3" t="s">
        <v>41</v>
      </c>
      <c r="W306" s="5">
        <v>17733.86</v>
      </c>
      <c r="X306" s="5">
        <v>17733.86</v>
      </c>
      <c r="Y306" s="3">
        <v>0</v>
      </c>
      <c r="Z306" s="3">
        <v>0</v>
      </c>
      <c r="AA306" s="3">
        <v>0</v>
      </c>
    </row>
    <row r="307" spans="1:27" ht="60.75" x14ac:dyDescent="0.25">
      <c r="A307" s="3" t="s">
        <v>28</v>
      </c>
      <c r="B307" s="3" t="s">
        <v>29</v>
      </c>
      <c r="C307" s="3" t="s">
        <v>30</v>
      </c>
      <c r="D307" s="3" t="s">
        <v>49</v>
      </c>
      <c r="E307" s="3" t="s">
        <v>46</v>
      </c>
      <c r="F307" s="3" t="s">
        <v>131</v>
      </c>
      <c r="G307" s="3">
        <v>2025</v>
      </c>
      <c r="H307" s="3" t="str">
        <f>CONCATENATE("54240520137")</f>
        <v>54240520137</v>
      </c>
      <c r="I307" s="3" t="s">
        <v>34</v>
      </c>
      <c r="J307" s="3" t="s">
        <v>35</v>
      </c>
      <c r="K307" s="3"/>
      <c r="L307" s="3" t="s">
        <v>36</v>
      </c>
      <c r="M307" s="3" t="str">
        <f>CONCATENATE("BNFLRD98M21A271F")</f>
        <v>BNFLRD98M21A271F</v>
      </c>
      <c r="N307" s="3" t="s">
        <v>416</v>
      </c>
      <c r="O307" s="3" t="s">
        <v>38</v>
      </c>
      <c r="P307" s="3"/>
      <c r="Q307" s="4">
        <v>45944</v>
      </c>
      <c r="R307" s="3" t="s">
        <v>39</v>
      </c>
      <c r="S307" s="3" t="s">
        <v>38</v>
      </c>
      <c r="T307" s="3" t="s">
        <v>43</v>
      </c>
      <c r="U307" s="3"/>
      <c r="V307" s="3" t="s">
        <v>41</v>
      </c>
      <c r="W307" s="5">
        <v>5175.34</v>
      </c>
      <c r="X307" s="5">
        <v>5175.34</v>
      </c>
      <c r="Y307" s="3">
        <v>0</v>
      </c>
      <c r="Z307" s="3">
        <v>0</v>
      </c>
      <c r="AA307" s="3">
        <v>0</v>
      </c>
    </row>
    <row r="308" spans="1:27" ht="36.75" x14ac:dyDescent="0.25">
      <c r="A308" s="3" t="s">
        <v>28</v>
      </c>
      <c r="B308" s="3" t="s">
        <v>29</v>
      </c>
      <c r="C308" s="3" t="s">
        <v>30</v>
      </c>
      <c r="D308" s="3" t="s">
        <v>63</v>
      </c>
      <c r="E308" s="3" t="s">
        <v>74</v>
      </c>
      <c r="F308" s="3" t="s">
        <v>252</v>
      </c>
      <c r="G308" s="3">
        <v>2025</v>
      </c>
      <c r="H308" s="3" t="str">
        <f>CONCATENATE("54240661642")</f>
        <v>54240661642</v>
      </c>
      <c r="I308" s="3" t="s">
        <v>34</v>
      </c>
      <c r="J308" s="3" t="s">
        <v>35</v>
      </c>
      <c r="K308" s="3"/>
      <c r="L308" s="3" t="s">
        <v>36</v>
      </c>
      <c r="M308" s="3" t="str">
        <f>CONCATENATE("02340300447")</f>
        <v>02340300447</v>
      </c>
      <c r="N308" s="3" t="s">
        <v>417</v>
      </c>
      <c r="O308" s="3" t="s">
        <v>38</v>
      </c>
      <c r="P308" s="3"/>
      <c r="Q308" s="4">
        <v>45944</v>
      </c>
      <c r="R308" s="3" t="s">
        <v>39</v>
      </c>
      <c r="S308" s="3" t="s">
        <v>38</v>
      </c>
      <c r="T308" s="3" t="s">
        <v>43</v>
      </c>
      <c r="U308" s="3"/>
      <c r="V308" s="3" t="s">
        <v>41</v>
      </c>
      <c r="W308" s="5">
        <v>3482.62</v>
      </c>
      <c r="X308" s="5">
        <v>3482.62</v>
      </c>
      <c r="Y308" s="3">
        <v>0</v>
      </c>
      <c r="Z308" s="3">
        <v>0</v>
      </c>
      <c r="AA308" s="3">
        <v>0</v>
      </c>
    </row>
    <row r="309" spans="1:27" ht="36.75" x14ac:dyDescent="0.25">
      <c r="A309" s="3" t="s">
        <v>28</v>
      </c>
      <c r="B309" s="3" t="s">
        <v>29</v>
      </c>
      <c r="C309" s="3" t="s">
        <v>30</v>
      </c>
      <c r="D309" s="3" t="s">
        <v>63</v>
      </c>
      <c r="E309" s="3" t="s">
        <v>74</v>
      </c>
      <c r="F309" s="3" t="s">
        <v>252</v>
      </c>
      <c r="G309" s="3">
        <v>2025</v>
      </c>
      <c r="H309" s="3" t="str">
        <f>CONCATENATE("54240661733")</f>
        <v>54240661733</v>
      </c>
      <c r="I309" s="3" t="s">
        <v>34</v>
      </c>
      <c r="J309" s="3" t="s">
        <v>35</v>
      </c>
      <c r="K309" s="3"/>
      <c r="L309" s="3" t="s">
        <v>36</v>
      </c>
      <c r="M309" s="3" t="str">
        <f>CONCATENATE("02271970440")</f>
        <v>02271970440</v>
      </c>
      <c r="N309" s="3" t="s">
        <v>418</v>
      </c>
      <c r="O309" s="3" t="s">
        <v>38</v>
      </c>
      <c r="P309" s="3"/>
      <c r="Q309" s="4">
        <v>45944</v>
      </c>
      <c r="R309" s="3" t="s">
        <v>39</v>
      </c>
      <c r="S309" s="3" t="s">
        <v>38</v>
      </c>
      <c r="T309" s="3" t="s">
        <v>43</v>
      </c>
      <c r="U309" s="3"/>
      <c r="V309" s="3" t="s">
        <v>41</v>
      </c>
      <c r="W309" s="5">
        <v>2922.84</v>
      </c>
      <c r="X309" s="5">
        <v>2922.84</v>
      </c>
      <c r="Y309" s="3">
        <v>0</v>
      </c>
      <c r="Z309" s="3">
        <v>0</v>
      </c>
      <c r="AA309" s="3">
        <v>0</v>
      </c>
    </row>
    <row r="310" spans="1:27" ht="60.75" x14ac:dyDescent="0.25">
      <c r="A310" s="3" t="s">
        <v>28</v>
      </c>
      <c r="B310" s="3" t="s">
        <v>29</v>
      </c>
      <c r="C310" s="3" t="s">
        <v>30</v>
      </c>
      <c r="D310" s="3" t="s">
        <v>63</v>
      </c>
      <c r="E310" s="3" t="s">
        <v>74</v>
      </c>
      <c r="F310" s="3" t="s">
        <v>252</v>
      </c>
      <c r="G310" s="3">
        <v>2025</v>
      </c>
      <c r="H310" s="3" t="str">
        <f>CONCATENATE("54240661774")</f>
        <v>54240661774</v>
      </c>
      <c r="I310" s="3" t="s">
        <v>34</v>
      </c>
      <c r="J310" s="3" t="s">
        <v>35</v>
      </c>
      <c r="K310" s="3"/>
      <c r="L310" s="3" t="s">
        <v>36</v>
      </c>
      <c r="M310" s="3" t="str">
        <f>CONCATENATE("VNCNTN95S11H769C")</f>
        <v>VNCNTN95S11H769C</v>
      </c>
      <c r="N310" s="3" t="s">
        <v>419</v>
      </c>
      <c r="O310" s="3" t="s">
        <v>38</v>
      </c>
      <c r="P310" s="3"/>
      <c r="Q310" s="4">
        <v>45944</v>
      </c>
      <c r="R310" s="3" t="s">
        <v>39</v>
      </c>
      <c r="S310" s="3" t="s">
        <v>38</v>
      </c>
      <c r="T310" s="3" t="s">
        <v>43</v>
      </c>
      <c r="U310" s="3"/>
      <c r="V310" s="3" t="s">
        <v>41</v>
      </c>
      <c r="W310" s="5">
        <v>15773.92</v>
      </c>
      <c r="X310" s="5">
        <v>15773.92</v>
      </c>
      <c r="Y310" s="3">
        <v>0</v>
      </c>
      <c r="Z310" s="3">
        <v>0</v>
      </c>
      <c r="AA310" s="3">
        <v>0</v>
      </c>
    </row>
    <row r="311" spans="1:27" ht="36.75" x14ac:dyDescent="0.25">
      <c r="A311" s="3" t="s">
        <v>28</v>
      </c>
      <c r="B311" s="3" t="s">
        <v>29</v>
      </c>
      <c r="C311" s="3" t="s">
        <v>30</v>
      </c>
      <c r="D311" s="3" t="s">
        <v>49</v>
      </c>
      <c r="E311" s="3" t="s">
        <v>32</v>
      </c>
      <c r="F311" s="3" t="s">
        <v>420</v>
      </c>
      <c r="G311" s="3">
        <v>2025</v>
      </c>
      <c r="H311" s="3" t="str">
        <f>CONCATENATE("54240663176")</f>
        <v>54240663176</v>
      </c>
      <c r="I311" s="3" t="s">
        <v>34</v>
      </c>
      <c r="J311" s="3" t="s">
        <v>35</v>
      </c>
      <c r="K311" s="3"/>
      <c r="L311" s="3" t="s">
        <v>36</v>
      </c>
      <c r="M311" s="3" t="str">
        <f>CONCATENATE("02055870436")</f>
        <v>02055870436</v>
      </c>
      <c r="N311" s="3" t="s">
        <v>421</v>
      </c>
      <c r="O311" s="3" t="s">
        <v>38</v>
      </c>
      <c r="P311" s="3"/>
      <c r="Q311" s="4">
        <v>45944</v>
      </c>
      <c r="R311" s="3" t="s">
        <v>39</v>
      </c>
      <c r="S311" s="3" t="s">
        <v>38</v>
      </c>
      <c r="T311" s="3" t="s">
        <v>43</v>
      </c>
      <c r="U311" s="3"/>
      <c r="V311" s="3" t="s">
        <v>41</v>
      </c>
      <c r="W311" s="5">
        <v>9565.4599999999991</v>
      </c>
      <c r="X311" s="5">
        <v>9565.4599999999991</v>
      </c>
      <c r="Y311" s="3">
        <v>0</v>
      </c>
      <c r="Z311" s="3">
        <v>0</v>
      </c>
      <c r="AA311" s="3">
        <v>0</v>
      </c>
    </row>
    <row r="312" spans="1:27" ht="60.75" x14ac:dyDescent="0.25">
      <c r="A312" s="3" t="s">
        <v>28</v>
      </c>
      <c r="B312" s="3" t="s">
        <v>29</v>
      </c>
      <c r="C312" s="3" t="s">
        <v>30</v>
      </c>
      <c r="D312" s="3" t="s">
        <v>49</v>
      </c>
      <c r="E312" s="3" t="s">
        <v>50</v>
      </c>
      <c r="F312" s="3" t="s">
        <v>51</v>
      </c>
      <c r="G312" s="3">
        <v>2025</v>
      </c>
      <c r="H312" s="3" t="str">
        <f>CONCATENATE("54240663820")</f>
        <v>54240663820</v>
      </c>
      <c r="I312" s="3" t="s">
        <v>34</v>
      </c>
      <c r="J312" s="3" t="s">
        <v>35</v>
      </c>
      <c r="K312" s="3"/>
      <c r="L312" s="3" t="s">
        <v>36</v>
      </c>
      <c r="M312" s="3" t="str">
        <f>CONCATENATE("VNCSMN79L62L366B")</f>
        <v>VNCSMN79L62L366B</v>
      </c>
      <c r="N312" s="3" t="s">
        <v>422</v>
      </c>
      <c r="O312" s="3" t="s">
        <v>38</v>
      </c>
      <c r="P312" s="3"/>
      <c r="Q312" s="4">
        <v>45944</v>
      </c>
      <c r="R312" s="3" t="s">
        <v>39</v>
      </c>
      <c r="S312" s="3" t="s">
        <v>38</v>
      </c>
      <c r="T312" s="3" t="s">
        <v>43</v>
      </c>
      <c r="U312" s="3"/>
      <c r="V312" s="3" t="s">
        <v>41</v>
      </c>
      <c r="W312" s="3">
        <v>966.14</v>
      </c>
      <c r="X312" s="3">
        <v>966.14</v>
      </c>
      <c r="Y312" s="3">
        <v>0</v>
      </c>
      <c r="Z312" s="3">
        <v>0</v>
      </c>
      <c r="AA312" s="3">
        <v>0</v>
      </c>
    </row>
    <row r="313" spans="1:27" ht="60.75" x14ac:dyDescent="0.25">
      <c r="A313" s="3" t="s">
        <v>28</v>
      </c>
      <c r="B313" s="3" t="s">
        <v>29</v>
      </c>
      <c r="C313" s="3" t="s">
        <v>30</v>
      </c>
      <c r="D313" s="3" t="s">
        <v>58</v>
      </c>
      <c r="E313" s="3" t="s">
        <v>32</v>
      </c>
      <c r="F313" s="3" t="s">
        <v>96</v>
      </c>
      <c r="G313" s="3">
        <v>2025</v>
      </c>
      <c r="H313" s="3" t="str">
        <f>CONCATENATE("54240664729")</f>
        <v>54240664729</v>
      </c>
      <c r="I313" s="3" t="s">
        <v>34</v>
      </c>
      <c r="J313" s="3" t="s">
        <v>35</v>
      </c>
      <c r="K313" s="3"/>
      <c r="L313" s="3" t="s">
        <v>36</v>
      </c>
      <c r="M313" s="3" t="str">
        <f>CONCATENATE("BSBPLA62D20H501G")</f>
        <v>BSBPLA62D20H501G</v>
      </c>
      <c r="N313" s="3" t="s">
        <v>423</v>
      </c>
      <c r="O313" s="3" t="s">
        <v>38</v>
      </c>
      <c r="P313" s="3"/>
      <c r="Q313" s="4">
        <v>45944</v>
      </c>
      <c r="R313" s="3" t="s">
        <v>39</v>
      </c>
      <c r="S313" s="3" t="s">
        <v>38</v>
      </c>
      <c r="T313" s="3" t="s">
        <v>43</v>
      </c>
      <c r="U313" s="3"/>
      <c r="V313" s="3" t="s">
        <v>41</v>
      </c>
      <c r="W313" s="5">
        <v>2362.81</v>
      </c>
      <c r="X313" s="5">
        <v>2362.81</v>
      </c>
      <c r="Y313" s="3">
        <v>0</v>
      </c>
      <c r="Z313" s="3">
        <v>0</v>
      </c>
      <c r="AA313" s="3">
        <v>0</v>
      </c>
    </row>
    <row r="314" spans="1:27" ht="60.75" x14ac:dyDescent="0.25">
      <c r="A314" s="3" t="s">
        <v>28</v>
      </c>
      <c r="B314" s="3" t="s">
        <v>29</v>
      </c>
      <c r="C314" s="3" t="s">
        <v>30</v>
      </c>
      <c r="D314" s="3" t="s">
        <v>49</v>
      </c>
      <c r="E314" s="3" t="s">
        <v>32</v>
      </c>
      <c r="F314" s="3" t="s">
        <v>78</v>
      </c>
      <c r="G314" s="3">
        <v>2025</v>
      </c>
      <c r="H314" s="3" t="str">
        <f>CONCATENATE("54240665155")</f>
        <v>54240665155</v>
      </c>
      <c r="I314" s="3" t="s">
        <v>34</v>
      </c>
      <c r="J314" s="3" t="s">
        <v>35</v>
      </c>
      <c r="K314" s="3"/>
      <c r="L314" s="3" t="s">
        <v>36</v>
      </c>
      <c r="M314" s="3" t="str">
        <f>CONCATENATE("BRNMNL96P15B474U")</f>
        <v>BRNMNL96P15B474U</v>
      </c>
      <c r="N314" s="3" t="s">
        <v>424</v>
      </c>
      <c r="O314" s="3" t="s">
        <v>38</v>
      </c>
      <c r="P314" s="3"/>
      <c r="Q314" s="4">
        <v>45944</v>
      </c>
      <c r="R314" s="3" t="s">
        <v>39</v>
      </c>
      <c r="S314" s="3" t="s">
        <v>38</v>
      </c>
      <c r="T314" s="3" t="s">
        <v>43</v>
      </c>
      <c r="U314" s="3"/>
      <c r="V314" s="3" t="s">
        <v>41</v>
      </c>
      <c r="W314" s="5">
        <v>6474.43</v>
      </c>
      <c r="X314" s="5">
        <v>6474.43</v>
      </c>
      <c r="Y314" s="3">
        <v>0</v>
      </c>
      <c r="Z314" s="3">
        <v>0</v>
      </c>
      <c r="AA314" s="3">
        <v>0</v>
      </c>
    </row>
    <row r="315" spans="1:27" ht="60.75" x14ac:dyDescent="0.25">
      <c r="A315" s="3" t="s">
        <v>28</v>
      </c>
      <c r="B315" s="3" t="s">
        <v>29</v>
      </c>
      <c r="C315" s="3" t="s">
        <v>30</v>
      </c>
      <c r="D315" s="3" t="s">
        <v>49</v>
      </c>
      <c r="E315" s="3" t="s">
        <v>32</v>
      </c>
      <c r="F315" s="3" t="s">
        <v>283</v>
      </c>
      <c r="G315" s="3">
        <v>2025</v>
      </c>
      <c r="H315" s="3" t="str">
        <f>CONCATENATE("54240665593")</f>
        <v>54240665593</v>
      </c>
      <c r="I315" s="3" t="s">
        <v>34</v>
      </c>
      <c r="J315" s="3" t="s">
        <v>35</v>
      </c>
      <c r="K315" s="3"/>
      <c r="L315" s="3" t="s">
        <v>36</v>
      </c>
      <c r="M315" s="3" t="str">
        <f>CONCATENATE("GRNLGU62S29E783E")</f>
        <v>GRNLGU62S29E783E</v>
      </c>
      <c r="N315" s="3" t="s">
        <v>425</v>
      </c>
      <c r="O315" s="3" t="s">
        <v>38</v>
      </c>
      <c r="P315" s="3"/>
      <c r="Q315" s="4">
        <v>45944</v>
      </c>
      <c r="R315" s="3" t="s">
        <v>39</v>
      </c>
      <c r="S315" s="3" t="s">
        <v>38</v>
      </c>
      <c r="T315" s="3" t="s">
        <v>43</v>
      </c>
      <c r="U315" s="3"/>
      <c r="V315" s="3" t="s">
        <v>41</v>
      </c>
      <c r="W315" s="5">
        <v>2428.35</v>
      </c>
      <c r="X315" s="5">
        <v>2428.35</v>
      </c>
      <c r="Y315" s="3">
        <v>0</v>
      </c>
      <c r="Z315" s="3">
        <v>0</v>
      </c>
      <c r="AA315" s="3">
        <v>0</v>
      </c>
    </row>
    <row r="316" spans="1:27" ht="72.75" x14ac:dyDescent="0.25">
      <c r="A316" s="3" t="s">
        <v>28</v>
      </c>
      <c r="B316" s="3" t="s">
        <v>29</v>
      </c>
      <c r="C316" s="3" t="s">
        <v>30</v>
      </c>
      <c r="D316" s="3" t="s">
        <v>58</v>
      </c>
      <c r="E316" s="3" t="s">
        <v>53</v>
      </c>
      <c r="F316" s="3" t="s">
        <v>426</v>
      </c>
      <c r="G316" s="3">
        <v>2025</v>
      </c>
      <c r="H316" s="3" t="str">
        <f>CONCATENATE("54240520749")</f>
        <v>54240520749</v>
      </c>
      <c r="I316" s="3" t="s">
        <v>34</v>
      </c>
      <c r="J316" s="3" t="s">
        <v>35</v>
      </c>
      <c r="K316" s="3"/>
      <c r="L316" s="3" t="s">
        <v>36</v>
      </c>
      <c r="M316" s="3" t="str">
        <f>CONCATENATE("CNZMSM59C20C267H")</f>
        <v>CNZMSM59C20C267H</v>
      </c>
      <c r="N316" s="3" t="s">
        <v>427</v>
      </c>
      <c r="O316" s="3" t="s">
        <v>38</v>
      </c>
      <c r="P316" s="3"/>
      <c r="Q316" s="4">
        <v>45944</v>
      </c>
      <c r="R316" s="3" t="s">
        <v>39</v>
      </c>
      <c r="S316" s="3" t="s">
        <v>38</v>
      </c>
      <c r="T316" s="3" t="s">
        <v>43</v>
      </c>
      <c r="U316" s="3"/>
      <c r="V316" s="3" t="s">
        <v>41</v>
      </c>
      <c r="W316" s="3">
        <v>592.16999999999996</v>
      </c>
      <c r="X316" s="3">
        <v>592.16999999999996</v>
      </c>
      <c r="Y316" s="3">
        <v>0</v>
      </c>
      <c r="Z316" s="3">
        <v>0</v>
      </c>
      <c r="AA316" s="3">
        <v>0</v>
      </c>
    </row>
    <row r="317" spans="1:27" ht="72.75" x14ac:dyDescent="0.25">
      <c r="A317" s="3" t="s">
        <v>28</v>
      </c>
      <c r="B317" s="3" t="s">
        <v>29</v>
      </c>
      <c r="C317" s="3" t="s">
        <v>30</v>
      </c>
      <c r="D317" s="3" t="s">
        <v>31</v>
      </c>
      <c r="E317" s="3" t="s">
        <v>53</v>
      </c>
      <c r="F317" s="3" t="s">
        <v>414</v>
      </c>
      <c r="G317" s="3">
        <v>2025</v>
      </c>
      <c r="H317" s="3" t="str">
        <f>CONCATENATE("54240520434")</f>
        <v>54240520434</v>
      </c>
      <c r="I317" s="3" t="s">
        <v>34</v>
      </c>
      <c r="J317" s="3" t="s">
        <v>35</v>
      </c>
      <c r="K317" s="3"/>
      <c r="L317" s="3" t="s">
        <v>36</v>
      </c>
      <c r="M317" s="3" t="str">
        <f>CONCATENATE("MLNFRC71D28D458Q")</f>
        <v>MLNFRC71D28D458Q</v>
      </c>
      <c r="N317" s="3" t="s">
        <v>428</v>
      </c>
      <c r="O317" s="3" t="s">
        <v>38</v>
      </c>
      <c r="P317" s="3"/>
      <c r="Q317" s="4">
        <v>45944</v>
      </c>
      <c r="R317" s="3" t="s">
        <v>39</v>
      </c>
      <c r="S317" s="3" t="s">
        <v>38</v>
      </c>
      <c r="T317" s="3" t="s">
        <v>43</v>
      </c>
      <c r="U317" s="3"/>
      <c r="V317" s="3" t="s">
        <v>41</v>
      </c>
      <c r="W317" s="5">
        <v>3112.31</v>
      </c>
      <c r="X317" s="5">
        <v>3112.31</v>
      </c>
      <c r="Y317" s="3">
        <v>0</v>
      </c>
      <c r="Z317" s="3">
        <v>0</v>
      </c>
      <c r="AA317" s="3">
        <v>0</v>
      </c>
    </row>
    <row r="318" spans="1:27" ht="60.75" x14ac:dyDescent="0.25">
      <c r="A318" s="3" t="s">
        <v>28</v>
      </c>
      <c r="B318" s="3" t="s">
        <v>29</v>
      </c>
      <c r="C318" s="3" t="s">
        <v>30</v>
      </c>
      <c r="D318" s="3" t="s">
        <v>31</v>
      </c>
      <c r="E318" s="3" t="s">
        <v>53</v>
      </c>
      <c r="F318" s="3" t="s">
        <v>414</v>
      </c>
      <c r="G318" s="3">
        <v>2025</v>
      </c>
      <c r="H318" s="3" t="str">
        <f>CONCATENATE("54240520863")</f>
        <v>54240520863</v>
      </c>
      <c r="I318" s="3" t="s">
        <v>34</v>
      </c>
      <c r="J318" s="3" t="s">
        <v>35</v>
      </c>
      <c r="K318" s="3"/>
      <c r="L318" s="3" t="s">
        <v>36</v>
      </c>
      <c r="M318" s="3" t="str">
        <f>CONCATENATE("PRNMNC84S55I459O")</f>
        <v>PRNMNC84S55I459O</v>
      </c>
      <c r="N318" s="3" t="s">
        <v>429</v>
      </c>
      <c r="O318" s="3" t="s">
        <v>38</v>
      </c>
      <c r="P318" s="3"/>
      <c r="Q318" s="4">
        <v>45944</v>
      </c>
      <c r="R318" s="3" t="s">
        <v>39</v>
      </c>
      <c r="S318" s="3" t="s">
        <v>38</v>
      </c>
      <c r="T318" s="3" t="s">
        <v>43</v>
      </c>
      <c r="U318" s="3"/>
      <c r="V318" s="3" t="s">
        <v>41</v>
      </c>
      <c r="W318" s="5">
        <v>7231.79</v>
      </c>
      <c r="X318" s="5">
        <v>7231.79</v>
      </c>
      <c r="Y318" s="3">
        <v>0</v>
      </c>
      <c r="Z318" s="3">
        <v>0</v>
      </c>
      <c r="AA318" s="3">
        <v>0</v>
      </c>
    </row>
    <row r="319" spans="1:27" ht="36.75" x14ac:dyDescent="0.25">
      <c r="A319" s="3" t="s">
        <v>28</v>
      </c>
      <c r="B319" s="3" t="s">
        <v>29</v>
      </c>
      <c r="C319" s="3" t="s">
        <v>30</v>
      </c>
      <c r="D319" s="3" t="s">
        <v>31</v>
      </c>
      <c r="E319" s="3" t="s">
        <v>53</v>
      </c>
      <c r="F319" s="3" t="s">
        <v>414</v>
      </c>
      <c r="G319" s="3">
        <v>2025</v>
      </c>
      <c r="H319" s="3" t="str">
        <f>CONCATENATE("54240520608")</f>
        <v>54240520608</v>
      </c>
      <c r="I319" s="3" t="s">
        <v>34</v>
      </c>
      <c r="J319" s="3" t="s">
        <v>35</v>
      </c>
      <c r="K319" s="3"/>
      <c r="L319" s="3" t="s">
        <v>36</v>
      </c>
      <c r="M319" s="3" t="str">
        <f>CONCATENATE("02458930415")</f>
        <v>02458930415</v>
      </c>
      <c r="N319" s="3" t="s">
        <v>430</v>
      </c>
      <c r="O319" s="3" t="s">
        <v>38</v>
      </c>
      <c r="P319" s="3"/>
      <c r="Q319" s="4">
        <v>45944</v>
      </c>
      <c r="R319" s="3" t="s">
        <v>39</v>
      </c>
      <c r="S319" s="3" t="s">
        <v>38</v>
      </c>
      <c r="T319" s="3" t="s">
        <v>43</v>
      </c>
      <c r="U319" s="3"/>
      <c r="V319" s="3" t="s">
        <v>41</v>
      </c>
      <c r="W319" s="5">
        <v>6963.18</v>
      </c>
      <c r="X319" s="5">
        <v>6963.18</v>
      </c>
      <c r="Y319" s="3">
        <v>0</v>
      </c>
      <c r="Z319" s="3">
        <v>0</v>
      </c>
      <c r="AA319" s="3">
        <v>0</v>
      </c>
    </row>
    <row r="320" spans="1:27" ht="72.75" x14ac:dyDescent="0.25">
      <c r="A320" s="3" t="s">
        <v>28</v>
      </c>
      <c r="B320" s="3" t="s">
        <v>29</v>
      </c>
      <c r="C320" s="3" t="s">
        <v>30</v>
      </c>
      <c r="D320" s="3" t="s">
        <v>58</v>
      </c>
      <c r="E320" s="3" t="s">
        <v>53</v>
      </c>
      <c r="F320" s="3" t="s">
        <v>123</v>
      </c>
      <c r="G320" s="3">
        <v>2025</v>
      </c>
      <c r="H320" s="3" t="str">
        <f>CONCATENATE("54240575685")</f>
        <v>54240575685</v>
      </c>
      <c r="I320" s="3" t="s">
        <v>34</v>
      </c>
      <c r="J320" s="3" t="s">
        <v>35</v>
      </c>
      <c r="K320" s="3"/>
      <c r="L320" s="3" t="s">
        <v>36</v>
      </c>
      <c r="M320" s="3" t="str">
        <f>CONCATENATE("LNDLCN65B27A769G")</f>
        <v>LNDLCN65B27A769G</v>
      </c>
      <c r="N320" s="3" t="s">
        <v>431</v>
      </c>
      <c r="O320" s="3" t="s">
        <v>38</v>
      </c>
      <c r="P320" s="3"/>
      <c r="Q320" s="4">
        <v>45944</v>
      </c>
      <c r="R320" s="3" t="s">
        <v>39</v>
      </c>
      <c r="S320" s="3" t="s">
        <v>38</v>
      </c>
      <c r="T320" s="3" t="s">
        <v>43</v>
      </c>
      <c r="U320" s="3"/>
      <c r="V320" s="3" t="s">
        <v>41</v>
      </c>
      <c r="W320" s="5">
        <v>8086.36</v>
      </c>
      <c r="X320" s="5">
        <v>8086.36</v>
      </c>
      <c r="Y320" s="3">
        <v>0</v>
      </c>
      <c r="Z320" s="3">
        <v>0</v>
      </c>
      <c r="AA320" s="3">
        <v>0</v>
      </c>
    </row>
    <row r="321" spans="1:27" ht="60.75" x14ac:dyDescent="0.25">
      <c r="A321" s="3" t="s">
        <v>28</v>
      </c>
      <c r="B321" s="3" t="s">
        <v>29</v>
      </c>
      <c r="C321" s="3" t="s">
        <v>30</v>
      </c>
      <c r="D321" s="3" t="s">
        <v>49</v>
      </c>
      <c r="E321" s="3" t="s">
        <v>74</v>
      </c>
      <c r="F321" s="3" t="s">
        <v>217</v>
      </c>
      <c r="G321" s="3">
        <v>2025</v>
      </c>
      <c r="H321" s="3" t="str">
        <f>CONCATENATE("54240521598")</f>
        <v>54240521598</v>
      </c>
      <c r="I321" s="3" t="s">
        <v>34</v>
      </c>
      <c r="J321" s="3" t="s">
        <v>35</v>
      </c>
      <c r="K321" s="3"/>
      <c r="L321" s="3" t="s">
        <v>36</v>
      </c>
      <c r="M321" s="3" t="str">
        <f>CONCATENATE("LTTBRS88D26D542K")</f>
        <v>LTTBRS88D26D542K</v>
      </c>
      <c r="N321" s="3" t="s">
        <v>432</v>
      </c>
      <c r="O321" s="3" t="s">
        <v>38</v>
      </c>
      <c r="P321" s="3"/>
      <c r="Q321" s="4">
        <v>45944</v>
      </c>
      <c r="R321" s="3" t="s">
        <v>39</v>
      </c>
      <c r="S321" s="3" t="s">
        <v>38</v>
      </c>
      <c r="T321" s="3" t="s">
        <v>43</v>
      </c>
      <c r="U321" s="3"/>
      <c r="V321" s="3" t="s">
        <v>41</v>
      </c>
      <c r="W321" s="5">
        <v>2850.98</v>
      </c>
      <c r="X321" s="5">
        <v>2850.98</v>
      </c>
      <c r="Y321" s="3">
        <v>0</v>
      </c>
      <c r="Z321" s="3">
        <v>0</v>
      </c>
      <c r="AA321" s="3">
        <v>0</v>
      </c>
    </row>
    <row r="322" spans="1:27" ht="60.75" x14ac:dyDescent="0.25">
      <c r="A322" s="3" t="s">
        <v>28</v>
      </c>
      <c r="B322" s="3" t="s">
        <v>29</v>
      </c>
      <c r="C322" s="3" t="s">
        <v>30</v>
      </c>
      <c r="D322" s="3" t="s">
        <v>31</v>
      </c>
      <c r="E322" s="3" t="s">
        <v>53</v>
      </c>
      <c r="F322" s="3" t="s">
        <v>414</v>
      </c>
      <c r="G322" s="3">
        <v>2025</v>
      </c>
      <c r="H322" s="3" t="str">
        <f>CONCATENATE("54240521754")</f>
        <v>54240521754</v>
      </c>
      <c r="I322" s="3" t="s">
        <v>34</v>
      </c>
      <c r="J322" s="3" t="s">
        <v>35</v>
      </c>
      <c r="K322" s="3"/>
      <c r="L322" s="3" t="s">
        <v>36</v>
      </c>
      <c r="M322" s="3" t="str">
        <f>CONCATENATE("BRNMCR62B47D488S")</f>
        <v>BRNMCR62B47D488S</v>
      </c>
      <c r="N322" s="3" t="s">
        <v>433</v>
      </c>
      <c r="O322" s="3" t="s">
        <v>38</v>
      </c>
      <c r="P322" s="3"/>
      <c r="Q322" s="4">
        <v>45944</v>
      </c>
      <c r="R322" s="3" t="s">
        <v>39</v>
      </c>
      <c r="S322" s="3" t="s">
        <v>38</v>
      </c>
      <c r="T322" s="3" t="s">
        <v>43</v>
      </c>
      <c r="U322" s="3"/>
      <c r="V322" s="3" t="s">
        <v>41</v>
      </c>
      <c r="W322" s="5">
        <v>3877.28</v>
      </c>
      <c r="X322" s="5">
        <v>3877.28</v>
      </c>
      <c r="Y322" s="3">
        <v>0</v>
      </c>
      <c r="Z322" s="3">
        <v>0</v>
      </c>
      <c r="AA322" s="3">
        <v>0</v>
      </c>
    </row>
    <row r="323" spans="1:27" ht="60.75" x14ac:dyDescent="0.25">
      <c r="A323" s="3" t="s">
        <v>28</v>
      </c>
      <c r="B323" s="3" t="s">
        <v>29</v>
      </c>
      <c r="C323" s="3" t="s">
        <v>30</v>
      </c>
      <c r="D323" s="3" t="s">
        <v>58</v>
      </c>
      <c r="E323" s="3" t="s">
        <v>32</v>
      </c>
      <c r="F323" s="3" t="s">
        <v>98</v>
      </c>
      <c r="G323" s="3">
        <v>2025</v>
      </c>
      <c r="H323" s="3" t="str">
        <f>CONCATENATE("54240521606")</f>
        <v>54240521606</v>
      </c>
      <c r="I323" s="3" t="s">
        <v>34</v>
      </c>
      <c r="J323" s="3" t="s">
        <v>35</v>
      </c>
      <c r="K323" s="3"/>
      <c r="L323" s="3" t="s">
        <v>36</v>
      </c>
      <c r="M323" s="3" t="str">
        <f>CONCATENATE("MNGVNT92C49A271P")</f>
        <v>MNGVNT92C49A271P</v>
      </c>
      <c r="N323" s="3" t="s">
        <v>434</v>
      </c>
      <c r="O323" s="3" t="s">
        <v>38</v>
      </c>
      <c r="P323" s="3"/>
      <c r="Q323" s="4">
        <v>45944</v>
      </c>
      <c r="R323" s="3" t="s">
        <v>39</v>
      </c>
      <c r="S323" s="3" t="s">
        <v>38</v>
      </c>
      <c r="T323" s="3" t="s">
        <v>43</v>
      </c>
      <c r="U323" s="3"/>
      <c r="V323" s="3" t="s">
        <v>41</v>
      </c>
      <c r="W323" s="3">
        <v>753.98</v>
      </c>
      <c r="X323" s="3">
        <v>753.98</v>
      </c>
      <c r="Y323" s="3">
        <v>0</v>
      </c>
      <c r="Z323" s="3">
        <v>0</v>
      </c>
      <c r="AA323" s="3">
        <v>0</v>
      </c>
    </row>
    <row r="324" spans="1:27" ht="36.75" x14ac:dyDescent="0.25">
      <c r="A324" s="3" t="s">
        <v>28</v>
      </c>
      <c r="B324" s="3" t="s">
        <v>29</v>
      </c>
      <c r="C324" s="3" t="s">
        <v>30</v>
      </c>
      <c r="D324" s="3" t="s">
        <v>58</v>
      </c>
      <c r="E324" s="3" t="s">
        <v>53</v>
      </c>
      <c r="F324" s="3" t="s">
        <v>59</v>
      </c>
      <c r="G324" s="3">
        <v>2025</v>
      </c>
      <c r="H324" s="3" t="str">
        <f>CONCATENATE("54240521689")</f>
        <v>54240521689</v>
      </c>
      <c r="I324" s="3" t="s">
        <v>34</v>
      </c>
      <c r="J324" s="3" t="s">
        <v>35</v>
      </c>
      <c r="K324" s="3"/>
      <c r="L324" s="3" t="s">
        <v>36</v>
      </c>
      <c r="M324" s="3" t="str">
        <f>CONCATENATE("02790810424")</f>
        <v>02790810424</v>
      </c>
      <c r="N324" s="3" t="s">
        <v>435</v>
      </c>
      <c r="O324" s="3" t="s">
        <v>38</v>
      </c>
      <c r="P324" s="3"/>
      <c r="Q324" s="4">
        <v>45944</v>
      </c>
      <c r="R324" s="3" t="s">
        <v>39</v>
      </c>
      <c r="S324" s="3" t="s">
        <v>38</v>
      </c>
      <c r="T324" s="3" t="s">
        <v>43</v>
      </c>
      <c r="U324" s="3"/>
      <c r="V324" s="3" t="s">
        <v>41</v>
      </c>
      <c r="W324" s="5">
        <v>15304.5</v>
      </c>
      <c r="X324" s="5">
        <v>15304.5</v>
      </c>
      <c r="Y324" s="3">
        <v>0</v>
      </c>
      <c r="Z324" s="3">
        <v>0</v>
      </c>
      <c r="AA324" s="3">
        <v>0</v>
      </c>
    </row>
    <row r="325" spans="1:27" ht="60.75" x14ac:dyDescent="0.25">
      <c r="A325" s="3" t="s">
        <v>28</v>
      </c>
      <c r="B325" s="3" t="s">
        <v>29</v>
      </c>
      <c r="C325" s="3" t="s">
        <v>30</v>
      </c>
      <c r="D325" s="3" t="s">
        <v>58</v>
      </c>
      <c r="E325" s="3" t="s">
        <v>32</v>
      </c>
      <c r="F325" s="3" t="s">
        <v>96</v>
      </c>
      <c r="G325" s="3">
        <v>2025</v>
      </c>
      <c r="H325" s="3" t="str">
        <f>CONCATENATE("54240565389")</f>
        <v>54240565389</v>
      </c>
      <c r="I325" s="3" t="s">
        <v>34</v>
      </c>
      <c r="J325" s="3" t="s">
        <v>35</v>
      </c>
      <c r="K325" s="3"/>
      <c r="L325" s="3" t="s">
        <v>36</v>
      </c>
      <c r="M325" s="3" t="str">
        <f>CONCATENATE("LCCRTM46T20D965Z")</f>
        <v>LCCRTM46T20D965Z</v>
      </c>
      <c r="N325" s="3" t="s">
        <v>436</v>
      </c>
      <c r="O325" s="3" t="s">
        <v>38</v>
      </c>
      <c r="P325" s="3"/>
      <c r="Q325" s="4">
        <v>45944</v>
      </c>
      <c r="R325" s="3" t="s">
        <v>39</v>
      </c>
      <c r="S325" s="3" t="s">
        <v>38</v>
      </c>
      <c r="T325" s="3" t="s">
        <v>43</v>
      </c>
      <c r="U325" s="3"/>
      <c r="V325" s="3" t="s">
        <v>41</v>
      </c>
      <c r="W325" s="5">
        <v>11334.13</v>
      </c>
      <c r="X325" s="5">
        <v>11334.13</v>
      </c>
      <c r="Y325" s="3">
        <v>0</v>
      </c>
      <c r="Z325" s="3">
        <v>0</v>
      </c>
      <c r="AA325" s="3">
        <v>0</v>
      </c>
    </row>
    <row r="326" spans="1:27" ht="60.75" x14ac:dyDescent="0.25">
      <c r="A326" s="3" t="s">
        <v>28</v>
      </c>
      <c r="B326" s="3" t="s">
        <v>29</v>
      </c>
      <c r="C326" s="3" t="s">
        <v>30</v>
      </c>
      <c r="D326" s="3" t="s">
        <v>58</v>
      </c>
      <c r="E326" s="3" t="s">
        <v>32</v>
      </c>
      <c r="F326" s="3" t="s">
        <v>96</v>
      </c>
      <c r="G326" s="3">
        <v>2025</v>
      </c>
      <c r="H326" s="3" t="str">
        <f>CONCATENATE("54240565405")</f>
        <v>54240565405</v>
      </c>
      <c r="I326" s="3" t="s">
        <v>34</v>
      </c>
      <c r="J326" s="3" t="s">
        <v>35</v>
      </c>
      <c r="K326" s="3"/>
      <c r="L326" s="3" t="s">
        <v>36</v>
      </c>
      <c r="M326" s="3" t="str">
        <f>CONCATENATE("LCCSDR78D12D451E")</f>
        <v>LCCSDR78D12D451E</v>
      </c>
      <c r="N326" s="3" t="s">
        <v>437</v>
      </c>
      <c r="O326" s="3" t="s">
        <v>38</v>
      </c>
      <c r="P326" s="3"/>
      <c r="Q326" s="4">
        <v>45944</v>
      </c>
      <c r="R326" s="3" t="s">
        <v>39</v>
      </c>
      <c r="S326" s="3" t="s">
        <v>38</v>
      </c>
      <c r="T326" s="3" t="s">
        <v>43</v>
      </c>
      <c r="U326" s="3"/>
      <c r="V326" s="3" t="s">
        <v>41</v>
      </c>
      <c r="W326" s="5">
        <v>12655.23</v>
      </c>
      <c r="X326" s="5">
        <v>12655.23</v>
      </c>
      <c r="Y326" s="3">
        <v>0</v>
      </c>
      <c r="Z326" s="3">
        <v>0</v>
      </c>
      <c r="AA326" s="3">
        <v>0</v>
      </c>
    </row>
    <row r="327" spans="1:27" ht="60.75" x14ac:dyDescent="0.25">
      <c r="A327" s="3" t="s">
        <v>28</v>
      </c>
      <c r="B327" s="3" t="s">
        <v>29</v>
      </c>
      <c r="C327" s="3" t="s">
        <v>30</v>
      </c>
      <c r="D327" s="3" t="s">
        <v>58</v>
      </c>
      <c r="E327" s="3" t="s">
        <v>53</v>
      </c>
      <c r="F327" s="3" t="s">
        <v>426</v>
      </c>
      <c r="G327" s="3">
        <v>2025</v>
      </c>
      <c r="H327" s="3" t="str">
        <f>CONCATENATE("54240522505")</f>
        <v>54240522505</v>
      </c>
      <c r="I327" s="3" t="s">
        <v>34</v>
      </c>
      <c r="J327" s="3" t="s">
        <v>35</v>
      </c>
      <c r="K327" s="3"/>
      <c r="L327" s="3" t="s">
        <v>36</v>
      </c>
      <c r="M327" s="3" t="str">
        <f>CONCATENATE("BZZLSU60B51H501B")</f>
        <v>BZZLSU60B51H501B</v>
      </c>
      <c r="N327" s="3" t="s">
        <v>438</v>
      </c>
      <c r="O327" s="3" t="s">
        <v>38</v>
      </c>
      <c r="P327" s="3"/>
      <c r="Q327" s="4">
        <v>45944</v>
      </c>
      <c r="R327" s="3" t="s">
        <v>39</v>
      </c>
      <c r="S327" s="3" t="s">
        <v>38</v>
      </c>
      <c r="T327" s="3" t="s">
        <v>43</v>
      </c>
      <c r="U327" s="3"/>
      <c r="V327" s="3" t="s">
        <v>41</v>
      </c>
      <c r="W327" s="5">
        <v>7782.67</v>
      </c>
      <c r="X327" s="5">
        <v>7782.67</v>
      </c>
      <c r="Y327" s="3">
        <v>0</v>
      </c>
      <c r="Z327" s="3">
        <v>0</v>
      </c>
      <c r="AA327" s="3">
        <v>0</v>
      </c>
    </row>
    <row r="328" spans="1:27" ht="60.75" x14ac:dyDescent="0.25">
      <c r="A328" s="3" t="s">
        <v>28</v>
      </c>
      <c r="B328" s="3" t="s">
        <v>29</v>
      </c>
      <c r="C328" s="3" t="s">
        <v>30</v>
      </c>
      <c r="D328" s="3" t="s">
        <v>31</v>
      </c>
      <c r="E328" s="3" t="s">
        <v>32</v>
      </c>
      <c r="F328" s="3" t="s">
        <v>44</v>
      </c>
      <c r="G328" s="3">
        <v>2025</v>
      </c>
      <c r="H328" s="3" t="str">
        <f>CONCATENATE("54240522638")</f>
        <v>54240522638</v>
      </c>
      <c r="I328" s="3" t="s">
        <v>34</v>
      </c>
      <c r="J328" s="3" t="s">
        <v>35</v>
      </c>
      <c r="K328" s="3"/>
      <c r="L328" s="3" t="s">
        <v>36</v>
      </c>
      <c r="M328" s="3" t="str">
        <f>CONCATENATE("BGTVEA80S62D488B")</f>
        <v>BGTVEA80S62D488B</v>
      </c>
      <c r="N328" s="3" t="s">
        <v>439</v>
      </c>
      <c r="O328" s="3" t="s">
        <v>38</v>
      </c>
      <c r="P328" s="3"/>
      <c r="Q328" s="4">
        <v>45944</v>
      </c>
      <c r="R328" s="3" t="s">
        <v>39</v>
      </c>
      <c r="S328" s="3" t="s">
        <v>38</v>
      </c>
      <c r="T328" s="3" t="s">
        <v>43</v>
      </c>
      <c r="U328" s="3"/>
      <c r="V328" s="3" t="s">
        <v>41</v>
      </c>
      <c r="W328" s="5">
        <v>1341.7</v>
      </c>
      <c r="X328" s="5">
        <v>1341.7</v>
      </c>
      <c r="Y328" s="3">
        <v>0</v>
      </c>
      <c r="Z328" s="3">
        <v>0</v>
      </c>
      <c r="AA328" s="3">
        <v>0</v>
      </c>
    </row>
    <row r="329" spans="1:27" ht="36.75" x14ac:dyDescent="0.25">
      <c r="A329" s="3" t="s">
        <v>28</v>
      </c>
      <c r="B329" s="3" t="s">
        <v>29</v>
      </c>
      <c r="C329" s="3" t="s">
        <v>30</v>
      </c>
      <c r="D329" s="3" t="s">
        <v>31</v>
      </c>
      <c r="E329" s="3" t="s">
        <v>32</v>
      </c>
      <c r="F329" s="3" t="s">
        <v>440</v>
      </c>
      <c r="G329" s="3">
        <v>2025</v>
      </c>
      <c r="H329" s="3" t="str">
        <f>CONCATENATE("54240523057")</f>
        <v>54240523057</v>
      </c>
      <c r="I329" s="3" t="s">
        <v>149</v>
      </c>
      <c r="J329" s="3" t="s">
        <v>35</v>
      </c>
      <c r="K329" s="3"/>
      <c r="L329" s="3" t="s">
        <v>36</v>
      </c>
      <c r="M329" s="3" t="str">
        <f>CONCATENATE("02826240414")</f>
        <v>02826240414</v>
      </c>
      <c r="N329" s="3" t="s">
        <v>441</v>
      </c>
      <c r="O329" s="3" t="s">
        <v>38</v>
      </c>
      <c r="P329" s="3"/>
      <c r="Q329" s="4">
        <v>45944</v>
      </c>
      <c r="R329" s="3" t="s">
        <v>39</v>
      </c>
      <c r="S329" s="3" t="s">
        <v>38</v>
      </c>
      <c r="T329" s="3" t="s">
        <v>43</v>
      </c>
      <c r="U329" s="3"/>
      <c r="V329" s="3" t="s">
        <v>41</v>
      </c>
      <c r="W329" s="5">
        <v>4312.4799999999996</v>
      </c>
      <c r="X329" s="5">
        <v>4312.4799999999996</v>
      </c>
      <c r="Y329" s="3">
        <v>0</v>
      </c>
      <c r="Z329" s="3">
        <v>0</v>
      </c>
      <c r="AA329" s="3">
        <v>0</v>
      </c>
    </row>
    <row r="330" spans="1:27" ht="60.75" x14ac:dyDescent="0.25">
      <c r="A330" s="3" t="s">
        <v>28</v>
      </c>
      <c r="B330" s="3" t="s">
        <v>29</v>
      </c>
      <c r="C330" s="3" t="s">
        <v>30</v>
      </c>
      <c r="D330" s="3" t="s">
        <v>49</v>
      </c>
      <c r="E330" s="3" t="s">
        <v>32</v>
      </c>
      <c r="F330" s="3" t="s">
        <v>69</v>
      </c>
      <c r="G330" s="3">
        <v>2025</v>
      </c>
      <c r="H330" s="3" t="str">
        <f>CONCATENATE("54240522596")</f>
        <v>54240522596</v>
      </c>
      <c r="I330" s="3" t="s">
        <v>34</v>
      </c>
      <c r="J330" s="3" t="s">
        <v>35</v>
      </c>
      <c r="K330" s="3"/>
      <c r="L330" s="3" t="s">
        <v>36</v>
      </c>
      <c r="M330" s="3" t="str">
        <f>CONCATENATE("SCTLTR63T21L191U")</f>
        <v>SCTLTR63T21L191U</v>
      </c>
      <c r="N330" s="3" t="s">
        <v>442</v>
      </c>
      <c r="O330" s="3" t="s">
        <v>38</v>
      </c>
      <c r="P330" s="3"/>
      <c r="Q330" s="4">
        <v>45944</v>
      </c>
      <c r="R330" s="3" t="s">
        <v>39</v>
      </c>
      <c r="S330" s="3" t="s">
        <v>38</v>
      </c>
      <c r="T330" s="3" t="s">
        <v>43</v>
      </c>
      <c r="U330" s="3"/>
      <c r="V330" s="3" t="s">
        <v>41</v>
      </c>
      <c r="W330" s="5">
        <v>1768.09</v>
      </c>
      <c r="X330" s="5">
        <v>1768.09</v>
      </c>
      <c r="Y330" s="3">
        <v>0</v>
      </c>
      <c r="Z330" s="3">
        <v>0</v>
      </c>
      <c r="AA330" s="3">
        <v>0</v>
      </c>
    </row>
    <row r="331" spans="1:27" ht="60.75" x14ac:dyDescent="0.25">
      <c r="A331" s="3" t="s">
        <v>28</v>
      </c>
      <c r="B331" s="3" t="s">
        <v>29</v>
      </c>
      <c r="C331" s="3" t="s">
        <v>30</v>
      </c>
      <c r="D331" s="3" t="s">
        <v>31</v>
      </c>
      <c r="E331" s="3" t="s">
        <v>32</v>
      </c>
      <c r="F331" s="3" t="s">
        <v>56</v>
      </c>
      <c r="G331" s="3">
        <v>2025</v>
      </c>
      <c r="H331" s="3" t="str">
        <f>CONCATENATE("54240523313")</f>
        <v>54240523313</v>
      </c>
      <c r="I331" s="3" t="s">
        <v>34</v>
      </c>
      <c r="J331" s="3" t="s">
        <v>35</v>
      </c>
      <c r="K331" s="3"/>
      <c r="L331" s="3" t="s">
        <v>36</v>
      </c>
      <c r="M331" s="3" t="str">
        <f>CONCATENATE("PRIFRC82R05G479J")</f>
        <v>PRIFRC82R05G479J</v>
      </c>
      <c r="N331" s="3" t="s">
        <v>443</v>
      </c>
      <c r="O331" s="3" t="s">
        <v>38</v>
      </c>
      <c r="P331" s="3"/>
      <c r="Q331" s="4">
        <v>45944</v>
      </c>
      <c r="R331" s="3" t="s">
        <v>39</v>
      </c>
      <c r="S331" s="3" t="s">
        <v>38</v>
      </c>
      <c r="T331" s="3" t="s">
        <v>43</v>
      </c>
      <c r="U331" s="3"/>
      <c r="V331" s="3" t="s">
        <v>41</v>
      </c>
      <c r="W331" s="5">
        <v>6703.93</v>
      </c>
      <c r="X331" s="5">
        <v>6703.93</v>
      </c>
      <c r="Y331" s="3">
        <v>0</v>
      </c>
      <c r="Z331" s="3">
        <v>0</v>
      </c>
      <c r="AA331" s="3">
        <v>0</v>
      </c>
    </row>
    <row r="332" spans="1:27" ht="36.75" x14ac:dyDescent="0.25">
      <c r="A332" s="3" t="s">
        <v>28</v>
      </c>
      <c r="B332" s="3" t="s">
        <v>29</v>
      </c>
      <c r="C332" s="3" t="s">
        <v>30</v>
      </c>
      <c r="D332" s="3" t="s">
        <v>49</v>
      </c>
      <c r="E332" s="3" t="s">
        <v>91</v>
      </c>
      <c r="F332" s="3" t="s">
        <v>92</v>
      </c>
      <c r="G332" s="3">
        <v>2025</v>
      </c>
      <c r="H332" s="3" t="str">
        <f>CONCATENATE("54240523560")</f>
        <v>54240523560</v>
      </c>
      <c r="I332" s="3" t="s">
        <v>34</v>
      </c>
      <c r="J332" s="3" t="s">
        <v>35</v>
      </c>
      <c r="K332" s="3"/>
      <c r="L332" s="3" t="s">
        <v>36</v>
      </c>
      <c r="M332" s="3" t="str">
        <f>CONCATENATE("01895810438")</f>
        <v>01895810438</v>
      </c>
      <c r="N332" s="3" t="s">
        <v>444</v>
      </c>
      <c r="O332" s="3" t="s">
        <v>38</v>
      </c>
      <c r="P332" s="3"/>
      <c r="Q332" s="4">
        <v>45944</v>
      </c>
      <c r="R332" s="3" t="s">
        <v>39</v>
      </c>
      <c r="S332" s="3" t="s">
        <v>38</v>
      </c>
      <c r="T332" s="3" t="s">
        <v>43</v>
      </c>
      <c r="U332" s="3"/>
      <c r="V332" s="3" t="s">
        <v>41</v>
      </c>
      <c r="W332" s="5">
        <v>1118.02</v>
      </c>
      <c r="X332" s="5">
        <v>1118.02</v>
      </c>
      <c r="Y332" s="3">
        <v>0</v>
      </c>
      <c r="Z332" s="3">
        <v>0</v>
      </c>
      <c r="AA332" s="3">
        <v>0</v>
      </c>
    </row>
    <row r="333" spans="1:27" ht="36.75" x14ac:dyDescent="0.25">
      <c r="A333" s="3" t="s">
        <v>28</v>
      </c>
      <c r="B333" s="3" t="s">
        <v>29</v>
      </c>
      <c r="C333" s="3" t="s">
        <v>30</v>
      </c>
      <c r="D333" s="3" t="s">
        <v>63</v>
      </c>
      <c r="E333" s="3" t="s">
        <v>32</v>
      </c>
      <c r="F333" s="3" t="s">
        <v>243</v>
      </c>
      <c r="G333" s="3">
        <v>2025</v>
      </c>
      <c r="H333" s="3" t="str">
        <f>CONCATENATE("54240574563")</f>
        <v>54240574563</v>
      </c>
      <c r="I333" s="3" t="s">
        <v>34</v>
      </c>
      <c r="J333" s="3" t="s">
        <v>35</v>
      </c>
      <c r="K333" s="3"/>
      <c r="L333" s="3" t="s">
        <v>36</v>
      </c>
      <c r="M333" s="3" t="str">
        <f>CONCATENATE("02350010449")</f>
        <v>02350010449</v>
      </c>
      <c r="N333" s="3" t="s">
        <v>445</v>
      </c>
      <c r="O333" s="3" t="s">
        <v>38</v>
      </c>
      <c r="P333" s="3"/>
      <c r="Q333" s="4">
        <v>45944</v>
      </c>
      <c r="R333" s="3" t="s">
        <v>39</v>
      </c>
      <c r="S333" s="3" t="s">
        <v>38</v>
      </c>
      <c r="T333" s="3" t="s">
        <v>43</v>
      </c>
      <c r="U333" s="3"/>
      <c r="V333" s="3" t="s">
        <v>41</v>
      </c>
      <c r="W333" s="5">
        <v>5532.63</v>
      </c>
      <c r="X333" s="5">
        <v>5532.63</v>
      </c>
      <c r="Y333" s="3">
        <v>0</v>
      </c>
      <c r="Z333" s="3">
        <v>0</v>
      </c>
      <c r="AA333" s="3">
        <v>0</v>
      </c>
    </row>
    <row r="334" spans="1:27" ht="36.75" x14ac:dyDescent="0.25">
      <c r="A334" s="3" t="s">
        <v>28</v>
      </c>
      <c r="B334" s="3" t="s">
        <v>29</v>
      </c>
      <c r="C334" s="3" t="s">
        <v>30</v>
      </c>
      <c r="D334" s="3" t="s">
        <v>31</v>
      </c>
      <c r="E334" s="3" t="s">
        <v>46</v>
      </c>
      <c r="F334" s="3" t="s">
        <v>108</v>
      </c>
      <c r="G334" s="3">
        <v>2025</v>
      </c>
      <c r="H334" s="3" t="str">
        <f>CONCATENATE("54240523669")</f>
        <v>54240523669</v>
      </c>
      <c r="I334" s="3" t="s">
        <v>34</v>
      </c>
      <c r="J334" s="3" t="s">
        <v>35</v>
      </c>
      <c r="K334" s="3"/>
      <c r="L334" s="3" t="s">
        <v>36</v>
      </c>
      <c r="M334" s="3" t="str">
        <f>CONCATENATE("02361800416")</f>
        <v>02361800416</v>
      </c>
      <c r="N334" s="3" t="s">
        <v>446</v>
      </c>
      <c r="O334" s="3" t="s">
        <v>38</v>
      </c>
      <c r="P334" s="3"/>
      <c r="Q334" s="4">
        <v>45944</v>
      </c>
      <c r="R334" s="3" t="s">
        <v>39</v>
      </c>
      <c r="S334" s="3" t="s">
        <v>38</v>
      </c>
      <c r="T334" s="3" t="s">
        <v>43</v>
      </c>
      <c r="U334" s="3"/>
      <c r="V334" s="3" t="s">
        <v>41</v>
      </c>
      <c r="W334" s="5">
        <v>18684.740000000002</v>
      </c>
      <c r="X334" s="5">
        <v>18684.740000000002</v>
      </c>
      <c r="Y334" s="3">
        <v>0</v>
      </c>
      <c r="Z334" s="3">
        <v>0</v>
      </c>
      <c r="AA334" s="3">
        <v>0</v>
      </c>
    </row>
    <row r="335" spans="1:27" ht="36.75" x14ac:dyDescent="0.25">
      <c r="A335" s="3" t="s">
        <v>28</v>
      </c>
      <c r="B335" s="3" t="s">
        <v>29</v>
      </c>
      <c r="C335" s="3" t="s">
        <v>30</v>
      </c>
      <c r="D335" s="3" t="s">
        <v>31</v>
      </c>
      <c r="E335" s="3" t="s">
        <v>46</v>
      </c>
      <c r="F335" s="3" t="s">
        <v>108</v>
      </c>
      <c r="G335" s="3">
        <v>2025</v>
      </c>
      <c r="H335" s="3" t="str">
        <f>CONCATENATE("54240524493")</f>
        <v>54240524493</v>
      </c>
      <c r="I335" s="3" t="s">
        <v>34</v>
      </c>
      <c r="J335" s="3" t="s">
        <v>35</v>
      </c>
      <c r="K335" s="3"/>
      <c r="L335" s="3" t="s">
        <v>36</v>
      </c>
      <c r="M335" s="3" t="str">
        <f>CONCATENATE("02688080411")</f>
        <v>02688080411</v>
      </c>
      <c r="N335" s="3" t="s">
        <v>447</v>
      </c>
      <c r="O335" s="3" t="s">
        <v>38</v>
      </c>
      <c r="P335" s="3"/>
      <c r="Q335" s="4">
        <v>45944</v>
      </c>
      <c r="R335" s="3" t="s">
        <v>39</v>
      </c>
      <c r="S335" s="3" t="s">
        <v>38</v>
      </c>
      <c r="T335" s="3" t="s">
        <v>43</v>
      </c>
      <c r="U335" s="3"/>
      <c r="V335" s="3" t="s">
        <v>41</v>
      </c>
      <c r="W335" s="5">
        <v>18285.12</v>
      </c>
      <c r="X335" s="5">
        <v>18285.12</v>
      </c>
      <c r="Y335" s="3">
        <v>0</v>
      </c>
      <c r="Z335" s="3">
        <v>0</v>
      </c>
      <c r="AA335" s="3">
        <v>0</v>
      </c>
    </row>
    <row r="336" spans="1:27" ht="60.75" x14ac:dyDescent="0.25">
      <c r="A336" s="3" t="s">
        <v>28</v>
      </c>
      <c r="B336" s="3" t="s">
        <v>29</v>
      </c>
      <c r="C336" s="3" t="s">
        <v>30</v>
      </c>
      <c r="D336" s="3" t="s">
        <v>49</v>
      </c>
      <c r="E336" s="3" t="s">
        <v>46</v>
      </c>
      <c r="F336" s="3" t="s">
        <v>205</v>
      </c>
      <c r="G336" s="3">
        <v>2025</v>
      </c>
      <c r="H336" s="3" t="str">
        <f>CONCATENATE("54240524592")</f>
        <v>54240524592</v>
      </c>
      <c r="I336" s="3" t="s">
        <v>34</v>
      </c>
      <c r="J336" s="3" t="s">
        <v>35</v>
      </c>
      <c r="K336" s="3"/>
      <c r="L336" s="3" t="s">
        <v>36</v>
      </c>
      <c r="M336" s="3" t="str">
        <f>CONCATENATE("CRDNTN67H30F567X")</f>
        <v>CRDNTN67H30F567X</v>
      </c>
      <c r="N336" s="3" t="s">
        <v>448</v>
      </c>
      <c r="O336" s="3" t="s">
        <v>38</v>
      </c>
      <c r="P336" s="3"/>
      <c r="Q336" s="4">
        <v>45944</v>
      </c>
      <c r="R336" s="3" t="s">
        <v>39</v>
      </c>
      <c r="S336" s="3" t="s">
        <v>38</v>
      </c>
      <c r="T336" s="3" t="s">
        <v>43</v>
      </c>
      <c r="U336" s="3"/>
      <c r="V336" s="3" t="s">
        <v>41</v>
      </c>
      <c r="W336" s="5">
        <v>2869.91</v>
      </c>
      <c r="X336" s="5">
        <v>2869.91</v>
      </c>
      <c r="Y336" s="3">
        <v>0</v>
      </c>
      <c r="Z336" s="3">
        <v>0</v>
      </c>
      <c r="AA336" s="3">
        <v>0</v>
      </c>
    </row>
    <row r="337" spans="1:27" ht="60.75" x14ac:dyDescent="0.25">
      <c r="A337" s="3" t="s">
        <v>28</v>
      </c>
      <c r="B337" s="3" t="s">
        <v>29</v>
      </c>
      <c r="C337" s="3" t="s">
        <v>30</v>
      </c>
      <c r="D337" s="3" t="s">
        <v>31</v>
      </c>
      <c r="E337" s="3" t="s">
        <v>32</v>
      </c>
      <c r="F337" s="3" t="s">
        <v>33</v>
      </c>
      <c r="G337" s="3">
        <v>2025</v>
      </c>
      <c r="H337" s="3" t="str">
        <f>CONCATENATE("54240524865")</f>
        <v>54240524865</v>
      </c>
      <c r="I337" s="3" t="s">
        <v>34</v>
      </c>
      <c r="J337" s="3" t="s">
        <v>35</v>
      </c>
      <c r="K337" s="3"/>
      <c r="L337" s="3" t="s">
        <v>36</v>
      </c>
      <c r="M337" s="3" t="str">
        <f>CONCATENATE("MBRLBA64M46E351G")</f>
        <v>MBRLBA64M46E351G</v>
      </c>
      <c r="N337" s="3" t="s">
        <v>449</v>
      </c>
      <c r="O337" s="3" t="s">
        <v>38</v>
      </c>
      <c r="P337" s="3"/>
      <c r="Q337" s="4">
        <v>45944</v>
      </c>
      <c r="R337" s="3" t="s">
        <v>39</v>
      </c>
      <c r="S337" s="3" t="s">
        <v>38</v>
      </c>
      <c r="T337" s="3" t="s">
        <v>43</v>
      </c>
      <c r="U337" s="3"/>
      <c r="V337" s="3" t="s">
        <v>41</v>
      </c>
      <c r="W337" s="5">
        <v>4777.9799999999996</v>
      </c>
      <c r="X337" s="5">
        <v>4777.9799999999996</v>
      </c>
      <c r="Y337" s="3">
        <v>0</v>
      </c>
      <c r="Z337" s="3">
        <v>0</v>
      </c>
      <c r="AA337" s="3">
        <v>0</v>
      </c>
    </row>
    <row r="338" spans="1:27" ht="36.75" x14ac:dyDescent="0.25">
      <c r="A338" s="3" t="s">
        <v>28</v>
      </c>
      <c r="B338" s="3" t="s">
        <v>29</v>
      </c>
      <c r="C338" s="3" t="s">
        <v>30</v>
      </c>
      <c r="D338" s="3" t="s">
        <v>31</v>
      </c>
      <c r="E338" s="3" t="s">
        <v>32</v>
      </c>
      <c r="F338" s="3" t="s">
        <v>33</v>
      </c>
      <c r="G338" s="3">
        <v>2025</v>
      </c>
      <c r="H338" s="3" t="str">
        <f>CONCATENATE("54240525060")</f>
        <v>54240525060</v>
      </c>
      <c r="I338" s="3" t="s">
        <v>34</v>
      </c>
      <c r="J338" s="3" t="s">
        <v>35</v>
      </c>
      <c r="K338" s="3"/>
      <c r="L338" s="3" t="s">
        <v>36</v>
      </c>
      <c r="M338" s="3" t="str">
        <f>CONCATENATE("00457150415")</f>
        <v>00457150415</v>
      </c>
      <c r="N338" s="3" t="s">
        <v>450</v>
      </c>
      <c r="O338" s="3" t="s">
        <v>38</v>
      </c>
      <c r="P338" s="3"/>
      <c r="Q338" s="4">
        <v>45944</v>
      </c>
      <c r="R338" s="3" t="s">
        <v>39</v>
      </c>
      <c r="S338" s="3" t="s">
        <v>38</v>
      </c>
      <c r="T338" s="3" t="s">
        <v>43</v>
      </c>
      <c r="U338" s="3"/>
      <c r="V338" s="3" t="s">
        <v>41</v>
      </c>
      <c r="W338" s="5">
        <v>16155.64</v>
      </c>
      <c r="X338" s="5">
        <v>16155.64</v>
      </c>
      <c r="Y338" s="3">
        <v>0</v>
      </c>
      <c r="Z338" s="3">
        <v>0</v>
      </c>
      <c r="AA338" s="3">
        <v>0</v>
      </c>
    </row>
    <row r="339" spans="1:27" ht="60.75" x14ac:dyDescent="0.25">
      <c r="A339" s="3" t="s">
        <v>28</v>
      </c>
      <c r="B339" s="3" t="s">
        <v>29</v>
      </c>
      <c r="C339" s="3" t="s">
        <v>30</v>
      </c>
      <c r="D339" s="3" t="s">
        <v>31</v>
      </c>
      <c r="E339" s="3" t="s">
        <v>32</v>
      </c>
      <c r="F339" s="3" t="s">
        <v>44</v>
      </c>
      <c r="G339" s="3">
        <v>2025</v>
      </c>
      <c r="H339" s="3" t="str">
        <f>CONCATENATE("54240525052")</f>
        <v>54240525052</v>
      </c>
      <c r="I339" s="3" t="s">
        <v>34</v>
      </c>
      <c r="J339" s="3" t="s">
        <v>35</v>
      </c>
      <c r="K339" s="3"/>
      <c r="L339" s="3" t="s">
        <v>36</v>
      </c>
      <c r="M339" s="3" t="str">
        <f>CONCATENATE("CRPSDR54D18B352Z")</f>
        <v>CRPSDR54D18B352Z</v>
      </c>
      <c r="N339" s="3" t="s">
        <v>451</v>
      </c>
      <c r="O339" s="3" t="s">
        <v>38</v>
      </c>
      <c r="P339" s="3"/>
      <c r="Q339" s="4">
        <v>45944</v>
      </c>
      <c r="R339" s="3" t="s">
        <v>39</v>
      </c>
      <c r="S339" s="3" t="s">
        <v>38</v>
      </c>
      <c r="T339" s="3" t="s">
        <v>43</v>
      </c>
      <c r="U339" s="3"/>
      <c r="V339" s="3" t="s">
        <v>41</v>
      </c>
      <c r="W339" s="5">
        <v>1564.31</v>
      </c>
      <c r="X339" s="5">
        <v>1564.31</v>
      </c>
      <c r="Y339" s="3">
        <v>0</v>
      </c>
      <c r="Z339" s="3">
        <v>0</v>
      </c>
      <c r="AA339" s="3">
        <v>0</v>
      </c>
    </row>
    <row r="340" spans="1:27" ht="36.75" x14ac:dyDescent="0.25">
      <c r="A340" s="3" t="s">
        <v>28</v>
      </c>
      <c r="B340" s="3" t="s">
        <v>29</v>
      </c>
      <c r="C340" s="3" t="s">
        <v>30</v>
      </c>
      <c r="D340" s="3" t="s">
        <v>49</v>
      </c>
      <c r="E340" s="3" t="s">
        <v>46</v>
      </c>
      <c r="F340" s="3" t="s">
        <v>205</v>
      </c>
      <c r="G340" s="3">
        <v>2025</v>
      </c>
      <c r="H340" s="3" t="str">
        <f>CONCATENATE("54240525458")</f>
        <v>54240525458</v>
      </c>
      <c r="I340" s="3" t="s">
        <v>34</v>
      </c>
      <c r="J340" s="3" t="s">
        <v>35</v>
      </c>
      <c r="K340" s="3"/>
      <c r="L340" s="3" t="s">
        <v>36</v>
      </c>
      <c r="M340" s="3" t="str">
        <f>CONCATENATE("01915500431")</f>
        <v>01915500431</v>
      </c>
      <c r="N340" s="3" t="s">
        <v>452</v>
      </c>
      <c r="O340" s="3" t="s">
        <v>38</v>
      </c>
      <c r="P340" s="3"/>
      <c r="Q340" s="4">
        <v>45944</v>
      </c>
      <c r="R340" s="3" t="s">
        <v>39</v>
      </c>
      <c r="S340" s="3" t="s">
        <v>38</v>
      </c>
      <c r="T340" s="3" t="s">
        <v>43</v>
      </c>
      <c r="U340" s="3"/>
      <c r="V340" s="3" t="s">
        <v>41</v>
      </c>
      <c r="W340" s="3">
        <v>469.74</v>
      </c>
      <c r="X340" s="3">
        <v>469.74</v>
      </c>
      <c r="Y340" s="3">
        <v>0</v>
      </c>
      <c r="Z340" s="3">
        <v>0</v>
      </c>
      <c r="AA340" s="3">
        <v>0</v>
      </c>
    </row>
    <row r="341" spans="1:27" ht="60.75" x14ac:dyDescent="0.25">
      <c r="A341" s="3" t="s">
        <v>28</v>
      </c>
      <c r="B341" s="3" t="s">
        <v>29</v>
      </c>
      <c r="C341" s="3" t="s">
        <v>30</v>
      </c>
      <c r="D341" s="3" t="s">
        <v>58</v>
      </c>
      <c r="E341" s="3" t="s">
        <v>53</v>
      </c>
      <c r="F341" s="3" t="s">
        <v>123</v>
      </c>
      <c r="G341" s="3">
        <v>2025</v>
      </c>
      <c r="H341" s="3" t="str">
        <f>CONCATENATE("54240577392")</f>
        <v>54240577392</v>
      </c>
      <c r="I341" s="3" t="s">
        <v>149</v>
      </c>
      <c r="J341" s="3" t="s">
        <v>35</v>
      </c>
      <c r="K341" s="3"/>
      <c r="L341" s="3" t="s">
        <v>36</v>
      </c>
      <c r="M341" s="3" t="str">
        <f>CONCATENATE("NVLMRC95D06E388X")</f>
        <v>NVLMRC95D06E388X</v>
      </c>
      <c r="N341" s="3" t="s">
        <v>453</v>
      </c>
      <c r="O341" s="3" t="s">
        <v>38</v>
      </c>
      <c r="P341" s="3"/>
      <c r="Q341" s="4">
        <v>45944</v>
      </c>
      <c r="R341" s="3" t="s">
        <v>39</v>
      </c>
      <c r="S341" s="3" t="s">
        <v>38</v>
      </c>
      <c r="T341" s="3" t="s">
        <v>43</v>
      </c>
      <c r="U341" s="3"/>
      <c r="V341" s="3" t="s">
        <v>41</v>
      </c>
      <c r="W341" s="3">
        <v>675.79</v>
      </c>
      <c r="X341" s="3">
        <v>675.79</v>
      </c>
      <c r="Y341" s="3">
        <v>0</v>
      </c>
      <c r="Z341" s="3">
        <v>0</v>
      </c>
      <c r="AA341" s="3">
        <v>0</v>
      </c>
    </row>
    <row r="342" spans="1:27" ht="36.75" x14ac:dyDescent="0.25">
      <c r="A342" s="3" t="s">
        <v>28</v>
      </c>
      <c r="B342" s="3" t="s">
        <v>29</v>
      </c>
      <c r="C342" s="3" t="s">
        <v>30</v>
      </c>
      <c r="D342" s="3" t="s">
        <v>58</v>
      </c>
      <c r="E342" s="3" t="s">
        <v>53</v>
      </c>
      <c r="F342" s="3" t="s">
        <v>426</v>
      </c>
      <c r="G342" s="3">
        <v>2025</v>
      </c>
      <c r="H342" s="3" t="str">
        <f>CONCATENATE("54240526589")</f>
        <v>54240526589</v>
      </c>
      <c r="I342" s="3" t="s">
        <v>149</v>
      </c>
      <c r="J342" s="3" t="s">
        <v>35</v>
      </c>
      <c r="K342" s="3"/>
      <c r="L342" s="3" t="s">
        <v>36</v>
      </c>
      <c r="M342" s="3" t="str">
        <f>CONCATENATE("02470380425")</f>
        <v>02470380425</v>
      </c>
      <c r="N342" s="3" t="s">
        <v>454</v>
      </c>
      <c r="O342" s="3" t="s">
        <v>38</v>
      </c>
      <c r="P342" s="3"/>
      <c r="Q342" s="4">
        <v>45944</v>
      </c>
      <c r="R342" s="3" t="s">
        <v>39</v>
      </c>
      <c r="S342" s="3" t="s">
        <v>38</v>
      </c>
      <c r="T342" s="3" t="s">
        <v>43</v>
      </c>
      <c r="U342" s="3"/>
      <c r="V342" s="3" t="s">
        <v>41</v>
      </c>
      <c r="W342" s="3">
        <v>641.55999999999995</v>
      </c>
      <c r="X342" s="3">
        <v>641.55999999999995</v>
      </c>
      <c r="Y342" s="3">
        <v>0</v>
      </c>
      <c r="Z342" s="3">
        <v>0</v>
      </c>
      <c r="AA342" s="3">
        <v>0</v>
      </c>
    </row>
    <row r="343" spans="1:27" ht="60.75" x14ac:dyDescent="0.25">
      <c r="A343" s="3" t="s">
        <v>28</v>
      </c>
      <c r="B343" s="3" t="s">
        <v>29</v>
      </c>
      <c r="C343" s="3" t="s">
        <v>30</v>
      </c>
      <c r="D343" s="3" t="s">
        <v>49</v>
      </c>
      <c r="E343" s="3" t="s">
        <v>32</v>
      </c>
      <c r="F343" s="3" t="s">
        <v>69</v>
      </c>
      <c r="G343" s="3">
        <v>2025</v>
      </c>
      <c r="H343" s="3" t="str">
        <f>CONCATENATE("54240526639")</f>
        <v>54240526639</v>
      </c>
      <c r="I343" s="3" t="s">
        <v>34</v>
      </c>
      <c r="J343" s="3" t="s">
        <v>35</v>
      </c>
      <c r="K343" s="3"/>
      <c r="L343" s="3" t="s">
        <v>36</v>
      </c>
      <c r="M343" s="3" t="str">
        <f>CONCATENATE("CHSMCG56R23F205C")</f>
        <v>CHSMCG56R23F205C</v>
      </c>
      <c r="N343" s="3" t="s">
        <v>455</v>
      </c>
      <c r="O343" s="3" t="s">
        <v>38</v>
      </c>
      <c r="P343" s="3"/>
      <c r="Q343" s="4">
        <v>45944</v>
      </c>
      <c r="R343" s="3" t="s">
        <v>39</v>
      </c>
      <c r="S343" s="3" t="s">
        <v>38</v>
      </c>
      <c r="T343" s="3" t="s">
        <v>43</v>
      </c>
      <c r="U343" s="3"/>
      <c r="V343" s="3" t="s">
        <v>41</v>
      </c>
      <c r="W343" s="3">
        <v>946.67</v>
      </c>
      <c r="X343" s="3">
        <v>946.67</v>
      </c>
      <c r="Y343" s="3">
        <v>0</v>
      </c>
      <c r="Z343" s="3">
        <v>0</v>
      </c>
      <c r="AA343" s="3">
        <v>0</v>
      </c>
    </row>
    <row r="344" spans="1:27" ht="36.75" x14ac:dyDescent="0.25">
      <c r="A344" s="3" t="s">
        <v>28</v>
      </c>
      <c r="B344" s="3" t="s">
        <v>29</v>
      </c>
      <c r="C344" s="3" t="s">
        <v>30</v>
      </c>
      <c r="D344" s="3" t="s">
        <v>58</v>
      </c>
      <c r="E344" s="3" t="s">
        <v>53</v>
      </c>
      <c r="F344" s="3" t="s">
        <v>59</v>
      </c>
      <c r="G344" s="3">
        <v>2025</v>
      </c>
      <c r="H344" s="3" t="str">
        <f>CONCATENATE("54240526514")</f>
        <v>54240526514</v>
      </c>
      <c r="I344" s="3" t="s">
        <v>34</v>
      </c>
      <c r="J344" s="3" t="s">
        <v>35</v>
      </c>
      <c r="K344" s="3"/>
      <c r="L344" s="3" t="s">
        <v>36</v>
      </c>
      <c r="M344" s="3" t="str">
        <f>CONCATENATE("17682011006")</f>
        <v>17682011006</v>
      </c>
      <c r="N344" s="3" t="s">
        <v>456</v>
      </c>
      <c r="O344" s="3" t="s">
        <v>38</v>
      </c>
      <c r="P344" s="3"/>
      <c r="Q344" s="4">
        <v>45944</v>
      </c>
      <c r="R344" s="3" t="s">
        <v>39</v>
      </c>
      <c r="S344" s="3" t="s">
        <v>38</v>
      </c>
      <c r="T344" s="3" t="s">
        <v>43</v>
      </c>
      <c r="U344" s="3"/>
      <c r="V344" s="3" t="s">
        <v>41</v>
      </c>
      <c r="W344" s="5">
        <v>1273.33</v>
      </c>
      <c r="X344" s="5">
        <v>1273.33</v>
      </c>
      <c r="Y344" s="3">
        <v>0</v>
      </c>
      <c r="Z344" s="3">
        <v>0</v>
      </c>
      <c r="AA344" s="3">
        <v>0</v>
      </c>
    </row>
    <row r="345" spans="1:27" ht="36.75" x14ac:dyDescent="0.25">
      <c r="A345" s="3" t="s">
        <v>28</v>
      </c>
      <c r="B345" s="3" t="s">
        <v>29</v>
      </c>
      <c r="C345" s="3" t="s">
        <v>30</v>
      </c>
      <c r="D345" s="3" t="s">
        <v>31</v>
      </c>
      <c r="E345" s="3" t="s">
        <v>53</v>
      </c>
      <c r="F345" s="3" t="s">
        <v>414</v>
      </c>
      <c r="G345" s="3">
        <v>2025</v>
      </c>
      <c r="H345" s="3" t="str">
        <f>CONCATENATE("54240527363")</f>
        <v>54240527363</v>
      </c>
      <c r="I345" s="3" t="s">
        <v>34</v>
      </c>
      <c r="J345" s="3" t="s">
        <v>35</v>
      </c>
      <c r="K345" s="3"/>
      <c r="L345" s="3" t="s">
        <v>36</v>
      </c>
      <c r="M345" s="3" t="str">
        <f>CONCATENATE("02284860414")</f>
        <v>02284860414</v>
      </c>
      <c r="N345" s="3" t="s">
        <v>457</v>
      </c>
      <c r="O345" s="3" t="s">
        <v>38</v>
      </c>
      <c r="P345" s="3"/>
      <c r="Q345" s="4">
        <v>45944</v>
      </c>
      <c r="R345" s="3" t="s">
        <v>39</v>
      </c>
      <c r="S345" s="3" t="s">
        <v>38</v>
      </c>
      <c r="T345" s="3" t="s">
        <v>43</v>
      </c>
      <c r="U345" s="3"/>
      <c r="V345" s="3" t="s">
        <v>41</v>
      </c>
      <c r="W345" s="5">
        <v>14721.04</v>
      </c>
      <c r="X345" s="5">
        <v>14721.04</v>
      </c>
      <c r="Y345" s="3">
        <v>0</v>
      </c>
      <c r="Z345" s="3">
        <v>0</v>
      </c>
      <c r="AA345" s="3">
        <v>0</v>
      </c>
    </row>
    <row r="346" spans="1:27" ht="60.75" x14ac:dyDescent="0.25">
      <c r="A346" s="3" t="s">
        <v>28</v>
      </c>
      <c r="B346" s="3" t="s">
        <v>29</v>
      </c>
      <c r="C346" s="3" t="s">
        <v>30</v>
      </c>
      <c r="D346" s="3" t="s">
        <v>31</v>
      </c>
      <c r="E346" s="3" t="s">
        <v>53</v>
      </c>
      <c r="F346" s="3" t="s">
        <v>414</v>
      </c>
      <c r="G346" s="3">
        <v>2025</v>
      </c>
      <c r="H346" s="3" t="str">
        <f>CONCATENATE("54240526860")</f>
        <v>54240526860</v>
      </c>
      <c r="I346" s="3" t="s">
        <v>34</v>
      </c>
      <c r="J346" s="3" t="s">
        <v>35</v>
      </c>
      <c r="K346" s="3"/>
      <c r="L346" s="3" t="s">
        <v>36</v>
      </c>
      <c r="M346" s="3" t="str">
        <f>CONCATENATE("SRFPRZ67T57I608I")</f>
        <v>SRFPRZ67T57I608I</v>
      </c>
      <c r="N346" s="3" t="s">
        <v>458</v>
      </c>
      <c r="O346" s="3" t="s">
        <v>38</v>
      </c>
      <c r="P346" s="3"/>
      <c r="Q346" s="4">
        <v>45944</v>
      </c>
      <c r="R346" s="3" t="s">
        <v>39</v>
      </c>
      <c r="S346" s="3" t="s">
        <v>38</v>
      </c>
      <c r="T346" s="3" t="s">
        <v>43</v>
      </c>
      <c r="U346" s="3"/>
      <c r="V346" s="3" t="s">
        <v>41</v>
      </c>
      <c r="W346" s="5">
        <v>6165.5</v>
      </c>
      <c r="X346" s="5">
        <v>6165.5</v>
      </c>
      <c r="Y346" s="3">
        <v>0</v>
      </c>
      <c r="Z346" s="3">
        <v>0</v>
      </c>
      <c r="AA346" s="3">
        <v>0</v>
      </c>
    </row>
    <row r="347" spans="1:27" ht="36.75" x14ac:dyDescent="0.25">
      <c r="A347" s="3" t="s">
        <v>28</v>
      </c>
      <c r="B347" s="3" t="s">
        <v>29</v>
      </c>
      <c r="C347" s="3" t="s">
        <v>30</v>
      </c>
      <c r="D347" s="3" t="s">
        <v>31</v>
      </c>
      <c r="E347" s="3" t="s">
        <v>32</v>
      </c>
      <c r="F347" s="3" t="s">
        <v>178</v>
      </c>
      <c r="G347" s="3">
        <v>2025</v>
      </c>
      <c r="H347" s="3" t="str">
        <f>CONCATENATE("54240539178")</f>
        <v>54240539178</v>
      </c>
      <c r="I347" s="3" t="s">
        <v>34</v>
      </c>
      <c r="J347" s="3" t="s">
        <v>35</v>
      </c>
      <c r="K347" s="3"/>
      <c r="L347" s="3" t="s">
        <v>36</v>
      </c>
      <c r="M347" s="3" t="str">
        <f>CONCATENATE("01196350415")</f>
        <v>01196350415</v>
      </c>
      <c r="N347" s="3" t="s">
        <v>459</v>
      </c>
      <c r="O347" s="3" t="s">
        <v>38</v>
      </c>
      <c r="P347" s="3"/>
      <c r="Q347" s="4">
        <v>45944</v>
      </c>
      <c r="R347" s="3" t="s">
        <v>39</v>
      </c>
      <c r="S347" s="3" t="s">
        <v>38</v>
      </c>
      <c r="T347" s="3" t="s">
        <v>43</v>
      </c>
      <c r="U347" s="3"/>
      <c r="V347" s="3" t="s">
        <v>41</v>
      </c>
      <c r="W347" s="5">
        <v>3113.99</v>
      </c>
      <c r="X347" s="5">
        <v>3113.99</v>
      </c>
      <c r="Y347" s="3">
        <v>0</v>
      </c>
      <c r="Z347" s="3">
        <v>0</v>
      </c>
      <c r="AA347" s="3">
        <v>0</v>
      </c>
    </row>
    <row r="348" spans="1:27" ht="60.75" x14ac:dyDescent="0.25">
      <c r="A348" s="3" t="s">
        <v>28</v>
      </c>
      <c r="B348" s="3" t="s">
        <v>29</v>
      </c>
      <c r="C348" s="3" t="s">
        <v>30</v>
      </c>
      <c r="D348" s="3" t="s">
        <v>58</v>
      </c>
      <c r="E348" s="3" t="s">
        <v>53</v>
      </c>
      <c r="F348" s="3" t="s">
        <v>426</v>
      </c>
      <c r="G348" s="3">
        <v>2025</v>
      </c>
      <c r="H348" s="3" t="str">
        <f>CONCATENATE("54240526886")</f>
        <v>54240526886</v>
      </c>
      <c r="I348" s="3" t="s">
        <v>34</v>
      </c>
      <c r="J348" s="3" t="s">
        <v>35</v>
      </c>
      <c r="K348" s="3"/>
      <c r="L348" s="3" t="s">
        <v>36</v>
      </c>
      <c r="M348" s="3" t="str">
        <f>CONCATENATE("JYTMHR82C02Z209F")</f>
        <v>JYTMHR82C02Z209F</v>
      </c>
      <c r="N348" s="3" t="s">
        <v>460</v>
      </c>
      <c r="O348" s="3" t="s">
        <v>38</v>
      </c>
      <c r="P348" s="3"/>
      <c r="Q348" s="4">
        <v>45944</v>
      </c>
      <c r="R348" s="3" t="s">
        <v>39</v>
      </c>
      <c r="S348" s="3" t="s">
        <v>38</v>
      </c>
      <c r="T348" s="3" t="s">
        <v>43</v>
      </c>
      <c r="U348" s="3"/>
      <c r="V348" s="3" t="s">
        <v>41</v>
      </c>
      <c r="W348" s="5">
        <v>1321.44</v>
      </c>
      <c r="X348" s="5">
        <v>1321.44</v>
      </c>
      <c r="Y348" s="3">
        <v>0</v>
      </c>
      <c r="Z348" s="3">
        <v>0</v>
      </c>
      <c r="AA348" s="3">
        <v>0</v>
      </c>
    </row>
    <row r="349" spans="1:27" ht="60.75" x14ac:dyDescent="0.25">
      <c r="A349" s="3" t="s">
        <v>28</v>
      </c>
      <c r="B349" s="3" t="s">
        <v>29</v>
      </c>
      <c r="C349" s="3" t="s">
        <v>30</v>
      </c>
      <c r="D349" s="3" t="s">
        <v>58</v>
      </c>
      <c r="E349" s="3" t="s">
        <v>53</v>
      </c>
      <c r="F349" s="3" t="s">
        <v>426</v>
      </c>
      <c r="G349" s="3">
        <v>2025</v>
      </c>
      <c r="H349" s="3" t="str">
        <f>CONCATENATE("54240527058")</f>
        <v>54240527058</v>
      </c>
      <c r="I349" s="3" t="s">
        <v>34</v>
      </c>
      <c r="J349" s="3" t="s">
        <v>35</v>
      </c>
      <c r="K349" s="3"/>
      <c r="L349" s="3" t="s">
        <v>36</v>
      </c>
      <c r="M349" s="3" t="str">
        <f>CONCATENATE("MGGDNL76A60F581A")</f>
        <v>MGGDNL76A60F581A</v>
      </c>
      <c r="N349" s="3" t="s">
        <v>461</v>
      </c>
      <c r="O349" s="3" t="s">
        <v>38</v>
      </c>
      <c r="P349" s="3"/>
      <c r="Q349" s="4">
        <v>45944</v>
      </c>
      <c r="R349" s="3" t="s">
        <v>39</v>
      </c>
      <c r="S349" s="3" t="s">
        <v>38</v>
      </c>
      <c r="T349" s="3" t="s">
        <v>43</v>
      </c>
      <c r="U349" s="3"/>
      <c r="V349" s="3" t="s">
        <v>41</v>
      </c>
      <c r="W349" s="5">
        <v>1433.77</v>
      </c>
      <c r="X349" s="5">
        <v>1433.77</v>
      </c>
      <c r="Y349" s="3">
        <v>0</v>
      </c>
      <c r="Z349" s="3">
        <v>0</v>
      </c>
      <c r="AA349" s="3">
        <v>0</v>
      </c>
    </row>
    <row r="350" spans="1:27" ht="60.75" x14ac:dyDescent="0.25">
      <c r="A350" s="3" t="s">
        <v>28</v>
      </c>
      <c r="B350" s="3" t="s">
        <v>29</v>
      </c>
      <c r="C350" s="3" t="s">
        <v>30</v>
      </c>
      <c r="D350" s="3" t="s">
        <v>49</v>
      </c>
      <c r="E350" s="3" t="s">
        <v>46</v>
      </c>
      <c r="F350" s="3" t="s">
        <v>126</v>
      </c>
      <c r="G350" s="3">
        <v>2025</v>
      </c>
      <c r="H350" s="3" t="str">
        <f>CONCATENATE("54240527777")</f>
        <v>54240527777</v>
      </c>
      <c r="I350" s="3" t="s">
        <v>34</v>
      </c>
      <c r="J350" s="3" t="s">
        <v>35</v>
      </c>
      <c r="K350" s="3"/>
      <c r="L350" s="3" t="s">
        <v>36</v>
      </c>
      <c r="M350" s="3" t="str">
        <f>CONCATENATE("MZZVNI66S30A334P")</f>
        <v>MZZVNI66S30A334P</v>
      </c>
      <c r="N350" s="3" t="s">
        <v>462</v>
      </c>
      <c r="O350" s="3" t="s">
        <v>38</v>
      </c>
      <c r="P350" s="3"/>
      <c r="Q350" s="4">
        <v>45944</v>
      </c>
      <c r="R350" s="3" t="s">
        <v>39</v>
      </c>
      <c r="S350" s="3" t="s">
        <v>38</v>
      </c>
      <c r="T350" s="3" t="s">
        <v>43</v>
      </c>
      <c r="U350" s="3"/>
      <c r="V350" s="3" t="s">
        <v>41</v>
      </c>
      <c r="W350" s="5">
        <v>3504.22</v>
      </c>
      <c r="X350" s="5">
        <v>3504.22</v>
      </c>
      <c r="Y350" s="3">
        <v>0</v>
      </c>
      <c r="Z350" s="3">
        <v>0</v>
      </c>
      <c r="AA350" s="3">
        <v>0</v>
      </c>
    </row>
    <row r="351" spans="1:27" ht="60.75" x14ac:dyDescent="0.25">
      <c r="A351" s="3" t="s">
        <v>28</v>
      </c>
      <c r="B351" s="3" t="s">
        <v>29</v>
      </c>
      <c r="C351" s="3" t="s">
        <v>30</v>
      </c>
      <c r="D351" s="3" t="s">
        <v>58</v>
      </c>
      <c r="E351" s="3" t="s">
        <v>32</v>
      </c>
      <c r="F351" s="3" t="s">
        <v>96</v>
      </c>
      <c r="G351" s="3">
        <v>2025</v>
      </c>
      <c r="H351" s="3" t="str">
        <f>CONCATENATE("54240527488")</f>
        <v>54240527488</v>
      </c>
      <c r="I351" s="3" t="s">
        <v>34</v>
      </c>
      <c r="J351" s="3" t="s">
        <v>35</v>
      </c>
      <c r="K351" s="3"/>
      <c r="L351" s="3" t="s">
        <v>36</v>
      </c>
      <c r="M351" s="3" t="str">
        <f>CONCATENATE("MRNGLL68S53D451K")</f>
        <v>MRNGLL68S53D451K</v>
      </c>
      <c r="N351" s="3" t="s">
        <v>463</v>
      </c>
      <c r="O351" s="3" t="s">
        <v>38</v>
      </c>
      <c r="P351" s="3"/>
      <c r="Q351" s="4">
        <v>45944</v>
      </c>
      <c r="R351" s="3" t="s">
        <v>39</v>
      </c>
      <c r="S351" s="3" t="s">
        <v>38</v>
      </c>
      <c r="T351" s="3" t="s">
        <v>43</v>
      </c>
      <c r="U351" s="3"/>
      <c r="V351" s="3" t="s">
        <v>41</v>
      </c>
      <c r="W351" s="5">
        <v>4920.07</v>
      </c>
      <c r="X351" s="5">
        <v>4920.07</v>
      </c>
      <c r="Y351" s="3">
        <v>0</v>
      </c>
      <c r="Z351" s="3">
        <v>0</v>
      </c>
      <c r="AA351" s="3">
        <v>0</v>
      </c>
    </row>
    <row r="352" spans="1:27" ht="60.75" x14ac:dyDescent="0.25">
      <c r="A352" s="3" t="s">
        <v>28</v>
      </c>
      <c r="B352" s="3" t="s">
        <v>29</v>
      </c>
      <c r="C352" s="3" t="s">
        <v>30</v>
      </c>
      <c r="D352" s="3" t="s">
        <v>31</v>
      </c>
      <c r="E352" s="3" t="s">
        <v>53</v>
      </c>
      <c r="F352" s="3" t="s">
        <v>426</v>
      </c>
      <c r="G352" s="3">
        <v>2025</v>
      </c>
      <c r="H352" s="3" t="str">
        <f>CONCATENATE("54240528429")</f>
        <v>54240528429</v>
      </c>
      <c r="I352" s="3" t="s">
        <v>34</v>
      </c>
      <c r="J352" s="3" t="s">
        <v>35</v>
      </c>
      <c r="K352" s="3"/>
      <c r="L352" s="3" t="s">
        <v>36</v>
      </c>
      <c r="M352" s="3" t="str">
        <f>CONCATENATE("PLZFNC94E30I608O")</f>
        <v>PLZFNC94E30I608O</v>
      </c>
      <c r="N352" s="3" t="s">
        <v>464</v>
      </c>
      <c r="O352" s="3" t="s">
        <v>38</v>
      </c>
      <c r="P352" s="3"/>
      <c r="Q352" s="4">
        <v>45944</v>
      </c>
      <c r="R352" s="3" t="s">
        <v>39</v>
      </c>
      <c r="S352" s="3" t="s">
        <v>38</v>
      </c>
      <c r="T352" s="3" t="s">
        <v>43</v>
      </c>
      <c r="U352" s="3"/>
      <c r="V352" s="3" t="s">
        <v>41</v>
      </c>
      <c r="W352" s="3">
        <v>793.47</v>
      </c>
      <c r="X352" s="3">
        <v>793.47</v>
      </c>
      <c r="Y352" s="3">
        <v>0</v>
      </c>
      <c r="Z352" s="3">
        <v>0</v>
      </c>
      <c r="AA352" s="3">
        <v>0</v>
      </c>
    </row>
    <row r="353" spans="1:27" ht="72.75" x14ac:dyDescent="0.25">
      <c r="A353" s="3" t="s">
        <v>28</v>
      </c>
      <c r="B353" s="3" t="s">
        <v>29</v>
      </c>
      <c r="C353" s="3" t="s">
        <v>30</v>
      </c>
      <c r="D353" s="3" t="s">
        <v>58</v>
      </c>
      <c r="E353" s="3" t="s">
        <v>32</v>
      </c>
      <c r="F353" s="3" t="s">
        <v>100</v>
      </c>
      <c r="G353" s="3">
        <v>2025</v>
      </c>
      <c r="H353" s="3" t="str">
        <f>CONCATENATE("54240528494")</f>
        <v>54240528494</v>
      </c>
      <c r="I353" s="3" t="s">
        <v>34</v>
      </c>
      <c r="J353" s="3" t="s">
        <v>35</v>
      </c>
      <c r="K353" s="3"/>
      <c r="L353" s="3" t="s">
        <v>36</v>
      </c>
      <c r="M353" s="3" t="str">
        <f>CONCATENATE("FDRGPP57H07D211H")</f>
        <v>FDRGPP57H07D211H</v>
      </c>
      <c r="N353" s="3" t="s">
        <v>465</v>
      </c>
      <c r="O353" s="3" t="s">
        <v>38</v>
      </c>
      <c r="P353" s="3"/>
      <c r="Q353" s="4">
        <v>45944</v>
      </c>
      <c r="R353" s="3" t="s">
        <v>39</v>
      </c>
      <c r="S353" s="3" t="s">
        <v>38</v>
      </c>
      <c r="T353" s="3" t="s">
        <v>43</v>
      </c>
      <c r="U353" s="3"/>
      <c r="V353" s="3" t="s">
        <v>41</v>
      </c>
      <c r="W353" s="5">
        <v>3012.54</v>
      </c>
      <c r="X353" s="5">
        <v>3012.54</v>
      </c>
      <c r="Y353" s="3">
        <v>0</v>
      </c>
      <c r="Z353" s="3">
        <v>0</v>
      </c>
      <c r="AA353" s="3">
        <v>0</v>
      </c>
    </row>
    <row r="354" spans="1:27" ht="60.75" x14ac:dyDescent="0.25">
      <c r="A354" s="3" t="s">
        <v>28</v>
      </c>
      <c r="B354" s="3" t="s">
        <v>29</v>
      </c>
      <c r="C354" s="3" t="s">
        <v>30</v>
      </c>
      <c r="D354" s="3" t="s">
        <v>49</v>
      </c>
      <c r="E354" s="3" t="s">
        <v>46</v>
      </c>
      <c r="F354" s="3" t="s">
        <v>126</v>
      </c>
      <c r="G354" s="3">
        <v>2025</v>
      </c>
      <c r="H354" s="3" t="str">
        <f>CONCATENATE("54240554797")</f>
        <v>54240554797</v>
      </c>
      <c r="I354" s="3" t="s">
        <v>34</v>
      </c>
      <c r="J354" s="3" t="s">
        <v>35</v>
      </c>
      <c r="K354" s="3"/>
      <c r="L354" s="3" t="s">
        <v>36</v>
      </c>
      <c r="M354" s="3" t="str">
        <f>CONCATENATE("TTNBBR64P43F356G")</f>
        <v>TTNBBR64P43F356G</v>
      </c>
      <c r="N354" s="3" t="s">
        <v>466</v>
      </c>
      <c r="O354" s="3" t="s">
        <v>38</v>
      </c>
      <c r="P354" s="3"/>
      <c r="Q354" s="4">
        <v>45944</v>
      </c>
      <c r="R354" s="3" t="s">
        <v>39</v>
      </c>
      <c r="S354" s="3" t="s">
        <v>38</v>
      </c>
      <c r="T354" s="3" t="s">
        <v>43</v>
      </c>
      <c r="U354" s="3"/>
      <c r="V354" s="3" t="s">
        <v>41</v>
      </c>
      <c r="W354" s="3">
        <v>755.34</v>
      </c>
      <c r="X354" s="3">
        <v>755.34</v>
      </c>
      <c r="Y354" s="3">
        <v>0</v>
      </c>
      <c r="Z354" s="3">
        <v>0</v>
      </c>
      <c r="AA354" s="3">
        <v>0</v>
      </c>
    </row>
    <row r="355" spans="1:27" ht="60.75" x14ac:dyDescent="0.25">
      <c r="A355" s="3" t="s">
        <v>28</v>
      </c>
      <c r="B355" s="3" t="s">
        <v>29</v>
      </c>
      <c r="C355" s="3" t="s">
        <v>30</v>
      </c>
      <c r="D355" s="3" t="s">
        <v>49</v>
      </c>
      <c r="E355" s="3" t="s">
        <v>46</v>
      </c>
      <c r="F355" s="3" t="s">
        <v>126</v>
      </c>
      <c r="G355" s="3">
        <v>2025</v>
      </c>
      <c r="H355" s="3" t="str">
        <f>CONCATENATE("54240554805")</f>
        <v>54240554805</v>
      </c>
      <c r="I355" s="3" t="s">
        <v>34</v>
      </c>
      <c r="J355" s="3" t="s">
        <v>35</v>
      </c>
      <c r="K355" s="3"/>
      <c r="L355" s="3" t="s">
        <v>36</v>
      </c>
      <c r="M355" s="3" t="str">
        <f>CONCATENATE("BGLGCR54R10F552P")</f>
        <v>BGLGCR54R10F552P</v>
      </c>
      <c r="N355" s="3" t="s">
        <v>467</v>
      </c>
      <c r="O355" s="3" t="s">
        <v>38</v>
      </c>
      <c r="P355" s="3"/>
      <c r="Q355" s="4">
        <v>45944</v>
      </c>
      <c r="R355" s="3" t="s">
        <v>39</v>
      </c>
      <c r="S355" s="3" t="s">
        <v>38</v>
      </c>
      <c r="T355" s="3" t="s">
        <v>43</v>
      </c>
      <c r="U355" s="3"/>
      <c r="V355" s="3" t="s">
        <v>41</v>
      </c>
      <c r="W355" s="5">
        <v>5800.71</v>
      </c>
      <c r="X355" s="5">
        <v>5800.71</v>
      </c>
      <c r="Y355" s="3">
        <v>0</v>
      </c>
      <c r="Z355" s="3">
        <v>0</v>
      </c>
      <c r="AA355" s="3">
        <v>0</v>
      </c>
    </row>
    <row r="356" spans="1:27" ht="36.75" x14ac:dyDescent="0.25">
      <c r="A356" s="3" t="s">
        <v>28</v>
      </c>
      <c r="B356" s="3" t="s">
        <v>29</v>
      </c>
      <c r="C356" s="3" t="s">
        <v>30</v>
      </c>
      <c r="D356" s="3" t="s">
        <v>31</v>
      </c>
      <c r="E356" s="3" t="s">
        <v>46</v>
      </c>
      <c r="F356" s="3" t="s">
        <v>47</v>
      </c>
      <c r="G356" s="3">
        <v>2025</v>
      </c>
      <c r="H356" s="3" t="str">
        <f>CONCATENATE("54240529146")</f>
        <v>54240529146</v>
      </c>
      <c r="I356" s="3" t="s">
        <v>34</v>
      </c>
      <c r="J356" s="3" t="s">
        <v>35</v>
      </c>
      <c r="K356" s="3"/>
      <c r="L356" s="3" t="s">
        <v>36</v>
      </c>
      <c r="M356" s="3" t="str">
        <f>CONCATENATE("02461390391")</f>
        <v>02461390391</v>
      </c>
      <c r="N356" s="3" t="s">
        <v>468</v>
      </c>
      <c r="O356" s="3" t="s">
        <v>38</v>
      </c>
      <c r="P356" s="3"/>
      <c r="Q356" s="4">
        <v>45944</v>
      </c>
      <c r="R356" s="3" t="s">
        <v>39</v>
      </c>
      <c r="S356" s="3" t="s">
        <v>38</v>
      </c>
      <c r="T356" s="3" t="s">
        <v>43</v>
      </c>
      <c r="U356" s="3"/>
      <c r="V356" s="3" t="s">
        <v>41</v>
      </c>
      <c r="W356" s="5">
        <v>10798.29</v>
      </c>
      <c r="X356" s="5">
        <v>10798.29</v>
      </c>
      <c r="Y356" s="3">
        <v>0</v>
      </c>
      <c r="Z356" s="3">
        <v>0</v>
      </c>
      <c r="AA356" s="3">
        <v>0</v>
      </c>
    </row>
    <row r="357" spans="1:27" ht="60.75" x14ac:dyDescent="0.25">
      <c r="A357" s="3" t="s">
        <v>28</v>
      </c>
      <c r="B357" s="3" t="s">
        <v>29</v>
      </c>
      <c r="C357" s="3" t="s">
        <v>30</v>
      </c>
      <c r="D357" s="3" t="s">
        <v>31</v>
      </c>
      <c r="E357" s="3" t="s">
        <v>53</v>
      </c>
      <c r="F357" s="3" t="s">
        <v>306</v>
      </c>
      <c r="G357" s="3">
        <v>2025</v>
      </c>
      <c r="H357" s="3" t="str">
        <f>CONCATENATE("54240529500")</f>
        <v>54240529500</v>
      </c>
      <c r="I357" s="3" t="s">
        <v>34</v>
      </c>
      <c r="J357" s="3" t="s">
        <v>35</v>
      </c>
      <c r="K357" s="3"/>
      <c r="L357" s="3" t="s">
        <v>36</v>
      </c>
      <c r="M357" s="3" t="str">
        <f>CONCATENATE("HNTFDR65P12B220H")</f>
        <v>HNTFDR65P12B220H</v>
      </c>
      <c r="N357" s="3" t="s">
        <v>469</v>
      </c>
      <c r="O357" s="3" t="s">
        <v>38</v>
      </c>
      <c r="P357" s="3"/>
      <c r="Q357" s="4">
        <v>45944</v>
      </c>
      <c r="R357" s="3" t="s">
        <v>39</v>
      </c>
      <c r="S357" s="3" t="s">
        <v>38</v>
      </c>
      <c r="T357" s="3" t="s">
        <v>43</v>
      </c>
      <c r="U357" s="3"/>
      <c r="V357" s="3" t="s">
        <v>41</v>
      </c>
      <c r="W357" s="5">
        <v>1357.03</v>
      </c>
      <c r="X357" s="5">
        <v>1357.03</v>
      </c>
      <c r="Y357" s="3">
        <v>0</v>
      </c>
      <c r="Z357" s="3">
        <v>0</v>
      </c>
      <c r="AA357" s="3">
        <v>0</v>
      </c>
    </row>
    <row r="358" spans="1:27" ht="72.75" x14ac:dyDescent="0.25">
      <c r="A358" s="3" t="s">
        <v>28</v>
      </c>
      <c r="B358" s="3" t="s">
        <v>29</v>
      </c>
      <c r="C358" s="3" t="s">
        <v>30</v>
      </c>
      <c r="D358" s="3" t="s">
        <v>49</v>
      </c>
      <c r="E358" s="3" t="s">
        <v>46</v>
      </c>
      <c r="F358" s="3" t="s">
        <v>205</v>
      </c>
      <c r="G358" s="3">
        <v>2025</v>
      </c>
      <c r="H358" s="3" t="str">
        <f>CONCATENATE("54240529567")</f>
        <v>54240529567</v>
      </c>
      <c r="I358" s="3" t="s">
        <v>34</v>
      </c>
      <c r="J358" s="3" t="s">
        <v>35</v>
      </c>
      <c r="K358" s="3"/>
      <c r="L358" s="3" t="s">
        <v>36</v>
      </c>
      <c r="M358" s="3" t="str">
        <f>CONCATENATE("FRRDRN55D62H876Q")</f>
        <v>FRRDRN55D62H876Q</v>
      </c>
      <c r="N358" s="3" t="s">
        <v>470</v>
      </c>
      <c r="O358" s="3" t="s">
        <v>38</v>
      </c>
      <c r="P358" s="3"/>
      <c r="Q358" s="4">
        <v>45944</v>
      </c>
      <c r="R358" s="3" t="s">
        <v>39</v>
      </c>
      <c r="S358" s="3" t="s">
        <v>38</v>
      </c>
      <c r="T358" s="3" t="s">
        <v>43</v>
      </c>
      <c r="U358" s="3"/>
      <c r="V358" s="3" t="s">
        <v>41</v>
      </c>
      <c r="W358" s="5">
        <v>2482.6999999999998</v>
      </c>
      <c r="X358" s="5">
        <v>2482.6999999999998</v>
      </c>
      <c r="Y358" s="3">
        <v>0</v>
      </c>
      <c r="Z358" s="3">
        <v>0</v>
      </c>
      <c r="AA358" s="3">
        <v>0</v>
      </c>
    </row>
    <row r="359" spans="1:27" ht="60.75" x14ac:dyDescent="0.25">
      <c r="A359" s="3" t="s">
        <v>28</v>
      </c>
      <c r="B359" s="3" t="s">
        <v>29</v>
      </c>
      <c r="C359" s="3" t="s">
        <v>30</v>
      </c>
      <c r="D359" s="3" t="s">
        <v>58</v>
      </c>
      <c r="E359" s="3" t="s">
        <v>32</v>
      </c>
      <c r="F359" s="3" t="s">
        <v>471</v>
      </c>
      <c r="G359" s="3">
        <v>2025</v>
      </c>
      <c r="H359" s="3" t="str">
        <f>CONCATENATE("54240643897")</f>
        <v>54240643897</v>
      </c>
      <c r="I359" s="3" t="s">
        <v>34</v>
      </c>
      <c r="J359" s="3" t="s">
        <v>35</v>
      </c>
      <c r="K359" s="3"/>
      <c r="L359" s="3" t="s">
        <v>36</v>
      </c>
      <c r="M359" s="3" t="str">
        <f>CONCATENATE("SMRSRG65T20I461U")</f>
        <v>SMRSRG65T20I461U</v>
      </c>
      <c r="N359" s="3" t="s">
        <v>472</v>
      </c>
      <c r="O359" s="3" t="s">
        <v>38</v>
      </c>
      <c r="P359" s="3"/>
      <c r="Q359" s="4">
        <v>45944</v>
      </c>
      <c r="R359" s="3" t="s">
        <v>39</v>
      </c>
      <c r="S359" s="3" t="s">
        <v>38</v>
      </c>
      <c r="T359" s="3" t="s">
        <v>43</v>
      </c>
      <c r="U359" s="3"/>
      <c r="V359" s="3" t="s">
        <v>41</v>
      </c>
      <c r="W359" s="5">
        <v>8762.2999999999993</v>
      </c>
      <c r="X359" s="5">
        <v>8762.2999999999993</v>
      </c>
      <c r="Y359" s="3">
        <v>0</v>
      </c>
      <c r="Z359" s="3">
        <v>0</v>
      </c>
      <c r="AA359" s="3">
        <v>0</v>
      </c>
    </row>
    <row r="360" spans="1:27" ht="60.75" x14ac:dyDescent="0.25">
      <c r="A360" s="3" t="s">
        <v>28</v>
      </c>
      <c r="B360" s="3" t="s">
        <v>29</v>
      </c>
      <c r="C360" s="3" t="s">
        <v>30</v>
      </c>
      <c r="D360" s="3" t="s">
        <v>31</v>
      </c>
      <c r="E360" s="3" t="s">
        <v>32</v>
      </c>
      <c r="F360" s="3" t="s">
        <v>33</v>
      </c>
      <c r="G360" s="3">
        <v>2025</v>
      </c>
      <c r="H360" s="3" t="str">
        <f>CONCATENATE("54240644473")</f>
        <v>54240644473</v>
      </c>
      <c r="I360" s="3" t="s">
        <v>34</v>
      </c>
      <c r="J360" s="3" t="s">
        <v>35</v>
      </c>
      <c r="K360" s="3"/>
      <c r="L360" s="3" t="s">
        <v>36</v>
      </c>
      <c r="M360" s="3" t="str">
        <f>CONCATENATE("SLTGCR49D02L498N")</f>
        <v>SLTGCR49D02L498N</v>
      </c>
      <c r="N360" s="3" t="s">
        <v>473</v>
      </c>
      <c r="O360" s="3" t="s">
        <v>38</v>
      </c>
      <c r="P360" s="3"/>
      <c r="Q360" s="4">
        <v>45944</v>
      </c>
      <c r="R360" s="3" t="s">
        <v>39</v>
      </c>
      <c r="S360" s="3" t="s">
        <v>38</v>
      </c>
      <c r="T360" s="3" t="s">
        <v>43</v>
      </c>
      <c r="U360" s="3"/>
      <c r="V360" s="3" t="s">
        <v>41</v>
      </c>
      <c r="W360" s="5">
        <v>1934.91</v>
      </c>
      <c r="X360" s="5">
        <v>1934.91</v>
      </c>
      <c r="Y360" s="3">
        <v>0</v>
      </c>
      <c r="Z360" s="3">
        <v>0</v>
      </c>
      <c r="AA360" s="3">
        <v>0</v>
      </c>
    </row>
    <row r="361" spans="1:27" ht="36.75" x14ac:dyDescent="0.25">
      <c r="A361" s="3" t="s">
        <v>28</v>
      </c>
      <c r="B361" s="3" t="s">
        <v>29</v>
      </c>
      <c r="C361" s="3" t="s">
        <v>30</v>
      </c>
      <c r="D361" s="3" t="s">
        <v>58</v>
      </c>
      <c r="E361" s="3" t="s">
        <v>32</v>
      </c>
      <c r="F361" s="3" t="s">
        <v>100</v>
      </c>
      <c r="G361" s="3">
        <v>2025</v>
      </c>
      <c r="H361" s="3" t="str">
        <f>CONCATENATE("54240644176")</f>
        <v>54240644176</v>
      </c>
      <c r="I361" s="3" t="s">
        <v>34</v>
      </c>
      <c r="J361" s="3" t="s">
        <v>35</v>
      </c>
      <c r="K361" s="3"/>
      <c r="L361" s="3" t="s">
        <v>36</v>
      </c>
      <c r="M361" s="3" t="str">
        <f>CONCATENATE("02705020424")</f>
        <v>02705020424</v>
      </c>
      <c r="N361" s="3" t="s">
        <v>474</v>
      </c>
      <c r="O361" s="3" t="s">
        <v>38</v>
      </c>
      <c r="P361" s="3"/>
      <c r="Q361" s="4">
        <v>45944</v>
      </c>
      <c r="R361" s="3" t="s">
        <v>39</v>
      </c>
      <c r="S361" s="3" t="s">
        <v>38</v>
      </c>
      <c r="T361" s="3" t="s">
        <v>43</v>
      </c>
      <c r="U361" s="3"/>
      <c r="V361" s="3" t="s">
        <v>41</v>
      </c>
      <c r="W361" s="5">
        <v>3412.15</v>
      </c>
      <c r="X361" s="5">
        <v>3412.15</v>
      </c>
      <c r="Y361" s="3">
        <v>0</v>
      </c>
      <c r="Z361" s="3">
        <v>0</v>
      </c>
      <c r="AA361" s="3">
        <v>0</v>
      </c>
    </row>
    <row r="362" spans="1:27" ht="60.75" x14ac:dyDescent="0.25">
      <c r="A362" s="3" t="s">
        <v>28</v>
      </c>
      <c r="B362" s="3" t="s">
        <v>29</v>
      </c>
      <c r="C362" s="3" t="s">
        <v>30</v>
      </c>
      <c r="D362" s="3" t="s">
        <v>63</v>
      </c>
      <c r="E362" s="3" t="s">
        <v>32</v>
      </c>
      <c r="F362" s="3" t="s">
        <v>269</v>
      </c>
      <c r="G362" s="3">
        <v>2025</v>
      </c>
      <c r="H362" s="3" t="str">
        <f>CONCATENATE("54240647740")</f>
        <v>54240647740</v>
      </c>
      <c r="I362" s="3" t="s">
        <v>34</v>
      </c>
      <c r="J362" s="3" t="s">
        <v>35</v>
      </c>
      <c r="K362" s="3"/>
      <c r="L362" s="3" t="s">
        <v>36</v>
      </c>
      <c r="M362" s="3" t="str">
        <f>CONCATENATE("MCHNZS64L13D691T")</f>
        <v>MCHNZS64L13D691T</v>
      </c>
      <c r="N362" s="3" t="s">
        <v>475</v>
      </c>
      <c r="O362" s="3" t="s">
        <v>38</v>
      </c>
      <c r="P362" s="3"/>
      <c r="Q362" s="4">
        <v>45944</v>
      </c>
      <c r="R362" s="3" t="s">
        <v>39</v>
      </c>
      <c r="S362" s="3" t="s">
        <v>38</v>
      </c>
      <c r="T362" s="3" t="s">
        <v>43</v>
      </c>
      <c r="U362" s="3"/>
      <c r="V362" s="3" t="s">
        <v>41</v>
      </c>
      <c r="W362" s="5">
        <v>8380.7099999999991</v>
      </c>
      <c r="X362" s="5">
        <v>8380.7099999999991</v>
      </c>
      <c r="Y362" s="3">
        <v>0</v>
      </c>
      <c r="Z362" s="3">
        <v>0</v>
      </c>
      <c r="AA362" s="3">
        <v>0</v>
      </c>
    </row>
    <row r="363" spans="1:27" ht="60.75" x14ac:dyDescent="0.25">
      <c r="A363" s="3" t="s">
        <v>28</v>
      </c>
      <c r="B363" s="3" t="s">
        <v>29</v>
      </c>
      <c r="C363" s="3" t="s">
        <v>30</v>
      </c>
      <c r="D363" s="3" t="s">
        <v>63</v>
      </c>
      <c r="E363" s="3" t="s">
        <v>32</v>
      </c>
      <c r="F363" s="3" t="s">
        <v>269</v>
      </c>
      <c r="G363" s="3">
        <v>2025</v>
      </c>
      <c r="H363" s="3" t="str">
        <f>CONCATENATE("54240644929")</f>
        <v>54240644929</v>
      </c>
      <c r="I363" s="3" t="s">
        <v>34</v>
      </c>
      <c r="J363" s="3" t="s">
        <v>35</v>
      </c>
      <c r="K363" s="3"/>
      <c r="L363" s="3" t="s">
        <v>36</v>
      </c>
      <c r="M363" s="3" t="str">
        <f>CONCATENATE("RCCNLN52T60F576R")</f>
        <v>RCCNLN52T60F576R</v>
      </c>
      <c r="N363" s="3" t="s">
        <v>476</v>
      </c>
      <c r="O363" s="3" t="s">
        <v>38</v>
      </c>
      <c r="P363" s="3"/>
      <c r="Q363" s="4">
        <v>45944</v>
      </c>
      <c r="R363" s="3" t="s">
        <v>39</v>
      </c>
      <c r="S363" s="3" t="s">
        <v>38</v>
      </c>
      <c r="T363" s="3" t="s">
        <v>43</v>
      </c>
      <c r="U363" s="3"/>
      <c r="V363" s="3" t="s">
        <v>41</v>
      </c>
      <c r="W363" s="5">
        <v>1599.28</v>
      </c>
      <c r="X363" s="5">
        <v>1599.28</v>
      </c>
      <c r="Y363" s="3">
        <v>0</v>
      </c>
      <c r="Z363" s="3">
        <v>0</v>
      </c>
      <c r="AA363" s="3">
        <v>0</v>
      </c>
    </row>
    <row r="364" spans="1:27" ht="36.75" x14ac:dyDescent="0.25">
      <c r="A364" s="3" t="s">
        <v>28</v>
      </c>
      <c r="B364" s="3" t="s">
        <v>29</v>
      </c>
      <c r="C364" s="3" t="s">
        <v>30</v>
      </c>
      <c r="D364" s="3" t="s">
        <v>63</v>
      </c>
      <c r="E364" s="3" t="s">
        <v>32</v>
      </c>
      <c r="F364" s="3" t="s">
        <v>269</v>
      </c>
      <c r="G364" s="3">
        <v>2025</v>
      </c>
      <c r="H364" s="3" t="str">
        <f>CONCATENATE("54240645157")</f>
        <v>54240645157</v>
      </c>
      <c r="I364" s="3" t="s">
        <v>34</v>
      </c>
      <c r="J364" s="3" t="s">
        <v>35</v>
      </c>
      <c r="K364" s="3"/>
      <c r="L364" s="3" t="s">
        <v>36</v>
      </c>
      <c r="M364" s="3" t="str">
        <f>CONCATENATE("01383240445")</f>
        <v>01383240445</v>
      </c>
      <c r="N364" s="3" t="s">
        <v>477</v>
      </c>
      <c r="O364" s="3" t="s">
        <v>38</v>
      </c>
      <c r="P364" s="3"/>
      <c r="Q364" s="4">
        <v>45944</v>
      </c>
      <c r="R364" s="3" t="s">
        <v>39</v>
      </c>
      <c r="S364" s="3" t="s">
        <v>38</v>
      </c>
      <c r="T364" s="3" t="s">
        <v>43</v>
      </c>
      <c r="U364" s="3"/>
      <c r="V364" s="3" t="s">
        <v>41</v>
      </c>
      <c r="W364" s="5">
        <v>15933.46</v>
      </c>
      <c r="X364" s="5">
        <v>15933.46</v>
      </c>
      <c r="Y364" s="3">
        <v>0</v>
      </c>
      <c r="Z364" s="3">
        <v>0</v>
      </c>
      <c r="AA364" s="3">
        <v>0</v>
      </c>
    </row>
    <row r="365" spans="1:27" ht="60.75" x14ac:dyDescent="0.25">
      <c r="A365" s="3" t="s">
        <v>28</v>
      </c>
      <c r="B365" s="3" t="s">
        <v>29</v>
      </c>
      <c r="C365" s="3" t="s">
        <v>30</v>
      </c>
      <c r="D365" s="3" t="s">
        <v>63</v>
      </c>
      <c r="E365" s="3" t="s">
        <v>53</v>
      </c>
      <c r="F365" s="3" t="s">
        <v>478</v>
      </c>
      <c r="G365" s="3">
        <v>2025</v>
      </c>
      <c r="H365" s="3" t="str">
        <f>CONCATENATE("54240645199")</f>
        <v>54240645199</v>
      </c>
      <c r="I365" s="3" t="s">
        <v>34</v>
      </c>
      <c r="J365" s="3" t="s">
        <v>35</v>
      </c>
      <c r="K365" s="3"/>
      <c r="L365" s="3" t="s">
        <v>36</v>
      </c>
      <c r="M365" s="3" t="str">
        <f>CONCATENATE("RMEGCM65M25F520W")</f>
        <v>RMEGCM65M25F520W</v>
      </c>
      <c r="N365" s="3" t="s">
        <v>479</v>
      </c>
      <c r="O365" s="3" t="s">
        <v>38</v>
      </c>
      <c r="P365" s="3"/>
      <c r="Q365" s="4">
        <v>45944</v>
      </c>
      <c r="R365" s="3" t="s">
        <v>39</v>
      </c>
      <c r="S365" s="3" t="s">
        <v>38</v>
      </c>
      <c r="T365" s="3" t="s">
        <v>43</v>
      </c>
      <c r="U365" s="3"/>
      <c r="V365" s="3" t="s">
        <v>41</v>
      </c>
      <c r="W365" s="5">
        <v>19201.669999999998</v>
      </c>
      <c r="X365" s="5">
        <v>19201.669999999998</v>
      </c>
      <c r="Y365" s="3">
        <v>0</v>
      </c>
      <c r="Z365" s="3">
        <v>0</v>
      </c>
      <c r="AA365" s="3">
        <v>0</v>
      </c>
    </row>
    <row r="366" spans="1:27" ht="60.75" x14ac:dyDescent="0.25">
      <c r="A366" s="3" t="s">
        <v>28</v>
      </c>
      <c r="B366" s="3" t="s">
        <v>29</v>
      </c>
      <c r="C366" s="3" t="s">
        <v>30</v>
      </c>
      <c r="D366" s="3" t="s">
        <v>58</v>
      </c>
      <c r="E366" s="3" t="s">
        <v>32</v>
      </c>
      <c r="F366" s="3" t="s">
        <v>96</v>
      </c>
      <c r="G366" s="3">
        <v>2025</v>
      </c>
      <c r="H366" s="3" t="str">
        <f>CONCATENATE("54240644994")</f>
        <v>54240644994</v>
      </c>
      <c r="I366" s="3" t="s">
        <v>34</v>
      </c>
      <c r="J366" s="3" t="s">
        <v>35</v>
      </c>
      <c r="K366" s="3"/>
      <c r="L366" s="3" t="s">
        <v>36</v>
      </c>
      <c r="M366" s="3" t="str">
        <f>CONCATENATE("CHSFBA92S23A271H")</f>
        <v>CHSFBA92S23A271H</v>
      </c>
      <c r="N366" s="3" t="s">
        <v>480</v>
      </c>
      <c r="O366" s="3" t="s">
        <v>38</v>
      </c>
      <c r="P366" s="3"/>
      <c r="Q366" s="4">
        <v>45944</v>
      </c>
      <c r="R366" s="3" t="s">
        <v>39</v>
      </c>
      <c r="S366" s="3" t="s">
        <v>38</v>
      </c>
      <c r="T366" s="3" t="s">
        <v>43</v>
      </c>
      <c r="U366" s="3"/>
      <c r="V366" s="3" t="s">
        <v>41</v>
      </c>
      <c r="W366" s="5">
        <v>6155.91</v>
      </c>
      <c r="X366" s="5">
        <v>6155.91</v>
      </c>
      <c r="Y366" s="3">
        <v>0</v>
      </c>
      <c r="Z366" s="3">
        <v>0</v>
      </c>
      <c r="AA366" s="3">
        <v>0</v>
      </c>
    </row>
    <row r="367" spans="1:27" ht="60.75" x14ac:dyDescent="0.25">
      <c r="A367" s="3" t="s">
        <v>28</v>
      </c>
      <c r="B367" s="3" t="s">
        <v>29</v>
      </c>
      <c r="C367" s="3" t="s">
        <v>30</v>
      </c>
      <c r="D367" s="3" t="s">
        <v>63</v>
      </c>
      <c r="E367" s="3" t="s">
        <v>32</v>
      </c>
      <c r="F367" s="3" t="s">
        <v>269</v>
      </c>
      <c r="G367" s="3">
        <v>2025</v>
      </c>
      <c r="H367" s="3" t="str">
        <f>CONCATENATE("54240644960")</f>
        <v>54240644960</v>
      </c>
      <c r="I367" s="3" t="s">
        <v>34</v>
      </c>
      <c r="J367" s="3" t="s">
        <v>35</v>
      </c>
      <c r="K367" s="3"/>
      <c r="L367" s="3" t="s">
        <v>36</v>
      </c>
      <c r="M367" s="3" t="str">
        <f>CONCATENATE("SCGPML93M70Z602M")</f>
        <v>SCGPML93M70Z602M</v>
      </c>
      <c r="N367" s="3" t="s">
        <v>481</v>
      </c>
      <c r="O367" s="3" t="s">
        <v>38</v>
      </c>
      <c r="P367" s="3"/>
      <c r="Q367" s="4">
        <v>45944</v>
      </c>
      <c r="R367" s="3" t="s">
        <v>39</v>
      </c>
      <c r="S367" s="3" t="s">
        <v>38</v>
      </c>
      <c r="T367" s="3" t="s">
        <v>43</v>
      </c>
      <c r="U367" s="3"/>
      <c r="V367" s="3" t="s">
        <v>41</v>
      </c>
      <c r="W367" s="5">
        <v>1678.78</v>
      </c>
      <c r="X367" s="5">
        <v>1678.78</v>
      </c>
      <c r="Y367" s="3">
        <v>0</v>
      </c>
      <c r="Z367" s="3">
        <v>0</v>
      </c>
      <c r="AA367" s="3">
        <v>0</v>
      </c>
    </row>
    <row r="368" spans="1:27" ht="60.75" x14ac:dyDescent="0.25">
      <c r="A368" s="3" t="s">
        <v>28</v>
      </c>
      <c r="B368" s="3" t="s">
        <v>29</v>
      </c>
      <c r="C368" s="3" t="s">
        <v>30</v>
      </c>
      <c r="D368" s="3" t="s">
        <v>63</v>
      </c>
      <c r="E368" s="3" t="s">
        <v>32</v>
      </c>
      <c r="F368" s="3" t="s">
        <v>269</v>
      </c>
      <c r="G368" s="3">
        <v>2025</v>
      </c>
      <c r="H368" s="3" t="str">
        <f>CONCATENATE("54240645082")</f>
        <v>54240645082</v>
      </c>
      <c r="I368" s="3" t="s">
        <v>34</v>
      </c>
      <c r="J368" s="3" t="s">
        <v>35</v>
      </c>
      <c r="K368" s="3"/>
      <c r="L368" s="3" t="s">
        <v>36</v>
      </c>
      <c r="M368" s="3" t="str">
        <f>CONCATENATE("PLZCST97T18D542B")</f>
        <v>PLZCST97T18D542B</v>
      </c>
      <c r="N368" s="3" t="s">
        <v>482</v>
      </c>
      <c r="O368" s="3" t="s">
        <v>38</v>
      </c>
      <c r="P368" s="3"/>
      <c r="Q368" s="4">
        <v>45944</v>
      </c>
      <c r="R368" s="3" t="s">
        <v>39</v>
      </c>
      <c r="S368" s="3" t="s">
        <v>38</v>
      </c>
      <c r="T368" s="3" t="s">
        <v>43</v>
      </c>
      <c r="U368" s="3"/>
      <c r="V368" s="3" t="s">
        <v>41</v>
      </c>
      <c r="W368" s="5">
        <v>11595.27</v>
      </c>
      <c r="X368" s="5">
        <v>11595.27</v>
      </c>
      <c r="Y368" s="3">
        <v>0</v>
      </c>
      <c r="Z368" s="3">
        <v>0</v>
      </c>
      <c r="AA368" s="3">
        <v>0</v>
      </c>
    </row>
    <row r="369" spans="1:27" ht="36.75" x14ac:dyDescent="0.25">
      <c r="A369" s="3" t="s">
        <v>28</v>
      </c>
      <c r="B369" s="3" t="s">
        <v>29</v>
      </c>
      <c r="C369" s="3" t="s">
        <v>30</v>
      </c>
      <c r="D369" s="3" t="s">
        <v>31</v>
      </c>
      <c r="E369" s="3" t="s">
        <v>53</v>
      </c>
      <c r="F369" s="3" t="s">
        <v>483</v>
      </c>
      <c r="G369" s="3">
        <v>2025</v>
      </c>
      <c r="H369" s="3" t="str">
        <f>CONCATENATE("54240646627")</f>
        <v>54240646627</v>
      </c>
      <c r="I369" s="3" t="s">
        <v>34</v>
      </c>
      <c r="J369" s="3" t="s">
        <v>35</v>
      </c>
      <c r="K369" s="3"/>
      <c r="L369" s="3" t="s">
        <v>36</v>
      </c>
      <c r="M369" s="3" t="str">
        <f>CONCATENATE("02850210416")</f>
        <v>02850210416</v>
      </c>
      <c r="N369" s="3" t="s">
        <v>484</v>
      </c>
      <c r="O369" s="3" t="s">
        <v>38</v>
      </c>
      <c r="P369" s="3"/>
      <c r="Q369" s="4">
        <v>45944</v>
      </c>
      <c r="R369" s="3" t="s">
        <v>39</v>
      </c>
      <c r="S369" s="3" t="s">
        <v>38</v>
      </c>
      <c r="T369" s="3" t="s">
        <v>43</v>
      </c>
      <c r="U369" s="3"/>
      <c r="V369" s="3" t="s">
        <v>41</v>
      </c>
      <c r="W369" s="5">
        <v>10839.11</v>
      </c>
      <c r="X369" s="5">
        <v>10839.11</v>
      </c>
      <c r="Y369" s="3">
        <v>0</v>
      </c>
      <c r="Z369" s="3">
        <v>0</v>
      </c>
      <c r="AA369" s="3">
        <v>0</v>
      </c>
    </row>
    <row r="370" spans="1:27" ht="60.75" x14ac:dyDescent="0.25">
      <c r="A370" s="3" t="s">
        <v>28</v>
      </c>
      <c r="B370" s="3" t="s">
        <v>29</v>
      </c>
      <c r="C370" s="3" t="s">
        <v>30</v>
      </c>
      <c r="D370" s="3" t="s">
        <v>31</v>
      </c>
      <c r="E370" s="3" t="s">
        <v>145</v>
      </c>
      <c r="F370" s="3" t="s">
        <v>485</v>
      </c>
      <c r="G370" s="3">
        <v>2025</v>
      </c>
      <c r="H370" s="3" t="str">
        <f>CONCATENATE("54240645975")</f>
        <v>54240645975</v>
      </c>
      <c r="I370" s="3" t="s">
        <v>34</v>
      </c>
      <c r="J370" s="3" t="s">
        <v>35</v>
      </c>
      <c r="K370" s="3"/>
      <c r="L370" s="3" t="s">
        <v>36</v>
      </c>
      <c r="M370" s="3" t="str">
        <f>CONCATENATE("MRTZNE48D12F135T")</f>
        <v>MRTZNE48D12F135T</v>
      </c>
      <c r="N370" s="3" t="s">
        <v>486</v>
      </c>
      <c r="O370" s="3" t="s">
        <v>38</v>
      </c>
      <c r="P370" s="3"/>
      <c r="Q370" s="4">
        <v>45944</v>
      </c>
      <c r="R370" s="3" t="s">
        <v>39</v>
      </c>
      <c r="S370" s="3" t="s">
        <v>38</v>
      </c>
      <c r="T370" s="3" t="s">
        <v>43</v>
      </c>
      <c r="U370" s="3"/>
      <c r="V370" s="3" t="s">
        <v>41</v>
      </c>
      <c r="W370" s="5">
        <v>5323.71</v>
      </c>
      <c r="X370" s="5">
        <v>5323.71</v>
      </c>
      <c r="Y370" s="3">
        <v>0</v>
      </c>
      <c r="Z370" s="3">
        <v>0</v>
      </c>
      <c r="AA370" s="3">
        <v>0</v>
      </c>
    </row>
    <row r="371" spans="1:27" ht="60.75" x14ac:dyDescent="0.25">
      <c r="A371" s="3" t="s">
        <v>28</v>
      </c>
      <c r="B371" s="3" t="s">
        <v>29</v>
      </c>
      <c r="C371" s="3" t="s">
        <v>30</v>
      </c>
      <c r="D371" s="3" t="s">
        <v>31</v>
      </c>
      <c r="E371" s="3" t="s">
        <v>145</v>
      </c>
      <c r="F371" s="3" t="s">
        <v>485</v>
      </c>
      <c r="G371" s="3">
        <v>2025</v>
      </c>
      <c r="H371" s="3" t="str">
        <f>CONCATENATE("54240645801")</f>
        <v>54240645801</v>
      </c>
      <c r="I371" s="3" t="s">
        <v>34</v>
      </c>
      <c r="J371" s="3" t="s">
        <v>35</v>
      </c>
      <c r="K371" s="3"/>
      <c r="L371" s="3" t="s">
        <v>36</v>
      </c>
      <c r="M371" s="3" t="str">
        <f>CONCATENATE("BRRVCN67T04H294J")</f>
        <v>BRRVCN67T04H294J</v>
      </c>
      <c r="N371" s="3" t="s">
        <v>487</v>
      </c>
      <c r="O371" s="3" t="s">
        <v>38</v>
      </c>
      <c r="P371" s="3"/>
      <c r="Q371" s="4">
        <v>45944</v>
      </c>
      <c r="R371" s="3" t="s">
        <v>39</v>
      </c>
      <c r="S371" s="3" t="s">
        <v>38</v>
      </c>
      <c r="T371" s="3" t="s">
        <v>43</v>
      </c>
      <c r="U371" s="3"/>
      <c r="V371" s="3" t="s">
        <v>41</v>
      </c>
      <c r="W371" s="5">
        <v>2223.6</v>
      </c>
      <c r="X371" s="5">
        <v>2223.6</v>
      </c>
      <c r="Y371" s="3">
        <v>0</v>
      </c>
      <c r="Z371" s="3">
        <v>0</v>
      </c>
      <c r="AA371" s="3">
        <v>0</v>
      </c>
    </row>
    <row r="372" spans="1:27" ht="36.75" x14ac:dyDescent="0.25">
      <c r="A372" s="3" t="s">
        <v>28</v>
      </c>
      <c r="B372" s="3" t="s">
        <v>29</v>
      </c>
      <c r="C372" s="3" t="s">
        <v>30</v>
      </c>
      <c r="D372" s="3" t="s">
        <v>31</v>
      </c>
      <c r="E372" s="3" t="s">
        <v>145</v>
      </c>
      <c r="F372" s="3" t="s">
        <v>485</v>
      </c>
      <c r="G372" s="3">
        <v>2025</v>
      </c>
      <c r="H372" s="3" t="str">
        <f>CONCATENATE("54240645900")</f>
        <v>54240645900</v>
      </c>
      <c r="I372" s="3" t="s">
        <v>34</v>
      </c>
      <c r="J372" s="3" t="s">
        <v>35</v>
      </c>
      <c r="K372" s="3"/>
      <c r="L372" s="3" t="s">
        <v>36</v>
      </c>
      <c r="M372" s="3" t="str">
        <f>CONCATENATE("01134880416")</f>
        <v>01134880416</v>
      </c>
      <c r="N372" s="3" t="s">
        <v>488</v>
      </c>
      <c r="O372" s="3" t="s">
        <v>38</v>
      </c>
      <c r="P372" s="3"/>
      <c r="Q372" s="4">
        <v>45944</v>
      </c>
      <c r="R372" s="3" t="s">
        <v>39</v>
      </c>
      <c r="S372" s="3" t="s">
        <v>38</v>
      </c>
      <c r="T372" s="3" t="s">
        <v>43</v>
      </c>
      <c r="U372" s="3"/>
      <c r="V372" s="3" t="s">
        <v>41</v>
      </c>
      <c r="W372" s="5">
        <v>4756.79</v>
      </c>
      <c r="X372" s="5">
        <v>4756.79</v>
      </c>
      <c r="Y372" s="3">
        <v>0</v>
      </c>
      <c r="Z372" s="3">
        <v>0</v>
      </c>
      <c r="AA372" s="3">
        <v>0</v>
      </c>
    </row>
    <row r="373" spans="1:27" ht="36.75" x14ac:dyDescent="0.25">
      <c r="A373" s="3" t="s">
        <v>28</v>
      </c>
      <c r="B373" s="3" t="s">
        <v>29</v>
      </c>
      <c r="C373" s="3" t="s">
        <v>30</v>
      </c>
      <c r="D373" s="3" t="s">
        <v>49</v>
      </c>
      <c r="E373" s="3" t="s">
        <v>32</v>
      </c>
      <c r="F373" s="3" t="s">
        <v>69</v>
      </c>
      <c r="G373" s="3">
        <v>2025</v>
      </c>
      <c r="H373" s="3" t="str">
        <f>CONCATENATE("54240646668")</f>
        <v>54240646668</v>
      </c>
      <c r="I373" s="3" t="s">
        <v>34</v>
      </c>
      <c r="J373" s="3" t="s">
        <v>35</v>
      </c>
      <c r="K373" s="3"/>
      <c r="L373" s="3" t="s">
        <v>36</v>
      </c>
      <c r="M373" s="3" t="str">
        <f>CONCATENATE("01939990436")</f>
        <v>01939990436</v>
      </c>
      <c r="N373" s="3" t="s">
        <v>489</v>
      </c>
      <c r="O373" s="3" t="s">
        <v>38</v>
      </c>
      <c r="P373" s="3"/>
      <c r="Q373" s="4">
        <v>45944</v>
      </c>
      <c r="R373" s="3" t="s">
        <v>39</v>
      </c>
      <c r="S373" s="3" t="s">
        <v>38</v>
      </c>
      <c r="T373" s="3" t="s">
        <v>43</v>
      </c>
      <c r="U373" s="3"/>
      <c r="V373" s="3" t="s">
        <v>41</v>
      </c>
      <c r="W373" s="5">
        <v>12009.8</v>
      </c>
      <c r="X373" s="5">
        <v>12009.8</v>
      </c>
      <c r="Y373" s="3">
        <v>0</v>
      </c>
      <c r="Z373" s="3">
        <v>0</v>
      </c>
      <c r="AA373" s="3">
        <v>0</v>
      </c>
    </row>
    <row r="374" spans="1:27" ht="72.75" x14ac:dyDescent="0.25">
      <c r="A374" s="3" t="s">
        <v>28</v>
      </c>
      <c r="B374" s="3" t="s">
        <v>29</v>
      </c>
      <c r="C374" s="3" t="s">
        <v>30</v>
      </c>
      <c r="D374" s="3" t="s">
        <v>49</v>
      </c>
      <c r="E374" s="3" t="s">
        <v>46</v>
      </c>
      <c r="F374" s="3" t="s">
        <v>131</v>
      </c>
      <c r="G374" s="3">
        <v>2025</v>
      </c>
      <c r="H374" s="3" t="str">
        <f>CONCATENATE("54240646445")</f>
        <v>54240646445</v>
      </c>
      <c r="I374" s="3" t="s">
        <v>34</v>
      </c>
      <c r="J374" s="3" t="s">
        <v>35</v>
      </c>
      <c r="K374" s="3"/>
      <c r="L374" s="3" t="s">
        <v>36</v>
      </c>
      <c r="M374" s="3" t="str">
        <f>CONCATENATE("GGLMSM80M01A252J")</f>
        <v>GGLMSM80M01A252J</v>
      </c>
      <c r="N374" s="3" t="s">
        <v>490</v>
      </c>
      <c r="O374" s="3" t="s">
        <v>38</v>
      </c>
      <c r="P374" s="3"/>
      <c r="Q374" s="4">
        <v>45944</v>
      </c>
      <c r="R374" s="3" t="s">
        <v>39</v>
      </c>
      <c r="S374" s="3" t="s">
        <v>38</v>
      </c>
      <c r="T374" s="3" t="s">
        <v>43</v>
      </c>
      <c r="U374" s="3"/>
      <c r="V374" s="3" t="s">
        <v>41</v>
      </c>
      <c r="W374" s="5">
        <v>1282.3900000000001</v>
      </c>
      <c r="X374" s="5">
        <v>1282.3900000000001</v>
      </c>
      <c r="Y374" s="3">
        <v>0</v>
      </c>
      <c r="Z374" s="3">
        <v>0</v>
      </c>
      <c r="AA374" s="3">
        <v>0</v>
      </c>
    </row>
    <row r="375" spans="1:27" ht="60.75" x14ac:dyDescent="0.25">
      <c r="A375" s="3" t="s">
        <v>28</v>
      </c>
      <c r="B375" s="3" t="s">
        <v>29</v>
      </c>
      <c r="C375" s="3" t="s">
        <v>30</v>
      </c>
      <c r="D375" s="3" t="s">
        <v>49</v>
      </c>
      <c r="E375" s="3" t="s">
        <v>46</v>
      </c>
      <c r="F375" s="3" t="s">
        <v>129</v>
      </c>
      <c r="G375" s="3">
        <v>2025</v>
      </c>
      <c r="H375" s="3" t="str">
        <f>CONCATENATE("54240648920")</f>
        <v>54240648920</v>
      </c>
      <c r="I375" s="3" t="s">
        <v>34</v>
      </c>
      <c r="J375" s="3" t="s">
        <v>35</v>
      </c>
      <c r="K375" s="3"/>
      <c r="L375" s="3" t="s">
        <v>36</v>
      </c>
      <c r="M375" s="3" t="str">
        <f>CONCATENATE("SCDMSL64C03I156L")</f>
        <v>SCDMSL64C03I156L</v>
      </c>
      <c r="N375" s="3" t="s">
        <v>491</v>
      </c>
      <c r="O375" s="3" t="s">
        <v>38</v>
      </c>
      <c r="P375" s="3"/>
      <c r="Q375" s="4">
        <v>45944</v>
      </c>
      <c r="R375" s="3" t="s">
        <v>39</v>
      </c>
      <c r="S375" s="3" t="s">
        <v>38</v>
      </c>
      <c r="T375" s="3" t="s">
        <v>43</v>
      </c>
      <c r="U375" s="3"/>
      <c r="V375" s="3" t="s">
        <v>41</v>
      </c>
      <c r="W375" s="5">
        <v>6516.11</v>
      </c>
      <c r="X375" s="5">
        <v>6516.11</v>
      </c>
      <c r="Y375" s="3">
        <v>0</v>
      </c>
      <c r="Z375" s="3">
        <v>0</v>
      </c>
      <c r="AA375" s="3">
        <v>0</v>
      </c>
    </row>
    <row r="376" spans="1:27" ht="36.75" x14ac:dyDescent="0.25">
      <c r="A376" s="3" t="s">
        <v>28</v>
      </c>
      <c r="B376" s="3" t="s">
        <v>29</v>
      </c>
      <c r="C376" s="3" t="s">
        <v>30</v>
      </c>
      <c r="D376" s="3" t="s">
        <v>31</v>
      </c>
      <c r="E376" s="3" t="s">
        <v>145</v>
      </c>
      <c r="F376" s="3" t="s">
        <v>485</v>
      </c>
      <c r="G376" s="3">
        <v>2025</v>
      </c>
      <c r="H376" s="3" t="str">
        <f>CONCATENATE("54240650645")</f>
        <v>54240650645</v>
      </c>
      <c r="I376" s="3" t="s">
        <v>34</v>
      </c>
      <c r="J376" s="3" t="s">
        <v>35</v>
      </c>
      <c r="K376" s="3"/>
      <c r="L376" s="3" t="s">
        <v>36</v>
      </c>
      <c r="M376" s="3" t="str">
        <f>CONCATENATE("02134170410")</f>
        <v>02134170410</v>
      </c>
      <c r="N376" s="3" t="s">
        <v>492</v>
      </c>
      <c r="O376" s="3" t="s">
        <v>38</v>
      </c>
      <c r="P376" s="3"/>
      <c r="Q376" s="4">
        <v>45944</v>
      </c>
      <c r="R376" s="3" t="s">
        <v>39</v>
      </c>
      <c r="S376" s="3" t="s">
        <v>38</v>
      </c>
      <c r="T376" s="3" t="s">
        <v>43</v>
      </c>
      <c r="U376" s="3"/>
      <c r="V376" s="3" t="s">
        <v>41</v>
      </c>
      <c r="W376" s="5">
        <v>2785.2</v>
      </c>
      <c r="X376" s="5">
        <v>2785.2</v>
      </c>
      <c r="Y376" s="3">
        <v>0</v>
      </c>
      <c r="Z376" s="3">
        <v>0</v>
      </c>
      <c r="AA376" s="3">
        <v>0</v>
      </c>
    </row>
    <row r="377" spans="1:27" ht="36.75" x14ac:dyDescent="0.25">
      <c r="A377" s="3" t="s">
        <v>28</v>
      </c>
      <c r="B377" s="3" t="s">
        <v>29</v>
      </c>
      <c r="C377" s="3" t="s">
        <v>30</v>
      </c>
      <c r="D377" s="3" t="s">
        <v>31</v>
      </c>
      <c r="E377" s="3" t="s">
        <v>91</v>
      </c>
      <c r="F377" s="3" t="s">
        <v>111</v>
      </c>
      <c r="G377" s="3">
        <v>2025</v>
      </c>
      <c r="H377" s="3" t="str">
        <f>CONCATENATE("54240647013")</f>
        <v>54240647013</v>
      </c>
      <c r="I377" s="3" t="s">
        <v>34</v>
      </c>
      <c r="J377" s="3" t="s">
        <v>35</v>
      </c>
      <c r="K377" s="3"/>
      <c r="L377" s="3" t="s">
        <v>36</v>
      </c>
      <c r="M377" s="3" t="str">
        <f>CONCATENATE("02680540412")</f>
        <v>02680540412</v>
      </c>
      <c r="N377" s="3" t="s">
        <v>493</v>
      </c>
      <c r="O377" s="3" t="s">
        <v>38</v>
      </c>
      <c r="P377" s="3"/>
      <c r="Q377" s="4">
        <v>45944</v>
      </c>
      <c r="R377" s="3" t="s">
        <v>39</v>
      </c>
      <c r="S377" s="3" t="s">
        <v>38</v>
      </c>
      <c r="T377" s="3" t="s">
        <v>43</v>
      </c>
      <c r="U377" s="3"/>
      <c r="V377" s="3" t="s">
        <v>41</v>
      </c>
      <c r="W377" s="5">
        <v>1257.49</v>
      </c>
      <c r="X377" s="5">
        <v>1257.49</v>
      </c>
      <c r="Y377" s="3">
        <v>0</v>
      </c>
      <c r="Z377" s="3">
        <v>0</v>
      </c>
      <c r="AA377" s="3">
        <v>0</v>
      </c>
    </row>
    <row r="378" spans="1:27" ht="60.75" x14ac:dyDescent="0.25">
      <c r="A378" s="3" t="s">
        <v>28</v>
      </c>
      <c r="B378" s="3" t="s">
        <v>29</v>
      </c>
      <c r="C378" s="3" t="s">
        <v>30</v>
      </c>
      <c r="D378" s="3" t="s">
        <v>31</v>
      </c>
      <c r="E378" s="3" t="s">
        <v>32</v>
      </c>
      <c r="F378" s="3" t="s">
        <v>115</v>
      </c>
      <c r="G378" s="3">
        <v>2025</v>
      </c>
      <c r="H378" s="3" t="str">
        <f>CONCATENATE("54240648417")</f>
        <v>54240648417</v>
      </c>
      <c r="I378" s="3" t="s">
        <v>34</v>
      </c>
      <c r="J378" s="3" t="s">
        <v>35</v>
      </c>
      <c r="K378" s="3"/>
      <c r="L378" s="3" t="s">
        <v>36</v>
      </c>
      <c r="M378" s="3" t="str">
        <f>CONCATENATE("FRMLCU96E06G479W")</f>
        <v>FRMLCU96E06G479W</v>
      </c>
      <c r="N378" s="3" t="s">
        <v>494</v>
      </c>
      <c r="O378" s="3" t="s">
        <v>38</v>
      </c>
      <c r="P378" s="3"/>
      <c r="Q378" s="4">
        <v>45944</v>
      </c>
      <c r="R378" s="3" t="s">
        <v>39</v>
      </c>
      <c r="S378" s="3" t="s">
        <v>38</v>
      </c>
      <c r="T378" s="3" t="s">
        <v>43</v>
      </c>
      <c r="U378" s="3"/>
      <c r="V378" s="3" t="s">
        <v>41</v>
      </c>
      <c r="W378" s="5">
        <v>8293.91</v>
      </c>
      <c r="X378" s="5">
        <v>8293.91</v>
      </c>
      <c r="Y378" s="3">
        <v>0</v>
      </c>
      <c r="Z378" s="3">
        <v>0</v>
      </c>
      <c r="AA378" s="3">
        <v>0</v>
      </c>
    </row>
    <row r="379" spans="1:27" ht="36.75" x14ac:dyDescent="0.25">
      <c r="A379" s="3" t="s">
        <v>28</v>
      </c>
      <c r="B379" s="3" t="s">
        <v>29</v>
      </c>
      <c r="C379" s="3" t="s">
        <v>30</v>
      </c>
      <c r="D379" s="3" t="s">
        <v>31</v>
      </c>
      <c r="E379" s="3" t="s">
        <v>32</v>
      </c>
      <c r="F379" s="3" t="s">
        <v>33</v>
      </c>
      <c r="G379" s="3">
        <v>2025</v>
      </c>
      <c r="H379" s="3" t="str">
        <f>CONCATENATE("54240647898")</f>
        <v>54240647898</v>
      </c>
      <c r="I379" s="3" t="s">
        <v>34</v>
      </c>
      <c r="J379" s="3" t="s">
        <v>35</v>
      </c>
      <c r="K379" s="3"/>
      <c r="L379" s="3" t="s">
        <v>36</v>
      </c>
      <c r="M379" s="3" t="str">
        <f>CONCATENATE("00454770413")</f>
        <v>00454770413</v>
      </c>
      <c r="N379" s="3" t="s">
        <v>495</v>
      </c>
      <c r="O379" s="3" t="s">
        <v>38</v>
      </c>
      <c r="P379" s="3"/>
      <c r="Q379" s="4">
        <v>45944</v>
      </c>
      <c r="R379" s="3" t="s">
        <v>39</v>
      </c>
      <c r="S379" s="3" t="s">
        <v>38</v>
      </c>
      <c r="T379" s="3" t="s">
        <v>43</v>
      </c>
      <c r="U379" s="3"/>
      <c r="V379" s="3" t="s">
        <v>41</v>
      </c>
      <c r="W379" s="5">
        <v>15029.68</v>
      </c>
      <c r="X379" s="5">
        <v>15029.68</v>
      </c>
      <c r="Y379" s="3">
        <v>0</v>
      </c>
      <c r="Z379" s="3">
        <v>0</v>
      </c>
      <c r="AA379" s="3">
        <v>0</v>
      </c>
    </row>
    <row r="380" spans="1:27" ht="60.75" x14ac:dyDescent="0.25">
      <c r="A380" s="3" t="s">
        <v>28</v>
      </c>
      <c r="B380" s="3" t="s">
        <v>29</v>
      </c>
      <c r="C380" s="3" t="s">
        <v>30</v>
      </c>
      <c r="D380" s="3" t="s">
        <v>58</v>
      </c>
      <c r="E380" s="3" t="s">
        <v>32</v>
      </c>
      <c r="F380" s="3" t="s">
        <v>471</v>
      </c>
      <c r="G380" s="3">
        <v>2025</v>
      </c>
      <c r="H380" s="3" t="str">
        <f>CONCATENATE("54240648607")</f>
        <v>54240648607</v>
      </c>
      <c r="I380" s="3" t="s">
        <v>34</v>
      </c>
      <c r="J380" s="3" t="s">
        <v>35</v>
      </c>
      <c r="K380" s="3"/>
      <c r="L380" s="3" t="s">
        <v>36</v>
      </c>
      <c r="M380" s="3" t="str">
        <f>CONCATENATE("TTVMRC84S07D451E")</f>
        <v>TTVMRC84S07D451E</v>
      </c>
      <c r="N380" s="3" t="s">
        <v>496</v>
      </c>
      <c r="O380" s="3" t="s">
        <v>38</v>
      </c>
      <c r="P380" s="3"/>
      <c r="Q380" s="4">
        <v>45944</v>
      </c>
      <c r="R380" s="3" t="s">
        <v>39</v>
      </c>
      <c r="S380" s="3" t="s">
        <v>38</v>
      </c>
      <c r="T380" s="3" t="s">
        <v>43</v>
      </c>
      <c r="U380" s="3"/>
      <c r="V380" s="3" t="s">
        <v>41</v>
      </c>
      <c r="W380" s="5">
        <v>10709.74</v>
      </c>
      <c r="X380" s="5">
        <v>10709.74</v>
      </c>
      <c r="Y380" s="3">
        <v>0</v>
      </c>
      <c r="Z380" s="3">
        <v>0</v>
      </c>
      <c r="AA380" s="3">
        <v>0</v>
      </c>
    </row>
    <row r="381" spans="1:27" ht="60.75" x14ac:dyDescent="0.25">
      <c r="A381" s="3" t="s">
        <v>28</v>
      </c>
      <c r="B381" s="3" t="s">
        <v>29</v>
      </c>
      <c r="C381" s="3" t="s">
        <v>30</v>
      </c>
      <c r="D381" s="3" t="s">
        <v>31</v>
      </c>
      <c r="E381" s="3" t="s">
        <v>32</v>
      </c>
      <c r="F381" s="3" t="s">
        <v>115</v>
      </c>
      <c r="G381" s="3">
        <v>2025</v>
      </c>
      <c r="H381" s="3" t="str">
        <f>CONCATENATE("54240648219")</f>
        <v>54240648219</v>
      </c>
      <c r="I381" s="3" t="s">
        <v>34</v>
      </c>
      <c r="J381" s="3" t="s">
        <v>35</v>
      </c>
      <c r="K381" s="3"/>
      <c r="L381" s="3" t="s">
        <v>36</v>
      </c>
      <c r="M381" s="3" t="str">
        <f>CONCATENATE("SVRSVN57D24G514T")</f>
        <v>SVRSVN57D24G514T</v>
      </c>
      <c r="N381" s="3" t="s">
        <v>497</v>
      </c>
      <c r="O381" s="3" t="s">
        <v>38</v>
      </c>
      <c r="P381" s="3"/>
      <c r="Q381" s="4">
        <v>45944</v>
      </c>
      <c r="R381" s="3" t="s">
        <v>39</v>
      </c>
      <c r="S381" s="3" t="s">
        <v>38</v>
      </c>
      <c r="T381" s="3" t="s">
        <v>43</v>
      </c>
      <c r="U381" s="3"/>
      <c r="V381" s="3" t="s">
        <v>41</v>
      </c>
      <c r="W381" s="5">
        <v>4357.1099999999997</v>
      </c>
      <c r="X381" s="5">
        <v>4357.1099999999997</v>
      </c>
      <c r="Y381" s="3">
        <v>0</v>
      </c>
      <c r="Z381" s="3">
        <v>0</v>
      </c>
      <c r="AA381" s="3">
        <v>0</v>
      </c>
    </row>
    <row r="382" spans="1:27" ht="60.75" x14ac:dyDescent="0.25">
      <c r="A382" s="3" t="s">
        <v>28</v>
      </c>
      <c r="B382" s="3" t="s">
        <v>29</v>
      </c>
      <c r="C382" s="3" t="s">
        <v>30</v>
      </c>
      <c r="D382" s="3" t="s">
        <v>31</v>
      </c>
      <c r="E382" s="3" t="s">
        <v>32</v>
      </c>
      <c r="F382" s="3" t="s">
        <v>115</v>
      </c>
      <c r="G382" s="3">
        <v>2025</v>
      </c>
      <c r="H382" s="3" t="str">
        <f>CONCATENATE("54240648458")</f>
        <v>54240648458</v>
      </c>
      <c r="I382" s="3" t="s">
        <v>149</v>
      </c>
      <c r="J382" s="3" t="s">
        <v>35</v>
      </c>
      <c r="K382" s="3"/>
      <c r="L382" s="3" t="s">
        <v>36</v>
      </c>
      <c r="M382" s="3" t="str">
        <f>CONCATENATE("VLNLSN65L29L500T")</f>
        <v>VLNLSN65L29L500T</v>
      </c>
      <c r="N382" s="3" t="s">
        <v>498</v>
      </c>
      <c r="O382" s="3" t="s">
        <v>38</v>
      </c>
      <c r="P382" s="3"/>
      <c r="Q382" s="4">
        <v>45944</v>
      </c>
      <c r="R382" s="3" t="s">
        <v>39</v>
      </c>
      <c r="S382" s="3" t="s">
        <v>38</v>
      </c>
      <c r="T382" s="3" t="s">
        <v>43</v>
      </c>
      <c r="U382" s="3"/>
      <c r="V382" s="3" t="s">
        <v>41</v>
      </c>
      <c r="W382" s="5">
        <v>8528.86</v>
      </c>
      <c r="X382" s="5">
        <v>8528.86</v>
      </c>
      <c r="Y382" s="3">
        <v>0</v>
      </c>
      <c r="Z382" s="3">
        <v>0</v>
      </c>
      <c r="AA382" s="3">
        <v>0</v>
      </c>
    </row>
    <row r="383" spans="1:27" ht="60.75" x14ac:dyDescent="0.25">
      <c r="A383" s="3" t="s">
        <v>28</v>
      </c>
      <c r="B383" s="3" t="s">
        <v>29</v>
      </c>
      <c r="C383" s="3" t="s">
        <v>30</v>
      </c>
      <c r="D383" s="3" t="s">
        <v>31</v>
      </c>
      <c r="E383" s="3" t="s">
        <v>91</v>
      </c>
      <c r="F383" s="3" t="s">
        <v>111</v>
      </c>
      <c r="G383" s="3">
        <v>2025</v>
      </c>
      <c r="H383" s="3" t="str">
        <f>CONCATENATE("54240648706")</f>
        <v>54240648706</v>
      </c>
      <c r="I383" s="3" t="s">
        <v>34</v>
      </c>
      <c r="J383" s="3" t="s">
        <v>35</v>
      </c>
      <c r="K383" s="3"/>
      <c r="L383" s="3" t="s">
        <v>36</v>
      </c>
      <c r="M383" s="3" t="str">
        <f>CONCATENATE("RSSPRG84B12I608I")</f>
        <v>RSSPRG84B12I608I</v>
      </c>
      <c r="N383" s="3" t="s">
        <v>499</v>
      </c>
      <c r="O383" s="3" t="s">
        <v>38</v>
      </c>
      <c r="P383" s="3"/>
      <c r="Q383" s="4">
        <v>45944</v>
      </c>
      <c r="R383" s="3" t="s">
        <v>39</v>
      </c>
      <c r="S383" s="3" t="s">
        <v>38</v>
      </c>
      <c r="T383" s="3" t="s">
        <v>43</v>
      </c>
      <c r="U383" s="3"/>
      <c r="V383" s="3" t="s">
        <v>41</v>
      </c>
      <c r="W383" s="5">
        <v>5025.1000000000004</v>
      </c>
      <c r="X383" s="5">
        <v>5025.1000000000004</v>
      </c>
      <c r="Y383" s="3">
        <v>0</v>
      </c>
      <c r="Z383" s="3">
        <v>0</v>
      </c>
      <c r="AA383" s="3">
        <v>0</v>
      </c>
    </row>
    <row r="384" spans="1:27" ht="60.75" x14ac:dyDescent="0.25">
      <c r="A384" s="3" t="s">
        <v>28</v>
      </c>
      <c r="B384" s="3" t="s">
        <v>29</v>
      </c>
      <c r="C384" s="3" t="s">
        <v>30</v>
      </c>
      <c r="D384" s="3" t="s">
        <v>31</v>
      </c>
      <c r="E384" s="3" t="s">
        <v>32</v>
      </c>
      <c r="F384" s="3" t="s">
        <v>115</v>
      </c>
      <c r="G384" s="3">
        <v>2025</v>
      </c>
      <c r="H384" s="3" t="str">
        <f>CONCATENATE("54240648656")</f>
        <v>54240648656</v>
      </c>
      <c r="I384" s="3" t="s">
        <v>149</v>
      </c>
      <c r="J384" s="3" t="s">
        <v>35</v>
      </c>
      <c r="K384" s="3"/>
      <c r="L384" s="3" t="s">
        <v>36</v>
      </c>
      <c r="M384" s="3" t="str">
        <f>CONCATENATE("TBRSMN03L22L500I")</f>
        <v>TBRSMN03L22L500I</v>
      </c>
      <c r="N384" s="3" t="s">
        <v>500</v>
      </c>
      <c r="O384" s="3" t="s">
        <v>38</v>
      </c>
      <c r="P384" s="3"/>
      <c r="Q384" s="4">
        <v>45944</v>
      </c>
      <c r="R384" s="3" t="s">
        <v>39</v>
      </c>
      <c r="S384" s="3" t="s">
        <v>38</v>
      </c>
      <c r="T384" s="3" t="s">
        <v>43</v>
      </c>
      <c r="U384" s="3"/>
      <c r="V384" s="3" t="s">
        <v>41</v>
      </c>
      <c r="W384" s="5">
        <v>2064.21</v>
      </c>
      <c r="X384" s="5">
        <v>2064.21</v>
      </c>
      <c r="Y384" s="3">
        <v>0</v>
      </c>
      <c r="Z384" s="3">
        <v>0</v>
      </c>
      <c r="AA384" s="3">
        <v>0</v>
      </c>
    </row>
    <row r="385" spans="1:27" ht="60.75" x14ac:dyDescent="0.25">
      <c r="A385" s="3" t="s">
        <v>28</v>
      </c>
      <c r="B385" s="3" t="s">
        <v>29</v>
      </c>
      <c r="C385" s="3" t="s">
        <v>30</v>
      </c>
      <c r="D385" s="3" t="s">
        <v>63</v>
      </c>
      <c r="E385" s="3" t="s">
        <v>32</v>
      </c>
      <c r="F385" s="3" t="s">
        <v>269</v>
      </c>
      <c r="G385" s="3">
        <v>2025</v>
      </c>
      <c r="H385" s="3" t="str">
        <f>CONCATENATE("54240650637")</f>
        <v>54240650637</v>
      </c>
      <c r="I385" s="3" t="s">
        <v>34</v>
      </c>
      <c r="J385" s="3" t="s">
        <v>35</v>
      </c>
      <c r="K385" s="3"/>
      <c r="L385" s="3" t="s">
        <v>36</v>
      </c>
      <c r="M385" s="3" t="str">
        <f>CONCATENATE("MRTDNC42A68F509U")</f>
        <v>MRTDNC42A68F509U</v>
      </c>
      <c r="N385" s="3" t="s">
        <v>501</v>
      </c>
      <c r="O385" s="3" t="s">
        <v>38</v>
      </c>
      <c r="P385" s="3"/>
      <c r="Q385" s="4">
        <v>45944</v>
      </c>
      <c r="R385" s="3" t="s">
        <v>39</v>
      </c>
      <c r="S385" s="3" t="s">
        <v>38</v>
      </c>
      <c r="T385" s="3" t="s">
        <v>43</v>
      </c>
      <c r="U385" s="3"/>
      <c r="V385" s="3" t="s">
        <v>41</v>
      </c>
      <c r="W385" s="5">
        <v>15376.66</v>
      </c>
      <c r="X385" s="5">
        <v>15376.66</v>
      </c>
      <c r="Y385" s="3">
        <v>0</v>
      </c>
      <c r="Z385" s="3">
        <v>0</v>
      </c>
      <c r="AA385" s="3">
        <v>0</v>
      </c>
    </row>
    <row r="386" spans="1:27" ht="36.75" x14ac:dyDescent="0.25">
      <c r="A386" s="3" t="s">
        <v>28</v>
      </c>
      <c r="B386" s="3" t="s">
        <v>29</v>
      </c>
      <c r="C386" s="3" t="s">
        <v>30</v>
      </c>
      <c r="D386" s="3" t="s">
        <v>49</v>
      </c>
      <c r="E386" s="3" t="s">
        <v>46</v>
      </c>
      <c r="F386" s="3" t="s">
        <v>131</v>
      </c>
      <c r="G386" s="3">
        <v>2025</v>
      </c>
      <c r="H386" s="3" t="str">
        <f>CONCATENATE("54240653672")</f>
        <v>54240653672</v>
      </c>
      <c r="I386" s="3" t="s">
        <v>34</v>
      </c>
      <c r="J386" s="3" t="s">
        <v>35</v>
      </c>
      <c r="K386" s="3"/>
      <c r="L386" s="3" t="s">
        <v>36</v>
      </c>
      <c r="M386" s="3" t="str">
        <f>CONCATENATE("01988520431")</f>
        <v>01988520431</v>
      </c>
      <c r="N386" s="3" t="s">
        <v>502</v>
      </c>
      <c r="O386" s="3" t="s">
        <v>38</v>
      </c>
      <c r="P386" s="3"/>
      <c r="Q386" s="4">
        <v>45944</v>
      </c>
      <c r="R386" s="3" t="s">
        <v>39</v>
      </c>
      <c r="S386" s="3" t="s">
        <v>38</v>
      </c>
      <c r="T386" s="3" t="s">
        <v>43</v>
      </c>
      <c r="U386" s="3"/>
      <c r="V386" s="3" t="s">
        <v>41</v>
      </c>
      <c r="W386" s="3">
        <v>481.28</v>
      </c>
      <c r="X386" s="3">
        <v>481.28</v>
      </c>
      <c r="Y386" s="3">
        <v>0</v>
      </c>
      <c r="Z386" s="3">
        <v>0</v>
      </c>
      <c r="AA386" s="3">
        <v>0</v>
      </c>
    </row>
    <row r="387" spans="1:27" ht="72.75" x14ac:dyDescent="0.25">
      <c r="A387" s="3" t="s">
        <v>28</v>
      </c>
      <c r="B387" s="3" t="s">
        <v>29</v>
      </c>
      <c r="C387" s="3" t="s">
        <v>30</v>
      </c>
      <c r="D387" s="3" t="s">
        <v>49</v>
      </c>
      <c r="E387" s="3" t="s">
        <v>46</v>
      </c>
      <c r="F387" s="3" t="s">
        <v>205</v>
      </c>
      <c r="G387" s="3">
        <v>2025</v>
      </c>
      <c r="H387" s="3" t="str">
        <f>CONCATENATE("54240654357")</f>
        <v>54240654357</v>
      </c>
      <c r="I387" s="3" t="s">
        <v>34</v>
      </c>
      <c r="J387" s="3" t="s">
        <v>35</v>
      </c>
      <c r="K387" s="3"/>
      <c r="L387" s="3" t="s">
        <v>36</v>
      </c>
      <c r="M387" s="3" t="str">
        <f>CONCATENATE("MSCFNC63H10B474B")</f>
        <v>MSCFNC63H10B474B</v>
      </c>
      <c r="N387" s="3" t="s">
        <v>503</v>
      </c>
      <c r="O387" s="3" t="s">
        <v>38</v>
      </c>
      <c r="P387" s="3"/>
      <c r="Q387" s="4">
        <v>45944</v>
      </c>
      <c r="R387" s="3" t="s">
        <v>39</v>
      </c>
      <c r="S387" s="3" t="s">
        <v>38</v>
      </c>
      <c r="T387" s="3" t="s">
        <v>43</v>
      </c>
      <c r="U387" s="3"/>
      <c r="V387" s="3" t="s">
        <v>41</v>
      </c>
      <c r="W387" s="5">
        <v>10441.86</v>
      </c>
      <c r="X387" s="5">
        <v>10441.86</v>
      </c>
      <c r="Y387" s="3">
        <v>0</v>
      </c>
      <c r="Z387" s="3">
        <v>0</v>
      </c>
      <c r="AA387" s="3">
        <v>0</v>
      </c>
    </row>
    <row r="388" spans="1:27" ht="36.75" x14ac:dyDescent="0.25">
      <c r="A388" s="3" t="s">
        <v>28</v>
      </c>
      <c r="B388" s="3" t="s">
        <v>29</v>
      </c>
      <c r="C388" s="3" t="s">
        <v>30</v>
      </c>
      <c r="D388" s="3" t="s">
        <v>58</v>
      </c>
      <c r="E388" s="3" t="s">
        <v>32</v>
      </c>
      <c r="F388" s="3" t="s">
        <v>96</v>
      </c>
      <c r="G388" s="3">
        <v>2025</v>
      </c>
      <c r="H388" s="3" t="str">
        <f>CONCATENATE("54240655883")</f>
        <v>54240655883</v>
      </c>
      <c r="I388" s="3" t="s">
        <v>34</v>
      </c>
      <c r="J388" s="3" t="s">
        <v>35</v>
      </c>
      <c r="K388" s="3"/>
      <c r="L388" s="3" t="s">
        <v>36</v>
      </c>
      <c r="M388" s="3" t="str">
        <f>CONCATENATE("02944600424")</f>
        <v>02944600424</v>
      </c>
      <c r="N388" s="3" t="s">
        <v>504</v>
      </c>
      <c r="O388" s="3" t="s">
        <v>38</v>
      </c>
      <c r="P388" s="3"/>
      <c r="Q388" s="4">
        <v>45944</v>
      </c>
      <c r="R388" s="3" t="s">
        <v>39</v>
      </c>
      <c r="S388" s="3" t="s">
        <v>38</v>
      </c>
      <c r="T388" s="3" t="s">
        <v>43</v>
      </c>
      <c r="U388" s="3"/>
      <c r="V388" s="3" t="s">
        <v>41</v>
      </c>
      <c r="W388" s="5">
        <v>14544.35</v>
      </c>
      <c r="X388" s="5">
        <v>14544.35</v>
      </c>
      <c r="Y388" s="3">
        <v>0</v>
      </c>
      <c r="Z388" s="3">
        <v>0</v>
      </c>
      <c r="AA388" s="3">
        <v>0</v>
      </c>
    </row>
    <row r="389" spans="1:27" ht="60.75" x14ac:dyDescent="0.25">
      <c r="A389" s="3" t="s">
        <v>28</v>
      </c>
      <c r="B389" s="3" t="s">
        <v>29</v>
      </c>
      <c r="C389" s="3" t="s">
        <v>30</v>
      </c>
      <c r="D389" s="3" t="s">
        <v>63</v>
      </c>
      <c r="E389" s="3" t="s">
        <v>145</v>
      </c>
      <c r="F389" s="3" t="s">
        <v>146</v>
      </c>
      <c r="G389" s="3">
        <v>2025</v>
      </c>
      <c r="H389" s="3" t="str">
        <f>CONCATENATE("54240657129")</f>
        <v>54240657129</v>
      </c>
      <c r="I389" s="3" t="s">
        <v>34</v>
      </c>
      <c r="J389" s="3" t="s">
        <v>35</v>
      </c>
      <c r="K389" s="3"/>
      <c r="L389" s="3" t="s">
        <v>36</v>
      </c>
      <c r="M389" s="3" t="str">
        <f>CONCATENATE("PNTFRC83B61A462P")</f>
        <v>PNTFRC83B61A462P</v>
      </c>
      <c r="N389" s="3" t="s">
        <v>505</v>
      </c>
      <c r="O389" s="3" t="s">
        <v>38</v>
      </c>
      <c r="P389" s="3"/>
      <c r="Q389" s="4">
        <v>45944</v>
      </c>
      <c r="R389" s="3" t="s">
        <v>39</v>
      </c>
      <c r="S389" s="3" t="s">
        <v>38</v>
      </c>
      <c r="T389" s="3" t="s">
        <v>43</v>
      </c>
      <c r="U389" s="3"/>
      <c r="V389" s="3" t="s">
        <v>41</v>
      </c>
      <c r="W389" s="5">
        <v>17093.36</v>
      </c>
      <c r="X389" s="5">
        <v>17093.36</v>
      </c>
      <c r="Y389" s="3">
        <v>0</v>
      </c>
      <c r="Z389" s="3">
        <v>0</v>
      </c>
      <c r="AA389" s="3">
        <v>0</v>
      </c>
    </row>
    <row r="390" spans="1:27" ht="60.75" x14ac:dyDescent="0.25">
      <c r="A390" s="3" t="s">
        <v>28</v>
      </c>
      <c r="B390" s="3" t="s">
        <v>29</v>
      </c>
      <c r="C390" s="3" t="s">
        <v>30</v>
      </c>
      <c r="D390" s="3" t="s">
        <v>63</v>
      </c>
      <c r="E390" s="3" t="s">
        <v>74</v>
      </c>
      <c r="F390" s="3" t="s">
        <v>252</v>
      </c>
      <c r="G390" s="3">
        <v>2025</v>
      </c>
      <c r="H390" s="3" t="str">
        <f>CONCATENATE("54240657368")</f>
        <v>54240657368</v>
      </c>
      <c r="I390" s="3" t="s">
        <v>34</v>
      </c>
      <c r="J390" s="3" t="s">
        <v>35</v>
      </c>
      <c r="K390" s="3"/>
      <c r="L390" s="3" t="s">
        <v>36</v>
      </c>
      <c r="M390" s="3" t="str">
        <f>CONCATENATE("SSTGLN63E45C321S")</f>
        <v>SSTGLN63E45C321S</v>
      </c>
      <c r="N390" s="3" t="s">
        <v>506</v>
      </c>
      <c r="O390" s="3" t="s">
        <v>38</v>
      </c>
      <c r="P390" s="3"/>
      <c r="Q390" s="4">
        <v>45944</v>
      </c>
      <c r="R390" s="3" t="s">
        <v>39</v>
      </c>
      <c r="S390" s="3" t="s">
        <v>38</v>
      </c>
      <c r="T390" s="3" t="s">
        <v>43</v>
      </c>
      <c r="U390" s="3"/>
      <c r="V390" s="3" t="s">
        <v>41</v>
      </c>
      <c r="W390" s="5">
        <v>6357</v>
      </c>
      <c r="X390" s="5">
        <v>6357</v>
      </c>
      <c r="Y390" s="3">
        <v>0</v>
      </c>
      <c r="Z390" s="3">
        <v>0</v>
      </c>
      <c r="AA390" s="3">
        <v>0</v>
      </c>
    </row>
    <row r="391" spans="1:27" ht="36.75" x14ac:dyDescent="0.25">
      <c r="A391" s="3" t="s">
        <v>28</v>
      </c>
      <c r="B391" s="3" t="s">
        <v>29</v>
      </c>
      <c r="C391" s="3" t="s">
        <v>30</v>
      </c>
      <c r="D391" s="3" t="s">
        <v>63</v>
      </c>
      <c r="E391" s="3" t="s">
        <v>145</v>
      </c>
      <c r="F391" s="3" t="s">
        <v>260</v>
      </c>
      <c r="G391" s="3">
        <v>2025</v>
      </c>
      <c r="H391" s="3" t="str">
        <f>CONCATENATE("54240657814")</f>
        <v>54240657814</v>
      </c>
      <c r="I391" s="3" t="s">
        <v>34</v>
      </c>
      <c r="J391" s="3" t="s">
        <v>35</v>
      </c>
      <c r="K391" s="3"/>
      <c r="L391" s="3" t="s">
        <v>36</v>
      </c>
      <c r="M391" s="3" t="str">
        <f>CONCATENATE("02359410442")</f>
        <v>02359410442</v>
      </c>
      <c r="N391" s="3" t="s">
        <v>507</v>
      </c>
      <c r="O391" s="3" t="s">
        <v>38</v>
      </c>
      <c r="P391" s="3"/>
      <c r="Q391" s="4">
        <v>45944</v>
      </c>
      <c r="R391" s="3" t="s">
        <v>39</v>
      </c>
      <c r="S391" s="3" t="s">
        <v>38</v>
      </c>
      <c r="T391" s="3" t="s">
        <v>43</v>
      </c>
      <c r="U391" s="3"/>
      <c r="V391" s="3" t="s">
        <v>41</v>
      </c>
      <c r="W391" s="5">
        <v>1369.31</v>
      </c>
      <c r="X391" s="5">
        <v>1369.31</v>
      </c>
      <c r="Y391" s="3">
        <v>0</v>
      </c>
      <c r="Z391" s="3">
        <v>0</v>
      </c>
      <c r="AA391" s="3">
        <v>0</v>
      </c>
    </row>
    <row r="392" spans="1:27" ht="72.75" x14ac:dyDescent="0.25">
      <c r="A392" s="3" t="s">
        <v>28</v>
      </c>
      <c r="B392" s="3" t="s">
        <v>29</v>
      </c>
      <c r="C392" s="3" t="s">
        <v>30</v>
      </c>
      <c r="D392" s="3" t="s">
        <v>63</v>
      </c>
      <c r="E392" s="3" t="s">
        <v>145</v>
      </c>
      <c r="F392" s="3" t="s">
        <v>260</v>
      </c>
      <c r="G392" s="3">
        <v>2025</v>
      </c>
      <c r="H392" s="3" t="str">
        <f>CONCATENATE("54240658986")</f>
        <v>54240658986</v>
      </c>
      <c r="I392" s="3" t="s">
        <v>34</v>
      </c>
      <c r="J392" s="3" t="s">
        <v>35</v>
      </c>
      <c r="K392" s="3"/>
      <c r="L392" s="3" t="s">
        <v>36</v>
      </c>
      <c r="M392" s="3" t="str">
        <f>CONCATENATE("LBRGRG81M19D542O")</f>
        <v>LBRGRG81M19D542O</v>
      </c>
      <c r="N392" s="3" t="s">
        <v>508</v>
      </c>
      <c r="O392" s="3" t="s">
        <v>38</v>
      </c>
      <c r="P392" s="3"/>
      <c r="Q392" s="4">
        <v>45944</v>
      </c>
      <c r="R392" s="3" t="s">
        <v>39</v>
      </c>
      <c r="S392" s="3" t="s">
        <v>38</v>
      </c>
      <c r="T392" s="3" t="s">
        <v>43</v>
      </c>
      <c r="U392" s="3"/>
      <c r="V392" s="3" t="s">
        <v>41</v>
      </c>
      <c r="W392" s="3">
        <v>391.31</v>
      </c>
      <c r="X392" s="3">
        <v>391.31</v>
      </c>
      <c r="Y392" s="3">
        <v>0</v>
      </c>
      <c r="Z392" s="3">
        <v>0</v>
      </c>
      <c r="AA392" s="3">
        <v>0</v>
      </c>
    </row>
    <row r="393" spans="1:27" ht="60.75" x14ac:dyDescent="0.25">
      <c r="A393" s="3" t="s">
        <v>28</v>
      </c>
      <c r="B393" s="3" t="s">
        <v>29</v>
      </c>
      <c r="C393" s="3" t="s">
        <v>30</v>
      </c>
      <c r="D393" s="3" t="s">
        <v>31</v>
      </c>
      <c r="E393" s="3" t="s">
        <v>91</v>
      </c>
      <c r="F393" s="3" t="s">
        <v>111</v>
      </c>
      <c r="G393" s="3">
        <v>2025</v>
      </c>
      <c r="H393" s="3" t="str">
        <f>CONCATENATE("54240659372")</f>
        <v>54240659372</v>
      </c>
      <c r="I393" s="3" t="s">
        <v>34</v>
      </c>
      <c r="J393" s="3" t="s">
        <v>35</v>
      </c>
      <c r="K393" s="3"/>
      <c r="L393" s="3" t="s">
        <v>36</v>
      </c>
      <c r="M393" s="3" t="str">
        <f>CONCATENATE("BNVDGI79T07G479T")</f>
        <v>BNVDGI79T07G479T</v>
      </c>
      <c r="N393" s="3" t="s">
        <v>509</v>
      </c>
      <c r="O393" s="3" t="s">
        <v>38</v>
      </c>
      <c r="P393" s="3"/>
      <c r="Q393" s="4">
        <v>45944</v>
      </c>
      <c r="R393" s="3" t="s">
        <v>39</v>
      </c>
      <c r="S393" s="3" t="s">
        <v>38</v>
      </c>
      <c r="T393" s="3" t="s">
        <v>43</v>
      </c>
      <c r="U393" s="3"/>
      <c r="V393" s="3" t="s">
        <v>41</v>
      </c>
      <c r="W393" s="3">
        <v>852.96</v>
      </c>
      <c r="X393" s="3">
        <v>852.96</v>
      </c>
      <c r="Y393" s="3">
        <v>0</v>
      </c>
      <c r="Z393" s="3">
        <v>0</v>
      </c>
      <c r="AA393" s="3">
        <v>0</v>
      </c>
    </row>
    <row r="394" spans="1:27" ht="36.75" x14ac:dyDescent="0.25">
      <c r="A394" s="3" t="s">
        <v>28</v>
      </c>
      <c r="B394" s="3" t="s">
        <v>29</v>
      </c>
      <c r="C394" s="3" t="s">
        <v>30</v>
      </c>
      <c r="D394" s="3" t="s">
        <v>31</v>
      </c>
      <c r="E394" s="3" t="s">
        <v>91</v>
      </c>
      <c r="F394" s="3" t="s">
        <v>111</v>
      </c>
      <c r="G394" s="3">
        <v>2025</v>
      </c>
      <c r="H394" s="3" t="str">
        <f>CONCATENATE("54240659497")</f>
        <v>54240659497</v>
      </c>
      <c r="I394" s="3" t="s">
        <v>34</v>
      </c>
      <c r="J394" s="3" t="s">
        <v>35</v>
      </c>
      <c r="K394" s="3"/>
      <c r="L394" s="3" t="s">
        <v>36</v>
      </c>
      <c r="M394" s="3" t="str">
        <f>CONCATENATE("02333860415")</f>
        <v>02333860415</v>
      </c>
      <c r="N394" s="3" t="s">
        <v>510</v>
      </c>
      <c r="O394" s="3" t="s">
        <v>38</v>
      </c>
      <c r="P394" s="3"/>
      <c r="Q394" s="4">
        <v>45944</v>
      </c>
      <c r="R394" s="3" t="s">
        <v>39</v>
      </c>
      <c r="S394" s="3" t="s">
        <v>38</v>
      </c>
      <c r="T394" s="3" t="s">
        <v>43</v>
      </c>
      <c r="U394" s="3"/>
      <c r="V394" s="3" t="s">
        <v>41</v>
      </c>
      <c r="W394" s="5">
        <v>4831.7299999999996</v>
      </c>
      <c r="X394" s="5">
        <v>4831.7299999999996</v>
      </c>
      <c r="Y394" s="3">
        <v>0</v>
      </c>
      <c r="Z394" s="3">
        <v>0</v>
      </c>
      <c r="AA394" s="3">
        <v>0</v>
      </c>
    </row>
    <row r="395" spans="1:27" ht="72.75" x14ac:dyDescent="0.25">
      <c r="A395" s="3" t="s">
        <v>28</v>
      </c>
      <c r="B395" s="3" t="s">
        <v>29</v>
      </c>
      <c r="C395" s="3" t="s">
        <v>30</v>
      </c>
      <c r="D395" s="3" t="s">
        <v>31</v>
      </c>
      <c r="E395" s="3" t="s">
        <v>91</v>
      </c>
      <c r="F395" s="3" t="s">
        <v>111</v>
      </c>
      <c r="G395" s="3">
        <v>2025</v>
      </c>
      <c r="H395" s="3" t="str">
        <f>CONCATENATE("54240663135")</f>
        <v>54240663135</v>
      </c>
      <c r="I395" s="3" t="s">
        <v>34</v>
      </c>
      <c r="J395" s="3" t="s">
        <v>35</v>
      </c>
      <c r="K395" s="3"/>
      <c r="L395" s="3" t="s">
        <v>36</v>
      </c>
      <c r="M395" s="3" t="str">
        <f>CONCATENATE("MCCGLN75D62G479B")</f>
        <v>MCCGLN75D62G479B</v>
      </c>
      <c r="N395" s="3" t="s">
        <v>511</v>
      </c>
      <c r="O395" s="3" t="s">
        <v>38</v>
      </c>
      <c r="P395" s="3"/>
      <c r="Q395" s="4">
        <v>45944</v>
      </c>
      <c r="R395" s="3" t="s">
        <v>39</v>
      </c>
      <c r="S395" s="3" t="s">
        <v>38</v>
      </c>
      <c r="T395" s="3" t="s">
        <v>43</v>
      </c>
      <c r="U395" s="3"/>
      <c r="V395" s="3" t="s">
        <v>41</v>
      </c>
      <c r="W395" s="5">
        <v>1855.98</v>
      </c>
      <c r="X395" s="5">
        <v>1855.98</v>
      </c>
      <c r="Y395" s="3">
        <v>0</v>
      </c>
      <c r="Z395" s="3">
        <v>0</v>
      </c>
      <c r="AA395" s="3">
        <v>0</v>
      </c>
    </row>
    <row r="396" spans="1:27" ht="60.75" x14ac:dyDescent="0.25">
      <c r="A396" s="3" t="s">
        <v>28</v>
      </c>
      <c r="B396" s="3" t="s">
        <v>29</v>
      </c>
      <c r="C396" s="3" t="s">
        <v>30</v>
      </c>
      <c r="D396" s="3" t="s">
        <v>49</v>
      </c>
      <c r="E396" s="3" t="s">
        <v>50</v>
      </c>
      <c r="F396" s="3" t="s">
        <v>51</v>
      </c>
      <c r="G396" s="3">
        <v>2025</v>
      </c>
      <c r="H396" s="3" t="str">
        <f>CONCATENATE("54240659836")</f>
        <v>54240659836</v>
      </c>
      <c r="I396" s="3" t="s">
        <v>34</v>
      </c>
      <c r="J396" s="3" t="s">
        <v>35</v>
      </c>
      <c r="K396" s="3"/>
      <c r="L396" s="3" t="s">
        <v>36</v>
      </c>
      <c r="M396" s="3" t="str">
        <f>CONCATENATE("CRVBRC82A52H211K")</f>
        <v>CRVBRC82A52H211K</v>
      </c>
      <c r="N396" s="3" t="s">
        <v>512</v>
      </c>
      <c r="O396" s="3" t="s">
        <v>38</v>
      </c>
      <c r="P396" s="3"/>
      <c r="Q396" s="4">
        <v>45944</v>
      </c>
      <c r="R396" s="3" t="s">
        <v>39</v>
      </c>
      <c r="S396" s="3" t="s">
        <v>38</v>
      </c>
      <c r="T396" s="3" t="s">
        <v>43</v>
      </c>
      <c r="U396" s="3"/>
      <c r="V396" s="3" t="s">
        <v>41</v>
      </c>
      <c r="W396" s="5">
        <v>1745.31</v>
      </c>
      <c r="X396" s="5">
        <v>1745.31</v>
      </c>
      <c r="Y396" s="3">
        <v>0</v>
      </c>
      <c r="Z396" s="3">
        <v>0</v>
      </c>
      <c r="AA396" s="3">
        <v>0</v>
      </c>
    </row>
    <row r="397" spans="1:27" ht="72.75" x14ac:dyDescent="0.25">
      <c r="A397" s="3" t="s">
        <v>28</v>
      </c>
      <c r="B397" s="3" t="s">
        <v>29</v>
      </c>
      <c r="C397" s="3" t="s">
        <v>30</v>
      </c>
      <c r="D397" s="3" t="s">
        <v>63</v>
      </c>
      <c r="E397" s="3" t="s">
        <v>74</v>
      </c>
      <c r="F397" s="3" t="s">
        <v>252</v>
      </c>
      <c r="G397" s="3">
        <v>2025</v>
      </c>
      <c r="H397" s="3" t="str">
        <f>CONCATENATE("54240660222")</f>
        <v>54240660222</v>
      </c>
      <c r="I397" s="3" t="s">
        <v>34</v>
      </c>
      <c r="J397" s="3" t="s">
        <v>35</v>
      </c>
      <c r="K397" s="3"/>
      <c r="L397" s="3" t="s">
        <v>36</v>
      </c>
      <c r="M397" s="3" t="str">
        <f>CONCATENATE("RRGVCN62M16D691B")</f>
        <v>RRGVCN62M16D691B</v>
      </c>
      <c r="N397" s="3" t="s">
        <v>513</v>
      </c>
      <c r="O397" s="3" t="s">
        <v>38</v>
      </c>
      <c r="P397" s="3"/>
      <c r="Q397" s="4">
        <v>45944</v>
      </c>
      <c r="R397" s="3" t="s">
        <v>39</v>
      </c>
      <c r="S397" s="3" t="s">
        <v>38</v>
      </c>
      <c r="T397" s="3" t="s">
        <v>43</v>
      </c>
      <c r="U397" s="3"/>
      <c r="V397" s="3" t="s">
        <v>41</v>
      </c>
      <c r="W397" s="5">
        <v>2965.21</v>
      </c>
      <c r="X397" s="5">
        <v>2965.21</v>
      </c>
      <c r="Y397" s="3">
        <v>0</v>
      </c>
      <c r="Z397" s="3">
        <v>0</v>
      </c>
      <c r="AA397" s="3">
        <v>0</v>
      </c>
    </row>
    <row r="398" spans="1:27" ht="60.75" x14ac:dyDescent="0.25">
      <c r="A398" s="3" t="s">
        <v>28</v>
      </c>
      <c r="B398" s="3" t="s">
        <v>29</v>
      </c>
      <c r="C398" s="3" t="s">
        <v>30</v>
      </c>
      <c r="D398" s="3" t="s">
        <v>63</v>
      </c>
      <c r="E398" s="3" t="s">
        <v>74</v>
      </c>
      <c r="F398" s="3" t="s">
        <v>252</v>
      </c>
      <c r="G398" s="3">
        <v>2025</v>
      </c>
      <c r="H398" s="3" t="str">
        <f>CONCATENATE("54240660248")</f>
        <v>54240660248</v>
      </c>
      <c r="I398" s="3" t="s">
        <v>34</v>
      </c>
      <c r="J398" s="3" t="s">
        <v>35</v>
      </c>
      <c r="K398" s="3"/>
      <c r="L398" s="3" t="s">
        <v>36</v>
      </c>
      <c r="M398" s="3" t="str">
        <f>CONCATENATE("BRTLRI86P48A252U")</f>
        <v>BRTLRI86P48A252U</v>
      </c>
      <c r="N398" s="3" t="s">
        <v>514</v>
      </c>
      <c r="O398" s="3" t="s">
        <v>38</v>
      </c>
      <c r="P398" s="3"/>
      <c r="Q398" s="4">
        <v>45944</v>
      </c>
      <c r="R398" s="3" t="s">
        <v>39</v>
      </c>
      <c r="S398" s="3" t="s">
        <v>38</v>
      </c>
      <c r="T398" s="3" t="s">
        <v>43</v>
      </c>
      <c r="U398" s="3"/>
      <c r="V398" s="3" t="s">
        <v>41</v>
      </c>
      <c r="W398" s="3">
        <v>600.83000000000004</v>
      </c>
      <c r="X398" s="3">
        <v>600.83000000000004</v>
      </c>
      <c r="Y398" s="3">
        <v>0</v>
      </c>
      <c r="Z398" s="3">
        <v>0</v>
      </c>
      <c r="AA398" s="3">
        <v>0</v>
      </c>
    </row>
    <row r="399" spans="1:27" ht="60.75" x14ac:dyDescent="0.25">
      <c r="A399" s="3" t="s">
        <v>28</v>
      </c>
      <c r="B399" s="3" t="s">
        <v>29</v>
      </c>
      <c r="C399" s="3" t="s">
        <v>30</v>
      </c>
      <c r="D399" s="3" t="s">
        <v>63</v>
      </c>
      <c r="E399" s="3" t="s">
        <v>74</v>
      </c>
      <c r="F399" s="3" t="s">
        <v>252</v>
      </c>
      <c r="G399" s="3">
        <v>2025</v>
      </c>
      <c r="H399" s="3" t="str">
        <f>CONCATENATE("54240660297")</f>
        <v>54240660297</v>
      </c>
      <c r="I399" s="3" t="s">
        <v>34</v>
      </c>
      <c r="J399" s="3" t="s">
        <v>35</v>
      </c>
      <c r="K399" s="3"/>
      <c r="L399" s="3" t="s">
        <v>36</v>
      </c>
      <c r="M399" s="3" t="str">
        <f>CONCATENATE("VLNGRL62H06C935Y")</f>
        <v>VLNGRL62H06C935Y</v>
      </c>
      <c r="N399" s="3" t="s">
        <v>515</v>
      </c>
      <c r="O399" s="3" t="s">
        <v>38</v>
      </c>
      <c r="P399" s="3"/>
      <c r="Q399" s="4">
        <v>45944</v>
      </c>
      <c r="R399" s="3" t="s">
        <v>39</v>
      </c>
      <c r="S399" s="3" t="s">
        <v>38</v>
      </c>
      <c r="T399" s="3" t="s">
        <v>43</v>
      </c>
      <c r="U399" s="3"/>
      <c r="V399" s="3" t="s">
        <v>41</v>
      </c>
      <c r="W399" s="3">
        <v>946.35</v>
      </c>
      <c r="X399" s="3">
        <v>946.35</v>
      </c>
      <c r="Y399" s="3">
        <v>0</v>
      </c>
      <c r="Z399" s="3">
        <v>0</v>
      </c>
      <c r="AA399" s="3">
        <v>0</v>
      </c>
    </row>
    <row r="400" spans="1:27" ht="60.75" x14ac:dyDescent="0.25">
      <c r="A400" s="3" t="s">
        <v>28</v>
      </c>
      <c r="B400" s="3" t="s">
        <v>29</v>
      </c>
      <c r="C400" s="3" t="s">
        <v>30</v>
      </c>
      <c r="D400" s="3" t="s">
        <v>63</v>
      </c>
      <c r="E400" s="3" t="s">
        <v>74</v>
      </c>
      <c r="F400" s="3" t="s">
        <v>252</v>
      </c>
      <c r="G400" s="3">
        <v>2025</v>
      </c>
      <c r="H400" s="3" t="str">
        <f>CONCATENATE("54240660404")</f>
        <v>54240660404</v>
      </c>
      <c r="I400" s="3" t="s">
        <v>34</v>
      </c>
      <c r="J400" s="3" t="s">
        <v>35</v>
      </c>
      <c r="K400" s="3"/>
      <c r="L400" s="3" t="s">
        <v>36</v>
      </c>
      <c r="M400" s="3" t="str">
        <f>CONCATENATE("CCCTRS54B53F268R")</f>
        <v>CCCTRS54B53F268R</v>
      </c>
      <c r="N400" s="3" t="s">
        <v>516</v>
      </c>
      <c r="O400" s="3" t="s">
        <v>38</v>
      </c>
      <c r="P400" s="3"/>
      <c r="Q400" s="4">
        <v>45944</v>
      </c>
      <c r="R400" s="3" t="s">
        <v>39</v>
      </c>
      <c r="S400" s="3" t="s">
        <v>38</v>
      </c>
      <c r="T400" s="3" t="s">
        <v>43</v>
      </c>
      <c r="U400" s="3"/>
      <c r="V400" s="3" t="s">
        <v>41</v>
      </c>
      <c r="W400" s="5">
        <v>3196.73</v>
      </c>
      <c r="X400" s="5">
        <v>3196.73</v>
      </c>
      <c r="Y400" s="3">
        <v>0</v>
      </c>
      <c r="Z400" s="3">
        <v>0</v>
      </c>
      <c r="AA400" s="3">
        <v>0</v>
      </c>
    </row>
    <row r="401" spans="1:27" ht="36.75" x14ac:dyDescent="0.25">
      <c r="A401" s="3" t="s">
        <v>28</v>
      </c>
      <c r="B401" s="3" t="s">
        <v>29</v>
      </c>
      <c r="C401" s="3" t="s">
        <v>30</v>
      </c>
      <c r="D401" s="3" t="s">
        <v>63</v>
      </c>
      <c r="E401" s="3" t="s">
        <v>74</v>
      </c>
      <c r="F401" s="3" t="s">
        <v>252</v>
      </c>
      <c r="G401" s="3">
        <v>2025</v>
      </c>
      <c r="H401" s="3" t="str">
        <f>CONCATENATE("54240660305")</f>
        <v>54240660305</v>
      </c>
      <c r="I401" s="3" t="s">
        <v>34</v>
      </c>
      <c r="J401" s="3" t="s">
        <v>35</v>
      </c>
      <c r="K401" s="3"/>
      <c r="L401" s="3" t="s">
        <v>36</v>
      </c>
      <c r="M401" s="3" t="str">
        <f>CONCATENATE("02274660444")</f>
        <v>02274660444</v>
      </c>
      <c r="N401" s="3" t="s">
        <v>517</v>
      </c>
      <c r="O401" s="3" t="s">
        <v>38</v>
      </c>
      <c r="P401" s="3"/>
      <c r="Q401" s="4">
        <v>45944</v>
      </c>
      <c r="R401" s="3" t="s">
        <v>39</v>
      </c>
      <c r="S401" s="3" t="s">
        <v>38</v>
      </c>
      <c r="T401" s="3" t="s">
        <v>43</v>
      </c>
      <c r="U401" s="3"/>
      <c r="V401" s="3" t="s">
        <v>41</v>
      </c>
      <c r="W401" s="3">
        <v>842.15</v>
      </c>
      <c r="X401" s="3">
        <v>842.15</v>
      </c>
      <c r="Y401" s="3">
        <v>0</v>
      </c>
      <c r="Z401" s="3">
        <v>0</v>
      </c>
      <c r="AA401" s="3">
        <v>0</v>
      </c>
    </row>
    <row r="402" spans="1:27" ht="60.75" x14ac:dyDescent="0.25">
      <c r="A402" s="3" t="s">
        <v>28</v>
      </c>
      <c r="B402" s="3" t="s">
        <v>29</v>
      </c>
      <c r="C402" s="3" t="s">
        <v>30</v>
      </c>
      <c r="D402" s="3" t="s">
        <v>63</v>
      </c>
      <c r="E402" s="3" t="s">
        <v>74</v>
      </c>
      <c r="F402" s="3" t="s">
        <v>252</v>
      </c>
      <c r="G402" s="3">
        <v>2025</v>
      </c>
      <c r="H402" s="3" t="str">
        <f>CONCATENATE("54240660552")</f>
        <v>54240660552</v>
      </c>
      <c r="I402" s="3" t="s">
        <v>34</v>
      </c>
      <c r="J402" s="3" t="s">
        <v>35</v>
      </c>
      <c r="K402" s="3"/>
      <c r="L402" s="3" t="s">
        <v>36</v>
      </c>
      <c r="M402" s="3" t="str">
        <f>CONCATENATE("CRTGRL71M70L597Z")</f>
        <v>CRTGRL71M70L597Z</v>
      </c>
      <c r="N402" s="3" t="s">
        <v>518</v>
      </c>
      <c r="O402" s="3" t="s">
        <v>38</v>
      </c>
      <c r="P402" s="3"/>
      <c r="Q402" s="4">
        <v>45944</v>
      </c>
      <c r="R402" s="3" t="s">
        <v>39</v>
      </c>
      <c r="S402" s="3" t="s">
        <v>38</v>
      </c>
      <c r="T402" s="3" t="s">
        <v>43</v>
      </c>
      <c r="U402" s="3"/>
      <c r="V402" s="3" t="s">
        <v>41</v>
      </c>
      <c r="W402" s="5">
        <v>8213.52</v>
      </c>
      <c r="X402" s="5">
        <v>8213.52</v>
      </c>
      <c r="Y402" s="3">
        <v>0</v>
      </c>
      <c r="Z402" s="3">
        <v>0</v>
      </c>
      <c r="AA402" s="3">
        <v>0</v>
      </c>
    </row>
    <row r="403" spans="1:27" ht="36.75" x14ac:dyDescent="0.25">
      <c r="A403" s="3" t="s">
        <v>28</v>
      </c>
      <c r="B403" s="3" t="s">
        <v>29</v>
      </c>
      <c r="C403" s="3" t="s">
        <v>30</v>
      </c>
      <c r="D403" s="3" t="s">
        <v>49</v>
      </c>
      <c r="E403" s="3" t="s">
        <v>32</v>
      </c>
      <c r="F403" s="3" t="s">
        <v>420</v>
      </c>
      <c r="G403" s="3">
        <v>2025</v>
      </c>
      <c r="H403" s="3" t="str">
        <f>CONCATENATE("54240662640")</f>
        <v>54240662640</v>
      </c>
      <c r="I403" s="3" t="s">
        <v>34</v>
      </c>
      <c r="J403" s="3" t="s">
        <v>35</v>
      </c>
      <c r="K403" s="3"/>
      <c r="L403" s="3" t="s">
        <v>36</v>
      </c>
      <c r="M403" s="3" t="str">
        <f>CONCATENATE("02054690439")</f>
        <v>02054690439</v>
      </c>
      <c r="N403" s="3" t="s">
        <v>519</v>
      </c>
      <c r="O403" s="3" t="s">
        <v>38</v>
      </c>
      <c r="P403" s="3"/>
      <c r="Q403" s="4">
        <v>45944</v>
      </c>
      <c r="R403" s="3" t="s">
        <v>39</v>
      </c>
      <c r="S403" s="3" t="s">
        <v>38</v>
      </c>
      <c r="T403" s="3" t="s">
        <v>43</v>
      </c>
      <c r="U403" s="3"/>
      <c r="V403" s="3" t="s">
        <v>41</v>
      </c>
      <c r="W403" s="5">
        <v>11911.73</v>
      </c>
      <c r="X403" s="5">
        <v>11911.73</v>
      </c>
      <c r="Y403" s="3">
        <v>0</v>
      </c>
      <c r="Z403" s="3">
        <v>0</v>
      </c>
      <c r="AA403" s="3">
        <v>0</v>
      </c>
    </row>
    <row r="404" spans="1:27" ht="36.75" x14ac:dyDescent="0.25">
      <c r="A404" s="3" t="s">
        <v>28</v>
      </c>
      <c r="B404" s="3" t="s">
        <v>29</v>
      </c>
      <c r="C404" s="3" t="s">
        <v>30</v>
      </c>
      <c r="D404" s="3" t="s">
        <v>63</v>
      </c>
      <c r="E404" s="3" t="s">
        <v>74</v>
      </c>
      <c r="F404" s="3" t="s">
        <v>252</v>
      </c>
      <c r="G404" s="3">
        <v>2025</v>
      </c>
      <c r="H404" s="3" t="str">
        <f>CONCATENATE("54240661410")</f>
        <v>54240661410</v>
      </c>
      <c r="I404" s="3" t="s">
        <v>34</v>
      </c>
      <c r="J404" s="3" t="s">
        <v>35</v>
      </c>
      <c r="K404" s="3"/>
      <c r="L404" s="3" t="s">
        <v>36</v>
      </c>
      <c r="M404" s="3" t="str">
        <f>CONCATENATE("02512350444")</f>
        <v>02512350444</v>
      </c>
      <c r="N404" s="3" t="s">
        <v>520</v>
      </c>
      <c r="O404" s="3" t="s">
        <v>38</v>
      </c>
      <c r="P404" s="3"/>
      <c r="Q404" s="4">
        <v>45944</v>
      </c>
      <c r="R404" s="3" t="s">
        <v>39</v>
      </c>
      <c r="S404" s="3" t="s">
        <v>38</v>
      </c>
      <c r="T404" s="3" t="s">
        <v>43</v>
      </c>
      <c r="U404" s="3"/>
      <c r="V404" s="3" t="s">
        <v>41</v>
      </c>
      <c r="W404" s="5">
        <v>3103.75</v>
      </c>
      <c r="X404" s="5">
        <v>3103.75</v>
      </c>
      <c r="Y404" s="3">
        <v>0</v>
      </c>
      <c r="Z404" s="3">
        <v>0</v>
      </c>
      <c r="AA404" s="3">
        <v>0</v>
      </c>
    </row>
    <row r="405" spans="1:27" ht="60.75" x14ac:dyDescent="0.25">
      <c r="A405" s="3" t="s">
        <v>28</v>
      </c>
      <c r="B405" s="3" t="s">
        <v>29</v>
      </c>
      <c r="C405" s="3" t="s">
        <v>30</v>
      </c>
      <c r="D405" s="3" t="s">
        <v>49</v>
      </c>
      <c r="E405" s="3" t="s">
        <v>46</v>
      </c>
      <c r="F405" s="3" t="s">
        <v>131</v>
      </c>
      <c r="G405" s="3">
        <v>2025</v>
      </c>
      <c r="H405" s="3" t="str">
        <f>CONCATENATE("54240517406")</f>
        <v>54240517406</v>
      </c>
      <c r="I405" s="3" t="s">
        <v>34</v>
      </c>
      <c r="J405" s="3" t="s">
        <v>35</v>
      </c>
      <c r="K405" s="3"/>
      <c r="L405" s="3" t="s">
        <v>36</v>
      </c>
      <c r="M405" s="3" t="str">
        <f>CONCATENATE("LNAFNC51L28D564L")</f>
        <v>LNAFNC51L28D564L</v>
      </c>
      <c r="N405" s="3" t="s">
        <v>521</v>
      </c>
      <c r="O405" s="3" t="s">
        <v>38</v>
      </c>
      <c r="P405" s="3"/>
      <c r="Q405" s="4">
        <v>45944</v>
      </c>
      <c r="R405" s="3" t="s">
        <v>39</v>
      </c>
      <c r="S405" s="3" t="s">
        <v>38</v>
      </c>
      <c r="T405" s="3" t="s">
        <v>43</v>
      </c>
      <c r="U405" s="3"/>
      <c r="V405" s="3" t="s">
        <v>41</v>
      </c>
      <c r="W405" s="5">
        <v>3786.85</v>
      </c>
      <c r="X405" s="5">
        <v>3786.85</v>
      </c>
      <c r="Y405" s="3">
        <v>0</v>
      </c>
      <c r="Z405" s="3">
        <v>0</v>
      </c>
      <c r="AA405" s="3">
        <v>0</v>
      </c>
    </row>
    <row r="406" spans="1:27" ht="60.75" x14ac:dyDescent="0.25">
      <c r="A406" s="3" t="s">
        <v>28</v>
      </c>
      <c r="B406" s="3" t="s">
        <v>29</v>
      </c>
      <c r="C406" s="3" t="s">
        <v>30</v>
      </c>
      <c r="D406" s="3" t="s">
        <v>31</v>
      </c>
      <c r="E406" s="3" t="s">
        <v>46</v>
      </c>
      <c r="F406" s="3" t="s">
        <v>108</v>
      </c>
      <c r="G406" s="3">
        <v>2025</v>
      </c>
      <c r="H406" s="3" t="str">
        <f>CONCATENATE("54240517869")</f>
        <v>54240517869</v>
      </c>
      <c r="I406" s="3" t="s">
        <v>34</v>
      </c>
      <c r="J406" s="3" t="s">
        <v>35</v>
      </c>
      <c r="K406" s="3"/>
      <c r="L406" s="3" t="s">
        <v>36</v>
      </c>
      <c r="M406" s="3" t="str">
        <f>CONCATENATE("FTTFNC83S29L500Z")</f>
        <v>FTTFNC83S29L500Z</v>
      </c>
      <c r="N406" s="3" t="s">
        <v>522</v>
      </c>
      <c r="O406" s="3" t="s">
        <v>38</v>
      </c>
      <c r="P406" s="3"/>
      <c r="Q406" s="4">
        <v>45944</v>
      </c>
      <c r="R406" s="3" t="s">
        <v>39</v>
      </c>
      <c r="S406" s="3" t="s">
        <v>38</v>
      </c>
      <c r="T406" s="3" t="s">
        <v>43</v>
      </c>
      <c r="U406" s="3"/>
      <c r="V406" s="3" t="s">
        <v>41</v>
      </c>
      <c r="W406" s="5">
        <v>3106.97</v>
      </c>
      <c r="X406" s="5">
        <v>3106.97</v>
      </c>
      <c r="Y406" s="3">
        <v>0</v>
      </c>
      <c r="Z406" s="3">
        <v>0</v>
      </c>
      <c r="AA406" s="3">
        <v>0</v>
      </c>
    </row>
    <row r="407" spans="1:27" ht="60.75" x14ac:dyDescent="0.25">
      <c r="A407" s="3" t="s">
        <v>28</v>
      </c>
      <c r="B407" s="3" t="s">
        <v>29</v>
      </c>
      <c r="C407" s="3" t="s">
        <v>30</v>
      </c>
      <c r="D407" s="3" t="s">
        <v>49</v>
      </c>
      <c r="E407" s="3" t="s">
        <v>91</v>
      </c>
      <c r="F407" s="3" t="s">
        <v>92</v>
      </c>
      <c r="G407" s="3">
        <v>2025</v>
      </c>
      <c r="H407" s="3" t="str">
        <f>CONCATENATE("54240518321")</f>
        <v>54240518321</v>
      </c>
      <c r="I407" s="3" t="s">
        <v>34</v>
      </c>
      <c r="J407" s="3" t="s">
        <v>35</v>
      </c>
      <c r="K407" s="3"/>
      <c r="L407" s="3" t="s">
        <v>36</v>
      </c>
      <c r="M407" s="3" t="str">
        <f>CONCATENATE("GRDDVD94T08A271V")</f>
        <v>GRDDVD94T08A271V</v>
      </c>
      <c r="N407" s="3" t="s">
        <v>523</v>
      </c>
      <c r="O407" s="3" t="s">
        <v>38</v>
      </c>
      <c r="P407" s="3"/>
      <c r="Q407" s="4">
        <v>45944</v>
      </c>
      <c r="R407" s="3" t="s">
        <v>39</v>
      </c>
      <c r="S407" s="3" t="s">
        <v>38</v>
      </c>
      <c r="T407" s="3" t="s">
        <v>43</v>
      </c>
      <c r="U407" s="3"/>
      <c r="V407" s="3" t="s">
        <v>41</v>
      </c>
      <c r="W407" s="5">
        <v>1990.57</v>
      </c>
      <c r="X407" s="5">
        <v>1990.57</v>
      </c>
      <c r="Y407" s="3">
        <v>0</v>
      </c>
      <c r="Z407" s="3">
        <v>0</v>
      </c>
      <c r="AA407" s="3">
        <v>0</v>
      </c>
    </row>
    <row r="408" spans="1:27" ht="60.75" x14ac:dyDescent="0.25">
      <c r="A408" s="3" t="s">
        <v>28</v>
      </c>
      <c r="B408" s="3" t="s">
        <v>29</v>
      </c>
      <c r="C408" s="3" t="s">
        <v>30</v>
      </c>
      <c r="D408" s="3" t="s">
        <v>49</v>
      </c>
      <c r="E408" s="3" t="s">
        <v>46</v>
      </c>
      <c r="F408" s="3" t="s">
        <v>140</v>
      </c>
      <c r="G408" s="3">
        <v>2025</v>
      </c>
      <c r="H408" s="3" t="str">
        <f>CONCATENATE("54240518669")</f>
        <v>54240518669</v>
      </c>
      <c r="I408" s="3" t="s">
        <v>34</v>
      </c>
      <c r="J408" s="3" t="s">
        <v>35</v>
      </c>
      <c r="K408" s="3"/>
      <c r="L408" s="3" t="s">
        <v>36</v>
      </c>
      <c r="M408" s="3" t="str">
        <f>CONCATENATE("MSCMRT02P28I156F")</f>
        <v>MSCMRT02P28I156F</v>
      </c>
      <c r="N408" s="3" t="s">
        <v>524</v>
      </c>
      <c r="O408" s="3" t="s">
        <v>38</v>
      </c>
      <c r="P408" s="3"/>
      <c r="Q408" s="4">
        <v>45944</v>
      </c>
      <c r="R408" s="3" t="s">
        <v>39</v>
      </c>
      <c r="S408" s="3" t="s">
        <v>38</v>
      </c>
      <c r="T408" s="3" t="s">
        <v>43</v>
      </c>
      <c r="U408" s="3"/>
      <c r="V408" s="3" t="s">
        <v>41</v>
      </c>
      <c r="W408" s="5">
        <v>8016.1</v>
      </c>
      <c r="X408" s="5">
        <v>8016.1</v>
      </c>
      <c r="Y408" s="3">
        <v>0</v>
      </c>
      <c r="Z408" s="3">
        <v>0</v>
      </c>
      <c r="AA408" s="3">
        <v>0</v>
      </c>
    </row>
    <row r="409" spans="1:27" ht="60.75" x14ac:dyDescent="0.25">
      <c r="A409" s="3" t="s">
        <v>28</v>
      </c>
      <c r="B409" s="3" t="s">
        <v>29</v>
      </c>
      <c r="C409" s="3" t="s">
        <v>30</v>
      </c>
      <c r="D409" s="3" t="s">
        <v>63</v>
      </c>
      <c r="E409" s="3" t="s">
        <v>53</v>
      </c>
      <c r="F409" s="3" t="s">
        <v>180</v>
      </c>
      <c r="G409" s="3">
        <v>2025</v>
      </c>
      <c r="H409" s="3" t="str">
        <f>CONCATENATE("54240518354")</f>
        <v>54240518354</v>
      </c>
      <c r="I409" s="3" t="s">
        <v>34</v>
      </c>
      <c r="J409" s="3" t="s">
        <v>35</v>
      </c>
      <c r="K409" s="3"/>
      <c r="L409" s="3" t="s">
        <v>36</v>
      </c>
      <c r="M409" s="3" t="str">
        <f>CONCATENATE("GLAFNN40S17E868W")</f>
        <v>GLAFNN40S17E868W</v>
      </c>
      <c r="N409" s="3" t="s">
        <v>525</v>
      </c>
      <c r="O409" s="3" t="s">
        <v>38</v>
      </c>
      <c r="P409" s="3"/>
      <c r="Q409" s="4">
        <v>45944</v>
      </c>
      <c r="R409" s="3" t="s">
        <v>39</v>
      </c>
      <c r="S409" s="3" t="s">
        <v>38</v>
      </c>
      <c r="T409" s="3" t="s">
        <v>43</v>
      </c>
      <c r="U409" s="3"/>
      <c r="V409" s="3" t="s">
        <v>41</v>
      </c>
      <c r="W409" s="5">
        <v>1652.41</v>
      </c>
      <c r="X409" s="5">
        <v>1652.41</v>
      </c>
      <c r="Y409" s="3">
        <v>0</v>
      </c>
      <c r="Z409" s="3">
        <v>0</v>
      </c>
      <c r="AA409" s="3">
        <v>0</v>
      </c>
    </row>
    <row r="410" spans="1:27" ht="60.75" x14ac:dyDescent="0.25">
      <c r="A410" s="3" t="s">
        <v>28</v>
      </c>
      <c r="B410" s="3" t="s">
        <v>29</v>
      </c>
      <c r="C410" s="3" t="s">
        <v>30</v>
      </c>
      <c r="D410" s="3" t="s">
        <v>63</v>
      </c>
      <c r="E410" s="3" t="s">
        <v>32</v>
      </c>
      <c r="F410" s="3" t="s">
        <v>392</v>
      </c>
      <c r="G410" s="3">
        <v>2025</v>
      </c>
      <c r="H410" s="3" t="str">
        <f>CONCATENATE("54240518446")</f>
        <v>54240518446</v>
      </c>
      <c r="I410" s="3" t="s">
        <v>34</v>
      </c>
      <c r="J410" s="3" t="s">
        <v>35</v>
      </c>
      <c r="K410" s="3"/>
      <c r="L410" s="3" t="s">
        <v>36</v>
      </c>
      <c r="M410" s="3" t="str">
        <f>CONCATENATE("LNDVNT83L19H769B")</f>
        <v>LNDVNT83L19H769B</v>
      </c>
      <c r="N410" s="3" t="s">
        <v>526</v>
      </c>
      <c r="O410" s="3" t="s">
        <v>38</v>
      </c>
      <c r="P410" s="3"/>
      <c r="Q410" s="4">
        <v>45944</v>
      </c>
      <c r="R410" s="3" t="s">
        <v>39</v>
      </c>
      <c r="S410" s="3" t="s">
        <v>38</v>
      </c>
      <c r="T410" s="3" t="s">
        <v>43</v>
      </c>
      <c r="U410" s="3"/>
      <c r="V410" s="3" t="s">
        <v>41</v>
      </c>
      <c r="W410" s="5">
        <v>12469.11</v>
      </c>
      <c r="X410" s="5">
        <v>12469.11</v>
      </c>
      <c r="Y410" s="3">
        <v>0</v>
      </c>
      <c r="Z410" s="3">
        <v>0</v>
      </c>
      <c r="AA410" s="3">
        <v>0</v>
      </c>
    </row>
    <row r="411" spans="1:27" ht="36.75" x14ac:dyDescent="0.25">
      <c r="A411" s="3" t="s">
        <v>28</v>
      </c>
      <c r="B411" s="3" t="s">
        <v>29</v>
      </c>
      <c r="C411" s="3" t="s">
        <v>30</v>
      </c>
      <c r="D411" s="3" t="s">
        <v>31</v>
      </c>
      <c r="E411" s="3" t="s">
        <v>91</v>
      </c>
      <c r="F411" s="3" t="s">
        <v>111</v>
      </c>
      <c r="G411" s="3">
        <v>2025</v>
      </c>
      <c r="H411" s="3" t="str">
        <f>CONCATENATE("54240527793")</f>
        <v>54240527793</v>
      </c>
      <c r="I411" s="3" t="s">
        <v>34</v>
      </c>
      <c r="J411" s="3" t="s">
        <v>35</v>
      </c>
      <c r="K411" s="3"/>
      <c r="L411" s="3" t="s">
        <v>36</v>
      </c>
      <c r="M411" s="3" t="str">
        <f>CONCATENATE("00199680547")</f>
        <v>00199680547</v>
      </c>
      <c r="N411" s="3" t="s">
        <v>527</v>
      </c>
      <c r="O411" s="3" t="s">
        <v>38</v>
      </c>
      <c r="P411" s="3"/>
      <c r="Q411" s="4">
        <v>45944</v>
      </c>
      <c r="R411" s="3" t="s">
        <v>39</v>
      </c>
      <c r="S411" s="3" t="s">
        <v>38</v>
      </c>
      <c r="T411" s="3" t="s">
        <v>43</v>
      </c>
      <c r="U411" s="3"/>
      <c r="V411" s="3" t="s">
        <v>41</v>
      </c>
      <c r="W411" s="5">
        <v>8690.2099999999991</v>
      </c>
      <c r="X411" s="5">
        <v>8690.2099999999991</v>
      </c>
      <c r="Y411" s="3">
        <v>0</v>
      </c>
      <c r="Z411" s="3">
        <v>0</v>
      </c>
      <c r="AA411" s="3">
        <v>0</v>
      </c>
    </row>
    <row r="412" spans="1:27" ht="60.75" x14ac:dyDescent="0.25">
      <c r="A412" s="3" t="s">
        <v>28</v>
      </c>
      <c r="B412" s="3" t="s">
        <v>29</v>
      </c>
      <c r="C412" s="3" t="s">
        <v>30</v>
      </c>
      <c r="D412" s="3" t="s">
        <v>49</v>
      </c>
      <c r="E412" s="3" t="s">
        <v>53</v>
      </c>
      <c r="F412" s="3" t="s">
        <v>136</v>
      </c>
      <c r="G412" s="3">
        <v>2025</v>
      </c>
      <c r="H412" s="3" t="str">
        <f>CONCATENATE("54240518768")</f>
        <v>54240518768</v>
      </c>
      <c r="I412" s="3" t="s">
        <v>34</v>
      </c>
      <c r="J412" s="3" t="s">
        <v>35</v>
      </c>
      <c r="K412" s="3"/>
      <c r="L412" s="3" t="s">
        <v>36</v>
      </c>
      <c r="M412" s="3" t="str">
        <f>CONCATENATE("CCCLRA79D57E783S")</f>
        <v>CCCLRA79D57E783S</v>
      </c>
      <c r="N412" s="3" t="s">
        <v>528</v>
      </c>
      <c r="O412" s="3" t="s">
        <v>38</v>
      </c>
      <c r="P412" s="3"/>
      <c r="Q412" s="4">
        <v>45944</v>
      </c>
      <c r="R412" s="3" t="s">
        <v>39</v>
      </c>
      <c r="S412" s="3" t="s">
        <v>38</v>
      </c>
      <c r="T412" s="3" t="s">
        <v>43</v>
      </c>
      <c r="U412" s="3"/>
      <c r="V412" s="3" t="s">
        <v>41</v>
      </c>
      <c r="W412" s="5">
        <v>1944.26</v>
      </c>
      <c r="X412" s="5">
        <v>1944.26</v>
      </c>
      <c r="Y412" s="3">
        <v>0</v>
      </c>
      <c r="Z412" s="3">
        <v>0</v>
      </c>
      <c r="AA412" s="3">
        <v>0</v>
      </c>
    </row>
    <row r="413" spans="1:27" ht="36.75" x14ac:dyDescent="0.25">
      <c r="A413" s="3" t="s">
        <v>28</v>
      </c>
      <c r="B413" s="3" t="s">
        <v>29</v>
      </c>
      <c r="C413" s="3" t="s">
        <v>30</v>
      </c>
      <c r="D413" s="3" t="s">
        <v>49</v>
      </c>
      <c r="E413" s="3" t="s">
        <v>46</v>
      </c>
      <c r="F413" s="3" t="s">
        <v>131</v>
      </c>
      <c r="G413" s="3">
        <v>2025</v>
      </c>
      <c r="H413" s="3" t="str">
        <f>CONCATENATE("54240518784")</f>
        <v>54240518784</v>
      </c>
      <c r="I413" s="3" t="s">
        <v>34</v>
      </c>
      <c r="J413" s="3" t="s">
        <v>35</v>
      </c>
      <c r="K413" s="3"/>
      <c r="L413" s="3" t="s">
        <v>36</v>
      </c>
      <c r="M413" s="3" t="str">
        <f>CONCATENATE("01973660432")</f>
        <v>01973660432</v>
      </c>
      <c r="N413" s="3" t="s">
        <v>529</v>
      </c>
      <c r="O413" s="3" t="s">
        <v>38</v>
      </c>
      <c r="P413" s="3"/>
      <c r="Q413" s="4">
        <v>45944</v>
      </c>
      <c r="R413" s="3" t="s">
        <v>39</v>
      </c>
      <c r="S413" s="3" t="s">
        <v>38</v>
      </c>
      <c r="T413" s="3" t="s">
        <v>43</v>
      </c>
      <c r="U413" s="3"/>
      <c r="V413" s="3" t="s">
        <v>41</v>
      </c>
      <c r="W413" s="5">
        <v>3899.74</v>
      </c>
      <c r="X413" s="5">
        <v>3899.74</v>
      </c>
      <c r="Y413" s="3">
        <v>0</v>
      </c>
      <c r="Z413" s="3">
        <v>0</v>
      </c>
      <c r="AA413" s="3">
        <v>0</v>
      </c>
    </row>
    <row r="414" spans="1:27" ht="60.75" x14ac:dyDescent="0.25">
      <c r="A414" s="3" t="s">
        <v>28</v>
      </c>
      <c r="B414" s="3" t="s">
        <v>29</v>
      </c>
      <c r="C414" s="3" t="s">
        <v>30</v>
      </c>
      <c r="D414" s="3" t="s">
        <v>31</v>
      </c>
      <c r="E414" s="3" t="s">
        <v>53</v>
      </c>
      <c r="F414" s="3" t="s">
        <v>414</v>
      </c>
      <c r="G414" s="3">
        <v>2025</v>
      </c>
      <c r="H414" s="3" t="str">
        <f>CONCATENATE("54240518685")</f>
        <v>54240518685</v>
      </c>
      <c r="I414" s="3" t="s">
        <v>34</v>
      </c>
      <c r="J414" s="3" t="s">
        <v>35</v>
      </c>
      <c r="K414" s="3"/>
      <c r="L414" s="3" t="s">
        <v>36</v>
      </c>
      <c r="M414" s="3" t="str">
        <f>CONCATENATE("BNCNCL78B20D488K")</f>
        <v>BNCNCL78B20D488K</v>
      </c>
      <c r="N414" s="3" t="s">
        <v>530</v>
      </c>
      <c r="O414" s="3" t="s">
        <v>38</v>
      </c>
      <c r="P414" s="3"/>
      <c r="Q414" s="4">
        <v>45944</v>
      </c>
      <c r="R414" s="3" t="s">
        <v>39</v>
      </c>
      <c r="S414" s="3" t="s">
        <v>38</v>
      </c>
      <c r="T414" s="3" t="s">
        <v>43</v>
      </c>
      <c r="U414" s="3"/>
      <c r="V414" s="3" t="s">
        <v>41</v>
      </c>
      <c r="W414" s="5">
        <v>1061.46</v>
      </c>
      <c r="X414" s="5">
        <v>1061.46</v>
      </c>
      <c r="Y414" s="3">
        <v>0</v>
      </c>
      <c r="Z414" s="3">
        <v>0</v>
      </c>
      <c r="AA414" s="3">
        <v>0</v>
      </c>
    </row>
    <row r="415" spans="1:27" ht="60.75" x14ac:dyDescent="0.25">
      <c r="A415" s="3" t="s">
        <v>28</v>
      </c>
      <c r="B415" s="3" t="s">
        <v>29</v>
      </c>
      <c r="C415" s="3" t="s">
        <v>30</v>
      </c>
      <c r="D415" s="3" t="s">
        <v>49</v>
      </c>
      <c r="E415" s="3" t="s">
        <v>46</v>
      </c>
      <c r="F415" s="3" t="s">
        <v>131</v>
      </c>
      <c r="G415" s="3">
        <v>2025</v>
      </c>
      <c r="H415" s="3" t="str">
        <f>CONCATENATE("54240516606")</f>
        <v>54240516606</v>
      </c>
      <c r="I415" s="3" t="s">
        <v>34</v>
      </c>
      <c r="J415" s="3" t="s">
        <v>35</v>
      </c>
      <c r="K415" s="3"/>
      <c r="L415" s="3" t="s">
        <v>36</v>
      </c>
      <c r="M415" s="3" t="str">
        <f>CONCATENATE("FBAGNN96E44B474Z")</f>
        <v>FBAGNN96E44B474Z</v>
      </c>
      <c r="N415" s="3" t="s">
        <v>531</v>
      </c>
      <c r="O415" s="3" t="s">
        <v>38</v>
      </c>
      <c r="P415" s="3"/>
      <c r="Q415" s="4">
        <v>45944</v>
      </c>
      <c r="R415" s="3" t="s">
        <v>39</v>
      </c>
      <c r="S415" s="3" t="s">
        <v>38</v>
      </c>
      <c r="T415" s="3" t="s">
        <v>43</v>
      </c>
      <c r="U415" s="3"/>
      <c r="V415" s="3" t="s">
        <v>41</v>
      </c>
      <c r="W415" s="5">
        <v>2140.2800000000002</v>
      </c>
      <c r="X415" s="5">
        <v>2140.2800000000002</v>
      </c>
      <c r="Y415" s="3">
        <v>0</v>
      </c>
      <c r="Z415" s="3">
        <v>0</v>
      </c>
      <c r="AA415" s="3">
        <v>0</v>
      </c>
    </row>
    <row r="416" spans="1:27" ht="36.75" x14ac:dyDescent="0.25">
      <c r="A416" s="3" t="s">
        <v>28</v>
      </c>
      <c r="B416" s="3" t="s">
        <v>29</v>
      </c>
      <c r="C416" s="3" t="s">
        <v>30</v>
      </c>
      <c r="D416" s="3" t="s">
        <v>49</v>
      </c>
      <c r="E416" s="3" t="s">
        <v>46</v>
      </c>
      <c r="F416" s="3" t="s">
        <v>131</v>
      </c>
      <c r="G416" s="3">
        <v>2025</v>
      </c>
      <c r="H416" s="3" t="str">
        <f>CONCATENATE("54240516622")</f>
        <v>54240516622</v>
      </c>
      <c r="I416" s="3" t="s">
        <v>34</v>
      </c>
      <c r="J416" s="3" t="s">
        <v>35</v>
      </c>
      <c r="K416" s="3"/>
      <c r="L416" s="3" t="s">
        <v>36</v>
      </c>
      <c r="M416" s="3" t="str">
        <f>CONCATENATE("01888560438")</f>
        <v>01888560438</v>
      </c>
      <c r="N416" s="3" t="s">
        <v>532</v>
      </c>
      <c r="O416" s="3" t="s">
        <v>38</v>
      </c>
      <c r="P416" s="3"/>
      <c r="Q416" s="4">
        <v>45944</v>
      </c>
      <c r="R416" s="3" t="s">
        <v>39</v>
      </c>
      <c r="S416" s="3" t="s">
        <v>38</v>
      </c>
      <c r="T416" s="3" t="s">
        <v>43</v>
      </c>
      <c r="U416" s="3"/>
      <c r="V416" s="3" t="s">
        <v>41</v>
      </c>
      <c r="W416" s="5">
        <v>1958.63</v>
      </c>
      <c r="X416" s="5">
        <v>1958.63</v>
      </c>
      <c r="Y416" s="3">
        <v>0</v>
      </c>
      <c r="Z416" s="3">
        <v>0</v>
      </c>
      <c r="AA416" s="3">
        <v>0</v>
      </c>
    </row>
    <row r="417" spans="1:27" ht="60.75" x14ac:dyDescent="0.25">
      <c r="A417" s="3" t="s">
        <v>28</v>
      </c>
      <c r="B417" s="3" t="s">
        <v>29</v>
      </c>
      <c r="C417" s="3" t="s">
        <v>30</v>
      </c>
      <c r="D417" s="3" t="s">
        <v>31</v>
      </c>
      <c r="E417" s="3" t="s">
        <v>53</v>
      </c>
      <c r="F417" s="3" t="s">
        <v>54</v>
      </c>
      <c r="G417" s="3">
        <v>2025</v>
      </c>
      <c r="H417" s="3" t="str">
        <f>CONCATENATE("54240516754")</f>
        <v>54240516754</v>
      </c>
      <c r="I417" s="3" t="s">
        <v>34</v>
      </c>
      <c r="J417" s="3" t="s">
        <v>35</v>
      </c>
      <c r="K417" s="3"/>
      <c r="L417" s="3" t="s">
        <v>36</v>
      </c>
      <c r="M417" s="3" t="str">
        <f>CONCATENATE("CVLLRT80P15C933H")</f>
        <v>CVLLRT80P15C933H</v>
      </c>
      <c r="N417" s="3" t="s">
        <v>533</v>
      </c>
      <c r="O417" s="3" t="s">
        <v>38</v>
      </c>
      <c r="P417" s="3"/>
      <c r="Q417" s="4">
        <v>45944</v>
      </c>
      <c r="R417" s="3" t="s">
        <v>39</v>
      </c>
      <c r="S417" s="3" t="s">
        <v>38</v>
      </c>
      <c r="T417" s="3" t="s">
        <v>43</v>
      </c>
      <c r="U417" s="3"/>
      <c r="V417" s="3" t="s">
        <v>41</v>
      </c>
      <c r="W417" s="5">
        <v>1030.17</v>
      </c>
      <c r="X417" s="5">
        <v>1030.17</v>
      </c>
      <c r="Y417" s="3">
        <v>0</v>
      </c>
      <c r="Z417" s="3">
        <v>0</v>
      </c>
      <c r="AA417" s="3">
        <v>0</v>
      </c>
    </row>
    <row r="418" spans="1:27" ht="60.75" x14ac:dyDescent="0.25">
      <c r="A418" s="3" t="s">
        <v>28</v>
      </c>
      <c r="B418" s="3" t="s">
        <v>29</v>
      </c>
      <c r="C418" s="3" t="s">
        <v>30</v>
      </c>
      <c r="D418" s="3" t="s">
        <v>31</v>
      </c>
      <c r="E418" s="3" t="s">
        <v>32</v>
      </c>
      <c r="F418" s="3" t="s">
        <v>440</v>
      </c>
      <c r="G418" s="3">
        <v>2025</v>
      </c>
      <c r="H418" s="3" t="str">
        <f>CONCATENATE("54240516937")</f>
        <v>54240516937</v>
      </c>
      <c r="I418" s="3" t="s">
        <v>34</v>
      </c>
      <c r="J418" s="3" t="s">
        <v>35</v>
      </c>
      <c r="K418" s="3"/>
      <c r="L418" s="3" t="s">
        <v>36</v>
      </c>
      <c r="M418" s="3" t="str">
        <f>CONCATENATE("TPOSFN80M22E785O")</f>
        <v>TPOSFN80M22E785O</v>
      </c>
      <c r="N418" s="3" t="s">
        <v>534</v>
      </c>
      <c r="O418" s="3" t="s">
        <v>38</v>
      </c>
      <c r="P418" s="3"/>
      <c r="Q418" s="4">
        <v>45944</v>
      </c>
      <c r="R418" s="3" t="s">
        <v>39</v>
      </c>
      <c r="S418" s="3" t="s">
        <v>38</v>
      </c>
      <c r="T418" s="3" t="s">
        <v>43</v>
      </c>
      <c r="U418" s="3"/>
      <c r="V418" s="3" t="s">
        <v>41</v>
      </c>
      <c r="W418" s="5">
        <v>2237.91</v>
      </c>
      <c r="X418" s="5">
        <v>2237.91</v>
      </c>
      <c r="Y418" s="3">
        <v>0</v>
      </c>
      <c r="Z418" s="3">
        <v>0</v>
      </c>
      <c r="AA418" s="3">
        <v>0</v>
      </c>
    </row>
    <row r="419" spans="1:27" ht="60.75" x14ac:dyDescent="0.25">
      <c r="A419" s="3" t="s">
        <v>28</v>
      </c>
      <c r="B419" s="3" t="s">
        <v>29</v>
      </c>
      <c r="C419" s="3" t="s">
        <v>30</v>
      </c>
      <c r="D419" s="3" t="s">
        <v>49</v>
      </c>
      <c r="E419" s="3" t="s">
        <v>32</v>
      </c>
      <c r="F419" s="3" t="s">
        <v>420</v>
      </c>
      <c r="G419" s="3">
        <v>2025</v>
      </c>
      <c r="H419" s="3" t="str">
        <f>CONCATENATE("54240517034")</f>
        <v>54240517034</v>
      </c>
      <c r="I419" s="3" t="s">
        <v>34</v>
      </c>
      <c r="J419" s="3" t="s">
        <v>35</v>
      </c>
      <c r="K419" s="3"/>
      <c r="L419" s="3" t="s">
        <v>36</v>
      </c>
      <c r="M419" s="3" t="str">
        <f>CONCATENATE("STFFNC61C49D024C")</f>
        <v>STFFNC61C49D024C</v>
      </c>
      <c r="N419" s="3" t="s">
        <v>535</v>
      </c>
      <c r="O419" s="3" t="s">
        <v>38</v>
      </c>
      <c r="P419" s="3"/>
      <c r="Q419" s="4">
        <v>45944</v>
      </c>
      <c r="R419" s="3" t="s">
        <v>39</v>
      </c>
      <c r="S419" s="3" t="s">
        <v>38</v>
      </c>
      <c r="T419" s="3" t="s">
        <v>43</v>
      </c>
      <c r="U419" s="3"/>
      <c r="V419" s="3" t="s">
        <v>41</v>
      </c>
      <c r="W419" s="5">
        <v>1830.39</v>
      </c>
      <c r="X419" s="5">
        <v>1830.39</v>
      </c>
      <c r="Y419" s="3">
        <v>0</v>
      </c>
      <c r="Z419" s="3">
        <v>0</v>
      </c>
      <c r="AA419" s="3">
        <v>0</v>
      </c>
    </row>
    <row r="420" spans="1:27" ht="60.75" x14ac:dyDescent="0.25">
      <c r="A420" s="3" t="s">
        <v>28</v>
      </c>
      <c r="B420" s="3" t="s">
        <v>29</v>
      </c>
      <c r="C420" s="3" t="s">
        <v>30</v>
      </c>
      <c r="D420" s="3" t="s">
        <v>31</v>
      </c>
      <c r="E420" s="3" t="s">
        <v>32</v>
      </c>
      <c r="F420" s="3" t="s">
        <v>56</v>
      </c>
      <c r="G420" s="3">
        <v>2025</v>
      </c>
      <c r="H420" s="3" t="str">
        <f>CONCATENATE("54240517174")</f>
        <v>54240517174</v>
      </c>
      <c r="I420" s="3" t="s">
        <v>34</v>
      </c>
      <c r="J420" s="3" t="s">
        <v>35</v>
      </c>
      <c r="K420" s="3"/>
      <c r="L420" s="3" t="s">
        <v>36</v>
      </c>
      <c r="M420" s="3" t="str">
        <f>CONCATENATE("RLACLD55C59G479R")</f>
        <v>RLACLD55C59G479R</v>
      </c>
      <c r="N420" s="3" t="s">
        <v>536</v>
      </c>
      <c r="O420" s="3" t="s">
        <v>38</v>
      </c>
      <c r="P420" s="3"/>
      <c r="Q420" s="4">
        <v>45944</v>
      </c>
      <c r="R420" s="3" t="s">
        <v>39</v>
      </c>
      <c r="S420" s="3" t="s">
        <v>38</v>
      </c>
      <c r="T420" s="3" t="s">
        <v>43</v>
      </c>
      <c r="U420" s="3"/>
      <c r="V420" s="3" t="s">
        <v>41</v>
      </c>
      <c r="W420" s="5">
        <v>1308.82</v>
      </c>
      <c r="X420" s="5">
        <v>1308.82</v>
      </c>
      <c r="Y420" s="3">
        <v>0</v>
      </c>
      <c r="Z420" s="3">
        <v>0</v>
      </c>
      <c r="AA420" s="3">
        <v>0</v>
      </c>
    </row>
    <row r="421" spans="1:27" ht="60.75" x14ac:dyDescent="0.25">
      <c r="A421" s="3" t="s">
        <v>28</v>
      </c>
      <c r="B421" s="3" t="s">
        <v>29</v>
      </c>
      <c r="C421" s="3" t="s">
        <v>30</v>
      </c>
      <c r="D421" s="3" t="s">
        <v>31</v>
      </c>
      <c r="E421" s="3" t="s">
        <v>46</v>
      </c>
      <c r="F421" s="3" t="s">
        <v>47</v>
      </c>
      <c r="G421" s="3">
        <v>2025</v>
      </c>
      <c r="H421" s="3" t="str">
        <f>CONCATENATE("54240517349")</f>
        <v>54240517349</v>
      </c>
      <c r="I421" s="3" t="s">
        <v>34</v>
      </c>
      <c r="J421" s="3" t="s">
        <v>35</v>
      </c>
      <c r="K421" s="3"/>
      <c r="L421" s="3" t="s">
        <v>36</v>
      </c>
      <c r="M421" s="3" t="str">
        <f>CONCATENATE("GRSMLS53H46E351Q")</f>
        <v>GRSMLS53H46E351Q</v>
      </c>
      <c r="N421" s="3" t="s">
        <v>537</v>
      </c>
      <c r="O421" s="3" t="s">
        <v>38</v>
      </c>
      <c r="P421" s="3"/>
      <c r="Q421" s="4">
        <v>45944</v>
      </c>
      <c r="R421" s="3" t="s">
        <v>39</v>
      </c>
      <c r="S421" s="3" t="s">
        <v>38</v>
      </c>
      <c r="T421" s="3" t="s">
        <v>43</v>
      </c>
      <c r="U421" s="3"/>
      <c r="V421" s="3" t="s">
        <v>41</v>
      </c>
      <c r="W421" s="5">
        <v>4034.6</v>
      </c>
      <c r="X421" s="5">
        <v>4034.6</v>
      </c>
      <c r="Y421" s="3">
        <v>0</v>
      </c>
      <c r="Z421" s="3">
        <v>0</v>
      </c>
      <c r="AA421" s="3">
        <v>0</v>
      </c>
    </row>
    <row r="422" spans="1:27" ht="60.75" x14ac:dyDescent="0.25">
      <c r="A422" s="3" t="s">
        <v>28</v>
      </c>
      <c r="B422" s="3" t="s">
        <v>29</v>
      </c>
      <c r="C422" s="3" t="s">
        <v>30</v>
      </c>
      <c r="D422" s="3" t="s">
        <v>58</v>
      </c>
      <c r="E422" s="3" t="s">
        <v>32</v>
      </c>
      <c r="F422" s="3" t="s">
        <v>100</v>
      </c>
      <c r="G422" s="3">
        <v>2025</v>
      </c>
      <c r="H422" s="3" t="str">
        <f>CONCATENATE("54240522703")</f>
        <v>54240522703</v>
      </c>
      <c r="I422" s="3" t="s">
        <v>34</v>
      </c>
      <c r="J422" s="3" t="s">
        <v>35</v>
      </c>
      <c r="K422" s="3"/>
      <c r="L422" s="3" t="s">
        <v>36</v>
      </c>
      <c r="M422" s="3" t="str">
        <f>CONCATENATE("FLPGRG52H08H979Y")</f>
        <v>FLPGRG52H08H979Y</v>
      </c>
      <c r="N422" s="3" t="s">
        <v>538</v>
      </c>
      <c r="O422" s="3" t="s">
        <v>38</v>
      </c>
      <c r="P422" s="3"/>
      <c r="Q422" s="4">
        <v>45944</v>
      </c>
      <c r="R422" s="3" t="s">
        <v>39</v>
      </c>
      <c r="S422" s="3" t="s">
        <v>38</v>
      </c>
      <c r="T422" s="3" t="s">
        <v>43</v>
      </c>
      <c r="U422" s="3"/>
      <c r="V422" s="3" t="s">
        <v>41</v>
      </c>
      <c r="W422" s="5">
        <v>4210.1400000000003</v>
      </c>
      <c r="X422" s="5">
        <v>4210.1400000000003</v>
      </c>
      <c r="Y422" s="3">
        <v>0</v>
      </c>
      <c r="Z422" s="3">
        <v>0</v>
      </c>
      <c r="AA422" s="3">
        <v>0</v>
      </c>
    </row>
    <row r="423" spans="1:27" ht="60.75" x14ac:dyDescent="0.25">
      <c r="A423" s="3" t="s">
        <v>28</v>
      </c>
      <c r="B423" s="3" t="s">
        <v>29</v>
      </c>
      <c r="C423" s="3" t="s">
        <v>30</v>
      </c>
      <c r="D423" s="3" t="s">
        <v>49</v>
      </c>
      <c r="E423" s="3" t="s">
        <v>46</v>
      </c>
      <c r="F423" s="3" t="s">
        <v>205</v>
      </c>
      <c r="G423" s="3">
        <v>2025</v>
      </c>
      <c r="H423" s="3" t="str">
        <f>CONCATENATE("54240603735")</f>
        <v>54240603735</v>
      </c>
      <c r="I423" s="3" t="s">
        <v>34</v>
      </c>
      <c r="J423" s="3" t="s">
        <v>35</v>
      </c>
      <c r="K423" s="3"/>
      <c r="L423" s="3" t="s">
        <v>36</v>
      </c>
      <c r="M423" s="3" t="str">
        <f>CONCATENATE("FRCFNC75H49E783G")</f>
        <v>FRCFNC75H49E783G</v>
      </c>
      <c r="N423" s="3" t="s">
        <v>539</v>
      </c>
      <c r="O423" s="3" t="s">
        <v>38</v>
      </c>
      <c r="P423" s="3"/>
      <c r="Q423" s="4">
        <v>45944</v>
      </c>
      <c r="R423" s="3" t="s">
        <v>39</v>
      </c>
      <c r="S423" s="3" t="s">
        <v>38</v>
      </c>
      <c r="T423" s="3" t="s">
        <v>43</v>
      </c>
      <c r="U423" s="3"/>
      <c r="V423" s="3" t="s">
        <v>41</v>
      </c>
      <c r="W423" s="5">
        <v>2634.66</v>
      </c>
      <c r="X423" s="5">
        <v>2634.66</v>
      </c>
      <c r="Y423" s="3">
        <v>0</v>
      </c>
      <c r="Z423" s="3">
        <v>0</v>
      </c>
      <c r="AA423" s="3">
        <v>0</v>
      </c>
    </row>
    <row r="424" spans="1:27" ht="36.75" x14ac:dyDescent="0.25">
      <c r="A424" s="3" t="s">
        <v>28</v>
      </c>
      <c r="B424" s="3" t="s">
        <v>29</v>
      </c>
      <c r="C424" s="3" t="s">
        <v>30</v>
      </c>
      <c r="D424" s="3" t="s">
        <v>31</v>
      </c>
      <c r="E424" s="3" t="s">
        <v>91</v>
      </c>
      <c r="F424" s="3" t="s">
        <v>111</v>
      </c>
      <c r="G424" s="3">
        <v>2025</v>
      </c>
      <c r="H424" s="3" t="str">
        <f>CONCATENATE("54240605557")</f>
        <v>54240605557</v>
      </c>
      <c r="I424" s="3" t="s">
        <v>34</v>
      </c>
      <c r="J424" s="3" t="s">
        <v>35</v>
      </c>
      <c r="K424" s="3"/>
      <c r="L424" s="3" t="s">
        <v>36</v>
      </c>
      <c r="M424" s="3" t="str">
        <f>CONCATENATE("02103670416")</f>
        <v>02103670416</v>
      </c>
      <c r="N424" s="3" t="s">
        <v>540</v>
      </c>
      <c r="O424" s="3" t="s">
        <v>38</v>
      </c>
      <c r="P424" s="3"/>
      <c r="Q424" s="4">
        <v>45944</v>
      </c>
      <c r="R424" s="3" t="s">
        <v>39</v>
      </c>
      <c r="S424" s="3" t="s">
        <v>38</v>
      </c>
      <c r="T424" s="3" t="s">
        <v>43</v>
      </c>
      <c r="U424" s="3"/>
      <c r="V424" s="3" t="s">
        <v>41</v>
      </c>
      <c r="W424" s="5">
        <v>2373.21</v>
      </c>
      <c r="X424" s="5">
        <v>2373.21</v>
      </c>
      <c r="Y424" s="3">
        <v>0</v>
      </c>
      <c r="Z424" s="3">
        <v>0</v>
      </c>
      <c r="AA424" s="3">
        <v>0</v>
      </c>
    </row>
    <row r="425" spans="1:27" ht="36.75" x14ac:dyDescent="0.25">
      <c r="A425" s="3" t="s">
        <v>28</v>
      </c>
      <c r="B425" s="3" t="s">
        <v>29</v>
      </c>
      <c r="C425" s="3" t="s">
        <v>30</v>
      </c>
      <c r="D425" s="3" t="s">
        <v>31</v>
      </c>
      <c r="E425" s="3" t="s">
        <v>53</v>
      </c>
      <c r="F425" s="3" t="s">
        <v>172</v>
      </c>
      <c r="G425" s="3">
        <v>2025</v>
      </c>
      <c r="H425" s="3" t="str">
        <f>CONCATENATE("54240604808")</f>
        <v>54240604808</v>
      </c>
      <c r="I425" s="3" t="s">
        <v>34</v>
      </c>
      <c r="J425" s="3" t="s">
        <v>35</v>
      </c>
      <c r="K425" s="3"/>
      <c r="L425" s="3" t="s">
        <v>36</v>
      </c>
      <c r="M425" s="3" t="str">
        <f>CONCATENATE("02818210417")</f>
        <v>02818210417</v>
      </c>
      <c r="N425" s="3" t="s">
        <v>541</v>
      </c>
      <c r="O425" s="3" t="s">
        <v>38</v>
      </c>
      <c r="P425" s="3"/>
      <c r="Q425" s="4">
        <v>45944</v>
      </c>
      <c r="R425" s="3" t="s">
        <v>39</v>
      </c>
      <c r="S425" s="3" t="s">
        <v>38</v>
      </c>
      <c r="T425" s="3" t="s">
        <v>43</v>
      </c>
      <c r="U425" s="3"/>
      <c r="V425" s="3" t="s">
        <v>41</v>
      </c>
      <c r="W425" s="3">
        <v>729.61</v>
      </c>
      <c r="X425" s="3">
        <v>729.61</v>
      </c>
      <c r="Y425" s="3">
        <v>0</v>
      </c>
      <c r="Z425" s="3">
        <v>0</v>
      </c>
      <c r="AA425" s="3">
        <v>0</v>
      </c>
    </row>
    <row r="426" spans="1:27" ht="36.75" x14ac:dyDescent="0.25">
      <c r="A426" s="3" t="s">
        <v>28</v>
      </c>
      <c r="B426" s="3" t="s">
        <v>29</v>
      </c>
      <c r="C426" s="3" t="s">
        <v>30</v>
      </c>
      <c r="D426" s="3" t="s">
        <v>49</v>
      </c>
      <c r="E426" s="3" t="s">
        <v>46</v>
      </c>
      <c r="F426" s="3" t="s">
        <v>205</v>
      </c>
      <c r="G426" s="3">
        <v>2025</v>
      </c>
      <c r="H426" s="3" t="str">
        <f>CONCATENATE("54240604733")</f>
        <v>54240604733</v>
      </c>
      <c r="I426" s="3" t="s">
        <v>34</v>
      </c>
      <c r="J426" s="3" t="s">
        <v>35</v>
      </c>
      <c r="K426" s="3"/>
      <c r="L426" s="3" t="s">
        <v>36</v>
      </c>
      <c r="M426" s="3" t="str">
        <f>CONCATENATE("02093820435")</f>
        <v>02093820435</v>
      </c>
      <c r="N426" s="3" t="s">
        <v>542</v>
      </c>
      <c r="O426" s="3" t="s">
        <v>38</v>
      </c>
      <c r="P426" s="3"/>
      <c r="Q426" s="4">
        <v>45944</v>
      </c>
      <c r="R426" s="3" t="s">
        <v>39</v>
      </c>
      <c r="S426" s="3" t="s">
        <v>38</v>
      </c>
      <c r="T426" s="3" t="s">
        <v>43</v>
      </c>
      <c r="U426" s="3"/>
      <c r="V426" s="3" t="s">
        <v>41</v>
      </c>
      <c r="W426" s="5">
        <v>5072.1499999999996</v>
      </c>
      <c r="X426" s="5">
        <v>5072.1499999999996</v>
      </c>
      <c r="Y426" s="3">
        <v>0</v>
      </c>
      <c r="Z426" s="3">
        <v>0</v>
      </c>
      <c r="AA426" s="3">
        <v>0</v>
      </c>
    </row>
    <row r="427" spans="1:27" ht="60.75" x14ac:dyDescent="0.25">
      <c r="A427" s="3" t="s">
        <v>28</v>
      </c>
      <c r="B427" s="3" t="s">
        <v>29</v>
      </c>
      <c r="C427" s="3" t="s">
        <v>30</v>
      </c>
      <c r="D427" s="3" t="s">
        <v>63</v>
      </c>
      <c r="E427" s="3" t="s">
        <v>53</v>
      </c>
      <c r="F427" s="3" t="s">
        <v>478</v>
      </c>
      <c r="G427" s="3">
        <v>2025</v>
      </c>
      <c r="H427" s="3" t="str">
        <f>CONCATENATE("54240606308")</f>
        <v>54240606308</v>
      </c>
      <c r="I427" s="3" t="s">
        <v>34</v>
      </c>
      <c r="J427" s="3" t="s">
        <v>35</v>
      </c>
      <c r="K427" s="3"/>
      <c r="L427" s="3" t="s">
        <v>36</v>
      </c>
      <c r="M427" s="3" t="str">
        <f>CONCATENATE("MRZMNL96L09C770Y")</f>
        <v>MRZMNL96L09C770Y</v>
      </c>
      <c r="N427" s="3" t="s">
        <v>543</v>
      </c>
      <c r="O427" s="3" t="s">
        <v>38</v>
      </c>
      <c r="P427" s="3"/>
      <c r="Q427" s="4">
        <v>45944</v>
      </c>
      <c r="R427" s="3" t="s">
        <v>39</v>
      </c>
      <c r="S427" s="3" t="s">
        <v>38</v>
      </c>
      <c r="T427" s="3" t="s">
        <v>43</v>
      </c>
      <c r="U427" s="3"/>
      <c r="V427" s="3" t="s">
        <v>41</v>
      </c>
      <c r="W427" s="3">
        <v>421.99</v>
      </c>
      <c r="X427" s="3">
        <v>421.99</v>
      </c>
      <c r="Y427" s="3">
        <v>0</v>
      </c>
      <c r="Z427" s="3">
        <v>0</v>
      </c>
      <c r="AA427" s="3">
        <v>0</v>
      </c>
    </row>
    <row r="428" spans="1:27" ht="36.75" x14ac:dyDescent="0.25">
      <c r="A428" s="3" t="s">
        <v>28</v>
      </c>
      <c r="B428" s="3" t="s">
        <v>29</v>
      </c>
      <c r="C428" s="3" t="s">
        <v>30</v>
      </c>
      <c r="D428" s="3" t="s">
        <v>31</v>
      </c>
      <c r="E428" s="3" t="s">
        <v>91</v>
      </c>
      <c r="F428" s="3" t="s">
        <v>111</v>
      </c>
      <c r="G428" s="3">
        <v>2025</v>
      </c>
      <c r="H428" s="3" t="str">
        <f>CONCATENATE("54240606753")</f>
        <v>54240606753</v>
      </c>
      <c r="I428" s="3" t="s">
        <v>34</v>
      </c>
      <c r="J428" s="3" t="s">
        <v>35</v>
      </c>
      <c r="K428" s="3"/>
      <c r="L428" s="3" t="s">
        <v>36</v>
      </c>
      <c r="M428" s="3" t="str">
        <f>CONCATENATE("00685390411")</f>
        <v>00685390411</v>
      </c>
      <c r="N428" s="3" t="s">
        <v>544</v>
      </c>
      <c r="O428" s="3" t="s">
        <v>38</v>
      </c>
      <c r="P428" s="3"/>
      <c r="Q428" s="4">
        <v>45944</v>
      </c>
      <c r="R428" s="3" t="s">
        <v>39</v>
      </c>
      <c r="S428" s="3" t="s">
        <v>38</v>
      </c>
      <c r="T428" s="3" t="s">
        <v>43</v>
      </c>
      <c r="U428" s="3"/>
      <c r="V428" s="3" t="s">
        <v>41</v>
      </c>
      <c r="W428" s="5">
        <v>2569.71</v>
      </c>
      <c r="X428" s="5">
        <v>2569.71</v>
      </c>
      <c r="Y428" s="3">
        <v>0</v>
      </c>
      <c r="Z428" s="3">
        <v>0</v>
      </c>
      <c r="AA428" s="3">
        <v>0</v>
      </c>
    </row>
    <row r="429" spans="1:27" ht="60.75" x14ac:dyDescent="0.25">
      <c r="A429" s="3" t="s">
        <v>28</v>
      </c>
      <c r="B429" s="3" t="s">
        <v>29</v>
      </c>
      <c r="C429" s="3" t="s">
        <v>30</v>
      </c>
      <c r="D429" s="3" t="s">
        <v>58</v>
      </c>
      <c r="E429" s="3" t="s">
        <v>32</v>
      </c>
      <c r="F429" s="3" t="s">
        <v>96</v>
      </c>
      <c r="G429" s="3">
        <v>2025</v>
      </c>
      <c r="H429" s="3" t="str">
        <f>CONCATENATE("54240606464")</f>
        <v>54240606464</v>
      </c>
      <c r="I429" s="3" t="s">
        <v>34</v>
      </c>
      <c r="J429" s="3" t="s">
        <v>35</v>
      </c>
      <c r="K429" s="3"/>
      <c r="L429" s="3" t="s">
        <v>36</v>
      </c>
      <c r="M429" s="3" t="str">
        <f>CONCATENATE("GDRPRI54M28E783T")</f>
        <v>GDRPRI54M28E783T</v>
      </c>
      <c r="N429" s="3" t="s">
        <v>545</v>
      </c>
      <c r="O429" s="3" t="s">
        <v>38</v>
      </c>
      <c r="P429" s="3"/>
      <c r="Q429" s="4">
        <v>45944</v>
      </c>
      <c r="R429" s="3" t="s">
        <v>39</v>
      </c>
      <c r="S429" s="3" t="s">
        <v>38</v>
      </c>
      <c r="T429" s="3" t="s">
        <v>43</v>
      </c>
      <c r="U429" s="3"/>
      <c r="V429" s="3" t="s">
        <v>41</v>
      </c>
      <c r="W429" s="5">
        <v>2278.12</v>
      </c>
      <c r="X429" s="5">
        <v>2278.12</v>
      </c>
      <c r="Y429" s="3">
        <v>0</v>
      </c>
      <c r="Z429" s="3">
        <v>0</v>
      </c>
      <c r="AA429" s="3">
        <v>0</v>
      </c>
    </row>
    <row r="430" spans="1:27" ht="36.75" x14ac:dyDescent="0.25">
      <c r="A430" s="3" t="s">
        <v>28</v>
      </c>
      <c r="B430" s="3" t="s">
        <v>29</v>
      </c>
      <c r="C430" s="3" t="s">
        <v>30</v>
      </c>
      <c r="D430" s="3" t="s">
        <v>31</v>
      </c>
      <c r="E430" s="3" t="s">
        <v>91</v>
      </c>
      <c r="F430" s="3" t="s">
        <v>111</v>
      </c>
      <c r="G430" s="3">
        <v>2025</v>
      </c>
      <c r="H430" s="3" t="str">
        <f>CONCATENATE("54240607561")</f>
        <v>54240607561</v>
      </c>
      <c r="I430" s="3" t="s">
        <v>34</v>
      </c>
      <c r="J430" s="3" t="s">
        <v>35</v>
      </c>
      <c r="K430" s="3"/>
      <c r="L430" s="3" t="s">
        <v>36</v>
      </c>
      <c r="M430" s="3" t="str">
        <f>CONCATENATE("02760560413")</f>
        <v>02760560413</v>
      </c>
      <c r="N430" s="3" t="s">
        <v>546</v>
      </c>
      <c r="O430" s="3" t="s">
        <v>38</v>
      </c>
      <c r="P430" s="3"/>
      <c r="Q430" s="4">
        <v>45944</v>
      </c>
      <c r="R430" s="3" t="s">
        <v>39</v>
      </c>
      <c r="S430" s="3" t="s">
        <v>38</v>
      </c>
      <c r="T430" s="3" t="s">
        <v>43</v>
      </c>
      <c r="U430" s="3"/>
      <c r="V430" s="3" t="s">
        <v>41</v>
      </c>
      <c r="W430" s="5">
        <v>3779.7</v>
      </c>
      <c r="X430" s="5">
        <v>3779.7</v>
      </c>
      <c r="Y430" s="3">
        <v>0</v>
      </c>
      <c r="Z430" s="3">
        <v>0</v>
      </c>
      <c r="AA430" s="3">
        <v>0</v>
      </c>
    </row>
    <row r="431" spans="1:27" ht="60.75" x14ac:dyDescent="0.25">
      <c r="A431" s="3" t="s">
        <v>28</v>
      </c>
      <c r="B431" s="3" t="s">
        <v>29</v>
      </c>
      <c r="C431" s="3" t="s">
        <v>30</v>
      </c>
      <c r="D431" s="3" t="s">
        <v>58</v>
      </c>
      <c r="E431" s="3" t="s">
        <v>53</v>
      </c>
      <c r="F431" s="3" t="s">
        <v>59</v>
      </c>
      <c r="G431" s="3">
        <v>2025</v>
      </c>
      <c r="H431" s="3" t="str">
        <f>CONCATENATE("54240631801")</f>
        <v>54240631801</v>
      </c>
      <c r="I431" s="3" t="s">
        <v>34</v>
      </c>
      <c r="J431" s="3" t="s">
        <v>35</v>
      </c>
      <c r="K431" s="3"/>
      <c r="L431" s="3" t="s">
        <v>36</v>
      </c>
      <c r="M431" s="3" t="str">
        <f>CONCATENATE("CSGSNO96T49D451R")</f>
        <v>CSGSNO96T49D451R</v>
      </c>
      <c r="N431" s="3" t="s">
        <v>547</v>
      </c>
      <c r="O431" s="3" t="s">
        <v>38</v>
      </c>
      <c r="P431" s="3"/>
      <c r="Q431" s="4">
        <v>45944</v>
      </c>
      <c r="R431" s="3" t="s">
        <v>39</v>
      </c>
      <c r="S431" s="3" t="s">
        <v>38</v>
      </c>
      <c r="T431" s="3" t="s">
        <v>43</v>
      </c>
      <c r="U431" s="3"/>
      <c r="V431" s="3" t="s">
        <v>41</v>
      </c>
      <c r="W431" s="5">
        <v>9168.16</v>
      </c>
      <c r="X431" s="5">
        <v>9168.16</v>
      </c>
      <c r="Y431" s="3">
        <v>0</v>
      </c>
      <c r="Z431" s="3">
        <v>0</v>
      </c>
      <c r="AA431" s="3">
        <v>0</v>
      </c>
    </row>
    <row r="432" spans="1:27" ht="36.75" x14ac:dyDescent="0.25">
      <c r="A432" s="3" t="s">
        <v>28</v>
      </c>
      <c r="B432" s="3" t="s">
        <v>29</v>
      </c>
      <c r="C432" s="3" t="s">
        <v>30</v>
      </c>
      <c r="D432" s="3" t="s">
        <v>49</v>
      </c>
      <c r="E432" s="3" t="s">
        <v>46</v>
      </c>
      <c r="F432" s="3" t="s">
        <v>205</v>
      </c>
      <c r="G432" s="3">
        <v>2025</v>
      </c>
      <c r="H432" s="3" t="str">
        <f>CONCATENATE("54240607314")</f>
        <v>54240607314</v>
      </c>
      <c r="I432" s="3" t="s">
        <v>34</v>
      </c>
      <c r="J432" s="3" t="s">
        <v>35</v>
      </c>
      <c r="K432" s="3"/>
      <c r="L432" s="3" t="s">
        <v>36</v>
      </c>
      <c r="M432" s="3" t="str">
        <f>CONCATENATE("02006090431")</f>
        <v>02006090431</v>
      </c>
      <c r="N432" s="3" t="s">
        <v>548</v>
      </c>
      <c r="O432" s="3" t="s">
        <v>38</v>
      </c>
      <c r="P432" s="3"/>
      <c r="Q432" s="4">
        <v>45944</v>
      </c>
      <c r="R432" s="3" t="s">
        <v>39</v>
      </c>
      <c r="S432" s="3" t="s">
        <v>38</v>
      </c>
      <c r="T432" s="3" t="s">
        <v>43</v>
      </c>
      <c r="U432" s="3"/>
      <c r="V432" s="3" t="s">
        <v>41</v>
      </c>
      <c r="W432" s="5">
        <v>1376.97</v>
      </c>
      <c r="X432" s="5">
        <v>1376.97</v>
      </c>
      <c r="Y432" s="3">
        <v>0</v>
      </c>
      <c r="Z432" s="3">
        <v>0</v>
      </c>
      <c r="AA432" s="3">
        <v>0</v>
      </c>
    </row>
    <row r="433" spans="1:27" ht="60.75" x14ac:dyDescent="0.25">
      <c r="A433" s="3" t="s">
        <v>28</v>
      </c>
      <c r="B433" s="3" t="s">
        <v>29</v>
      </c>
      <c r="C433" s="3" t="s">
        <v>30</v>
      </c>
      <c r="D433" s="3" t="s">
        <v>58</v>
      </c>
      <c r="E433" s="3" t="s">
        <v>32</v>
      </c>
      <c r="F433" s="3" t="s">
        <v>96</v>
      </c>
      <c r="G433" s="3">
        <v>2025</v>
      </c>
      <c r="H433" s="3" t="str">
        <f>CONCATENATE("54240608957")</f>
        <v>54240608957</v>
      </c>
      <c r="I433" s="3" t="s">
        <v>34</v>
      </c>
      <c r="J433" s="3" t="s">
        <v>35</v>
      </c>
      <c r="K433" s="3"/>
      <c r="L433" s="3" t="s">
        <v>36</v>
      </c>
      <c r="M433" s="3" t="str">
        <f>CONCATENATE("GHRMNL89H01D451F")</f>
        <v>GHRMNL89H01D451F</v>
      </c>
      <c r="N433" s="3" t="s">
        <v>549</v>
      </c>
      <c r="O433" s="3" t="s">
        <v>38</v>
      </c>
      <c r="P433" s="3"/>
      <c r="Q433" s="4">
        <v>45944</v>
      </c>
      <c r="R433" s="3" t="s">
        <v>39</v>
      </c>
      <c r="S433" s="3" t="s">
        <v>38</v>
      </c>
      <c r="T433" s="3" t="s">
        <v>43</v>
      </c>
      <c r="U433" s="3"/>
      <c r="V433" s="3" t="s">
        <v>41</v>
      </c>
      <c r="W433" s="5">
        <v>3005.49</v>
      </c>
      <c r="X433" s="5">
        <v>3005.49</v>
      </c>
      <c r="Y433" s="3">
        <v>0</v>
      </c>
      <c r="Z433" s="3">
        <v>0</v>
      </c>
      <c r="AA433" s="3">
        <v>0</v>
      </c>
    </row>
    <row r="434" spans="1:27" ht="60.75" x14ac:dyDescent="0.25">
      <c r="A434" s="3" t="s">
        <v>28</v>
      </c>
      <c r="B434" s="3" t="s">
        <v>29</v>
      </c>
      <c r="C434" s="3" t="s">
        <v>30</v>
      </c>
      <c r="D434" s="3" t="s">
        <v>31</v>
      </c>
      <c r="E434" s="3" t="s">
        <v>32</v>
      </c>
      <c r="F434" s="3" t="s">
        <v>153</v>
      </c>
      <c r="G434" s="3">
        <v>2025</v>
      </c>
      <c r="H434" s="3" t="str">
        <f>CONCATENATE("54240610615")</f>
        <v>54240610615</v>
      </c>
      <c r="I434" s="3" t="s">
        <v>34</v>
      </c>
      <c r="J434" s="3" t="s">
        <v>35</v>
      </c>
      <c r="K434" s="3"/>
      <c r="L434" s="3" t="s">
        <v>36</v>
      </c>
      <c r="M434" s="3" t="str">
        <f>CONCATENATE("CCCPLA67R27D488P")</f>
        <v>CCCPLA67R27D488P</v>
      </c>
      <c r="N434" s="3" t="s">
        <v>550</v>
      </c>
      <c r="O434" s="3" t="s">
        <v>38</v>
      </c>
      <c r="P434" s="3"/>
      <c r="Q434" s="4">
        <v>45944</v>
      </c>
      <c r="R434" s="3" t="s">
        <v>39</v>
      </c>
      <c r="S434" s="3" t="s">
        <v>38</v>
      </c>
      <c r="T434" s="3" t="s">
        <v>43</v>
      </c>
      <c r="U434" s="3"/>
      <c r="V434" s="3" t="s">
        <v>41</v>
      </c>
      <c r="W434" s="5">
        <v>18833.79</v>
      </c>
      <c r="X434" s="5">
        <v>18833.79</v>
      </c>
      <c r="Y434" s="3">
        <v>0</v>
      </c>
      <c r="Z434" s="3">
        <v>0</v>
      </c>
      <c r="AA434" s="3">
        <v>0</v>
      </c>
    </row>
    <row r="435" spans="1:27" ht="60.75" x14ac:dyDescent="0.25">
      <c r="A435" s="3" t="s">
        <v>28</v>
      </c>
      <c r="B435" s="3" t="s">
        <v>29</v>
      </c>
      <c r="C435" s="3" t="s">
        <v>30</v>
      </c>
      <c r="D435" s="3" t="s">
        <v>31</v>
      </c>
      <c r="E435" s="3" t="s">
        <v>32</v>
      </c>
      <c r="F435" s="3" t="s">
        <v>44</v>
      </c>
      <c r="G435" s="3">
        <v>2025</v>
      </c>
      <c r="H435" s="3" t="str">
        <f>CONCATENATE("54240641248")</f>
        <v>54240641248</v>
      </c>
      <c r="I435" s="3" t="s">
        <v>34</v>
      </c>
      <c r="J435" s="3" t="s">
        <v>35</v>
      </c>
      <c r="K435" s="3"/>
      <c r="L435" s="3" t="s">
        <v>36</v>
      </c>
      <c r="M435" s="3" t="str">
        <f>CONCATENATE("DRNSLA98D20L500A")</f>
        <v>DRNSLA98D20L500A</v>
      </c>
      <c r="N435" s="3" t="s">
        <v>551</v>
      </c>
      <c r="O435" s="3" t="s">
        <v>38</v>
      </c>
      <c r="P435" s="3"/>
      <c r="Q435" s="4">
        <v>45944</v>
      </c>
      <c r="R435" s="3" t="s">
        <v>39</v>
      </c>
      <c r="S435" s="3" t="s">
        <v>38</v>
      </c>
      <c r="T435" s="3" t="s">
        <v>43</v>
      </c>
      <c r="U435" s="3"/>
      <c r="V435" s="3" t="s">
        <v>41</v>
      </c>
      <c r="W435" s="5">
        <v>6878.57</v>
      </c>
      <c r="X435" s="5">
        <v>6878.57</v>
      </c>
      <c r="Y435" s="3">
        <v>0</v>
      </c>
      <c r="Z435" s="3">
        <v>0</v>
      </c>
      <c r="AA435" s="3">
        <v>0</v>
      </c>
    </row>
    <row r="436" spans="1:27" ht="60.75" x14ac:dyDescent="0.25">
      <c r="A436" s="3" t="s">
        <v>28</v>
      </c>
      <c r="B436" s="3" t="s">
        <v>29</v>
      </c>
      <c r="C436" s="3" t="s">
        <v>30</v>
      </c>
      <c r="D436" s="3" t="s">
        <v>31</v>
      </c>
      <c r="E436" s="3" t="s">
        <v>53</v>
      </c>
      <c r="F436" s="3" t="s">
        <v>172</v>
      </c>
      <c r="G436" s="3">
        <v>2025</v>
      </c>
      <c r="H436" s="3" t="str">
        <f>CONCATENATE("54240613668")</f>
        <v>54240613668</v>
      </c>
      <c r="I436" s="3" t="s">
        <v>34</v>
      </c>
      <c r="J436" s="3" t="s">
        <v>35</v>
      </c>
      <c r="K436" s="3"/>
      <c r="L436" s="3" t="s">
        <v>36</v>
      </c>
      <c r="M436" s="3" t="str">
        <f>CONCATENATE("PTRPLA51R55E351B")</f>
        <v>PTRPLA51R55E351B</v>
      </c>
      <c r="N436" s="3" t="s">
        <v>552</v>
      </c>
      <c r="O436" s="3" t="s">
        <v>38</v>
      </c>
      <c r="P436" s="3"/>
      <c r="Q436" s="4">
        <v>45944</v>
      </c>
      <c r="R436" s="3" t="s">
        <v>39</v>
      </c>
      <c r="S436" s="3" t="s">
        <v>38</v>
      </c>
      <c r="T436" s="3" t="s">
        <v>43</v>
      </c>
      <c r="U436" s="3"/>
      <c r="V436" s="3" t="s">
        <v>41</v>
      </c>
      <c r="W436" s="3">
        <v>744.33</v>
      </c>
      <c r="X436" s="3">
        <v>744.33</v>
      </c>
      <c r="Y436" s="3">
        <v>0</v>
      </c>
      <c r="Z436" s="3">
        <v>0</v>
      </c>
      <c r="AA436" s="3">
        <v>0</v>
      </c>
    </row>
    <row r="437" spans="1:27" ht="60.75" x14ac:dyDescent="0.25">
      <c r="A437" s="3" t="s">
        <v>28</v>
      </c>
      <c r="B437" s="3" t="s">
        <v>29</v>
      </c>
      <c r="C437" s="3" t="s">
        <v>30</v>
      </c>
      <c r="D437" s="3" t="s">
        <v>49</v>
      </c>
      <c r="E437" s="3" t="s">
        <v>32</v>
      </c>
      <c r="F437" s="3" t="s">
        <v>78</v>
      </c>
      <c r="G437" s="3">
        <v>2025</v>
      </c>
      <c r="H437" s="3" t="str">
        <f>CONCATENATE("54240614591")</f>
        <v>54240614591</v>
      </c>
      <c r="I437" s="3" t="s">
        <v>34</v>
      </c>
      <c r="J437" s="3" t="s">
        <v>35</v>
      </c>
      <c r="K437" s="3"/>
      <c r="L437" s="3" t="s">
        <v>36</v>
      </c>
      <c r="M437" s="3" t="str">
        <f>CONCATENATE("SBBLCU94S41B474M")</f>
        <v>SBBLCU94S41B474M</v>
      </c>
      <c r="N437" s="3" t="s">
        <v>553</v>
      </c>
      <c r="O437" s="3" t="s">
        <v>38</v>
      </c>
      <c r="P437" s="3"/>
      <c r="Q437" s="4">
        <v>45944</v>
      </c>
      <c r="R437" s="3" t="s">
        <v>39</v>
      </c>
      <c r="S437" s="3" t="s">
        <v>38</v>
      </c>
      <c r="T437" s="3" t="s">
        <v>43</v>
      </c>
      <c r="U437" s="3"/>
      <c r="V437" s="3" t="s">
        <v>41</v>
      </c>
      <c r="W437" s="5">
        <v>11851.21</v>
      </c>
      <c r="X437" s="5">
        <v>11851.21</v>
      </c>
      <c r="Y437" s="3">
        <v>0</v>
      </c>
      <c r="Z437" s="3">
        <v>0</v>
      </c>
      <c r="AA437" s="3">
        <v>0</v>
      </c>
    </row>
    <row r="438" spans="1:27" ht="60.75" x14ac:dyDescent="0.25">
      <c r="A438" s="3" t="s">
        <v>28</v>
      </c>
      <c r="B438" s="3" t="s">
        <v>29</v>
      </c>
      <c r="C438" s="3" t="s">
        <v>30</v>
      </c>
      <c r="D438" s="3" t="s">
        <v>49</v>
      </c>
      <c r="E438" s="3" t="s">
        <v>46</v>
      </c>
      <c r="F438" s="3" t="s">
        <v>205</v>
      </c>
      <c r="G438" s="3">
        <v>2025</v>
      </c>
      <c r="H438" s="3" t="str">
        <f>CONCATENATE("54240616240")</f>
        <v>54240616240</v>
      </c>
      <c r="I438" s="3" t="s">
        <v>34</v>
      </c>
      <c r="J438" s="3" t="s">
        <v>35</v>
      </c>
      <c r="K438" s="3"/>
      <c r="L438" s="3" t="s">
        <v>36</v>
      </c>
      <c r="M438" s="3" t="str">
        <f>CONCATENATE("PRPSLL52P65E694A")</f>
        <v>PRPSLL52P65E694A</v>
      </c>
      <c r="N438" s="3" t="s">
        <v>554</v>
      </c>
      <c r="O438" s="3" t="s">
        <v>38</v>
      </c>
      <c r="P438" s="3"/>
      <c r="Q438" s="4">
        <v>45944</v>
      </c>
      <c r="R438" s="3" t="s">
        <v>39</v>
      </c>
      <c r="S438" s="3" t="s">
        <v>38</v>
      </c>
      <c r="T438" s="3" t="s">
        <v>43</v>
      </c>
      <c r="U438" s="3"/>
      <c r="V438" s="3" t="s">
        <v>41</v>
      </c>
      <c r="W438" s="5">
        <v>11137.05</v>
      </c>
      <c r="X438" s="5">
        <v>11137.05</v>
      </c>
      <c r="Y438" s="3">
        <v>0</v>
      </c>
      <c r="Z438" s="3">
        <v>0</v>
      </c>
      <c r="AA438" s="3">
        <v>0</v>
      </c>
    </row>
    <row r="439" spans="1:27" ht="72.75" x14ac:dyDescent="0.25">
      <c r="A439" s="3" t="s">
        <v>28</v>
      </c>
      <c r="B439" s="3" t="s">
        <v>29</v>
      </c>
      <c r="C439" s="3" t="s">
        <v>30</v>
      </c>
      <c r="D439" s="3" t="s">
        <v>31</v>
      </c>
      <c r="E439" s="3" t="s">
        <v>91</v>
      </c>
      <c r="F439" s="3" t="s">
        <v>111</v>
      </c>
      <c r="G439" s="3">
        <v>2025</v>
      </c>
      <c r="H439" s="3" t="str">
        <f>CONCATENATE("54240616885")</f>
        <v>54240616885</v>
      </c>
      <c r="I439" s="3" t="s">
        <v>34</v>
      </c>
      <c r="J439" s="3" t="s">
        <v>35</v>
      </c>
      <c r="K439" s="3"/>
      <c r="L439" s="3" t="s">
        <v>36</v>
      </c>
      <c r="M439" s="3" t="str">
        <f>CONCATENATE("MRNMHL81T22I459X")</f>
        <v>MRNMHL81T22I459X</v>
      </c>
      <c r="N439" s="3" t="s">
        <v>555</v>
      </c>
      <c r="O439" s="3" t="s">
        <v>38</v>
      </c>
      <c r="P439" s="3"/>
      <c r="Q439" s="4">
        <v>45944</v>
      </c>
      <c r="R439" s="3" t="s">
        <v>39</v>
      </c>
      <c r="S439" s="3" t="s">
        <v>38</v>
      </c>
      <c r="T439" s="3" t="s">
        <v>43</v>
      </c>
      <c r="U439" s="3"/>
      <c r="V439" s="3" t="s">
        <v>41</v>
      </c>
      <c r="W439" s="5">
        <v>1774.13</v>
      </c>
      <c r="X439" s="5">
        <v>1774.13</v>
      </c>
      <c r="Y439" s="3">
        <v>0</v>
      </c>
      <c r="Z439" s="3">
        <v>0</v>
      </c>
      <c r="AA439" s="3">
        <v>0</v>
      </c>
    </row>
    <row r="440" spans="1:27" ht="60.75" x14ac:dyDescent="0.25">
      <c r="A440" s="3" t="s">
        <v>28</v>
      </c>
      <c r="B440" s="3" t="s">
        <v>29</v>
      </c>
      <c r="C440" s="3" t="s">
        <v>30</v>
      </c>
      <c r="D440" s="3" t="s">
        <v>58</v>
      </c>
      <c r="E440" s="3" t="s">
        <v>74</v>
      </c>
      <c r="F440" s="3" t="s">
        <v>84</v>
      </c>
      <c r="G440" s="3">
        <v>2025</v>
      </c>
      <c r="H440" s="3" t="str">
        <f>CONCATENATE("54240617511")</f>
        <v>54240617511</v>
      </c>
      <c r="I440" s="3" t="s">
        <v>34</v>
      </c>
      <c r="J440" s="3" t="s">
        <v>35</v>
      </c>
      <c r="K440" s="3"/>
      <c r="L440" s="3" t="s">
        <v>36</v>
      </c>
      <c r="M440" s="3" t="str">
        <f>CONCATENATE("LMTRTI83R71G273B")</f>
        <v>LMTRTI83R71G273B</v>
      </c>
      <c r="N440" s="3" t="s">
        <v>556</v>
      </c>
      <c r="O440" s="3" t="s">
        <v>38</v>
      </c>
      <c r="P440" s="3"/>
      <c r="Q440" s="4">
        <v>45944</v>
      </c>
      <c r="R440" s="3" t="s">
        <v>39</v>
      </c>
      <c r="S440" s="3" t="s">
        <v>38</v>
      </c>
      <c r="T440" s="3" t="s">
        <v>43</v>
      </c>
      <c r="U440" s="3"/>
      <c r="V440" s="3" t="s">
        <v>41</v>
      </c>
      <c r="W440" s="5">
        <v>3390.06</v>
      </c>
      <c r="X440" s="5">
        <v>3390.06</v>
      </c>
      <c r="Y440" s="3">
        <v>0</v>
      </c>
      <c r="Z440" s="3">
        <v>0</v>
      </c>
      <c r="AA440" s="3">
        <v>0</v>
      </c>
    </row>
    <row r="441" spans="1:27" ht="72.75" x14ac:dyDescent="0.25">
      <c r="A441" s="3" t="s">
        <v>28</v>
      </c>
      <c r="B441" s="3" t="s">
        <v>29</v>
      </c>
      <c r="C441" s="3" t="s">
        <v>30</v>
      </c>
      <c r="D441" s="3" t="s">
        <v>31</v>
      </c>
      <c r="E441" s="3" t="s">
        <v>91</v>
      </c>
      <c r="F441" s="3" t="s">
        <v>111</v>
      </c>
      <c r="G441" s="3">
        <v>2025</v>
      </c>
      <c r="H441" s="3" t="str">
        <f>CONCATENATE("54240618477")</f>
        <v>54240618477</v>
      </c>
      <c r="I441" s="3" t="s">
        <v>34</v>
      </c>
      <c r="J441" s="3" t="s">
        <v>35</v>
      </c>
      <c r="K441" s="3"/>
      <c r="L441" s="3" t="s">
        <v>36</v>
      </c>
      <c r="M441" s="3" t="str">
        <f>CONCATENATE("RBRRRT61D15G453V")</f>
        <v>RBRRRT61D15G453V</v>
      </c>
      <c r="N441" s="3" t="s">
        <v>557</v>
      </c>
      <c r="O441" s="3" t="s">
        <v>38</v>
      </c>
      <c r="P441" s="3"/>
      <c r="Q441" s="4">
        <v>45944</v>
      </c>
      <c r="R441" s="3" t="s">
        <v>39</v>
      </c>
      <c r="S441" s="3" t="s">
        <v>38</v>
      </c>
      <c r="T441" s="3" t="s">
        <v>43</v>
      </c>
      <c r="U441" s="3"/>
      <c r="V441" s="3" t="s">
        <v>41</v>
      </c>
      <c r="W441" s="5">
        <v>6610.47</v>
      </c>
      <c r="X441" s="5">
        <v>6610.47</v>
      </c>
      <c r="Y441" s="3">
        <v>0</v>
      </c>
      <c r="Z441" s="3">
        <v>0</v>
      </c>
      <c r="AA441" s="3">
        <v>0</v>
      </c>
    </row>
    <row r="442" spans="1:27" ht="60.75" x14ac:dyDescent="0.25">
      <c r="A442" s="3" t="s">
        <v>28</v>
      </c>
      <c r="B442" s="3" t="s">
        <v>29</v>
      </c>
      <c r="C442" s="3" t="s">
        <v>30</v>
      </c>
      <c r="D442" s="3" t="s">
        <v>31</v>
      </c>
      <c r="E442" s="3" t="s">
        <v>32</v>
      </c>
      <c r="F442" s="3" t="s">
        <v>153</v>
      </c>
      <c r="G442" s="3">
        <v>2025</v>
      </c>
      <c r="H442" s="3" t="str">
        <f>CONCATENATE("54240619640")</f>
        <v>54240619640</v>
      </c>
      <c r="I442" s="3" t="s">
        <v>34</v>
      </c>
      <c r="J442" s="3" t="s">
        <v>35</v>
      </c>
      <c r="K442" s="3"/>
      <c r="L442" s="3" t="s">
        <v>36</v>
      </c>
      <c r="M442" s="3" t="str">
        <f>CONCATENATE("CNGGNN89D22I608A")</f>
        <v>CNGGNN89D22I608A</v>
      </c>
      <c r="N442" s="3" t="s">
        <v>558</v>
      </c>
      <c r="O442" s="3" t="s">
        <v>38</v>
      </c>
      <c r="P442" s="3"/>
      <c r="Q442" s="4">
        <v>45944</v>
      </c>
      <c r="R442" s="3" t="s">
        <v>39</v>
      </c>
      <c r="S442" s="3" t="s">
        <v>38</v>
      </c>
      <c r="T442" s="3" t="s">
        <v>43</v>
      </c>
      <c r="U442" s="3"/>
      <c r="V442" s="3" t="s">
        <v>41</v>
      </c>
      <c r="W442" s="5">
        <v>13533.26</v>
      </c>
      <c r="X442" s="5">
        <v>13533.26</v>
      </c>
      <c r="Y442" s="3">
        <v>0</v>
      </c>
      <c r="Z442" s="3">
        <v>0</v>
      </c>
      <c r="AA442" s="3">
        <v>0</v>
      </c>
    </row>
    <row r="443" spans="1:27" ht="60.75" x14ac:dyDescent="0.25">
      <c r="A443" s="3" t="s">
        <v>28</v>
      </c>
      <c r="B443" s="3" t="s">
        <v>29</v>
      </c>
      <c r="C443" s="3" t="s">
        <v>30</v>
      </c>
      <c r="D443" s="3" t="s">
        <v>31</v>
      </c>
      <c r="E443" s="3" t="s">
        <v>32</v>
      </c>
      <c r="F443" s="3" t="s">
        <v>178</v>
      </c>
      <c r="G443" s="3">
        <v>2025</v>
      </c>
      <c r="H443" s="3" t="str">
        <f>CONCATENATE("54240620093")</f>
        <v>54240620093</v>
      </c>
      <c r="I443" s="3" t="s">
        <v>34</v>
      </c>
      <c r="J443" s="3" t="s">
        <v>35</v>
      </c>
      <c r="K443" s="3"/>
      <c r="L443" s="3" t="s">
        <v>36</v>
      </c>
      <c r="M443" s="3" t="str">
        <f>CONCATENATE("VNCMRC91L19D749N")</f>
        <v>VNCMRC91L19D749N</v>
      </c>
      <c r="N443" s="3" t="s">
        <v>559</v>
      </c>
      <c r="O443" s="3" t="s">
        <v>38</v>
      </c>
      <c r="P443" s="3"/>
      <c r="Q443" s="4">
        <v>45944</v>
      </c>
      <c r="R443" s="3" t="s">
        <v>39</v>
      </c>
      <c r="S443" s="3" t="s">
        <v>38</v>
      </c>
      <c r="T443" s="3" t="s">
        <v>43</v>
      </c>
      <c r="U443" s="3"/>
      <c r="V443" s="3" t="s">
        <v>41</v>
      </c>
      <c r="W443" s="5">
        <v>8987.9699999999993</v>
      </c>
      <c r="X443" s="5">
        <v>8987.9699999999993</v>
      </c>
      <c r="Y443" s="3">
        <v>0</v>
      </c>
      <c r="Z443" s="3">
        <v>0</v>
      </c>
      <c r="AA443" s="3">
        <v>0</v>
      </c>
    </row>
    <row r="444" spans="1:27" ht="72.75" x14ac:dyDescent="0.25">
      <c r="A444" s="3" t="s">
        <v>28</v>
      </c>
      <c r="B444" s="3" t="s">
        <v>29</v>
      </c>
      <c r="C444" s="3" t="s">
        <v>30</v>
      </c>
      <c r="D444" s="3" t="s">
        <v>63</v>
      </c>
      <c r="E444" s="3" t="s">
        <v>74</v>
      </c>
      <c r="F444" s="3" t="s">
        <v>252</v>
      </c>
      <c r="G444" s="3">
        <v>2025</v>
      </c>
      <c r="H444" s="3" t="str">
        <f>CONCATENATE("54240620564")</f>
        <v>54240620564</v>
      </c>
      <c r="I444" s="3" t="s">
        <v>34</v>
      </c>
      <c r="J444" s="3" t="s">
        <v>35</v>
      </c>
      <c r="K444" s="3"/>
      <c r="L444" s="3" t="s">
        <v>36</v>
      </c>
      <c r="M444" s="3" t="str">
        <f>CONCATENATE("GRMNTN62M07H769L")</f>
        <v>GRMNTN62M07H769L</v>
      </c>
      <c r="N444" s="3" t="s">
        <v>560</v>
      </c>
      <c r="O444" s="3" t="s">
        <v>38</v>
      </c>
      <c r="P444" s="3"/>
      <c r="Q444" s="4">
        <v>45944</v>
      </c>
      <c r="R444" s="3" t="s">
        <v>39</v>
      </c>
      <c r="S444" s="3" t="s">
        <v>38</v>
      </c>
      <c r="T444" s="3" t="s">
        <v>43</v>
      </c>
      <c r="U444" s="3"/>
      <c r="V444" s="3" t="s">
        <v>41</v>
      </c>
      <c r="W444" s="3">
        <v>800.72</v>
      </c>
      <c r="X444" s="3">
        <v>800.72</v>
      </c>
      <c r="Y444" s="3">
        <v>0</v>
      </c>
      <c r="Z444" s="3">
        <v>0</v>
      </c>
      <c r="AA444" s="3">
        <v>0</v>
      </c>
    </row>
    <row r="445" spans="1:27" ht="60.75" x14ac:dyDescent="0.25">
      <c r="A445" s="3" t="s">
        <v>28</v>
      </c>
      <c r="B445" s="3" t="s">
        <v>29</v>
      </c>
      <c r="C445" s="3" t="s">
        <v>30</v>
      </c>
      <c r="D445" s="3" t="s">
        <v>49</v>
      </c>
      <c r="E445" s="3" t="s">
        <v>32</v>
      </c>
      <c r="F445" s="3" t="s">
        <v>69</v>
      </c>
      <c r="G445" s="3">
        <v>2025</v>
      </c>
      <c r="H445" s="3" t="str">
        <f>CONCATENATE("54240620549")</f>
        <v>54240620549</v>
      </c>
      <c r="I445" s="3" t="s">
        <v>34</v>
      </c>
      <c r="J445" s="3" t="s">
        <v>35</v>
      </c>
      <c r="K445" s="3"/>
      <c r="L445" s="3" t="s">
        <v>36</v>
      </c>
      <c r="M445" s="3" t="str">
        <f>CONCATENATE("PRNMRZ53S02A739D")</f>
        <v>PRNMRZ53S02A739D</v>
      </c>
      <c r="N445" s="3" t="s">
        <v>561</v>
      </c>
      <c r="O445" s="3" t="s">
        <v>38</v>
      </c>
      <c r="P445" s="3"/>
      <c r="Q445" s="4">
        <v>45944</v>
      </c>
      <c r="R445" s="3" t="s">
        <v>39</v>
      </c>
      <c r="S445" s="3" t="s">
        <v>38</v>
      </c>
      <c r="T445" s="3" t="s">
        <v>43</v>
      </c>
      <c r="U445" s="3"/>
      <c r="V445" s="3" t="s">
        <v>41</v>
      </c>
      <c r="W445" s="3">
        <v>975.55</v>
      </c>
      <c r="X445" s="3">
        <v>975.55</v>
      </c>
      <c r="Y445" s="3">
        <v>0</v>
      </c>
      <c r="Z445" s="3">
        <v>0</v>
      </c>
      <c r="AA445" s="3">
        <v>0</v>
      </c>
    </row>
    <row r="446" spans="1:27" ht="60.75" x14ac:dyDescent="0.25">
      <c r="A446" s="3" t="s">
        <v>28</v>
      </c>
      <c r="B446" s="3" t="s">
        <v>29</v>
      </c>
      <c r="C446" s="3" t="s">
        <v>30</v>
      </c>
      <c r="D446" s="3" t="s">
        <v>49</v>
      </c>
      <c r="E446" s="3" t="s">
        <v>32</v>
      </c>
      <c r="F446" s="3" t="s">
        <v>69</v>
      </c>
      <c r="G446" s="3">
        <v>2025</v>
      </c>
      <c r="H446" s="3" t="str">
        <f>CONCATENATE("54240628062")</f>
        <v>54240628062</v>
      </c>
      <c r="I446" s="3" t="s">
        <v>34</v>
      </c>
      <c r="J446" s="3" t="s">
        <v>35</v>
      </c>
      <c r="K446" s="3"/>
      <c r="L446" s="3" t="s">
        <v>36</v>
      </c>
      <c r="M446" s="3" t="str">
        <f>CONCATENATE("MRLMRA43S09L191U")</f>
        <v>MRLMRA43S09L191U</v>
      </c>
      <c r="N446" s="3" t="s">
        <v>562</v>
      </c>
      <c r="O446" s="3" t="s">
        <v>38</v>
      </c>
      <c r="P446" s="3"/>
      <c r="Q446" s="4">
        <v>45944</v>
      </c>
      <c r="R446" s="3" t="s">
        <v>39</v>
      </c>
      <c r="S446" s="3" t="s">
        <v>38</v>
      </c>
      <c r="T446" s="3" t="s">
        <v>43</v>
      </c>
      <c r="U446" s="3"/>
      <c r="V446" s="3" t="s">
        <v>41</v>
      </c>
      <c r="W446" s="5">
        <v>5598.62</v>
      </c>
      <c r="X446" s="5">
        <v>5598.62</v>
      </c>
      <c r="Y446" s="3">
        <v>0</v>
      </c>
      <c r="Z446" s="3">
        <v>0</v>
      </c>
      <c r="AA446" s="3">
        <v>0</v>
      </c>
    </row>
    <row r="447" spans="1:27" ht="60.75" x14ac:dyDescent="0.25">
      <c r="A447" s="3" t="s">
        <v>28</v>
      </c>
      <c r="B447" s="3" t="s">
        <v>29</v>
      </c>
      <c r="C447" s="3" t="s">
        <v>30</v>
      </c>
      <c r="D447" s="3" t="s">
        <v>31</v>
      </c>
      <c r="E447" s="3" t="s">
        <v>53</v>
      </c>
      <c r="F447" s="3" t="s">
        <v>483</v>
      </c>
      <c r="G447" s="3">
        <v>2025</v>
      </c>
      <c r="H447" s="3" t="str">
        <f>CONCATENATE("54240627726")</f>
        <v>54240627726</v>
      </c>
      <c r="I447" s="3" t="s">
        <v>34</v>
      </c>
      <c r="J447" s="3" t="s">
        <v>35</v>
      </c>
      <c r="K447" s="3"/>
      <c r="L447" s="3" t="s">
        <v>36</v>
      </c>
      <c r="M447" s="3" t="str">
        <f>CONCATENATE("MTTGSC80D49D488F")</f>
        <v>MTTGSC80D49D488F</v>
      </c>
      <c r="N447" s="3" t="s">
        <v>563</v>
      </c>
      <c r="O447" s="3" t="s">
        <v>38</v>
      </c>
      <c r="P447" s="3"/>
      <c r="Q447" s="4">
        <v>45944</v>
      </c>
      <c r="R447" s="3" t="s">
        <v>39</v>
      </c>
      <c r="S447" s="3" t="s">
        <v>38</v>
      </c>
      <c r="T447" s="3" t="s">
        <v>43</v>
      </c>
      <c r="U447" s="3"/>
      <c r="V447" s="3" t="s">
        <v>41</v>
      </c>
      <c r="W447" s="5">
        <v>1627.03</v>
      </c>
      <c r="X447" s="5">
        <v>1627.03</v>
      </c>
      <c r="Y447" s="3">
        <v>0</v>
      </c>
      <c r="Z447" s="3">
        <v>0</v>
      </c>
      <c r="AA447" s="3">
        <v>0</v>
      </c>
    </row>
    <row r="448" spans="1:27" ht="36.75" x14ac:dyDescent="0.25">
      <c r="A448" s="3" t="s">
        <v>28</v>
      </c>
      <c r="B448" s="3" t="s">
        <v>29</v>
      </c>
      <c r="C448" s="3" t="s">
        <v>30</v>
      </c>
      <c r="D448" s="3" t="s">
        <v>63</v>
      </c>
      <c r="E448" s="3" t="s">
        <v>53</v>
      </c>
      <c r="F448" s="3" t="s">
        <v>180</v>
      </c>
      <c r="G448" s="3">
        <v>2025</v>
      </c>
      <c r="H448" s="3" t="str">
        <f>CONCATENATE("54240623063")</f>
        <v>54240623063</v>
      </c>
      <c r="I448" s="3" t="s">
        <v>149</v>
      </c>
      <c r="J448" s="3" t="s">
        <v>35</v>
      </c>
      <c r="K448" s="3"/>
      <c r="L448" s="3" t="s">
        <v>36</v>
      </c>
      <c r="M448" s="3" t="str">
        <f>CONCATENATE("02515120448")</f>
        <v>02515120448</v>
      </c>
      <c r="N448" s="3" t="s">
        <v>564</v>
      </c>
      <c r="O448" s="3" t="s">
        <v>38</v>
      </c>
      <c r="P448" s="3"/>
      <c r="Q448" s="4">
        <v>45944</v>
      </c>
      <c r="R448" s="3" t="s">
        <v>39</v>
      </c>
      <c r="S448" s="3" t="s">
        <v>38</v>
      </c>
      <c r="T448" s="3" t="s">
        <v>43</v>
      </c>
      <c r="U448" s="3"/>
      <c r="V448" s="3" t="s">
        <v>41</v>
      </c>
      <c r="W448" s="5">
        <v>6980.7</v>
      </c>
      <c r="X448" s="5">
        <v>6980.7</v>
      </c>
      <c r="Y448" s="3">
        <v>0</v>
      </c>
      <c r="Z448" s="3">
        <v>0</v>
      </c>
      <c r="AA448" s="3">
        <v>0</v>
      </c>
    </row>
    <row r="449" spans="1:27" ht="36.75" x14ac:dyDescent="0.25">
      <c r="A449" s="3" t="s">
        <v>28</v>
      </c>
      <c r="B449" s="3" t="s">
        <v>29</v>
      </c>
      <c r="C449" s="3" t="s">
        <v>30</v>
      </c>
      <c r="D449" s="3" t="s">
        <v>58</v>
      </c>
      <c r="E449" s="3" t="s">
        <v>32</v>
      </c>
      <c r="F449" s="3" t="s">
        <v>98</v>
      </c>
      <c r="G449" s="3">
        <v>2025</v>
      </c>
      <c r="H449" s="3" t="str">
        <f>CONCATENATE("54240623170")</f>
        <v>54240623170</v>
      </c>
      <c r="I449" s="3" t="s">
        <v>34</v>
      </c>
      <c r="J449" s="3" t="s">
        <v>35</v>
      </c>
      <c r="K449" s="3"/>
      <c r="L449" s="3" t="s">
        <v>36</v>
      </c>
      <c r="M449" s="3" t="str">
        <f>CONCATENATE("01197530429")</f>
        <v>01197530429</v>
      </c>
      <c r="N449" s="3" t="s">
        <v>565</v>
      </c>
      <c r="O449" s="3" t="s">
        <v>38</v>
      </c>
      <c r="P449" s="3"/>
      <c r="Q449" s="4">
        <v>45944</v>
      </c>
      <c r="R449" s="3" t="s">
        <v>39</v>
      </c>
      <c r="S449" s="3" t="s">
        <v>38</v>
      </c>
      <c r="T449" s="3" t="s">
        <v>43</v>
      </c>
      <c r="U449" s="3"/>
      <c r="V449" s="3" t="s">
        <v>41</v>
      </c>
      <c r="W449" s="5">
        <v>19016.57</v>
      </c>
      <c r="X449" s="5">
        <v>19016.57</v>
      </c>
      <c r="Y449" s="3">
        <v>0</v>
      </c>
      <c r="Z449" s="3">
        <v>0</v>
      </c>
      <c r="AA449" s="3">
        <v>0</v>
      </c>
    </row>
    <row r="450" spans="1:27" ht="60.75" x14ac:dyDescent="0.25">
      <c r="A450" s="3" t="s">
        <v>28</v>
      </c>
      <c r="B450" s="3" t="s">
        <v>29</v>
      </c>
      <c r="C450" s="3" t="s">
        <v>30</v>
      </c>
      <c r="D450" s="3" t="s">
        <v>31</v>
      </c>
      <c r="E450" s="3" t="s">
        <v>53</v>
      </c>
      <c r="F450" s="3" t="s">
        <v>483</v>
      </c>
      <c r="G450" s="3">
        <v>2025</v>
      </c>
      <c r="H450" s="3" t="str">
        <f>CONCATENATE("54240625837")</f>
        <v>54240625837</v>
      </c>
      <c r="I450" s="3" t="s">
        <v>34</v>
      </c>
      <c r="J450" s="3" t="s">
        <v>35</v>
      </c>
      <c r="K450" s="3"/>
      <c r="L450" s="3" t="s">
        <v>36</v>
      </c>
      <c r="M450" s="3" t="str">
        <f>CONCATENATE("LNESFN65P30L498P")</f>
        <v>LNESFN65P30L498P</v>
      </c>
      <c r="N450" s="3" t="s">
        <v>566</v>
      </c>
      <c r="O450" s="3" t="s">
        <v>38</v>
      </c>
      <c r="P450" s="3"/>
      <c r="Q450" s="4">
        <v>45944</v>
      </c>
      <c r="R450" s="3" t="s">
        <v>39</v>
      </c>
      <c r="S450" s="3" t="s">
        <v>38</v>
      </c>
      <c r="T450" s="3" t="s">
        <v>43</v>
      </c>
      <c r="U450" s="3"/>
      <c r="V450" s="3" t="s">
        <v>41</v>
      </c>
      <c r="W450" s="5">
        <v>2413.6999999999998</v>
      </c>
      <c r="X450" s="5">
        <v>2413.6999999999998</v>
      </c>
      <c r="Y450" s="3">
        <v>0</v>
      </c>
      <c r="Z450" s="3">
        <v>0</v>
      </c>
      <c r="AA450" s="3">
        <v>0</v>
      </c>
    </row>
    <row r="451" spans="1:27" ht="60.75" x14ac:dyDescent="0.25">
      <c r="A451" s="3" t="s">
        <v>28</v>
      </c>
      <c r="B451" s="3" t="s">
        <v>29</v>
      </c>
      <c r="C451" s="3" t="s">
        <v>30</v>
      </c>
      <c r="D451" s="3" t="s">
        <v>49</v>
      </c>
      <c r="E451" s="3" t="s">
        <v>91</v>
      </c>
      <c r="F451" s="3" t="s">
        <v>92</v>
      </c>
      <c r="G451" s="3">
        <v>2025</v>
      </c>
      <c r="H451" s="3" t="str">
        <f>CONCATENATE("54240626900")</f>
        <v>54240626900</v>
      </c>
      <c r="I451" s="3" t="s">
        <v>34</v>
      </c>
      <c r="J451" s="3" t="s">
        <v>35</v>
      </c>
      <c r="K451" s="3"/>
      <c r="L451" s="3" t="s">
        <v>36</v>
      </c>
      <c r="M451" s="3" t="str">
        <f>CONCATENATE("SLODNL82B62Z600L")</f>
        <v>SLODNL82B62Z600L</v>
      </c>
      <c r="N451" s="3" t="s">
        <v>567</v>
      </c>
      <c r="O451" s="3" t="s">
        <v>38</v>
      </c>
      <c r="P451" s="3"/>
      <c r="Q451" s="4">
        <v>45944</v>
      </c>
      <c r="R451" s="3" t="s">
        <v>39</v>
      </c>
      <c r="S451" s="3" t="s">
        <v>38</v>
      </c>
      <c r="T451" s="3" t="s">
        <v>43</v>
      </c>
      <c r="U451" s="3"/>
      <c r="V451" s="3" t="s">
        <v>41</v>
      </c>
      <c r="W451" s="3">
        <v>556.74</v>
      </c>
      <c r="X451" s="3">
        <v>556.74</v>
      </c>
      <c r="Y451" s="3">
        <v>0</v>
      </c>
      <c r="Z451" s="3">
        <v>0</v>
      </c>
      <c r="AA451" s="3">
        <v>0</v>
      </c>
    </row>
    <row r="452" spans="1:27" ht="60.75" x14ac:dyDescent="0.25">
      <c r="A452" s="3" t="s">
        <v>28</v>
      </c>
      <c r="B452" s="3" t="s">
        <v>29</v>
      </c>
      <c r="C452" s="3" t="s">
        <v>30</v>
      </c>
      <c r="D452" s="3" t="s">
        <v>49</v>
      </c>
      <c r="E452" s="3" t="s">
        <v>32</v>
      </c>
      <c r="F452" s="3" t="s">
        <v>283</v>
      </c>
      <c r="G452" s="3">
        <v>2025</v>
      </c>
      <c r="H452" s="3" t="str">
        <f>CONCATENATE("54240628377")</f>
        <v>54240628377</v>
      </c>
      <c r="I452" s="3" t="s">
        <v>34</v>
      </c>
      <c r="J452" s="3" t="s">
        <v>35</v>
      </c>
      <c r="K452" s="3"/>
      <c r="L452" s="3" t="s">
        <v>36</v>
      </c>
      <c r="M452" s="3" t="str">
        <f>CONCATENATE("CRDGLN72H02C770Q")</f>
        <v>CRDGLN72H02C770Q</v>
      </c>
      <c r="N452" s="3" t="s">
        <v>568</v>
      </c>
      <c r="O452" s="3" t="s">
        <v>38</v>
      </c>
      <c r="P452" s="3"/>
      <c r="Q452" s="4">
        <v>45944</v>
      </c>
      <c r="R452" s="3" t="s">
        <v>39</v>
      </c>
      <c r="S452" s="3" t="s">
        <v>38</v>
      </c>
      <c r="T452" s="3" t="s">
        <v>43</v>
      </c>
      <c r="U452" s="3"/>
      <c r="V452" s="3" t="s">
        <v>41</v>
      </c>
      <c r="W452" s="5">
        <v>1235.48</v>
      </c>
      <c r="X452" s="5">
        <v>1235.48</v>
      </c>
      <c r="Y452" s="3">
        <v>0</v>
      </c>
      <c r="Z452" s="3">
        <v>0</v>
      </c>
      <c r="AA452" s="3">
        <v>0</v>
      </c>
    </row>
    <row r="453" spans="1:27" ht="36.75" x14ac:dyDescent="0.25">
      <c r="A453" s="3" t="s">
        <v>28</v>
      </c>
      <c r="B453" s="3" t="s">
        <v>29</v>
      </c>
      <c r="C453" s="3" t="s">
        <v>30</v>
      </c>
      <c r="D453" s="3" t="s">
        <v>63</v>
      </c>
      <c r="E453" s="3" t="s">
        <v>145</v>
      </c>
      <c r="F453" s="3" t="s">
        <v>146</v>
      </c>
      <c r="G453" s="3">
        <v>2025</v>
      </c>
      <c r="H453" s="3" t="str">
        <f>CONCATENATE("54240628336")</f>
        <v>54240628336</v>
      </c>
      <c r="I453" s="3" t="s">
        <v>34</v>
      </c>
      <c r="J453" s="3" t="s">
        <v>35</v>
      </c>
      <c r="K453" s="3"/>
      <c r="L453" s="3" t="s">
        <v>36</v>
      </c>
      <c r="M453" s="3" t="str">
        <f>CONCATENATE("02490080443")</f>
        <v>02490080443</v>
      </c>
      <c r="N453" s="3" t="s">
        <v>569</v>
      </c>
      <c r="O453" s="3" t="s">
        <v>38</v>
      </c>
      <c r="P453" s="3"/>
      <c r="Q453" s="4">
        <v>45944</v>
      </c>
      <c r="R453" s="3" t="s">
        <v>39</v>
      </c>
      <c r="S453" s="3" t="s">
        <v>38</v>
      </c>
      <c r="T453" s="3" t="s">
        <v>43</v>
      </c>
      <c r="U453" s="3"/>
      <c r="V453" s="3" t="s">
        <v>41</v>
      </c>
      <c r="W453" s="5">
        <v>2524.35</v>
      </c>
      <c r="X453" s="5">
        <v>2524.35</v>
      </c>
      <c r="Y453" s="3">
        <v>0</v>
      </c>
      <c r="Z453" s="3">
        <v>0</v>
      </c>
      <c r="AA453" s="3">
        <v>0</v>
      </c>
    </row>
    <row r="454" spans="1:27" ht="60.75" x14ac:dyDescent="0.25">
      <c r="A454" s="3" t="s">
        <v>28</v>
      </c>
      <c r="B454" s="3" t="s">
        <v>29</v>
      </c>
      <c r="C454" s="3" t="s">
        <v>30</v>
      </c>
      <c r="D454" s="3" t="s">
        <v>49</v>
      </c>
      <c r="E454" s="3" t="s">
        <v>32</v>
      </c>
      <c r="F454" s="3" t="s">
        <v>78</v>
      </c>
      <c r="G454" s="3">
        <v>2025</v>
      </c>
      <c r="H454" s="3" t="str">
        <f>CONCATENATE("54240628278")</f>
        <v>54240628278</v>
      </c>
      <c r="I454" s="3" t="s">
        <v>34</v>
      </c>
      <c r="J454" s="3" t="s">
        <v>35</v>
      </c>
      <c r="K454" s="3"/>
      <c r="L454" s="3" t="s">
        <v>36</v>
      </c>
      <c r="M454" s="3" t="str">
        <f>CONCATENATE("PPVMRZ58M26I156B")</f>
        <v>PPVMRZ58M26I156B</v>
      </c>
      <c r="N454" s="3" t="s">
        <v>570</v>
      </c>
      <c r="O454" s="3" t="s">
        <v>38</v>
      </c>
      <c r="P454" s="3"/>
      <c r="Q454" s="4">
        <v>45944</v>
      </c>
      <c r="R454" s="3" t="s">
        <v>39</v>
      </c>
      <c r="S454" s="3" t="s">
        <v>38</v>
      </c>
      <c r="T454" s="3" t="s">
        <v>43</v>
      </c>
      <c r="U454" s="3"/>
      <c r="V454" s="3" t="s">
        <v>41</v>
      </c>
      <c r="W454" s="5">
        <v>7214.15</v>
      </c>
      <c r="X454" s="5">
        <v>7214.15</v>
      </c>
      <c r="Y454" s="3">
        <v>0</v>
      </c>
      <c r="Z454" s="3">
        <v>0</v>
      </c>
      <c r="AA454" s="3">
        <v>0</v>
      </c>
    </row>
    <row r="455" spans="1:27" ht="60.75" x14ac:dyDescent="0.25">
      <c r="A455" s="3" t="s">
        <v>28</v>
      </c>
      <c r="B455" s="3" t="s">
        <v>29</v>
      </c>
      <c r="C455" s="3" t="s">
        <v>30</v>
      </c>
      <c r="D455" s="3" t="s">
        <v>49</v>
      </c>
      <c r="E455" s="3" t="s">
        <v>32</v>
      </c>
      <c r="F455" s="3" t="s">
        <v>283</v>
      </c>
      <c r="G455" s="3">
        <v>2025</v>
      </c>
      <c r="H455" s="3" t="str">
        <f>CONCATENATE("54240628872")</f>
        <v>54240628872</v>
      </c>
      <c r="I455" s="3" t="s">
        <v>34</v>
      </c>
      <c r="J455" s="3" t="s">
        <v>35</v>
      </c>
      <c r="K455" s="3"/>
      <c r="L455" s="3" t="s">
        <v>36</v>
      </c>
      <c r="M455" s="3" t="str">
        <f>CONCATENATE("MRIMLL65C65F268E")</f>
        <v>MRIMLL65C65F268E</v>
      </c>
      <c r="N455" s="3" t="s">
        <v>571</v>
      </c>
      <c r="O455" s="3" t="s">
        <v>38</v>
      </c>
      <c r="P455" s="3"/>
      <c r="Q455" s="4">
        <v>45944</v>
      </c>
      <c r="R455" s="3" t="s">
        <v>39</v>
      </c>
      <c r="S455" s="3" t="s">
        <v>38</v>
      </c>
      <c r="T455" s="3" t="s">
        <v>43</v>
      </c>
      <c r="U455" s="3"/>
      <c r="V455" s="3" t="s">
        <v>41</v>
      </c>
      <c r="W455" s="5">
        <v>2588.4</v>
      </c>
      <c r="X455" s="5">
        <v>2588.4</v>
      </c>
      <c r="Y455" s="3">
        <v>0</v>
      </c>
      <c r="Z455" s="3">
        <v>0</v>
      </c>
      <c r="AA455" s="3">
        <v>0</v>
      </c>
    </row>
    <row r="456" spans="1:27" ht="60.75" x14ac:dyDescent="0.25">
      <c r="A456" s="3" t="s">
        <v>28</v>
      </c>
      <c r="B456" s="3" t="s">
        <v>29</v>
      </c>
      <c r="C456" s="3" t="s">
        <v>30</v>
      </c>
      <c r="D456" s="3" t="s">
        <v>58</v>
      </c>
      <c r="E456" s="3" t="s">
        <v>32</v>
      </c>
      <c r="F456" s="3" t="s">
        <v>471</v>
      </c>
      <c r="G456" s="3">
        <v>2025</v>
      </c>
      <c r="H456" s="3" t="str">
        <f>CONCATENATE("54240648680")</f>
        <v>54240648680</v>
      </c>
      <c r="I456" s="3" t="s">
        <v>34</v>
      </c>
      <c r="J456" s="3" t="s">
        <v>35</v>
      </c>
      <c r="K456" s="3"/>
      <c r="L456" s="3" t="s">
        <v>36</v>
      </c>
      <c r="M456" s="3" t="str">
        <f>CONCATENATE("SPSDNL79A55L063N")</f>
        <v>SPSDNL79A55L063N</v>
      </c>
      <c r="N456" s="3" t="s">
        <v>572</v>
      </c>
      <c r="O456" s="3" t="s">
        <v>38</v>
      </c>
      <c r="P456" s="3"/>
      <c r="Q456" s="4">
        <v>45944</v>
      </c>
      <c r="R456" s="3" t="s">
        <v>39</v>
      </c>
      <c r="S456" s="3" t="s">
        <v>38</v>
      </c>
      <c r="T456" s="3" t="s">
        <v>43</v>
      </c>
      <c r="U456" s="3"/>
      <c r="V456" s="3" t="s">
        <v>41</v>
      </c>
      <c r="W456" s="5">
        <v>6918.35</v>
      </c>
      <c r="X456" s="5">
        <v>6918.35</v>
      </c>
      <c r="Y456" s="3">
        <v>0</v>
      </c>
      <c r="Z456" s="3">
        <v>0</v>
      </c>
      <c r="AA456" s="3">
        <v>0</v>
      </c>
    </row>
    <row r="457" spans="1:27" ht="60.75" x14ac:dyDescent="0.25">
      <c r="A457" s="3" t="s">
        <v>28</v>
      </c>
      <c r="B457" s="3" t="s">
        <v>29</v>
      </c>
      <c r="C457" s="3" t="s">
        <v>30</v>
      </c>
      <c r="D457" s="3" t="s">
        <v>49</v>
      </c>
      <c r="E457" s="3" t="s">
        <v>32</v>
      </c>
      <c r="F457" s="3" t="s">
        <v>78</v>
      </c>
      <c r="G457" s="3">
        <v>2025</v>
      </c>
      <c r="H457" s="3" t="str">
        <f>CONCATENATE("54240645025")</f>
        <v>54240645025</v>
      </c>
      <c r="I457" s="3" t="s">
        <v>149</v>
      </c>
      <c r="J457" s="3" t="s">
        <v>35</v>
      </c>
      <c r="K457" s="3"/>
      <c r="L457" s="3" t="s">
        <v>36</v>
      </c>
      <c r="M457" s="3" t="str">
        <f>CONCATENATE("CRSMRC82A10B474C")</f>
        <v>CRSMRC82A10B474C</v>
      </c>
      <c r="N457" s="3" t="s">
        <v>573</v>
      </c>
      <c r="O457" s="3" t="s">
        <v>38</v>
      </c>
      <c r="P457" s="3"/>
      <c r="Q457" s="4">
        <v>45944</v>
      </c>
      <c r="R457" s="3" t="s">
        <v>39</v>
      </c>
      <c r="S457" s="3" t="s">
        <v>38</v>
      </c>
      <c r="T457" s="3" t="s">
        <v>43</v>
      </c>
      <c r="U457" s="3"/>
      <c r="V457" s="3" t="s">
        <v>41</v>
      </c>
      <c r="W457" s="5">
        <v>2571.4499999999998</v>
      </c>
      <c r="X457" s="5">
        <v>2571.4499999999998</v>
      </c>
      <c r="Y457" s="3">
        <v>0</v>
      </c>
      <c r="Z457" s="3">
        <v>0</v>
      </c>
      <c r="AA457" s="3">
        <v>0</v>
      </c>
    </row>
    <row r="458" spans="1:27" ht="60.75" x14ac:dyDescent="0.25">
      <c r="A458" s="3" t="s">
        <v>28</v>
      </c>
      <c r="B458" s="3" t="s">
        <v>29</v>
      </c>
      <c r="C458" s="3" t="s">
        <v>30</v>
      </c>
      <c r="D458" s="3" t="s">
        <v>63</v>
      </c>
      <c r="E458" s="3" t="s">
        <v>53</v>
      </c>
      <c r="F458" s="3" t="s">
        <v>478</v>
      </c>
      <c r="G458" s="3">
        <v>2025</v>
      </c>
      <c r="H458" s="3" t="str">
        <f>CONCATENATE("54240632189")</f>
        <v>54240632189</v>
      </c>
      <c r="I458" s="3" t="s">
        <v>34</v>
      </c>
      <c r="J458" s="3" t="s">
        <v>35</v>
      </c>
      <c r="K458" s="3"/>
      <c r="L458" s="3" t="s">
        <v>36</v>
      </c>
      <c r="M458" s="3" t="str">
        <f>CONCATENATE("CPRGRL57S60H323L")</f>
        <v>CPRGRL57S60H323L</v>
      </c>
      <c r="N458" s="3" t="s">
        <v>574</v>
      </c>
      <c r="O458" s="3" t="s">
        <v>38</v>
      </c>
      <c r="P458" s="3"/>
      <c r="Q458" s="4">
        <v>45944</v>
      </c>
      <c r="R458" s="3" t="s">
        <v>39</v>
      </c>
      <c r="S458" s="3" t="s">
        <v>38</v>
      </c>
      <c r="T458" s="3" t="s">
        <v>43</v>
      </c>
      <c r="U458" s="3"/>
      <c r="V458" s="3" t="s">
        <v>41</v>
      </c>
      <c r="W458" s="5">
        <v>8945.6200000000008</v>
      </c>
      <c r="X458" s="5">
        <v>8945.6200000000008</v>
      </c>
      <c r="Y458" s="3">
        <v>0</v>
      </c>
      <c r="Z458" s="3">
        <v>0</v>
      </c>
      <c r="AA458" s="3">
        <v>0</v>
      </c>
    </row>
    <row r="459" spans="1:27" ht="36.75" x14ac:dyDescent="0.25">
      <c r="A459" s="3" t="s">
        <v>28</v>
      </c>
      <c r="B459" s="3" t="s">
        <v>29</v>
      </c>
      <c r="C459" s="3" t="s">
        <v>30</v>
      </c>
      <c r="D459" s="3" t="s">
        <v>63</v>
      </c>
      <c r="E459" s="3" t="s">
        <v>53</v>
      </c>
      <c r="F459" s="3" t="s">
        <v>478</v>
      </c>
      <c r="G459" s="3">
        <v>2025</v>
      </c>
      <c r="H459" s="3" t="str">
        <f>CONCATENATE("54240633500")</f>
        <v>54240633500</v>
      </c>
      <c r="I459" s="3" t="s">
        <v>34</v>
      </c>
      <c r="J459" s="3" t="s">
        <v>35</v>
      </c>
      <c r="K459" s="3"/>
      <c r="L459" s="3" t="s">
        <v>36</v>
      </c>
      <c r="M459" s="3" t="str">
        <f>CONCATENATE("01435150444")</f>
        <v>01435150444</v>
      </c>
      <c r="N459" s="3" t="s">
        <v>575</v>
      </c>
      <c r="O459" s="3" t="s">
        <v>38</v>
      </c>
      <c r="P459" s="3"/>
      <c r="Q459" s="4">
        <v>45944</v>
      </c>
      <c r="R459" s="3" t="s">
        <v>39</v>
      </c>
      <c r="S459" s="3" t="s">
        <v>38</v>
      </c>
      <c r="T459" s="3" t="s">
        <v>43</v>
      </c>
      <c r="U459" s="3"/>
      <c r="V459" s="3" t="s">
        <v>41</v>
      </c>
      <c r="W459" s="5">
        <v>3889.23</v>
      </c>
      <c r="X459" s="5">
        <v>3889.23</v>
      </c>
      <c r="Y459" s="3">
        <v>0</v>
      </c>
      <c r="Z459" s="3">
        <v>0</v>
      </c>
      <c r="AA459" s="3">
        <v>0</v>
      </c>
    </row>
    <row r="460" spans="1:27" ht="60.75" x14ac:dyDescent="0.25">
      <c r="A460" s="3" t="s">
        <v>28</v>
      </c>
      <c r="B460" s="3" t="s">
        <v>29</v>
      </c>
      <c r="C460" s="3" t="s">
        <v>30</v>
      </c>
      <c r="D460" s="3" t="s">
        <v>58</v>
      </c>
      <c r="E460" s="3" t="s">
        <v>53</v>
      </c>
      <c r="F460" s="3" t="s">
        <v>59</v>
      </c>
      <c r="G460" s="3">
        <v>2025</v>
      </c>
      <c r="H460" s="3" t="str">
        <f>CONCATENATE("54240634110")</f>
        <v>54240634110</v>
      </c>
      <c r="I460" s="3" t="s">
        <v>34</v>
      </c>
      <c r="J460" s="3" t="s">
        <v>35</v>
      </c>
      <c r="K460" s="3"/>
      <c r="L460" s="3" t="s">
        <v>36</v>
      </c>
      <c r="M460" s="3" t="str">
        <f>CONCATENATE("FMSFPP92P08A475E")</f>
        <v>FMSFPP92P08A475E</v>
      </c>
      <c r="N460" s="3" t="s">
        <v>576</v>
      </c>
      <c r="O460" s="3" t="s">
        <v>38</v>
      </c>
      <c r="P460" s="3"/>
      <c r="Q460" s="4">
        <v>45944</v>
      </c>
      <c r="R460" s="3" t="s">
        <v>39</v>
      </c>
      <c r="S460" s="3" t="s">
        <v>38</v>
      </c>
      <c r="T460" s="3" t="s">
        <v>43</v>
      </c>
      <c r="U460" s="3"/>
      <c r="V460" s="3" t="s">
        <v>41</v>
      </c>
      <c r="W460" s="5">
        <v>14748.14</v>
      </c>
      <c r="X460" s="5">
        <v>14748.14</v>
      </c>
      <c r="Y460" s="3">
        <v>0</v>
      </c>
      <c r="Z460" s="3">
        <v>0</v>
      </c>
      <c r="AA460" s="3">
        <v>0</v>
      </c>
    </row>
    <row r="461" spans="1:27" ht="60.75" x14ac:dyDescent="0.25">
      <c r="A461" s="3" t="s">
        <v>28</v>
      </c>
      <c r="B461" s="3" t="s">
        <v>29</v>
      </c>
      <c r="C461" s="3" t="s">
        <v>30</v>
      </c>
      <c r="D461" s="3" t="s">
        <v>49</v>
      </c>
      <c r="E461" s="3" t="s">
        <v>32</v>
      </c>
      <c r="F461" s="3" t="s">
        <v>71</v>
      </c>
      <c r="G461" s="3">
        <v>2025</v>
      </c>
      <c r="H461" s="3" t="str">
        <f>CONCATENATE("54240633534")</f>
        <v>54240633534</v>
      </c>
      <c r="I461" s="3" t="s">
        <v>34</v>
      </c>
      <c r="J461" s="3" t="s">
        <v>35</v>
      </c>
      <c r="K461" s="3"/>
      <c r="L461" s="3" t="s">
        <v>36</v>
      </c>
      <c r="M461" s="3" t="str">
        <f>CONCATENATE("BCCNRC78C21I436T")</f>
        <v>BCCNRC78C21I436T</v>
      </c>
      <c r="N461" s="3" t="s">
        <v>577</v>
      </c>
      <c r="O461" s="3" t="s">
        <v>38</v>
      </c>
      <c r="P461" s="3"/>
      <c r="Q461" s="4">
        <v>45944</v>
      </c>
      <c r="R461" s="3" t="s">
        <v>39</v>
      </c>
      <c r="S461" s="3" t="s">
        <v>38</v>
      </c>
      <c r="T461" s="3" t="s">
        <v>43</v>
      </c>
      <c r="U461" s="3"/>
      <c r="V461" s="3" t="s">
        <v>41</v>
      </c>
      <c r="W461" s="5">
        <v>18216.72</v>
      </c>
      <c r="X461" s="5">
        <v>18216.72</v>
      </c>
      <c r="Y461" s="3">
        <v>0</v>
      </c>
      <c r="Z461" s="3">
        <v>0</v>
      </c>
      <c r="AA461" s="3">
        <v>0</v>
      </c>
    </row>
    <row r="462" spans="1:27" ht="60.75" x14ac:dyDescent="0.25">
      <c r="A462" s="3" t="s">
        <v>28</v>
      </c>
      <c r="B462" s="3" t="s">
        <v>29</v>
      </c>
      <c r="C462" s="3" t="s">
        <v>30</v>
      </c>
      <c r="D462" s="3" t="s">
        <v>31</v>
      </c>
      <c r="E462" s="3" t="s">
        <v>53</v>
      </c>
      <c r="F462" s="3" t="s">
        <v>483</v>
      </c>
      <c r="G462" s="3">
        <v>2025</v>
      </c>
      <c r="H462" s="3" t="str">
        <f>CONCATENATE("54240635455")</f>
        <v>54240635455</v>
      </c>
      <c r="I462" s="3" t="s">
        <v>34</v>
      </c>
      <c r="J462" s="3" t="s">
        <v>35</v>
      </c>
      <c r="K462" s="3"/>
      <c r="L462" s="3" t="s">
        <v>36</v>
      </c>
      <c r="M462" s="3" t="str">
        <f>CONCATENATE("LGRGPP82E22A662B")</f>
        <v>LGRGPP82E22A662B</v>
      </c>
      <c r="N462" s="3" t="s">
        <v>578</v>
      </c>
      <c r="O462" s="3" t="s">
        <v>38</v>
      </c>
      <c r="P462" s="3"/>
      <c r="Q462" s="4">
        <v>45944</v>
      </c>
      <c r="R462" s="3" t="s">
        <v>39</v>
      </c>
      <c r="S462" s="3" t="s">
        <v>38</v>
      </c>
      <c r="T462" s="3" t="s">
        <v>43</v>
      </c>
      <c r="U462" s="3"/>
      <c r="V462" s="3" t="s">
        <v>41</v>
      </c>
      <c r="W462" s="5">
        <v>3447.33</v>
      </c>
      <c r="X462" s="5">
        <v>3447.33</v>
      </c>
      <c r="Y462" s="3">
        <v>0</v>
      </c>
      <c r="Z462" s="3">
        <v>0</v>
      </c>
      <c r="AA462" s="3">
        <v>0</v>
      </c>
    </row>
    <row r="463" spans="1:27" ht="36.75" x14ac:dyDescent="0.25">
      <c r="A463" s="3" t="s">
        <v>28</v>
      </c>
      <c r="B463" s="3" t="s">
        <v>29</v>
      </c>
      <c r="C463" s="3" t="s">
        <v>30</v>
      </c>
      <c r="D463" s="3" t="s">
        <v>49</v>
      </c>
      <c r="E463" s="3" t="s">
        <v>32</v>
      </c>
      <c r="F463" s="3" t="s">
        <v>69</v>
      </c>
      <c r="G463" s="3">
        <v>2025</v>
      </c>
      <c r="H463" s="3" t="str">
        <f>CONCATENATE("54240634995")</f>
        <v>54240634995</v>
      </c>
      <c r="I463" s="3" t="s">
        <v>34</v>
      </c>
      <c r="J463" s="3" t="s">
        <v>35</v>
      </c>
      <c r="K463" s="3"/>
      <c r="L463" s="3" t="s">
        <v>36</v>
      </c>
      <c r="M463" s="3" t="str">
        <f>CONCATENATE("01724150436")</f>
        <v>01724150436</v>
      </c>
      <c r="N463" s="3" t="s">
        <v>579</v>
      </c>
      <c r="O463" s="3" t="s">
        <v>38</v>
      </c>
      <c r="P463" s="3"/>
      <c r="Q463" s="4">
        <v>45944</v>
      </c>
      <c r="R463" s="3" t="s">
        <v>39</v>
      </c>
      <c r="S463" s="3" t="s">
        <v>38</v>
      </c>
      <c r="T463" s="3" t="s">
        <v>43</v>
      </c>
      <c r="U463" s="3"/>
      <c r="V463" s="3" t="s">
        <v>41</v>
      </c>
      <c r="W463" s="5">
        <v>3122.75</v>
      </c>
      <c r="X463" s="5">
        <v>3122.75</v>
      </c>
      <c r="Y463" s="3">
        <v>0</v>
      </c>
      <c r="Z463" s="3">
        <v>0</v>
      </c>
      <c r="AA463" s="3">
        <v>0</v>
      </c>
    </row>
    <row r="464" spans="1:27" ht="60.75" x14ac:dyDescent="0.25">
      <c r="A464" s="3" t="s">
        <v>28</v>
      </c>
      <c r="B464" s="3" t="s">
        <v>29</v>
      </c>
      <c r="C464" s="3" t="s">
        <v>30</v>
      </c>
      <c r="D464" s="3" t="s">
        <v>31</v>
      </c>
      <c r="E464" s="3" t="s">
        <v>32</v>
      </c>
      <c r="F464" s="3" t="s">
        <v>44</v>
      </c>
      <c r="G464" s="3">
        <v>2025</v>
      </c>
      <c r="H464" s="3" t="str">
        <f>CONCATENATE("54240635141")</f>
        <v>54240635141</v>
      </c>
      <c r="I464" s="3" t="s">
        <v>34</v>
      </c>
      <c r="J464" s="3" t="s">
        <v>35</v>
      </c>
      <c r="K464" s="3"/>
      <c r="L464" s="3" t="s">
        <v>36</v>
      </c>
      <c r="M464" s="3" t="str">
        <f>CONCATENATE("SLTLCU89R13D749G")</f>
        <v>SLTLCU89R13D749G</v>
      </c>
      <c r="N464" s="3" t="s">
        <v>580</v>
      </c>
      <c r="O464" s="3" t="s">
        <v>38</v>
      </c>
      <c r="P464" s="3"/>
      <c r="Q464" s="4">
        <v>45944</v>
      </c>
      <c r="R464" s="3" t="s">
        <v>39</v>
      </c>
      <c r="S464" s="3" t="s">
        <v>38</v>
      </c>
      <c r="T464" s="3" t="s">
        <v>43</v>
      </c>
      <c r="U464" s="3"/>
      <c r="V464" s="3" t="s">
        <v>41</v>
      </c>
      <c r="W464" s="5">
        <v>4104.17</v>
      </c>
      <c r="X464" s="5">
        <v>4104.17</v>
      </c>
      <c r="Y464" s="3">
        <v>0</v>
      </c>
      <c r="Z464" s="3">
        <v>0</v>
      </c>
      <c r="AA464" s="3">
        <v>0</v>
      </c>
    </row>
    <row r="465" spans="1:27" ht="60.75" x14ac:dyDescent="0.25">
      <c r="A465" s="3" t="s">
        <v>28</v>
      </c>
      <c r="B465" s="3" t="s">
        <v>29</v>
      </c>
      <c r="C465" s="3" t="s">
        <v>30</v>
      </c>
      <c r="D465" s="3" t="s">
        <v>49</v>
      </c>
      <c r="E465" s="3" t="s">
        <v>50</v>
      </c>
      <c r="F465" s="3" t="s">
        <v>51</v>
      </c>
      <c r="G465" s="3">
        <v>2025</v>
      </c>
      <c r="H465" s="3" t="str">
        <f>CONCATENATE("54240636826")</f>
        <v>54240636826</v>
      </c>
      <c r="I465" s="3" t="s">
        <v>34</v>
      </c>
      <c r="J465" s="3" t="s">
        <v>35</v>
      </c>
      <c r="K465" s="3"/>
      <c r="L465" s="3" t="s">
        <v>36</v>
      </c>
      <c r="M465" s="3" t="str">
        <f>CONCATENATE("BNDFNN37T28L366Q")</f>
        <v>BNDFNN37T28L366Q</v>
      </c>
      <c r="N465" s="3" t="s">
        <v>581</v>
      </c>
      <c r="O465" s="3" t="s">
        <v>38</v>
      </c>
      <c r="P465" s="3"/>
      <c r="Q465" s="4">
        <v>45944</v>
      </c>
      <c r="R465" s="3" t="s">
        <v>39</v>
      </c>
      <c r="S465" s="3" t="s">
        <v>38</v>
      </c>
      <c r="T465" s="3" t="s">
        <v>43</v>
      </c>
      <c r="U465" s="3"/>
      <c r="V465" s="3" t="s">
        <v>41</v>
      </c>
      <c r="W465" s="5">
        <v>1639.84</v>
      </c>
      <c r="X465" s="5">
        <v>1639.84</v>
      </c>
      <c r="Y465" s="3">
        <v>0</v>
      </c>
      <c r="Z465" s="3">
        <v>0</v>
      </c>
      <c r="AA465" s="3">
        <v>0</v>
      </c>
    </row>
    <row r="466" spans="1:27" ht="36.75" x14ac:dyDescent="0.25">
      <c r="A466" s="3" t="s">
        <v>28</v>
      </c>
      <c r="B466" s="3" t="s">
        <v>29</v>
      </c>
      <c r="C466" s="3" t="s">
        <v>30</v>
      </c>
      <c r="D466" s="3" t="s">
        <v>49</v>
      </c>
      <c r="E466" s="3" t="s">
        <v>46</v>
      </c>
      <c r="F466" s="3" t="s">
        <v>131</v>
      </c>
      <c r="G466" s="3">
        <v>2025</v>
      </c>
      <c r="H466" s="3" t="str">
        <f>CONCATENATE("54240638871")</f>
        <v>54240638871</v>
      </c>
      <c r="I466" s="3" t="s">
        <v>34</v>
      </c>
      <c r="J466" s="3" t="s">
        <v>35</v>
      </c>
      <c r="K466" s="3"/>
      <c r="L466" s="3" t="s">
        <v>36</v>
      </c>
      <c r="M466" s="3" t="str">
        <f>CONCATENATE("02133810438")</f>
        <v>02133810438</v>
      </c>
      <c r="N466" s="3" t="s">
        <v>582</v>
      </c>
      <c r="O466" s="3" t="s">
        <v>38</v>
      </c>
      <c r="P466" s="3"/>
      <c r="Q466" s="4">
        <v>45944</v>
      </c>
      <c r="R466" s="3" t="s">
        <v>39</v>
      </c>
      <c r="S466" s="3" t="s">
        <v>38</v>
      </c>
      <c r="T466" s="3" t="s">
        <v>43</v>
      </c>
      <c r="U466" s="3"/>
      <c r="V466" s="3" t="s">
        <v>41</v>
      </c>
      <c r="W466" s="5">
        <v>11047.21</v>
      </c>
      <c r="X466" s="5">
        <v>11047.21</v>
      </c>
      <c r="Y466" s="3">
        <v>0</v>
      </c>
      <c r="Z466" s="3">
        <v>0</v>
      </c>
      <c r="AA466" s="3">
        <v>0</v>
      </c>
    </row>
    <row r="467" spans="1:27" ht="36.75" x14ac:dyDescent="0.25">
      <c r="A467" s="3" t="s">
        <v>28</v>
      </c>
      <c r="B467" s="3" t="s">
        <v>29</v>
      </c>
      <c r="C467" s="3" t="s">
        <v>30</v>
      </c>
      <c r="D467" s="3" t="s">
        <v>58</v>
      </c>
      <c r="E467" s="3" t="s">
        <v>32</v>
      </c>
      <c r="F467" s="3" t="s">
        <v>100</v>
      </c>
      <c r="G467" s="3">
        <v>2025</v>
      </c>
      <c r="H467" s="3" t="str">
        <f>CONCATENATE("54240640323")</f>
        <v>54240640323</v>
      </c>
      <c r="I467" s="3" t="s">
        <v>34</v>
      </c>
      <c r="J467" s="3" t="s">
        <v>35</v>
      </c>
      <c r="K467" s="3"/>
      <c r="L467" s="3" t="s">
        <v>36</v>
      </c>
      <c r="M467" s="3" t="str">
        <f>CONCATENATE("02754810428")</f>
        <v>02754810428</v>
      </c>
      <c r="N467" s="3" t="s">
        <v>583</v>
      </c>
      <c r="O467" s="3" t="s">
        <v>38</v>
      </c>
      <c r="P467" s="3"/>
      <c r="Q467" s="4">
        <v>45944</v>
      </c>
      <c r="R467" s="3" t="s">
        <v>39</v>
      </c>
      <c r="S467" s="3" t="s">
        <v>38</v>
      </c>
      <c r="T467" s="3" t="s">
        <v>43</v>
      </c>
      <c r="U467" s="3"/>
      <c r="V467" s="3" t="s">
        <v>41</v>
      </c>
      <c r="W467" s="5">
        <v>8183.92</v>
      </c>
      <c r="X467" s="5">
        <v>8183.92</v>
      </c>
      <c r="Y467" s="3">
        <v>0</v>
      </c>
      <c r="Z467" s="3">
        <v>0</v>
      </c>
      <c r="AA467" s="3">
        <v>0</v>
      </c>
    </row>
    <row r="468" spans="1:27" ht="60.75" x14ac:dyDescent="0.25">
      <c r="A468" s="3" t="s">
        <v>28</v>
      </c>
      <c r="B468" s="3" t="s">
        <v>29</v>
      </c>
      <c r="C468" s="3" t="s">
        <v>30</v>
      </c>
      <c r="D468" s="3" t="s">
        <v>49</v>
      </c>
      <c r="E468" s="3" t="s">
        <v>32</v>
      </c>
      <c r="F468" s="3" t="s">
        <v>78</v>
      </c>
      <c r="G468" s="3">
        <v>2025</v>
      </c>
      <c r="H468" s="3" t="str">
        <f>CONCATENATE("54240641842")</f>
        <v>54240641842</v>
      </c>
      <c r="I468" s="3" t="s">
        <v>34</v>
      </c>
      <c r="J468" s="3" t="s">
        <v>35</v>
      </c>
      <c r="K468" s="3"/>
      <c r="L468" s="3" t="s">
        <v>36</v>
      </c>
      <c r="M468" s="3" t="str">
        <f>CONCATENATE("GLLNDA64T44B474S")</f>
        <v>GLLNDA64T44B474S</v>
      </c>
      <c r="N468" s="3" t="s">
        <v>584</v>
      </c>
      <c r="O468" s="3" t="s">
        <v>38</v>
      </c>
      <c r="P468" s="3"/>
      <c r="Q468" s="4">
        <v>45944</v>
      </c>
      <c r="R468" s="3" t="s">
        <v>39</v>
      </c>
      <c r="S468" s="3" t="s">
        <v>38</v>
      </c>
      <c r="T468" s="3" t="s">
        <v>43</v>
      </c>
      <c r="U468" s="3"/>
      <c r="V468" s="3" t="s">
        <v>41</v>
      </c>
      <c r="W468" s="5">
        <v>1857.85</v>
      </c>
      <c r="X468" s="5">
        <v>1857.85</v>
      </c>
      <c r="Y468" s="3">
        <v>0</v>
      </c>
      <c r="Z468" s="3">
        <v>0</v>
      </c>
      <c r="AA468" s="3">
        <v>0</v>
      </c>
    </row>
    <row r="469" spans="1:27" ht="60.75" x14ac:dyDescent="0.25">
      <c r="A469" s="3" t="s">
        <v>28</v>
      </c>
      <c r="B469" s="3" t="s">
        <v>29</v>
      </c>
      <c r="C469" s="3" t="s">
        <v>30</v>
      </c>
      <c r="D469" s="3" t="s">
        <v>58</v>
      </c>
      <c r="E469" s="3" t="s">
        <v>91</v>
      </c>
      <c r="F469" s="3" t="s">
        <v>106</v>
      </c>
      <c r="G469" s="3">
        <v>2025</v>
      </c>
      <c r="H469" s="3" t="str">
        <f>CONCATENATE("54240642543")</f>
        <v>54240642543</v>
      </c>
      <c r="I469" s="3" t="s">
        <v>34</v>
      </c>
      <c r="J469" s="3" t="s">
        <v>35</v>
      </c>
      <c r="K469" s="3"/>
      <c r="L469" s="3" t="s">
        <v>36</v>
      </c>
      <c r="M469" s="3" t="str">
        <f>CONCATENATE("RCTFPP86R04C615Q")</f>
        <v>RCTFPP86R04C615Q</v>
      </c>
      <c r="N469" s="3" t="s">
        <v>585</v>
      </c>
      <c r="O469" s="3" t="s">
        <v>38</v>
      </c>
      <c r="P469" s="3"/>
      <c r="Q469" s="4">
        <v>45944</v>
      </c>
      <c r="R469" s="3" t="s">
        <v>39</v>
      </c>
      <c r="S469" s="3" t="s">
        <v>38</v>
      </c>
      <c r="T469" s="3" t="s">
        <v>43</v>
      </c>
      <c r="U469" s="3"/>
      <c r="V469" s="3" t="s">
        <v>41</v>
      </c>
      <c r="W469" s="5">
        <v>14443.05</v>
      </c>
      <c r="X469" s="5">
        <v>14443.05</v>
      </c>
      <c r="Y469" s="3">
        <v>0</v>
      </c>
      <c r="Z469" s="3">
        <v>0</v>
      </c>
      <c r="AA469" s="3">
        <v>0</v>
      </c>
    </row>
    <row r="470" spans="1:27" ht="60.75" x14ac:dyDescent="0.25">
      <c r="A470" s="3" t="s">
        <v>28</v>
      </c>
      <c r="B470" s="3" t="s">
        <v>29</v>
      </c>
      <c r="C470" s="3" t="s">
        <v>30</v>
      </c>
      <c r="D470" s="3" t="s">
        <v>31</v>
      </c>
      <c r="E470" s="3" t="s">
        <v>32</v>
      </c>
      <c r="F470" s="3" t="s">
        <v>33</v>
      </c>
      <c r="G470" s="3">
        <v>2025</v>
      </c>
      <c r="H470" s="3" t="str">
        <f>CONCATENATE("54240643111")</f>
        <v>54240643111</v>
      </c>
      <c r="I470" s="3" t="s">
        <v>34</v>
      </c>
      <c r="J470" s="3" t="s">
        <v>35</v>
      </c>
      <c r="K470" s="3"/>
      <c r="L470" s="3" t="s">
        <v>36</v>
      </c>
      <c r="M470" s="3" t="str">
        <f>CONCATENATE("GRDSMN88B14L500U")</f>
        <v>GRDSMN88B14L500U</v>
      </c>
      <c r="N470" s="3" t="s">
        <v>586</v>
      </c>
      <c r="O470" s="3" t="s">
        <v>38</v>
      </c>
      <c r="P470" s="3"/>
      <c r="Q470" s="4">
        <v>45944</v>
      </c>
      <c r="R470" s="3" t="s">
        <v>39</v>
      </c>
      <c r="S470" s="3" t="s">
        <v>38</v>
      </c>
      <c r="T470" s="3" t="s">
        <v>43</v>
      </c>
      <c r="U470" s="3"/>
      <c r="V470" s="3" t="s">
        <v>41</v>
      </c>
      <c r="W470" s="5">
        <v>4414.62</v>
      </c>
      <c r="X470" s="5">
        <v>4414.62</v>
      </c>
      <c r="Y470" s="3">
        <v>0</v>
      </c>
      <c r="Z470" s="3">
        <v>0</v>
      </c>
      <c r="AA470" s="3">
        <v>0</v>
      </c>
    </row>
    <row r="471" spans="1:27" ht="60.75" x14ac:dyDescent="0.25">
      <c r="A471" s="3" t="s">
        <v>28</v>
      </c>
      <c r="B471" s="3" t="s">
        <v>29</v>
      </c>
      <c r="C471" s="3" t="s">
        <v>30</v>
      </c>
      <c r="D471" s="3" t="s">
        <v>49</v>
      </c>
      <c r="E471" s="3" t="s">
        <v>46</v>
      </c>
      <c r="F471" s="3" t="s">
        <v>131</v>
      </c>
      <c r="G471" s="3">
        <v>2025</v>
      </c>
      <c r="H471" s="3" t="str">
        <f>CONCATENATE("54240517604")</f>
        <v>54240517604</v>
      </c>
      <c r="I471" s="3" t="s">
        <v>34</v>
      </c>
      <c r="J471" s="3" t="s">
        <v>35</v>
      </c>
      <c r="K471" s="3"/>
      <c r="L471" s="3" t="s">
        <v>36</v>
      </c>
      <c r="M471" s="3" t="str">
        <f>CONCATENATE("BRTJCN69L47Z603Y")</f>
        <v>BRTJCN69L47Z603Y</v>
      </c>
      <c r="N471" s="3" t="s">
        <v>587</v>
      </c>
      <c r="O471" s="3" t="s">
        <v>38</v>
      </c>
      <c r="P471" s="3"/>
      <c r="Q471" s="4">
        <v>45944</v>
      </c>
      <c r="R471" s="3" t="s">
        <v>39</v>
      </c>
      <c r="S471" s="3" t="s">
        <v>38</v>
      </c>
      <c r="T471" s="3" t="s">
        <v>43</v>
      </c>
      <c r="U471" s="3"/>
      <c r="V471" s="3" t="s">
        <v>41</v>
      </c>
      <c r="W471" s="5">
        <v>8919.19</v>
      </c>
      <c r="X471" s="5">
        <v>8919.19</v>
      </c>
      <c r="Y471" s="3">
        <v>0</v>
      </c>
      <c r="Z471" s="3">
        <v>0</v>
      </c>
      <c r="AA471" s="3">
        <v>0</v>
      </c>
    </row>
    <row r="472" spans="1:27" ht="60.75" x14ac:dyDescent="0.25">
      <c r="A472" s="3" t="s">
        <v>28</v>
      </c>
      <c r="B472" s="3" t="s">
        <v>29</v>
      </c>
      <c r="C472" s="3" t="s">
        <v>30</v>
      </c>
      <c r="D472" s="3" t="s">
        <v>63</v>
      </c>
      <c r="E472" s="3" t="s">
        <v>32</v>
      </c>
      <c r="F472" s="3" t="s">
        <v>269</v>
      </c>
      <c r="G472" s="3">
        <v>2025</v>
      </c>
      <c r="H472" s="3" t="str">
        <f>CONCATENATE("54240643269")</f>
        <v>54240643269</v>
      </c>
      <c r="I472" s="3" t="s">
        <v>34</v>
      </c>
      <c r="J472" s="3" t="s">
        <v>35</v>
      </c>
      <c r="K472" s="3"/>
      <c r="L472" s="3" t="s">
        <v>36</v>
      </c>
      <c r="M472" s="3" t="str">
        <f>CONCATENATE("CRRLVN56E52I324Y")</f>
        <v>CRRLVN56E52I324Y</v>
      </c>
      <c r="N472" s="3" t="s">
        <v>588</v>
      </c>
      <c r="O472" s="3" t="s">
        <v>38</v>
      </c>
      <c r="P472" s="3"/>
      <c r="Q472" s="4">
        <v>45944</v>
      </c>
      <c r="R472" s="3" t="s">
        <v>39</v>
      </c>
      <c r="S472" s="3" t="s">
        <v>38</v>
      </c>
      <c r="T472" s="3" t="s">
        <v>43</v>
      </c>
      <c r="U472" s="3"/>
      <c r="V472" s="3" t="s">
        <v>41</v>
      </c>
      <c r="W472" s="5">
        <v>1868.49</v>
      </c>
      <c r="X472" s="5">
        <v>1868.49</v>
      </c>
      <c r="Y472" s="3">
        <v>0</v>
      </c>
      <c r="Z472" s="3">
        <v>0</v>
      </c>
      <c r="AA472" s="3">
        <v>0</v>
      </c>
    </row>
    <row r="473" spans="1:27" ht="36.75" x14ac:dyDescent="0.25">
      <c r="A473" s="3" t="s">
        <v>28</v>
      </c>
      <c r="B473" s="3" t="s">
        <v>29</v>
      </c>
      <c r="C473" s="3" t="s">
        <v>30</v>
      </c>
      <c r="D473" s="3" t="s">
        <v>31</v>
      </c>
      <c r="E473" s="3" t="s">
        <v>53</v>
      </c>
      <c r="F473" s="3" t="s">
        <v>172</v>
      </c>
      <c r="G473" s="3">
        <v>2025</v>
      </c>
      <c r="H473" s="3" t="str">
        <f>CONCATENATE("54240643509")</f>
        <v>54240643509</v>
      </c>
      <c r="I473" s="3" t="s">
        <v>34</v>
      </c>
      <c r="J473" s="3" t="s">
        <v>35</v>
      </c>
      <c r="K473" s="3"/>
      <c r="L473" s="3" t="s">
        <v>36</v>
      </c>
      <c r="M473" s="3" t="str">
        <f>CONCATENATE("01392530414")</f>
        <v>01392530414</v>
      </c>
      <c r="N473" s="3" t="s">
        <v>589</v>
      </c>
      <c r="O473" s="3" t="s">
        <v>38</v>
      </c>
      <c r="P473" s="3"/>
      <c r="Q473" s="4">
        <v>45944</v>
      </c>
      <c r="R473" s="3" t="s">
        <v>39</v>
      </c>
      <c r="S473" s="3" t="s">
        <v>38</v>
      </c>
      <c r="T473" s="3" t="s">
        <v>43</v>
      </c>
      <c r="U473" s="3"/>
      <c r="V473" s="3" t="s">
        <v>41</v>
      </c>
      <c r="W473" s="5">
        <v>13558.25</v>
      </c>
      <c r="X473" s="5">
        <v>13558.25</v>
      </c>
      <c r="Y473" s="3">
        <v>0</v>
      </c>
      <c r="Z473" s="3">
        <v>0</v>
      </c>
      <c r="AA473" s="3">
        <v>0</v>
      </c>
    </row>
    <row r="474" spans="1:27" ht="60.75" x14ac:dyDescent="0.25">
      <c r="A474" s="3" t="s">
        <v>28</v>
      </c>
      <c r="B474" s="3" t="s">
        <v>29</v>
      </c>
      <c r="C474" s="3" t="s">
        <v>30</v>
      </c>
      <c r="D474" s="3" t="s">
        <v>63</v>
      </c>
      <c r="E474" s="3" t="s">
        <v>32</v>
      </c>
      <c r="F474" s="3" t="s">
        <v>269</v>
      </c>
      <c r="G474" s="3">
        <v>2025</v>
      </c>
      <c r="H474" s="3" t="str">
        <f>CONCATENATE("54240643608")</f>
        <v>54240643608</v>
      </c>
      <c r="I474" s="3" t="s">
        <v>34</v>
      </c>
      <c r="J474" s="3" t="s">
        <v>35</v>
      </c>
      <c r="K474" s="3"/>
      <c r="L474" s="3" t="s">
        <v>36</v>
      </c>
      <c r="M474" s="3" t="str">
        <f>CONCATENATE("HSCJNN84D56Z102G")</f>
        <v>HSCJNN84D56Z102G</v>
      </c>
      <c r="N474" s="3" t="s">
        <v>590</v>
      </c>
      <c r="O474" s="3" t="s">
        <v>38</v>
      </c>
      <c r="P474" s="3"/>
      <c r="Q474" s="4">
        <v>45944</v>
      </c>
      <c r="R474" s="3" t="s">
        <v>39</v>
      </c>
      <c r="S474" s="3" t="s">
        <v>38</v>
      </c>
      <c r="T474" s="3" t="s">
        <v>43</v>
      </c>
      <c r="U474" s="3"/>
      <c r="V474" s="3" t="s">
        <v>41</v>
      </c>
      <c r="W474" s="5">
        <v>3878.19</v>
      </c>
      <c r="X474" s="5">
        <v>3878.19</v>
      </c>
      <c r="Y474" s="3">
        <v>0</v>
      </c>
      <c r="Z474" s="3">
        <v>0</v>
      </c>
      <c r="AA474" s="3">
        <v>0</v>
      </c>
    </row>
    <row r="475" spans="1:27" ht="60.75" x14ac:dyDescent="0.25">
      <c r="A475" s="3" t="s">
        <v>28</v>
      </c>
      <c r="B475" s="3" t="s">
        <v>29</v>
      </c>
      <c r="C475" s="3" t="s">
        <v>30</v>
      </c>
      <c r="D475" s="3" t="s">
        <v>31</v>
      </c>
      <c r="E475" s="3" t="s">
        <v>32</v>
      </c>
      <c r="F475" s="3" t="s">
        <v>33</v>
      </c>
      <c r="G475" s="3">
        <v>2025</v>
      </c>
      <c r="H475" s="3" t="str">
        <f>CONCATENATE("54240643574")</f>
        <v>54240643574</v>
      </c>
      <c r="I475" s="3" t="s">
        <v>34</v>
      </c>
      <c r="J475" s="3" t="s">
        <v>35</v>
      </c>
      <c r="K475" s="3"/>
      <c r="L475" s="3" t="s">
        <v>36</v>
      </c>
      <c r="M475" s="3" t="str">
        <f>CONCATENATE("MZZGRG74M13L498Z")</f>
        <v>MZZGRG74M13L498Z</v>
      </c>
      <c r="N475" s="3" t="s">
        <v>591</v>
      </c>
      <c r="O475" s="3" t="s">
        <v>38</v>
      </c>
      <c r="P475" s="3"/>
      <c r="Q475" s="4">
        <v>45944</v>
      </c>
      <c r="R475" s="3" t="s">
        <v>39</v>
      </c>
      <c r="S475" s="3" t="s">
        <v>38</v>
      </c>
      <c r="T475" s="3" t="s">
        <v>43</v>
      </c>
      <c r="U475" s="3"/>
      <c r="V475" s="3" t="s">
        <v>41</v>
      </c>
      <c r="W475" s="5">
        <v>9380.17</v>
      </c>
      <c r="X475" s="5">
        <v>9380.17</v>
      </c>
      <c r="Y475" s="3">
        <v>0</v>
      </c>
      <c r="Z475" s="3">
        <v>0</v>
      </c>
      <c r="AA475" s="3">
        <v>0</v>
      </c>
    </row>
    <row r="476" spans="1:27" ht="60.75" x14ac:dyDescent="0.25">
      <c r="A476" s="3" t="s">
        <v>28</v>
      </c>
      <c r="B476" s="3" t="s">
        <v>29</v>
      </c>
      <c r="C476" s="3" t="s">
        <v>30</v>
      </c>
      <c r="D476" s="3" t="s">
        <v>58</v>
      </c>
      <c r="E476" s="3" t="s">
        <v>32</v>
      </c>
      <c r="F476" s="3" t="s">
        <v>471</v>
      </c>
      <c r="G476" s="3">
        <v>2025</v>
      </c>
      <c r="H476" s="3" t="str">
        <f>CONCATENATE("54240643673")</f>
        <v>54240643673</v>
      </c>
      <c r="I476" s="3" t="s">
        <v>34</v>
      </c>
      <c r="J476" s="3" t="s">
        <v>35</v>
      </c>
      <c r="K476" s="3"/>
      <c r="L476" s="3" t="s">
        <v>36</v>
      </c>
      <c r="M476" s="3" t="str">
        <f>CONCATENATE("TSSMRT50B04I461Y")</f>
        <v>TSSMRT50B04I461Y</v>
      </c>
      <c r="N476" s="3" t="s">
        <v>592</v>
      </c>
      <c r="O476" s="3" t="s">
        <v>38</v>
      </c>
      <c r="P476" s="3"/>
      <c r="Q476" s="4">
        <v>45944</v>
      </c>
      <c r="R476" s="3" t="s">
        <v>39</v>
      </c>
      <c r="S476" s="3" t="s">
        <v>38</v>
      </c>
      <c r="T476" s="3" t="s">
        <v>43</v>
      </c>
      <c r="U476" s="3"/>
      <c r="V476" s="3" t="s">
        <v>41</v>
      </c>
      <c r="W476" s="5">
        <v>1481.24</v>
      </c>
      <c r="X476" s="5">
        <v>1481.24</v>
      </c>
      <c r="Y476" s="3">
        <v>0</v>
      </c>
      <c r="Z476" s="3">
        <v>0</v>
      </c>
      <c r="AA476" s="3">
        <v>0</v>
      </c>
    </row>
    <row r="477" spans="1:27" ht="36.75" x14ac:dyDescent="0.25">
      <c r="A477" s="3" t="s">
        <v>28</v>
      </c>
      <c r="B477" s="3" t="s">
        <v>29</v>
      </c>
      <c r="C477" s="3" t="s">
        <v>30</v>
      </c>
      <c r="D477" s="3" t="s">
        <v>63</v>
      </c>
      <c r="E477" s="3" t="s">
        <v>32</v>
      </c>
      <c r="F477" s="3" t="s">
        <v>269</v>
      </c>
      <c r="G477" s="3">
        <v>2025</v>
      </c>
      <c r="H477" s="3" t="str">
        <f>CONCATENATE("54240643798")</f>
        <v>54240643798</v>
      </c>
      <c r="I477" s="3" t="s">
        <v>34</v>
      </c>
      <c r="J477" s="3" t="s">
        <v>35</v>
      </c>
      <c r="K477" s="3"/>
      <c r="L477" s="3" t="s">
        <v>36</v>
      </c>
      <c r="M477" s="3" t="str">
        <f>CONCATENATE("01183280443")</f>
        <v>01183280443</v>
      </c>
      <c r="N477" s="3" t="s">
        <v>593</v>
      </c>
      <c r="O477" s="3" t="s">
        <v>38</v>
      </c>
      <c r="P477" s="3"/>
      <c r="Q477" s="4">
        <v>45944</v>
      </c>
      <c r="R477" s="3" t="s">
        <v>39</v>
      </c>
      <c r="S477" s="3" t="s">
        <v>38</v>
      </c>
      <c r="T477" s="3" t="s">
        <v>43</v>
      </c>
      <c r="U477" s="3"/>
      <c r="V477" s="3" t="s">
        <v>41</v>
      </c>
      <c r="W477" s="5">
        <v>6873.47</v>
      </c>
      <c r="X477" s="5">
        <v>6873.47</v>
      </c>
      <c r="Y477" s="3">
        <v>0</v>
      </c>
      <c r="Z477" s="3">
        <v>0</v>
      </c>
      <c r="AA477" s="3">
        <v>0</v>
      </c>
    </row>
    <row r="478" spans="1:27" ht="60.75" x14ac:dyDescent="0.25">
      <c r="A478" s="3" t="s">
        <v>28</v>
      </c>
      <c r="B478" s="3" t="s">
        <v>29</v>
      </c>
      <c r="C478" s="3" t="s">
        <v>30</v>
      </c>
      <c r="D478" s="3" t="s">
        <v>58</v>
      </c>
      <c r="E478" s="3" t="s">
        <v>32</v>
      </c>
      <c r="F478" s="3" t="s">
        <v>471</v>
      </c>
      <c r="G478" s="3">
        <v>2025</v>
      </c>
      <c r="H478" s="3" t="str">
        <f>CONCATENATE("54240643814")</f>
        <v>54240643814</v>
      </c>
      <c r="I478" s="3" t="s">
        <v>34</v>
      </c>
      <c r="J478" s="3" t="s">
        <v>35</v>
      </c>
      <c r="K478" s="3"/>
      <c r="L478" s="3" t="s">
        <v>36</v>
      </c>
      <c r="M478" s="3" t="str">
        <f>CONCATENATE("SMRLCN70D07I461V")</f>
        <v>SMRLCN70D07I461V</v>
      </c>
      <c r="N478" s="3" t="s">
        <v>594</v>
      </c>
      <c r="O478" s="3" t="s">
        <v>38</v>
      </c>
      <c r="P478" s="3"/>
      <c r="Q478" s="4">
        <v>45944</v>
      </c>
      <c r="R478" s="3" t="s">
        <v>39</v>
      </c>
      <c r="S478" s="3" t="s">
        <v>38</v>
      </c>
      <c r="T478" s="3" t="s">
        <v>43</v>
      </c>
      <c r="U478" s="3"/>
      <c r="V478" s="3" t="s">
        <v>41</v>
      </c>
      <c r="W478" s="5">
        <v>2477.4299999999998</v>
      </c>
      <c r="X478" s="5">
        <v>2477.4299999999998</v>
      </c>
      <c r="Y478" s="3">
        <v>0</v>
      </c>
      <c r="Z478" s="3">
        <v>0</v>
      </c>
      <c r="AA478" s="3">
        <v>0</v>
      </c>
    </row>
    <row r="479" spans="1:27" ht="60.75" x14ac:dyDescent="0.25">
      <c r="A479" s="3" t="s">
        <v>28</v>
      </c>
      <c r="B479" s="3" t="s">
        <v>29</v>
      </c>
      <c r="C479" s="3" t="s">
        <v>30</v>
      </c>
      <c r="D479" s="3" t="s">
        <v>31</v>
      </c>
      <c r="E479" s="3" t="s">
        <v>32</v>
      </c>
      <c r="F479" s="3" t="s">
        <v>440</v>
      </c>
      <c r="G479" s="3">
        <v>2025</v>
      </c>
      <c r="H479" s="3" t="str">
        <f>CONCATENATE("54240500337")</f>
        <v>54240500337</v>
      </c>
      <c r="I479" s="3" t="s">
        <v>34</v>
      </c>
      <c r="J479" s="3" t="s">
        <v>35</v>
      </c>
      <c r="K479" s="3"/>
      <c r="L479" s="3" t="s">
        <v>36</v>
      </c>
      <c r="M479" s="3" t="str">
        <f>CONCATENATE("RSSDVD73E28E785Q")</f>
        <v>RSSDVD73E28E785Q</v>
      </c>
      <c r="N479" s="3" t="s">
        <v>595</v>
      </c>
      <c r="O479" s="3" t="s">
        <v>38</v>
      </c>
      <c r="P479" s="3"/>
      <c r="Q479" s="4">
        <v>45944</v>
      </c>
      <c r="R479" s="3" t="s">
        <v>39</v>
      </c>
      <c r="S479" s="3" t="s">
        <v>38</v>
      </c>
      <c r="T479" s="3" t="s">
        <v>43</v>
      </c>
      <c r="U479" s="3"/>
      <c r="V479" s="3" t="s">
        <v>41</v>
      </c>
      <c r="W479" s="5">
        <v>9745.5400000000009</v>
      </c>
      <c r="X479" s="5">
        <v>9745.5400000000009</v>
      </c>
      <c r="Y479" s="3">
        <v>0</v>
      </c>
      <c r="Z479" s="3">
        <v>0</v>
      </c>
      <c r="AA479" s="3">
        <v>0</v>
      </c>
    </row>
    <row r="480" spans="1:27" ht="60.75" x14ac:dyDescent="0.25">
      <c r="A480" s="3" t="s">
        <v>28</v>
      </c>
      <c r="B480" s="3" t="s">
        <v>29</v>
      </c>
      <c r="C480" s="3" t="s">
        <v>30</v>
      </c>
      <c r="D480" s="3" t="s">
        <v>31</v>
      </c>
      <c r="E480" s="3" t="s">
        <v>32</v>
      </c>
      <c r="F480" s="3" t="s">
        <v>440</v>
      </c>
      <c r="G480" s="3">
        <v>2025</v>
      </c>
      <c r="H480" s="3" t="str">
        <f>CONCATENATE("54240500550")</f>
        <v>54240500550</v>
      </c>
      <c r="I480" s="3" t="s">
        <v>34</v>
      </c>
      <c r="J480" s="3" t="s">
        <v>35</v>
      </c>
      <c r="K480" s="3"/>
      <c r="L480" s="3" t="s">
        <v>36</v>
      </c>
      <c r="M480" s="3" t="str">
        <f>CONCATENATE("CCCGGN68P50I459R")</f>
        <v>CCCGGN68P50I459R</v>
      </c>
      <c r="N480" s="3" t="s">
        <v>596</v>
      </c>
      <c r="O480" s="3" t="s">
        <v>38</v>
      </c>
      <c r="P480" s="3"/>
      <c r="Q480" s="4">
        <v>45944</v>
      </c>
      <c r="R480" s="3" t="s">
        <v>39</v>
      </c>
      <c r="S480" s="3" t="s">
        <v>38</v>
      </c>
      <c r="T480" s="3" t="s">
        <v>43</v>
      </c>
      <c r="U480" s="3"/>
      <c r="V480" s="3" t="s">
        <v>41</v>
      </c>
      <c r="W480" s="5">
        <v>17623.62</v>
      </c>
      <c r="X480" s="5">
        <v>17623.62</v>
      </c>
      <c r="Y480" s="3">
        <v>0</v>
      </c>
      <c r="Z480" s="3">
        <v>0</v>
      </c>
      <c r="AA480" s="3">
        <v>0</v>
      </c>
    </row>
    <row r="481" spans="1:27" ht="60.75" x14ac:dyDescent="0.25">
      <c r="A481" s="3" t="s">
        <v>28</v>
      </c>
      <c r="B481" s="3" t="s">
        <v>29</v>
      </c>
      <c r="C481" s="3" t="s">
        <v>30</v>
      </c>
      <c r="D481" s="3" t="s">
        <v>58</v>
      </c>
      <c r="E481" s="3" t="s">
        <v>91</v>
      </c>
      <c r="F481" s="3" t="s">
        <v>106</v>
      </c>
      <c r="G481" s="3">
        <v>2025</v>
      </c>
      <c r="H481" s="3" t="str">
        <f>CONCATENATE("54240500667")</f>
        <v>54240500667</v>
      </c>
      <c r="I481" s="3" t="s">
        <v>34</v>
      </c>
      <c r="J481" s="3" t="s">
        <v>35</v>
      </c>
      <c r="K481" s="3"/>
      <c r="L481" s="3" t="s">
        <v>36</v>
      </c>
      <c r="M481" s="3" t="str">
        <f>CONCATENATE("MLNLCN43C02D451N")</f>
        <v>MLNLCN43C02D451N</v>
      </c>
      <c r="N481" s="3" t="s">
        <v>597</v>
      </c>
      <c r="O481" s="3" t="s">
        <v>38</v>
      </c>
      <c r="P481" s="3"/>
      <c r="Q481" s="4">
        <v>45944</v>
      </c>
      <c r="R481" s="3" t="s">
        <v>39</v>
      </c>
      <c r="S481" s="3" t="s">
        <v>38</v>
      </c>
      <c r="T481" s="3" t="s">
        <v>43</v>
      </c>
      <c r="U481" s="3"/>
      <c r="V481" s="3" t="s">
        <v>41</v>
      </c>
      <c r="W481" s="5">
        <v>7522.04</v>
      </c>
      <c r="X481" s="5">
        <v>7522.04</v>
      </c>
      <c r="Y481" s="3">
        <v>0</v>
      </c>
      <c r="Z481" s="3">
        <v>0</v>
      </c>
      <c r="AA481" s="3">
        <v>0</v>
      </c>
    </row>
    <row r="482" spans="1:27" ht="60.75" x14ac:dyDescent="0.25">
      <c r="A482" s="3" t="s">
        <v>28</v>
      </c>
      <c r="B482" s="3" t="s">
        <v>29</v>
      </c>
      <c r="C482" s="3" t="s">
        <v>30</v>
      </c>
      <c r="D482" s="3" t="s">
        <v>49</v>
      </c>
      <c r="E482" s="3" t="s">
        <v>53</v>
      </c>
      <c r="F482" s="3" t="s">
        <v>136</v>
      </c>
      <c r="G482" s="3">
        <v>2025</v>
      </c>
      <c r="H482" s="3" t="str">
        <f>CONCATENATE("54240500618")</f>
        <v>54240500618</v>
      </c>
      <c r="I482" s="3" t="s">
        <v>34</v>
      </c>
      <c r="J482" s="3" t="s">
        <v>35</v>
      </c>
      <c r="K482" s="3"/>
      <c r="L482" s="3" t="s">
        <v>36</v>
      </c>
      <c r="M482" s="3" t="str">
        <f>CONCATENATE("NGLRLL54B58C704B")</f>
        <v>NGLRLL54B58C704B</v>
      </c>
      <c r="N482" s="3" t="s">
        <v>598</v>
      </c>
      <c r="O482" s="3" t="s">
        <v>38</v>
      </c>
      <c r="P482" s="3"/>
      <c r="Q482" s="4">
        <v>45944</v>
      </c>
      <c r="R482" s="3" t="s">
        <v>39</v>
      </c>
      <c r="S482" s="3" t="s">
        <v>38</v>
      </c>
      <c r="T482" s="3" t="s">
        <v>43</v>
      </c>
      <c r="U482" s="3"/>
      <c r="V482" s="3" t="s">
        <v>41</v>
      </c>
      <c r="W482" s="5">
        <v>1683.71</v>
      </c>
      <c r="X482" s="5">
        <v>1683.71</v>
      </c>
      <c r="Y482" s="3">
        <v>0</v>
      </c>
      <c r="Z482" s="3">
        <v>0</v>
      </c>
      <c r="AA482" s="3">
        <v>0</v>
      </c>
    </row>
    <row r="483" spans="1:27" ht="60.75" x14ac:dyDescent="0.25">
      <c r="A483" s="3" t="s">
        <v>28</v>
      </c>
      <c r="B483" s="3" t="s">
        <v>29</v>
      </c>
      <c r="C483" s="3" t="s">
        <v>30</v>
      </c>
      <c r="D483" s="3" t="s">
        <v>31</v>
      </c>
      <c r="E483" s="3" t="s">
        <v>32</v>
      </c>
      <c r="F483" s="3" t="s">
        <v>440</v>
      </c>
      <c r="G483" s="3">
        <v>2025</v>
      </c>
      <c r="H483" s="3" t="str">
        <f>CONCATENATE("54240500576")</f>
        <v>54240500576</v>
      </c>
      <c r="I483" s="3" t="s">
        <v>34</v>
      </c>
      <c r="J483" s="3" t="s">
        <v>35</v>
      </c>
      <c r="K483" s="3"/>
      <c r="L483" s="3" t="s">
        <v>36</v>
      </c>
      <c r="M483" s="3" t="str">
        <f>CONCATENATE("CCCLSN77R24I459E")</f>
        <v>CCCLSN77R24I459E</v>
      </c>
      <c r="N483" s="3" t="s">
        <v>599</v>
      </c>
      <c r="O483" s="3" t="s">
        <v>38</v>
      </c>
      <c r="P483" s="3"/>
      <c r="Q483" s="4">
        <v>45944</v>
      </c>
      <c r="R483" s="3" t="s">
        <v>39</v>
      </c>
      <c r="S483" s="3" t="s">
        <v>38</v>
      </c>
      <c r="T483" s="3" t="s">
        <v>43</v>
      </c>
      <c r="U483" s="3"/>
      <c r="V483" s="3" t="s">
        <v>41</v>
      </c>
      <c r="W483" s="5">
        <v>11686.33</v>
      </c>
      <c r="X483" s="5">
        <v>11686.33</v>
      </c>
      <c r="Y483" s="3">
        <v>0</v>
      </c>
      <c r="Z483" s="3">
        <v>0</v>
      </c>
      <c r="AA483" s="3">
        <v>0</v>
      </c>
    </row>
    <row r="484" spans="1:27" ht="60.75" x14ac:dyDescent="0.25">
      <c r="A484" s="3" t="s">
        <v>28</v>
      </c>
      <c r="B484" s="3" t="s">
        <v>29</v>
      </c>
      <c r="C484" s="3" t="s">
        <v>30</v>
      </c>
      <c r="D484" s="3" t="s">
        <v>58</v>
      </c>
      <c r="E484" s="3" t="s">
        <v>91</v>
      </c>
      <c r="F484" s="3" t="s">
        <v>106</v>
      </c>
      <c r="G484" s="3">
        <v>2025</v>
      </c>
      <c r="H484" s="3" t="str">
        <f>CONCATENATE("54240500659")</f>
        <v>54240500659</v>
      </c>
      <c r="I484" s="3" t="s">
        <v>34</v>
      </c>
      <c r="J484" s="3" t="s">
        <v>35</v>
      </c>
      <c r="K484" s="3"/>
      <c r="L484" s="3" t="s">
        <v>36</v>
      </c>
      <c r="M484" s="3" t="str">
        <f>CONCATENATE("CCTMRN41S54F496Y")</f>
        <v>CCTMRN41S54F496Y</v>
      </c>
      <c r="N484" s="3" t="s">
        <v>600</v>
      </c>
      <c r="O484" s="3" t="s">
        <v>38</v>
      </c>
      <c r="P484" s="3"/>
      <c r="Q484" s="4">
        <v>45944</v>
      </c>
      <c r="R484" s="3" t="s">
        <v>39</v>
      </c>
      <c r="S484" s="3" t="s">
        <v>38</v>
      </c>
      <c r="T484" s="3" t="s">
        <v>43</v>
      </c>
      <c r="U484" s="3"/>
      <c r="V484" s="3" t="s">
        <v>41</v>
      </c>
      <c r="W484" s="5">
        <v>1808.79</v>
      </c>
      <c r="X484" s="5">
        <v>1808.79</v>
      </c>
      <c r="Y484" s="3">
        <v>0</v>
      </c>
      <c r="Z484" s="3">
        <v>0</v>
      </c>
      <c r="AA484" s="3">
        <v>0</v>
      </c>
    </row>
    <row r="485" spans="1:27" ht="60.75" x14ac:dyDescent="0.25">
      <c r="A485" s="3" t="s">
        <v>28</v>
      </c>
      <c r="B485" s="3" t="s">
        <v>29</v>
      </c>
      <c r="C485" s="3" t="s">
        <v>30</v>
      </c>
      <c r="D485" s="3" t="s">
        <v>31</v>
      </c>
      <c r="E485" s="3" t="s">
        <v>46</v>
      </c>
      <c r="F485" s="3" t="s">
        <v>108</v>
      </c>
      <c r="G485" s="3">
        <v>2025</v>
      </c>
      <c r="H485" s="3" t="str">
        <f>CONCATENATE("54240500675")</f>
        <v>54240500675</v>
      </c>
      <c r="I485" s="3" t="s">
        <v>34</v>
      </c>
      <c r="J485" s="3" t="s">
        <v>35</v>
      </c>
      <c r="K485" s="3"/>
      <c r="L485" s="3" t="s">
        <v>36</v>
      </c>
      <c r="M485" s="3" t="str">
        <f>CONCATENATE("GNSMCL72M10L500C")</f>
        <v>GNSMCL72M10L500C</v>
      </c>
      <c r="N485" s="3" t="s">
        <v>601</v>
      </c>
      <c r="O485" s="3" t="s">
        <v>38</v>
      </c>
      <c r="P485" s="3"/>
      <c r="Q485" s="4">
        <v>45944</v>
      </c>
      <c r="R485" s="3" t="s">
        <v>39</v>
      </c>
      <c r="S485" s="3" t="s">
        <v>38</v>
      </c>
      <c r="T485" s="3" t="s">
        <v>43</v>
      </c>
      <c r="U485" s="3"/>
      <c r="V485" s="3" t="s">
        <v>41</v>
      </c>
      <c r="W485" s="3">
        <v>460.26</v>
      </c>
      <c r="X485" s="3">
        <v>460.26</v>
      </c>
      <c r="Y485" s="3">
        <v>0</v>
      </c>
      <c r="Z485" s="3">
        <v>0</v>
      </c>
      <c r="AA485" s="3">
        <v>0</v>
      </c>
    </row>
    <row r="486" spans="1:27" ht="60.75" x14ac:dyDescent="0.25">
      <c r="A486" s="3" t="s">
        <v>28</v>
      </c>
      <c r="B486" s="3" t="s">
        <v>29</v>
      </c>
      <c r="C486" s="3" t="s">
        <v>30</v>
      </c>
      <c r="D486" s="3" t="s">
        <v>58</v>
      </c>
      <c r="E486" s="3" t="s">
        <v>91</v>
      </c>
      <c r="F486" s="3" t="s">
        <v>106</v>
      </c>
      <c r="G486" s="3">
        <v>2025</v>
      </c>
      <c r="H486" s="3" t="str">
        <f>CONCATENATE("54240500691")</f>
        <v>54240500691</v>
      </c>
      <c r="I486" s="3" t="s">
        <v>34</v>
      </c>
      <c r="J486" s="3" t="s">
        <v>35</v>
      </c>
      <c r="K486" s="3"/>
      <c r="L486" s="3" t="s">
        <v>36</v>
      </c>
      <c r="M486" s="3" t="str">
        <f>CONCATENATE("STLVLR90S18D451R")</f>
        <v>STLVLR90S18D451R</v>
      </c>
      <c r="N486" s="3" t="s">
        <v>602</v>
      </c>
      <c r="O486" s="3" t="s">
        <v>38</v>
      </c>
      <c r="P486" s="3"/>
      <c r="Q486" s="4">
        <v>45944</v>
      </c>
      <c r="R486" s="3" t="s">
        <v>39</v>
      </c>
      <c r="S486" s="3" t="s">
        <v>38</v>
      </c>
      <c r="T486" s="3" t="s">
        <v>43</v>
      </c>
      <c r="U486" s="3"/>
      <c r="V486" s="3" t="s">
        <v>41</v>
      </c>
      <c r="W486" s="3">
        <v>419.65</v>
      </c>
      <c r="X486" s="3">
        <v>419.65</v>
      </c>
      <c r="Y486" s="3">
        <v>0</v>
      </c>
      <c r="Z486" s="3">
        <v>0</v>
      </c>
      <c r="AA486" s="3">
        <v>0</v>
      </c>
    </row>
    <row r="487" spans="1:27" ht="36.75" x14ac:dyDescent="0.25">
      <c r="A487" s="3" t="s">
        <v>28</v>
      </c>
      <c r="B487" s="3" t="s">
        <v>29</v>
      </c>
      <c r="C487" s="3" t="s">
        <v>30</v>
      </c>
      <c r="D487" s="3" t="s">
        <v>31</v>
      </c>
      <c r="E487" s="3" t="s">
        <v>32</v>
      </c>
      <c r="F487" s="3" t="s">
        <v>440</v>
      </c>
      <c r="G487" s="3">
        <v>2025</v>
      </c>
      <c r="H487" s="3" t="str">
        <f>CONCATENATE("54240500865")</f>
        <v>54240500865</v>
      </c>
      <c r="I487" s="3" t="s">
        <v>34</v>
      </c>
      <c r="J487" s="3" t="s">
        <v>35</v>
      </c>
      <c r="K487" s="3"/>
      <c r="L487" s="3" t="s">
        <v>36</v>
      </c>
      <c r="M487" s="3" t="str">
        <f>CONCATENATE("02607030414")</f>
        <v>02607030414</v>
      </c>
      <c r="N487" s="3" t="s">
        <v>603</v>
      </c>
      <c r="O487" s="3" t="s">
        <v>38</v>
      </c>
      <c r="P487" s="3"/>
      <c r="Q487" s="4">
        <v>45944</v>
      </c>
      <c r="R487" s="3" t="s">
        <v>39</v>
      </c>
      <c r="S487" s="3" t="s">
        <v>38</v>
      </c>
      <c r="T487" s="3" t="s">
        <v>43</v>
      </c>
      <c r="U487" s="3"/>
      <c r="V487" s="3" t="s">
        <v>41</v>
      </c>
      <c r="W487" s="5">
        <v>2115.2800000000002</v>
      </c>
      <c r="X487" s="5">
        <v>2115.2800000000002</v>
      </c>
      <c r="Y487" s="3">
        <v>0</v>
      </c>
      <c r="Z487" s="3">
        <v>0</v>
      </c>
      <c r="AA487" s="3">
        <v>0</v>
      </c>
    </row>
    <row r="488" spans="1:27" ht="60.75" x14ac:dyDescent="0.25">
      <c r="A488" s="3" t="s">
        <v>28</v>
      </c>
      <c r="B488" s="3" t="s">
        <v>29</v>
      </c>
      <c r="C488" s="3" t="s">
        <v>30</v>
      </c>
      <c r="D488" s="3" t="s">
        <v>49</v>
      </c>
      <c r="E488" s="3" t="s">
        <v>32</v>
      </c>
      <c r="F488" s="3" t="s">
        <v>368</v>
      </c>
      <c r="G488" s="3">
        <v>2025</v>
      </c>
      <c r="H488" s="3" t="str">
        <f>CONCATENATE("54240550803")</f>
        <v>54240550803</v>
      </c>
      <c r="I488" s="3" t="s">
        <v>34</v>
      </c>
      <c r="J488" s="3" t="s">
        <v>35</v>
      </c>
      <c r="K488" s="3"/>
      <c r="L488" s="3" t="s">
        <v>36</v>
      </c>
      <c r="M488" s="3" t="str">
        <f>CONCATENATE("SNTSNT34C23C704T")</f>
        <v>SNTSNT34C23C704T</v>
      </c>
      <c r="N488" s="3" t="s">
        <v>604</v>
      </c>
      <c r="O488" s="3" t="s">
        <v>38</v>
      </c>
      <c r="P488" s="3"/>
      <c r="Q488" s="4">
        <v>45944</v>
      </c>
      <c r="R488" s="3" t="s">
        <v>39</v>
      </c>
      <c r="S488" s="3" t="s">
        <v>38</v>
      </c>
      <c r="T488" s="3" t="s">
        <v>43</v>
      </c>
      <c r="U488" s="3"/>
      <c r="V488" s="3" t="s">
        <v>41</v>
      </c>
      <c r="W488" s="5">
        <v>4620.07</v>
      </c>
      <c r="X488" s="5">
        <v>4620.07</v>
      </c>
      <c r="Y488" s="3">
        <v>0</v>
      </c>
      <c r="Z488" s="3">
        <v>0</v>
      </c>
      <c r="AA488" s="3">
        <v>0</v>
      </c>
    </row>
    <row r="489" spans="1:27" ht="60.75" x14ac:dyDescent="0.25">
      <c r="A489" s="3" t="s">
        <v>28</v>
      </c>
      <c r="B489" s="3" t="s">
        <v>29</v>
      </c>
      <c r="C489" s="3" t="s">
        <v>30</v>
      </c>
      <c r="D489" s="3" t="s">
        <v>49</v>
      </c>
      <c r="E489" s="3" t="s">
        <v>46</v>
      </c>
      <c r="F489" s="3" t="s">
        <v>131</v>
      </c>
      <c r="G489" s="3">
        <v>2025</v>
      </c>
      <c r="H489" s="3" t="str">
        <f>CONCATENATE("54240500949")</f>
        <v>54240500949</v>
      </c>
      <c r="I489" s="3" t="s">
        <v>34</v>
      </c>
      <c r="J489" s="3" t="s">
        <v>35</v>
      </c>
      <c r="K489" s="3"/>
      <c r="L489" s="3" t="s">
        <v>36</v>
      </c>
      <c r="M489" s="3" t="str">
        <f>CONCATENATE("BLZCLD68T17E783E")</f>
        <v>BLZCLD68T17E783E</v>
      </c>
      <c r="N489" s="3" t="s">
        <v>605</v>
      </c>
      <c r="O489" s="3" t="s">
        <v>38</v>
      </c>
      <c r="P489" s="3"/>
      <c r="Q489" s="4">
        <v>45944</v>
      </c>
      <c r="R489" s="3" t="s">
        <v>39</v>
      </c>
      <c r="S489" s="3" t="s">
        <v>38</v>
      </c>
      <c r="T489" s="3" t="s">
        <v>43</v>
      </c>
      <c r="U489" s="3"/>
      <c r="V489" s="3" t="s">
        <v>41</v>
      </c>
      <c r="W489" s="5">
        <v>1296.73</v>
      </c>
      <c r="X489" s="5">
        <v>1296.73</v>
      </c>
      <c r="Y489" s="3">
        <v>0</v>
      </c>
      <c r="Z489" s="3">
        <v>0</v>
      </c>
      <c r="AA489" s="3">
        <v>0</v>
      </c>
    </row>
    <row r="490" spans="1:27" ht="36.75" x14ac:dyDescent="0.25">
      <c r="A490" s="3" t="s">
        <v>28</v>
      </c>
      <c r="B490" s="3" t="s">
        <v>29</v>
      </c>
      <c r="C490" s="3" t="s">
        <v>30</v>
      </c>
      <c r="D490" s="3" t="s">
        <v>31</v>
      </c>
      <c r="E490" s="3" t="s">
        <v>46</v>
      </c>
      <c r="F490" s="3" t="s">
        <v>108</v>
      </c>
      <c r="G490" s="3">
        <v>2025</v>
      </c>
      <c r="H490" s="3" t="str">
        <f>CONCATENATE("54240500998")</f>
        <v>54240500998</v>
      </c>
      <c r="I490" s="3" t="s">
        <v>149</v>
      </c>
      <c r="J490" s="3" t="s">
        <v>35</v>
      </c>
      <c r="K490" s="3"/>
      <c r="L490" s="3" t="s">
        <v>36</v>
      </c>
      <c r="M490" s="3" t="str">
        <f>CONCATENATE("02793420411")</f>
        <v>02793420411</v>
      </c>
      <c r="N490" s="3" t="s">
        <v>606</v>
      </c>
      <c r="O490" s="3" t="s">
        <v>38</v>
      </c>
      <c r="P490" s="3"/>
      <c r="Q490" s="4">
        <v>45944</v>
      </c>
      <c r="R490" s="3" t="s">
        <v>39</v>
      </c>
      <c r="S490" s="3" t="s">
        <v>38</v>
      </c>
      <c r="T490" s="3" t="s">
        <v>43</v>
      </c>
      <c r="U490" s="3"/>
      <c r="V490" s="3" t="s">
        <v>41</v>
      </c>
      <c r="W490" s="5">
        <v>10501.71</v>
      </c>
      <c r="X490" s="5">
        <v>10501.71</v>
      </c>
      <c r="Y490" s="3">
        <v>0</v>
      </c>
      <c r="Z490" s="3">
        <v>0</v>
      </c>
      <c r="AA490" s="3">
        <v>0</v>
      </c>
    </row>
    <row r="491" spans="1:27" ht="36.75" x14ac:dyDescent="0.25">
      <c r="A491" s="3" t="s">
        <v>28</v>
      </c>
      <c r="B491" s="3" t="s">
        <v>29</v>
      </c>
      <c r="C491" s="3" t="s">
        <v>30</v>
      </c>
      <c r="D491" s="3" t="s">
        <v>58</v>
      </c>
      <c r="E491" s="3" t="s">
        <v>91</v>
      </c>
      <c r="F491" s="3" t="s">
        <v>106</v>
      </c>
      <c r="G491" s="3">
        <v>2025</v>
      </c>
      <c r="H491" s="3" t="str">
        <f>CONCATENATE("54240501293")</f>
        <v>54240501293</v>
      </c>
      <c r="I491" s="3" t="s">
        <v>34</v>
      </c>
      <c r="J491" s="3" t="s">
        <v>35</v>
      </c>
      <c r="K491" s="3"/>
      <c r="L491" s="3" t="s">
        <v>36</v>
      </c>
      <c r="M491" s="3" t="str">
        <f>CONCATENATE("02654340427")</f>
        <v>02654340427</v>
      </c>
      <c r="N491" s="3" t="s">
        <v>607</v>
      </c>
      <c r="O491" s="3" t="s">
        <v>38</v>
      </c>
      <c r="P491" s="3"/>
      <c r="Q491" s="4">
        <v>45944</v>
      </c>
      <c r="R491" s="3" t="s">
        <v>39</v>
      </c>
      <c r="S491" s="3" t="s">
        <v>38</v>
      </c>
      <c r="T491" s="3" t="s">
        <v>43</v>
      </c>
      <c r="U491" s="3"/>
      <c r="V491" s="3" t="s">
        <v>41</v>
      </c>
      <c r="W491" s="5">
        <v>4615.68</v>
      </c>
      <c r="X491" s="5">
        <v>4615.68</v>
      </c>
      <c r="Y491" s="3">
        <v>0</v>
      </c>
      <c r="Z491" s="3">
        <v>0</v>
      </c>
      <c r="AA491" s="3">
        <v>0</v>
      </c>
    </row>
    <row r="492" spans="1:27" ht="36.75" x14ac:dyDescent="0.25">
      <c r="A492" s="3" t="s">
        <v>28</v>
      </c>
      <c r="B492" s="3" t="s">
        <v>29</v>
      </c>
      <c r="C492" s="3" t="s">
        <v>30</v>
      </c>
      <c r="D492" s="3" t="s">
        <v>31</v>
      </c>
      <c r="E492" s="3" t="s">
        <v>46</v>
      </c>
      <c r="F492" s="3" t="s">
        <v>108</v>
      </c>
      <c r="G492" s="3">
        <v>2025</v>
      </c>
      <c r="H492" s="3" t="str">
        <f>CONCATENATE("54240501202")</f>
        <v>54240501202</v>
      </c>
      <c r="I492" s="3" t="s">
        <v>149</v>
      </c>
      <c r="J492" s="3" t="s">
        <v>35</v>
      </c>
      <c r="K492" s="3"/>
      <c r="L492" s="3" t="s">
        <v>36</v>
      </c>
      <c r="M492" s="3" t="str">
        <f>CONCATENATE("02351650417")</f>
        <v>02351650417</v>
      </c>
      <c r="N492" s="3" t="s">
        <v>608</v>
      </c>
      <c r="O492" s="3" t="s">
        <v>38</v>
      </c>
      <c r="P492" s="3"/>
      <c r="Q492" s="4">
        <v>45944</v>
      </c>
      <c r="R492" s="3" t="s">
        <v>39</v>
      </c>
      <c r="S492" s="3" t="s">
        <v>38</v>
      </c>
      <c r="T492" s="3" t="s">
        <v>43</v>
      </c>
      <c r="U492" s="3"/>
      <c r="V492" s="3" t="s">
        <v>41</v>
      </c>
      <c r="W492" s="5">
        <v>4592.74</v>
      </c>
      <c r="X492" s="5">
        <v>4592.74</v>
      </c>
      <c r="Y492" s="3">
        <v>0</v>
      </c>
      <c r="Z492" s="3">
        <v>0</v>
      </c>
      <c r="AA492" s="3">
        <v>0</v>
      </c>
    </row>
    <row r="493" spans="1:27" ht="36.75" x14ac:dyDescent="0.25">
      <c r="A493" s="3" t="s">
        <v>28</v>
      </c>
      <c r="B493" s="3" t="s">
        <v>29</v>
      </c>
      <c r="C493" s="3" t="s">
        <v>30</v>
      </c>
      <c r="D493" s="3" t="s">
        <v>31</v>
      </c>
      <c r="E493" s="3" t="s">
        <v>46</v>
      </c>
      <c r="F493" s="3" t="s">
        <v>108</v>
      </c>
      <c r="G493" s="3">
        <v>2025</v>
      </c>
      <c r="H493" s="3" t="str">
        <f>CONCATENATE("54240501269")</f>
        <v>54240501269</v>
      </c>
      <c r="I493" s="3" t="s">
        <v>34</v>
      </c>
      <c r="J493" s="3" t="s">
        <v>35</v>
      </c>
      <c r="K493" s="3"/>
      <c r="L493" s="3" t="s">
        <v>36</v>
      </c>
      <c r="M493" s="3" t="str">
        <f>CONCATENATE("02557860414")</f>
        <v>02557860414</v>
      </c>
      <c r="N493" s="3" t="s">
        <v>609</v>
      </c>
      <c r="O493" s="3" t="s">
        <v>38</v>
      </c>
      <c r="P493" s="3"/>
      <c r="Q493" s="4">
        <v>45944</v>
      </c>
      <c r="R493" s="3" t="s">
        <v>39</v>
      </c>
      <c r="S493" s="3" t="s">
        <v>38</v>
      </c>
      <c r="T493" s="3" t="s">
        <v>43</v>
      </c>
      <c r="U493" s="3"/>
      <c r="V493" s="3" t="s">
        <v>41</v>
      </c>
      <c r="W493" s="5">
        <v>4125.47</v>
      </c>
      <c r="X493" s="5">
        <v>4125.47</v>
      </c>
      <c r="Y493" s="3">
        <v>0</v>
      </c>
      <c r="Z493" s="3">
        <v>0</v>
      </c>
      <c r="AA493" s="3">
        <v>0</v>
      </c>
    </row>
    <row r="494" spans="1:27" ht="60.75" x14ac:dyDescent="0.25">
      <c r="A494" s="3" t="s">
        <v>28</v>
      </c>
      <c r="B494" s="3" t="s">
        <v>29</v>
      </c>
      <c r="C494" s="3" t="s">
        <v>30</v>
      </c>
      <c r="D494" s="3" t="s">
        <v>31</v>
      </c>
      <c r="E494" s="3" t="s">
        <v>32</v>
      </c>
      <c r="F494" s="3" t="s">
        <v>440</v>
      </c>
      <c r="G494" s="3">
        <v>2025</v>
      </c>
      <c r="H494" s="3" t="str">
        <f>CONCATENATE("54240501392")</f>
        <v>54240501392</v>
      </c>
      <c r="I494" s="3" t="s">
        <v>34</v>
      </c>
      <c r="J494" s="3" t="s">
        <v>35</v>
      </c>
      <c r="K494" s="3"/>
      <c r="L494" s="3" t="s">
        <v>36</v>
      </c>
      <c r="M494" s="3" t="str">
        <f>CONCATENATE("PSQNNZ43H64B816J")</f>
        <v>PSQNNZ43H64B816J</v>
      </c>
      <c r="N494" s="3" t="s">
        <v>610</v>
      </c>
      <c r="O494" s="3" t="s">
        <v>38</v>
      </c>
      <c r="P494" s="3"/>
      <c r="Q494" s="4">
        <v>45944</v>
      </c>
      <c r="R494" s="3" t="s">
        <v>39</v>
      </c>
      <c r="S494" s="3" t="s">
        <v>38</v>
      </c>
      <c r="T494" s="3" t="s">
        <v>43</v>
      </c>
      <c r="U494" s="3"/>
      <c r="V494" s="3" t="s">
        <v>41</v>
      </c>
      <c r="W494" s="5">
        <v>10092.32</v>
      </c>
      <c r="X494" s="5">
        <v>10092.32</v>
      </c>
      <c r="Y494" s="3">
        <v>0</v>
      </c>
      <c r="Z494" s="3">
        <v>0</v>
      </c>
      <c r="AA494" s="3">
        <v>0</v>
      </c>
    </row>
    <row r="495" spans="1:27" ht="60.75" x14ac:dyDescent="0.25">
      <c r="A495" s="3" t="s">
        <v>28</v>
      </c>
      <c r="B495" s="3" t="s">
        <v>29</v>
      </c>
      <c r="C495" s="3" t="s">
        <v>30</v>
      </c>
      <c r="D495" s="3" t="s">
        <v>58</v>
      </c>
      <c r="E495" s="3" t="s">
        <v>91</v>
      </c>
      <c r="F495" s="3" t="s">
        <v>106</v>
      </c>
      <c r="G495" s="3">
        <v>2025</v>
      </c>
      <c r="H495" s="3" t="str">
        <f>CONCATENATE("54240501400")</f>
        <v>54240501400</v>
      </c>
      <c r="I495" s="3" t="s">
        <v>34</v>
      </c>
      <c r="J495" s="3" t="s">
        <v>35</v>
      </c>
      <c r="K495" s="3"/>
      <c r="L495" s="3" t="s">
        <v>36</v>
      </c>
      <c r="M495" s="3" t="str">
        <f>CONCATENATE("NCDGRG57D09F205Q")</f>
        <v>NCDGRG57D09F205Q</v>
      </c>
      <c r="N495" s="3" t="s">
        <v>611</v>
      </c>
      <c r="O495" s="3" t="s">
        <v>38</v>
      </c>
      <c r="P495" s="3"/>
      <c r="Q495" s="4">
        <v>45944</v>
      </c>
      <c r="R495" s="3" t="s">
        <v>39</v>
      </c>
      <c r="S495" s="3" t="s">
        <v>38</v>
      </c>
      <c r="T495" s="3" t="s">
        <v>43</v>
      </c>
      <c r="U495" s="3"/>
      <c r="V495" s="3" t="s">
        <v>41</v>
      </c>
      <c r="W495" s="5">
        <v>3364.41</v>
      </c>
      <c r="X495" s="5">
        <v>3364.41</v>
      </c>
      <c r="Y495" s="3">
        <v>0</v>
      </c>
      <c r="Z495" s="3">
        <v>0</v>
      </c>
      <c r="AA495" s="3">
        <v>0</v>
      </c>
    </row>
    <row r="496" spans="1:27" ht="60.75" x14ac:dyDescent="0.25">
      <c r="A496" s="3" t="s">
        <v>28</v>
      </c>
      <c r="B496" s="3" t="s">
        <v>29</v>
      </c>
      <c r="C496" s="3" t="s">
        <v>30</v>
      </c>
      <c r="D496" s="3" t="s">
        <v>58</v>
      </c>
      <c r="E496" s="3" t="s">
        <v>91</v>
      </c>
      <c r="F496" s="3" t="s">
        <v>106</v>
      </c>
      <c r="G496" s="3">
        <v>2025</v>
      </c>
      <c r="H496" s="3" t="str">
        <f>CONCATENATE("54240501426")</f>
        <v>54240501426</v>
      </c>
      <c r="I496" s="3" t="s">
        <v>34</v>
      </c>
      <c r="J496" s="3" t="s">
        <v>35</v>
      </c>
      <c r="K496" s="3"/>
      <c r="L496" s="3" t="s">
        <v>36</v>
      </c>
      <c r="M496" s="3" t="str">
        <f>CONCATENATE("PLTFNC55A51H501V")</f>
        <v>PLTFNC55A51H501V</v>
      </c>
      <c r="N496" s="3" t="s">
        <v>612</v>
      </c>
      <c r="O496" s="3" t="s">
        <v>38</v>
      </c>
      <c r="P496" s="3"/>
      <c r="Q496" s="4">
        <v>45944</v>
      </c>
      <c r="R496" s="3" t="s">
        <v>39</v>
      </c>
      <c r="S496" s="3" t="s">
        <v>38</v>
      </c>
      <c r="T496" s="3" t="s">
        <v>43</v>
      </c>
      <c r="U496" s="3"/>
      <c r="V496" s="3" t="s">
        <v>41</v>
      </c>
      <c r="W496" s="3">
        <v>692.9</v>
      </c>
      <c r="X496" s="3">
        <v>692.9</v>
      </c>
      <c r="Y496" s="3">
        <v>0</v>
      </c>
      <c r="Z496" s="3">
        <v>0</v>
      </c>
      <c r="AA496" s="3">
        <v>0</v>
      </c>
    </row>
    <row r="497" spans="1:27" ht="72.75" x14ac:dyDescent="0.25">
      <c r="A497" s="3" t="s">
        <v>28</v>
      </c>
      <c r="B497" s="3" t="s">
        <v>29</v>
      </c>
      <c r="C497" s="3" t="s">
        <v>30</v>
      </c>
      <c r="D497" s="3" t="s">
        <v>58</v>
      </c>
      <c r="E497" s="3" t="s">
        <v>91</v>
      </c>
      <c r="F497" s="3" t="s">
        <v>106</v>
      </c>
      <c r="G497" s="3">
        <v>2025</v>
      </c>
      <c r="H497" s="3" t="str">
        <f>CONCATENATE("54240501475")</f>
        <v>54240501475</v>
      </c>
      <c r="I497" s="3" t="s">
        <v>34</v>
      </c>
      <c r="J497" s="3" t="s">
        <v>35</v>
      </c>
      <c r="K497" s="3"/>
      <c r="L497" s="3" t="s">
        <v>36</v>
      </c>
      <c r="M497" s="3" t="str">
        <f>CONCATENATE("SCNTMR53R59B468R")</f>
        <v>SCNTMR53R59B468R</v>
      </c>
      <c r="N497" s="3" t="s">
        <v>613</v>
      </c>
      <c r="O497" s="3" t="s">
        <v>38</v>
      </c>
      <c r="P497" s="3"/>
      <c r="Q497" s="4">
        <v>45944</v>
      </c>
      <c r="R497" s="3" t="s">
        <v>39</v>
      </c>
      <c r="S497" s="3" t="s">
        <v>38</v>
      </c>
      <c r="T497" s="3" t="s">
        <v>43</v>
      </c>
      <c r="U497" s="3"/>
      <c r="V497" s="3" t="s">
        <v>41</v>
      </c>
      <c r="W497" s="5">
        <v>2815.26</v>
      </c>
      <c r="X497" s="5">
        <v>2815.26</v>
      </c>
      <c r="Y497" s="3">
        <v>0</v>
      </c>
      <c r="Z497" s="3">
        <v>0</v>
      </c>
      <c r="AA497" s="3">
        <v>0</v>
      </c>
    </row>
    <row r="498" spans="1:27" ht="72.75" x14ac:dyDescent="0.25">
      <c r="A498" s="3" t="s">
        <v>28</v>
      </c>
      <c r="B498" s="3" t="s">
        <v>29</v>
      </c>
      <c r="C498" s="3" t="s">
        <v>30</v>
      </c>
      <c r="D498" s="3" t="s">
        <v>58</v>
      </c>
      <c r="E498" s="3" t="s">
        <v>91</v>
      </c>
      <c r="F498" s="3" t="s">
        <v>106</v>
      </c>
      <c r="G498" s="3">
        <v>2025</v>
      </c>
      <c r="H498" s="3" t="str">
        <f>CONCATENATE("54240501384")</f>
        <v>54240501384</v>
      </c>
      <c r="I498" s="3" t="s">
        <v>34</v>
      </c>
      <c r="J498" s="3" t="s">
        <v>35</v>
      </c>
      <c r="K498" s="3"/>
      <c r="L498" s="3" t="s">
        <v>36</v>
      </c>
      <c r="M498" s="3" t="str">
        <f>CONCATENATE("MRZGLC69R19H501O")</f>
        <v>MRZGLC69R19H501O</v>
      </c>
      <c r="N498" s="3" t="s">
        <v>614</v>
      </c>
      <c r="O498" s="3" t="s">
        <v>38</v>
      </c>
      <c r="P498" s="3"/>
      <c r="Q498" s="4">
        <v>45944</v>
      </c>
      <c r="R498" s="3" t="s">
        <v>39</v>
      </c>
      <c r="S498" s="3" t="s">
        <v>38</v>
      </c>
      <c r="T498" s="3" t="s">
        <v>43</v>
      </c>
      <c r="U498" s="3"/>
      <c r="V498" s="3" t="s">
        <v>41</v>
      </c>
      <c r="W498" s="5">
        <v>3156.64</v>
      </c>
      <c r="X498" s="5">
        <v>3156.64</v>
      </c>
      <c r="Y498" s="3">
        <v>0</v>
      </c>
      <c r="Z498" s="3">
        <v>0</v>
      </c>
      <c r="AA498" s="3">
        <v>0</v>
      </c>
    </row>
    <row r="499" spans="1:27" ht="36.75" x14ac:dyDescent="0.25">
      <c r="A499" s="3" t="s">
        <v>28</v>
      </c>
      <c r="B499" s="3" t="s">
        <v>29</v>
      </c>
      <c r="C499" s="3" t="s">
        <v>30</v>
      </c>
      <c r="D499" s="3" t="s">
        <v>58</v>
      </c>
      <c r="E499" s="3" t="s">
        <v>91</v>
      </c>
      <c r="F499" s="3" t="s">
        <v>106</v>
      </c>
      <c r="G499" s="3">
        <v>2025</v>
      </c>
      <c r="H499" s="3" t="str">
        <f>CONCATENATE("54240501418")</f>
        <v>54240501418</v>
      </c>
      <c r="I499" s="3" t="s">
        <v>34</v>
      </c>
      <c r="J499" s="3" t="s">
        <v>35</v>
      </c>
      <c r="K499" s="3"/>
      <c r="L499" s="3" t="s">
        <v>36</v>
      </c>
      <c r="M499" s="3" t="str">
        <f>CONCATENATE("01068740420")</f>
        <v>01068740420</v>
      </c>
      <c r="N499" s="3" t="s">
        <v>615</v>
      </c>
      <c r="O499" s="3" t="s">
        <v>38</v>
      </c>
      <c r="P499" s="3"/>
      <c r="Q499" s="4">
        <v>45944</v>
      </c>
      <c r="R499" s="3" t="s">
        <v>39</v>
      </c>
      <c r="S499" s="3" t="s">
        <v>38</v>
      </c>
      <c r="T499" s="3" t="s">
        <v>43</v>
      </c>
      <c r="U499" s="3"/>
      <c r="V499" s="3" t="s">
        <v>41</v>
      </c>
      <c r="W499" s="5">
        <v>2588.21</v>
      </c>
      <c r="X499" s="5">
        <v>2588.21</v>
      </c>
      <c r="Y499" s="3">
        <v>0</v>
      </c>
      <c r="Z499" s="3">
        <v>0</v>
      </c>
      <c r="AA499" s="3">
        <v>0</v>
      </c>
    </row>
    <row r="500" spans="1:27" ht="60.75" x14ac:dyDescent="0.25">
      <c r="A500" s="3" t="s">
        <v>28</v>
      </c>
      <c r="B500" s="3" t="s">
        <v>29</v>
      </c>
      <c r="C500" s="3" t="s">
        <v>30</v>
      </c>
      <c r="D500" s="3" t="s">
        <v>31</v>
      </c>
      <c r="E500" s="3" t="s">
        <v>53</v>
      </c>
      <c r="F500" s="3" t="s">
        <v>54</v>
      </c>
      <c r="G500" s="3">
        <v>2025</v>
      </c>
      <c r="H500" s="3" t="str">
        <f>CONCATENATE("54240511532")</f>
        <v>54240511532</v>
      </c>
      <c r="I500" s="3" t="s">
        <v>34</v>
      </c>
      <c r="J500" s="3" t="s">
        <v>35</v>
      </c>
      <c r="K500" s="3"/>
      <c r="L500" s="3" t="s">
        <v>36</v>
      </c>
      <c r="M500" s="3" t="str">
        <f>CONCATENATE("MRCRRT84C22I459G")</f>
        <v>MRCRRT84C22I459G</v>
      </c>
      <c r="N500" s="3" t="s">
        <v>616</v>
      </c>
      <c r="O500" s="3" t="s">
        <v>38</v>
      </c>
      <c r="P500" s="3"/>
      <c r="Q500" s="4">
        <v>45944</v>
      </c>
      <c r="R500" s="3" t="s">
        <v>39</v>
      </c>
      <c r="S500" s="3" t="s">
        <v>38</v>
      </c>
      <c r="T500" s="3" t="s">
        <v>43</v>
      </c>
      <c r="U500" s="3"/>
      <c r="V500" s="3" t="s">
        <v>41</v>
      </c>
      <c r="W500" s="3">
        <v>881.69</v>
      </c>
      <c r="X500" s="3">
        <v>881.69</v>
      </c>
      <c r="Y500" s="3">
        <v>0</v>
      </c>
      <c r="Z500" s="3">
        <v>0</v>
      </c>
      <c r="AA500" s="3">
        <v>0</v>
      </c>
    </row>
    <row r="501" spans="1:27" ht="60.75" x14ac:dyDescent="0.25">
      <c r="A501" s="3" t="s">
        <v>28</v>
      </c>
      <c r="B501" s="3" t="s">
        <v>29</v>
      </c>
      <c r="C501" s="3" t="s">
        <v>30</v>
      </c>
      <c r="D501" s="3" t="s">
        <v>49</v>
      </c>
      <c r="E501" s="3" t="s">
        <v>46</v>
      </c>
      <c r="F501" s="3" t="s">
        <v>126</v>
      </c>
      <c r="G501" s="3">
        <v>2025</v>
      </c>
      <c r="H501" s="3" t="str">
        <f>CONCATENATE("54240511615")</f>
        <v>54240511615</v>
      </c>
      <c r="I501" s="3" t="s">
        <v>34</v>
      </c>
      <c r="J501" s="3" t="s">
        <v>35</v>
      </c>
      <c r="K501" s="3"/>
      <c r="L501" s="3" t="s">
        <v>36</v>
      </c>
      <c r="M501" s="3" t="str">
        <f>CONCATENATE("MRTGRG55B04E783C")</f>
        <v>MRTGRG55B04E783C</v>
      </c>
      <c r="N501" s="3" t="s">
        <v>617</v>
      </c>
      <c r="O501" s="3" t="s">
        <v>38</v>
      </c>
      <c r="P501" s="3"/>
      <c r="Q501" s="4">
        <v>45944</v>
      </c>
      <c r="R501" s="3" t="s">
        <v>39</v>
      </c>
      <c r="S501" s="3" t="s">
        <v>38</v>
      </c>
      <c r="T501" s="3" t="s">
        <v>43</v>
      </c>
      <c r="U501" s="3"/>
      <c r="V501" s="3" t="s">
        <v>41</v>
      </c>
      <c r="W501" s="5">
        <v>5636.05</v>
      </c>
      <c r="X501" s="5">
        <v>5636.05</v>
      </c>
      <c r="Y501" s="3">
        <v>0</v>
      </c>
      <c r="Z501" s="3">
        <v>0</v>
      </c>
      <c r="AA501" s="3">
        <v>0</v>
      </c>
    </row>
    <row r="502" spans="1:27" ht="36.75" x14ac:dyDescent="0.25">
      <c r="A502" s="3" t="s">
        <v>28</v>
      </c>
      <c r="B502" s="3" t="s">
        <v>29</v>
      </c>
      <c r="C502" s="3" t="s">
        <v>30</v>
      </c>
      <c r="D502" s="3" t="s">
        <v>49</v>
      </c>
      <c r="E502" s="3" t="s">
        <v>46</v>
      </c>
      <c r="F502" s="3" t="s">
        <v>131</v>
      </c>
      <c r="G502" s="3">
        <v>2025</v>
      </c>
      <c r="H502" s="3" t="str">
        <f>CONCATENATE("54240512035")</f>
        <v>54240512035</v>
      </c>
      <c r="I502" s="3" t="s">
        <v>34</v>
      </c>
      <c r="J502" s="3" t="s">
        <v>35</v>
      </c>
      <c r="K502" s="3"/>
      <c r="L502" s="3" t="s">
        <v>36</v>
      </c>
      <c r="M502" s="3" t="str">
        <f>CONCATENATE("01814150437")</f>
        <v>01814150437</v>
      </c>
      <c r="N502" s="3" t="s">
        <v>618</v>
      </c>
      <c r="O502" s="3" t="s">
        <v>38</v>
      </c>
      <c r="P502" s="3"/>
      <c r="Q502" s="4">
        <v>45944</v>
      </c>
      <c r="R502" s="3" t="s">
        <v>39</v>
      </c>
      <c r="S502" s="3" t="s">
        <v>38</v>
      </c>
      <c r="T502" s="3" t="s">
        <v>43</v>
      </c>
      <c r="U502" s="3"/>
      <c r="V502" s="3" t="s">
        <v>41</v>
      </c>
      <c r="W502" s="5">
        <v>4906.7299999999996</v>
      </c>
      <c r="X502" s="5">
        <v>4906.7299999999996</v>
      </c>
      <c r="Y502" s="3">
        <v>0</v>
      </c>
      <c r="Z502" s="3">
        <v>0</v>
      </c>
      <c r="AA502" s="3">
        <v>0</v>
      </c>
    </row>
    <row r="503" spans="1:27" ht="60.75" x14ac:dyDescent="0.25">
      <c r="A503" s="3" t="s">
        <v>28</v>
      </c>
      <c r="B503" s="3" t="s">
        <v>29</v>
      </c>
      <c r="C503" s="3" t="s">
        <v>30</v>
      </c>
      <c r="D503" s="3" t="s">
        <v>58</v>
      </c>
      <c r="E503" s="3" t="s">
        <v>53</v>
      </c>
      <c r="F503" s="3" t="s">
        <v>59</v>
      </c>
      <c r="G503" s="3">
        <v>2025</v>
      </c>
      <c r="H503" s="3" t="str">
        <f>CONCATENATE("54240511698")</f>
        <v>54240511698</v>
      </c>
      <c r="I503" s="3" t="s">
        <v>34</v>
      </c>
      <c r="J503" s="3" t="s">
        <v>35</v>
      </c>
      <c r="K503" s="3"/>
      <c r="L503" s="3" t="s">
        <v>36</v>
      </c>
      <c r="M503" s="3" t="str">
        <f>CONCATENATE("LSSMPL61H69I653Z")</f>
        <v>LSSMPL61H69I653Z</v>
      </c>
      <c r="N503" s="3" t="s">
        <v>619</v>
      </c>
      <c r="O503" s="3" t="s">
        <v>38</v>
      </c>
      <c r="P503" s="3"/>
      <c r="Q503" s="4">
        <v>45944</v>
      </c>
      <c r="R503" s="3" t="s">
        <v>39</v>
      </c>
      <c r="S503" s="3" t="s">
        <v>38</v>
      </c>
      <c r="T503" s="3" t="s">
        <v>43</v>
      </c>
      <c r="U503" s="3"/>
      <c r="V503" s="3" t="s">
        <v>41</v>
      </c>
      <c r="W503" s="5">
        <v>2170.6999999999998</v>
      </c>
      <c r="X503" s="5">
        <v>2170.6999999999998</v>
      </c>
      <c r="Y503" s="3">
        <v>0</v>
      </c>
      <c r="Z503" s="3">
        <v>0</v>
      </c>
      <c r="AA503" s="3">
        <v>0</v>
      </c>
    </row>
    <row r="504" spans="1:27" ht="36.75" x14ac:dyDescent="0.25">
      <c r="A504" s="3" t="s">
        <v>28</v>
      </c>
      <c r="B504" s="3" t="s">
        <v>29</v>
      </c>
      <c r="C504" s="3" t="s">
        <v>30</v>
      </c>
      <c r="D504" s="3" t="s">
        <v>58</v>
      </c>
      <c r="E504" s="3" t="s">
        <v>91</v>
      </c>
      <c r="F504" s="3" t="s">
        <v>106</v>
      </c>
      <c r="G504" s="3">
        <v>2025</v>
      </c>
      <c r="H504" s="3" t="str">
        <f>CONCATENATE("54240511722")</f>
        <v>54240511722</v>
      </c>
      <c r="I504" s="3" t="s">
        <v>34</v>
      </c>
      <c r="J504" s="3" t="s">
        <v>35</v>
      </c>
      <c r="K504" s="3"/>
      <c r="L504" s="3" t="s">
        <v>36</v>
      </c>
      <c r="M504" s="3" t="str">
        <f>CONCATENATE("02863280422")</f>
        <v>02863280422</v>
      </c>
      <c r="N504" s="3" t="s">
        <v>620</v>
      </c>
      <c r="O504" s="3" t="s">
        <v>38</v>
      </c>
      <c r="P504" s="3"/>
      <c r="Q504" s="4">
        <v>45944</v>
      </c>
      <c r="R504" s="3" t="s">
        <v>39</v>
      </c>
      <c r="S504" s="3" t="s">
        <v>38</v>
      </c>
      <c r="T504" s="3" t="s">
        <v>43</v>
      </c>
      <c r="U504" s="3"/>
      <c r="V504" s="3" t="s">
        <v>41</v>
      </c>
      <c r="W504" s="3">
        <v>735.97</v>
      </c>
      <c r="X504" s="3">
        <v>735.97</v>
      </c>
      <c r="Y504" s="3">
        <v>0</v>
      </c>
      <c r="Z504" s="3">
        <v>0</v>
      </c>
      <c r="AA504" s="3">
        <v>0</v>
      </c>
    </row>
    <row r="505" spans="1:27" ht="60.75" x14ac:dyDescent="0.25">
      <c r="A505" s="3" t="s">
        <v>28</v>
      </c>
      <c r="B505" s="3" t="s">
        <v>29</v>
      </c>
      <c r="C505" s="3" t="s">
        <v>30</v>
      </c>
      <c r="D505" s="3" t="s">
        <v>31</v>
      </c>
      <c r="E505" s="3" t="s">
        <v>53</v>
      </c>
      <c r="F505" s="3" t="s">
        <v>54</v>
      </c>
      <c r="G505" s="3">
        <v>2025</v>
      </c>
      <c r="H505" s="3" t="str">
        <f>CONCATENATE("54240512050")</f>
        <v>54240512050</v>
      </c>
      <c r="I505" s="3" t="s">
        <v>34</v>
      </c>
      <c r="J505" s="3" t="s">
        <v>35</v>
      </c>
      <c r="K505" s="3"/>
      <c r="L505" s="3" t="s">
        <v>36</v>
      </c>
      <c r="M505" s="3" t="str">
        <f>CONCATENATE("NNNPLA58C22I459S")</f>
        <v>NNNPLA58C22I459S</v>
      </c>
      <c r="N505" s="3" t="s">
        <v>621</v>
      </c>
      <c r="O505" s="3" t="s">
        <v>38</v>
      </c>
      <c r="P505" s="3"/>
      <c r="Q505" s="4">
        <v>45944</v>
      </c>
      <c r="R505" s="3" t="s">
        <v>39</v>
      </c>
      <c r="S505" s="3" t="s">
        <v>38</v>
      </c>
      <c r="T505" s="3" t="s">
        <v>43</v>
      </c>
      <c r="U505" s="3"/>
      <c r="V505" s="3" t="s">
        <v>41</v>
      </c>
      <c r="W505" s="5">
        <v>1483.38</v>
      </c>
      <c r="X505" s="5">
        <v>1483.38</v>
      </c>
      <c r="Y505" s="3">
        <v>0</v>
      </c>
      <c r="Z505" s="3">
        <v>0</v>
      </c>
      <c r="AA505" s="3">
        <v>0</v>
      </c>
    </row>
    <row r="506" spans="1:27" ht="36.75" x14ac:dyDescent="0.25">
      <c r="A506" s="3" t="s">
        <v>28</v>
      </c>
      <c r="B506" s="3" t="s">
        <v>29</v>
      </c>
      <c r="C506" s="3" t="s">
        <v>30</v>
      </c>
      <c r="D506" s="3" t="s">
        <v>49</v>
      </c>
      <c r="E506" s="3" t="s">
        <v>32</v>
      </c>
      <c r="F506" s="3" t="s">
        <v>272</v>
      </c>
      <c r="G506" s="3">
        <v>2025</v>
      </c>
      <c r="H506" s="3" t="str">
        <f>CONCATENATE("54240512142")</f>
        <v>54240512142</v>
      </c>
      <c r="I506" s="3" t="s">
        <v>34</v>
      </c>
      <c r="J506" s="3" t="s">
        <v>35</v>
      </c>
      <c r="K506" s="3"/>
      <c r="L506" s="3" t="s">
        <v>36</v>
      </c>
      <c r="M506" s="3" t="str">
        <f>CONCATENATE("01588080430")</f>
        <v>01588080430</v>
      </c>
      <c r="N506" s="3" t="s">
        <v>622</v>
      </c>
      <c r="O506" s="3" t="s">
        <v>38</v>
      </c>
      <c r="P506" s="3"/>
      <c r="Q506" s="4">
        <v>45944</v>
      </c>
      <c r="R506" s="3" t="s">
        <v>39</v>
      </c>
      <c r="S506" s="3" t="s">
        <v>38</v>
      </c>
      <c r="T506" s="3" t="s">
        <v>43</v>
      </c>
      <c r="U506" s="3"/>
      <c r="V506" s="3" t="s">
        <v>41</v>
      </c>
      <c r="W506" s="5">
        <v>2068.73</v>
      </c>
      <c r="X506" s="5">
        <v>2068.73</v>
      </c>
      <c r="Y506" s="3">
        <v>0</v>
      </c>
      <c r="Z506" s="3">
        <v>0</v>
      </c>
      <c r="AA506" s="3">
        <v>0</v>
      </c>
    </row>
    <row r="507" spans="1:27" ht="72.75" x14ac:dyDescent="0.25">
      <c r="A507" s="3" t="s">
        <v>28</v>
      </c>
      <c r="B507" s="3" t="s">
        <v>29</v>
      </c>
      <c r="C507" s="3" t="s">
        <v>30</v>
      </c>
      <c r="D507" s="3" t="s">
        <v>63</v>
      </c>
      <c r="E507" s="3" t="s">
        <v>74</v>
      </c>
      <c r="F507" s="3" t="s">
        <v>252</v>
      </c>
      <c r="G507" s="3">
        <v>2025</v>
      </c>
      <c r="H507" s="3" t="str">
        <f>CONCATENATE("54240561651")</f>
        <v>54240561651</v>
      </c>
      <c r="I507" s="3" t="s">
        <v>34</v>
      </c>
      <c r="J507" s="3" t="s">
        <v>35</v>
      </c>
      <c r="K507" s="3"/>
      <c r="L507" s="3" t="s">
        <v>36</v>
      </c>
      <c r="M507" s="3" t="str">
        <f>CONCATENATE("MCHLGU56B23G005B")</f>
        <v>MCHLGU56B23G005B</v>
      </c>
      <c r="N507" s="3" t="s">
        <v>623</v>
      </c>
      <c r="O507" s="3" t="s">
        <v>38</v>
      </c>
      <c r="P507" s="3"/>
      <c r="Q507" s="4">
        <v>45944</v>
      </c>
      <c r="R507" s="3" t="s">
        <v>39</v>
      </c>
      <c r="S507" s="3" t="s">
        <v>38</v>
      </c>
      <c r="T507" s="3" t="s">
        <v>43</v>
      </c>
      <c r="U507" s="3"/>
      <c r="V507" s="3" t="s">
        <v>41</v>
      </c>
      <c r="W507" s="5">
        <v>7894.69</v>
      </c>
      <c r="X507" s="5">
        <v>7894.69</v>
      </c>
      <c r="Y507" s="3">
        <v>0</v>
      </c>
      <c r="Z507" s="3">
        <v>0</v>
      </c>
      <c r="AA507" s="3">
        <v>0</v>
      </c>
    </row>
    <row r="508" spans="1:27" ht="60.75" x14ac:dyDescent="0.25">
      <c r="A508" s="3" t="s">
        <v>28</v>
      </c>
      <c r="B508" s="3" t="s">
        <v>29</v>
      </c>
      <c r="C508" s="3" t="s">
        <v>30</v>
      </c>
      <c r="D508" s="3" t="s">
        <v>49</v>
      </c>
      <c r="E508" s="3" t="s">
        <v>32</v>
      </c>
      <c r="F508" s="3" t="s">
        <v>272</v>
      </c>
      <c r="G508" s="3">
        <v>2025</v>
      </c>
      <c r="H508" s="3" t="str">
        <f>CONCATENATE("54240512308")</f>
        <v>54240512308</v>
      </c>
      <c r="I508" s="3" t="s">
        <v>34</v>
      </c>
      <c r="J508" s="3" t="s">
        <v>35</v>
      </c>
      <c r="K508" s="3"/>
      <c r="L508" s="3" t="s">
        <v>36</v>
      </c>
      <c r="M508" s="3" t="str">
        <f>CONCATENATE("CNCDNL78D03L366F")</f>
        <v>CNCDNL78D03L366F</v>
      </c>
      <c r="N508" s="3" t="s">
        <v>624</v>
      </c>
      <c r="O508" s="3" t="s">
        <v>38</v>
      </c>
      <c r="P508" s="3"/>
      <c r="Q508" s="4">
        <v>45944</v>
      </c>
      <c r="R508" s="3" t="s">
        <v>39</v>
      </c>
      <c r="S508" s="3" t="s">
        <v>38</v>
      </c>
      <c r="T508" s="3" t="s">
        <v>43</v>
      </c>
      <c r="U508" s="3"/>
      <c r="V508" s="3" t="s">
        <v>41</v>
      </c>
      <c r="W508" s="3">
        <v>524.73</v>
      </c>
      <c r="X508" s="3">
        <v>524.73</v>
      </c>
      <c r="Y508" s="3">
        <v>0</v>
      </c>
      <c r="Z508" s="3">
        <v>0</v>
      </c>
      <c r="AA508" s="3">
        <v>0</v>
      </c>
    </row>
    <row r="509" spans="1:27" ht="36.75" x14ac:dyDescent="0.25">
      <c r="A509" s="3" t="s">
        <v>28</v>
      </c>
      <c r="B509" s="3" t="s">
        <v>29</v>
      </c>
      <c r="C509" s="3" t="s">
        <v>30</v>
      </c>
      <c r="D509" s="3" t="s">
        <v>31</v>
      </c>
      <c r="E509" s="3" t="s">
        <v>32</v>
      </c>
      <c r="F509" s="3" t="s">
        <v>440</v>
      </c>
      <c r="G509" s="3">
        <v>2025</v>
      </c>
      <c r="H509" s="3" t="str">
        <f>CONCATENATE("54240512373")</f>
        <v>54240512373</v>
      </c>
      <c r="I509" s="3" t="s">
        <v>34</v>
      </c>
      <c r="J509" s="3" t="s">
        <v>35</v>
      </c>
      <c r="K509" s="3"/>
      <c r="L509" s="3" t="s">
        <v>36</v>
      </c>
      <c r="M509" s="3" t="str">
        <f>CONCATENATE("00414160416")</f>
        <v>00414160416</v>
      </c>
      <c r="N509" s="3" t="s">
        <v>625</v>
      </c>
      <c r="O509" s="3" t="s">
        <v>38</v>
      </c>
      <c r="P509" s="3"/>
      <c r="Q509" s="4">
        <v>45944</v>
      </c>
      <c r="R509" s="3" t="s">
        <v>39</v>
      </c>
      <c r="S509" s="3" t="s">
        <v>38</v>
      </c>
      <c r="T509" s="3" t="s">
        <v>43</v>
      </c>
      <c r="U509" s="3"/>
      <c r="V509" s="3" t="s">
        <v>41</v>
      </c>
      <c r="W509" s="5">
        <v>15559.92</v>
      </c>
      <c r="X509" s="5">
        <v>15559.92</v>
      </c>
      <c r="Y509" s="3">
        <v>0</v>
      </c>
      <c r="Z509" s="3">
        <v>0</v>
      </c>
      <c r="AA509" s="3">
        <v>0</v>
      </c>
    </row>
    <row r="510" spans="1:27" ht="60.75" x14ac:dyDescent="0.25">
      <c r="A510" s="3" t="s">
        <v>28</v>
      </c>
      <c r="B510" s="3" t="s">
        <v>29</v>
      </c>
      <c r="C510" s="3" t="s">
        <v>30</v>
      </c>
      <c r="D510" s="3" t="s">
        <v>49</v>
      </c>
      <c r="E510" s="3" t="s">
        <v>32</v>
      </c>
      <c r="F510" s="3" t="s">
        <v>102</v>
      </c>
      <c r="G510" s="3">
        <v>2025</v>
      </c>
      <c r="H510" s="3" t="str">
        <f>CONCATENATE("54240512449")</f>
        <v>54240512449</v>
      </c>
      <c r="I510" s="3" t="s">
        <v>34</v>
      </c>
      <c r="J510" s="3" t="s">
        <v>35</v>
      </c>
      <c r="K510" s="3"/>
      <c r="L510" s="3" t="s">
        <v>36</v>
      </c>
      <c r="M510" s="3" t="str">
        <f>CONCATENATE("FGTLSN42S67I653U")</f>
        <v>FGTLSN42S67I653U</v>
      </c>
      <c r="N510" s="3" t="s">
        <v>626</v>
      </c>
      <c r="O510" s="3" t="s">
        <v>38</v>
      </c>
      <c r="P510" s="3"/>
      <c r="Q510" s="4">
        <v>45944</v>
      </c>
      <c r="R510" s="3" t="s">
        <v>39</v>
      </c>
      <c r="S510" s="3" t="s">
        <v>38</v>
      </c>
      <c r="T510" s="3" t="s">
        <v>43</v>
      </c>
      <c r="U510" s="3"/>
      <c r="V510" s="3" t="s">
        <v>41</v>
      </c>
      <c r="W510" s="5">
        <v>4869.84</v>
      </c>
      <c r="X510" s="5">
        <v>4869.84</v>
      </c>
      <c r="Y510" s="3">
        <v>0</v>
      </c>
      <c r="Z510" s="3">
        <v>0</v>
      </c>
      <c r="AA510" s="3">
        <v>0</v>
      </c>
    </row>
    <row r="511" spans="1:27" ht="36.75" x14ac:dyDescent="0.25">
      <c r="A511" s="3" t="s">
        <v>28</v>
      </c>
      <c r="B511" s="3" t="s">
        <v>29</v>
      </c>
      <c r="C511" s="3" t="s">
        <v>30</v>
      </c>
      <c r="D511" s="3" t="s">
        <v>58</v>
      </c>
      <c r="E511" s="3" t="s">
        <v>53</v>
      </c>
      <c r="F511" s="3" t="s">
        <v>426</v>
      </c>
      <c r="G511" s="3">
        <v>2025</v>
      </c>
      <c r="H511" s="3" t="str">
        <f>CONCATENATE("54240539350")</f>
        <v>54240539350</v>
      </c>
      <c r="I511" s="3" t="s">
        <v>34</v>
      </c>
      <c r="J511" s="3" t="s">
        <v>35</v>
      </c>
      <c r="K511" s="3"/>
      <c r="L511" s="3" t="s">
        <v>36</v>
      </c>
      <c r="M511" s="3" t="str">
        <f>CONCATENATE("01143960423")</f>
        <v>01143960423</v>
      </c>
      <c r="N511" s="3" t="s">
        <v>627</v>
      </c>
      <c r="O511" s="3" t="s">
        <v>38</v>
      </c>
      <c r="P511" s="3"/>
      <c r="Q511" s="4">
        <v>45944</v>
      </c>
      <c r="R511" s="3" t="s">
        <v>39</v>
      </c>
      <c r="S511" s="3" t="s">
        <v>38</v>
      </c>
      <c r="T511" s="3" t="s">
        <v>43</v>
      </c>
      <c r="U511" s="3"/>
      <c r="V511" s="3" t="s">
        <v>41</v>
      </c>
      <c r="W511" s="5">
        <v>3182.04</v>
      </c>
      <c r="X511" s="5">
        <v>3182.04</v>
      </c>
      <c r="Y511" s="3">
        <v>0</v>
      </c>
      <c r="Z511" s="3">
        <v>0</v>
      </c>
      <c r="AA511" s="3">
        <v>0</v>
      </c>
    </row>
    <row r="512" spans="1:27" ht="60.75" x14ac:dyDescent="0.25">
      <c r="A512" s="3" t="s">
        <v>28</v>
      </c>
      <c r="B512" s="3" t="s">
        <v>29</v>
      </c>
      <c r="C512" s="3" t="s">
        <v>30</v>
      </c>
      <c r="D512" s="3" t="s">
        <v>58</v>
      </c>
      <c r="E512" s="3" t="s">
        <v>32</v>
      </c>
      <c r="F512" s="3" t="s">
        <v>239</v>
      </c>
      <c r="G512" s="3">
        <v>2025</v>
      </c>
      <c r="H512" s="3" t="str">
        <f>CONCATENATE("54240513124")</f>
        <v>54240513124</v>
      </c>
      <c r="I512" s="3" t="s">
        <v>34</v>
      </c>
      <c r="J512" s="3" t="s">
        <v>35</v>
      </c>
      <c r="K512" s="3"/>
      <c r="L512" s="3" t="s">
        <v>36</v>
      </c>
      <c r="M512" s="3" t="str">
        <f>CONCATENATE("LSALSN94C24I608M")</f>
        <v>LSALSN94C24I608M</v>
      </c>
      <c r="N512" s="3" t="s">
        <v>628</v>
      </c>
      <c r="O512" s="3" t="s">
        <v>38</v>
      </c>
      <c r="P512" s="3"/>
      <c r="Q512" s="4">
        <v>45944</v>
      </c>
      <c r="R512" s="3" t="s">
        <v>39</v>
      </c>
      <c r="S512" s="3" t="s">
        <v>38</v>
      </c>
      <c r="T512" s="3" t="s">
        <v>43</v>
      </c>
      <c r="U512" s="3"/>
      <c r="V512" s="3" t="s">
        <v>41</v>
      </c>
      <c r="W512" s="5">
        <v>3636.2</v>
      </c>
      <c r="X512" s="5">
        <v>3636.2</v>
      </c>
      <c r="Y512" s="3">
        <v>0</v>
      </c>
      <c r="Z512" s="3">
        <v>0</v>
      </c>
      <c r="AA512" s="3">
        <v>0</v>
      </c>
    </row>
    <row r="513" spans="1:27" ht="60.75" x14ac:dyDescent="0.25">
      <c r="A513" s="3" t="s">
        <v>28</v>
      </c>
      <c r="B513" s="3" t="s">
        <v>29</v>
      </c>
      <c r="C513" s="3" t="s">
        <v>30</v>
      </c>
      <c r="D513" s="3" t="s">
        <v>49</v>
      </c>
      <c r="E513" s="3" t="s">
        <v>46</v>
      </c>
      <c r="F513" s="3" t="s">
        <v>131</v>
      </c>
      <c r="G513" s="3">
        <v>2025</v>
      </c>
      <c r="H513" s="3" t="str">
        <f>CONCATENATE("54240513223")</f>
        <v>54240513223</v>
      </c>
      <c r="I513" s="3" t="s">
        <v>34</v>
      </c>
      <c r="J513" s="3" t="s">
        <v>35</v>
      </c>
      <c r="K513" s="3"/>
      <c r="L513" s="3" t="s">
        <v>36</v>
      </c>
      <c r="M513" s="3" t="str">
        <f>CONCATENATE("BRTPLG85P17G674I")</f>
        <v>BRTPLG85P17G674I</v>
      </c>
      <c r="N513" s="3" t="s">
        <v>629</v>
      </c>
      <c r="O513" s="3" t="s">
        <v>38</v>
      </c>
      <c r="P513" s="3"/>
      <c r="Q513" s="4">
        <v>45944</v>
      </c>
      <c r="R513" s="3" t="s">
        <v>39</v>
      </c>
      <c r="S513" s="3" t="s">
        <v>38</v>
      </c>
      <c r="T513" s="3" t="s">
        <v>43</v>
      </c>
      <c r="U513" s="3"/>
      <c r="V513" s="3" t="s">
        <v>41</v>
      </c>
      <c r="W513" s="5">
        <v>4379.32</v>
      </c>
      <c r="X513" s="5">
        <v>4379.32</v>
      </c>
      <c r="Y513" s="3">
        <v>0</v>
      </c>
      <c r="Z513" s="3">
        <v>0</v>
      </c>
      <c r="AA513" s="3">
        <v>0</v>
      </c>
    </row>
    <row r="514" spans="1:27" ht="60.75" x14ac:dyDescent="0.25">
      <c r="A514" s="3" t="s">
        <v>28</v>
      </c>
      <c r="B514" s="3" t="s">
        <v>29</v>
      </c>
      <c r="C514" s="3" t="s">
        <v>30</v>
      </c>
      <c r="D514" s="3" t="s">
        <v>49</v>
      </c>
      <c r="E514" s="3" t="s">
        <v>46</v>
      </c>
      <c r="F514" s="3" t="s">
        <v>131</v>
      </c>
      <c r="G514" s="3">
        <v>2025</v>
      </c>
      <c r="H514" s="3" t="str">
        <f>CONCATENATE("54240513488")</f>
        <v>54240513488</v>
      </c>
      <c r="I514" s="3" t="s">
        <v>34</v>
      </c>
      <c r="J514" s="3" t="s">
        <v>35</v>
      </c>
      <c r="K514" s="3"/>
      <c r="L514" s="3" t="s">
        <v>36</v>
      </c>
      <c r="M514" s="3" t="str">
        <f>CONCATENATE("QNTGRT90L64E783M")</f>
        <v>QNTGRT90L64E783M</v>
      </c>
      <c r="N514" s="3" t="s">
        <v>630</v>
      </c>
      <c r="O514" s="3" t="s">
        <v>38</v>
      </c>
      <c r="P514" s="3"/>
      <c r="Q514" s="4">
        <v>45944</v>
      </c>
      <c r="R514" s="3" t="s">
        <v>39</v>
      </c>
      <c r="S514" s="3" t="s">
        <v>38</v>
      </c>
      <c r="T514" s="3" t="s">
        <v>43</v>
      </c>
      <c r="U514" s="3"/>
      <c r="V514" s="3" t="s">
        <v>41</v>
      </c>
      <c r="W514" s="5">
        <v>3951.82</v>
      </c>
      <c r="X514" s="5">
        <v>3951.82</v>
      </c>
      <c r="Y514" s="3">
        <v>0</v>
      </c>
      <c r="Z514" s="3">
        <v>0</v>
      </c>
      <c r="AA514" s="3">
        <v>0</v>
      </c>
    </row>
    <row r="515" spans="1:27" ht="36.75" x14ac:dyDescent="0.25">
      <c r="A515" s="3" t="s">
        <v>28</v>
      </c>
      <c r="B515" s="3" t="s">
        <v>29</v>
      </c>
      <c r="C515" s="3" t="s">
        <v>30</v>
      </c>
      <c r="D515" s="3" t="s">
        <v>31</v>
      </c>
      <c r="E515" s="3" t="s">
        <v>46</v>
      </c>
      <c r="F515" s="3" t="s">
        <v>47</v>
      </c>
      <c r="G515" s="3">
        <v>2025</v>
      </c>
      <c r="H515" s="3" t="str">
        <f>CONCATENATE("54240513645")</f>
        <v>54240513645</v>
      </c>
      <c r="I515" s="3" t="s">
        <v>34</v>
      </c>
      <c r="J515" s="3" t="s">
        <v>35</v>
      </c>
      <c r="K515" s="3"/>
      <c r="L515" s="3" t="s">
        <v>36</v>
      </c>
      <c r="M515" s="3" t="str">
        <f>CONCATENATE("01480720414")</f>
        <v>01480720414</v>
      </c>
      <c r="N515" s="3" t="s">
        <v>631</v>
      </c>
      <c r="O515" s="3" t="s">
        <v>38</v>
      </c>
      <c r="P515" s="3"/>
      <c r="Q515" s="4">
        <v>45944</v>
      </c>
      <c r="R515" s="3" t="s">
        <v>39</v>
      </c>
      <c r="S515" s="3" t="s">
        <v>38</v>
      </c>
      <c r="T515" s="3" t="s">
        <v>43</v>
      </c>
      <c r="U515" s="3"/>
      <c r="V515" s="3" t="s">
        <v>41</v>
      </c>
      <c r="W515" s="5">
        <v>8715.84</v>
      </c>
      <c r="X515" s="5">
        <v>8715.84</v>
      </c>
      <c r="Y515" s="3">
        <v>0</v>
      </c>
      <c r="Z515" s="3">
        <v>0</v>
      </c>
      <c r="AA515" s="3">
        <v>0</v>
      </c>
    </row>
    <row r="516" spans="1:27" ht="60.75" x14ac:dyDescent="0.25">
      <c r="A516" s="3" t="s">
        <v>28</v>
      </c>
      <c r="B516" s="3" t="s">
        <v>29</v>
      </c>
      <c r="C516" s="3" t="s">
        <v>30</v>
      </c>
      <c r="D516" s="3" t="s">
        <v>31</v>
      </c>
      <c r="E516" s="3" t="s">
        <v>46</v>
      </c>
      <c r="F516" s="3" t="s">
        <v>47</v>
      </c>
      <c r="G516" s="3">
        <v>2025</v>
      </c>
      <c r="H516" s="3" t="str">
        <f>CONCATENATE("54240514007")</f>
        <v>54240514007</v>
      </c>
      <c r="I516" s="3" t="s">
        <v>34</v>
      </c>
      <c r="J516" s="3" t="s">
        <v>35</v>
      </c>
      <c r="K516" s="3"/>
      <c r="L516" s="3" t="s">
        <v>36</v>
      </c>
      <c r="M516" s="3" t="str">
        <f>CONCATENATE("LRGGNN54P26G551G")</f>
        <v>LRGGNN54P26G551G</v>
      </c>
      <c r="N516" s="3" t="s">
        <v>632</v>
      </c>
      <c r="O516" s="3" t="s">
        <v>38</v>
      </c>
      <c r="P516" s="3"/>
      <c r="Q516" s="4">
        <v>45944</v>
      </c>
      <c r="R516" s="3" t="s">
        <v>39</v>
      </c>
      <c r="S516" s="3" t="s">
        <v>38</v>
      </c>
      <c r="T516" s="3" t="s">
        <v>43</v>
      </c>
      <c r="U516" s="3"/>
      <c r="V516" s="3" t="s">
        <v>41</v>
      </c>
      <c r="W516" s="5">
        <v>4170.3599999999997</v>
      </c>
      <c r="X516" s="5">
        <v>4170.3599999999997</v>
      </c>
      <c r="Y516" s="3">
        <v>0</v>
      </c>
      <c r="Z516" s="3">
        <v>0</v>
      </c>
      <c r="AA516" s="3">
        <v>0</v>
      </c>
    </row>
    <row r="517" spans="1:27" ht="60.75" x14ac:dyDescent="0.25">
      <c r="A517" s="3" t="s">
        <v>28</v>
      </c>
      <c r="B517" s="3" t="s">
        <v>29</v>
      </c>
      <c r="C517" s="3" t="s">
        <v>30</v>
      </c>
      <c r="D517" s="3" t="s">
        <v>49</v>
      </c>
      <c r="E517" s="3" t="s">
        <v>53</v>
      </c>
      <c r="F517" s="3" t="s">
        <v>136</v>
      </c>
      <c r="G517" s="3">
        <v>2025</v>
      </c>
      <c r="H517" s="3" t="str">
        <f>CONCATENATE("54240513884")</f>
        <v>54240513884</v>
      </c>
      <c r="I517" s="3" t="s">
        <v>34</v>
      </c>
      <c r="J517" s="3" t="s">
        <v>35</v>
      </c>
      <c r="K517" s="3"/>
      <c r="L517" s="3" t="s">
        <v>36</v>
      </c>
      <c r="M517" s="3" t="str">
        <f>CONCATENATE("PLSLCU74R23H501Q")</f>
        <v>PLSLCU74R23H501Q</v>
      </c>
      <c r="N517" s="3" t="s">
        <v>633</v>
      </c>
      <c r="O517" s="3" t="s">
        <v>38</v>
      </c>
      <c r="P517" s="3"/>
      <c r="Q517" s="4">
        <v>45944</v>
      </c>
      <c r="R517" s="3" t="s">
        <v>39</v>
      </c>
      <c r="S517" s="3" t="s">
        <v>38</v>
      </c>
      <c r="T517" s="3" t="s">
        <v>43</v>
      </c>
      <c r="U517" s="3"/>
      <c r="V517" s="3" t="s">
        <v>41</v>
      </c>
      <c r="W517" s="5">
        <v>1968.33</v>
      </c>
      <c r="X517" s="5">
        <v>1968.33</v>
      </c>
      <c r="Y517" s="3">
        <v>0</v>
      </c>
      <c r="Z517" s="3">
        <v>0</v>
      </c>
      <c r="AA517" s="3">
        <v>0</v>
      </c>
    </row>
    <row r="518" spans="1:27" ht="60.75" x14ac:dyDescent="0.25">
      <c r="A518" s="3" t="s">
        <v>28</v>
      </c>
      <c r="B518" s="3" t="s">
        <v>29</v>
      </c>
      <c r="C518" s="3" t="s">
        <v>30</v>
      </c>
      <c r="D518" s="3" t="s">
        <v>31</v>
      </c>
      <c r="E518" s="3" t="s">
        <v>32</v>
      </c>
      <c r="F518" s="3" t="s">
        <v>178</v>
      </c>
      <c r="G518" s="3">
        <v>2025</v>
      </c>
      <c r="H518" s="3" t="str">
        <f>CONCATENATE("54240513918")</f>
        <v>54240513918</v>
      </c>
      <c r="I518" s="3" t="s">
        <v>34</v>
      </c>
      <c r="J518" s="3" t="s">
        <v>35</v>
      </c>
      <c r="K518" s="3"/>
      <c r="L518" s="3" t="s">
        <v>36</v>
      </c>
      <c r="M518" s="3" t="str">
        <f>CONCATENATE("VNTNTN61L05F347N")</f>
        <v>VNTNTN61L05F347N</v>
      </c>
      <c r="N518" s="3" t="s">
        <v>634</v>
      </c>
      <c r="O518" s="3" t="s">
        <v>38</v>
      </c>
      <c r="P518" s="3"/>
      <c r="Q518" s="4">
        <v>45944</v>
      </c>
      <c r="R518" s="3" t="s">
        <v>39</v>
      </c>
      <c r="S518" s="3" t="s">
        <v>38</v>
      </c>
      <c r="T518" s="3" t="s">
        <v>43</v>
      </c>
      <c r="U518" s="3"/>
      <c r="V518" s="3" t="s">
        <v>41</v>
      </c>
      <c r="W518" s="5">
        <v>2480.48</v>
      </c>
      <c r="X518" s="5">
        <v>2480.48</v>
      </c>
      <c r="Y518" s="3">
        <v>0</v>
      </c>
      <c r="Z518" s="3">
        <v>0</v>
      </c>
      <c r="AA518" s="3">
        <v>0</v>
      </c>
    </row>
    <row r="519" spans="1:27" ht="60.75" x14ac:dyDescent="0.25">
      <c r="A519" s="3" t="s">
        <v>28</v>
      </c>
      <c r="B519" s="3" t="s">
        <v>29</v>
      </c>
      <c r="C519" s="3" t="s">
        <v>30</v>
      </c>
      <c r="D519" s="3" t="s">
        <v>31</v>
      </c>
      <c r="E519" s="3" t="s">
        <v>32</v>
      </c>
      <c r="F519" s="3" t="s">
        <v>178</v>
      </c>
      <c r="G519" s="3">
        <v>2025</v>
      </c>
      <c r="H519" s="3" t="str">
        <f>CONCATENATE("54240514023")</f>
        <v>54240514023</v>
      </c>
      <c r="I519" s="3" t="s">
        <v>34</v>
      </c>
      <c r="J519" s="3" t="s">
        <v>35</v>
      </c>
      <c r="K519" s="3"/>
      <c r="L519" s="3" t="s">
        <v>36</v>
      </c>
      <c r="M519" s="3" t="str">
        <f>CONCATENATE("VNTVGN02S55L500O")</f>
        <v>VNTVGN02S55L500O</v>
      </c>
      <c r="N519" s="3" t="s">
        <v>635</v>
      </c>
      <c r="O519" s="3" t="s">
        <v>38</v>
      </c>
      <c r="P519" s="3"/>
      <c r="Q519" s="4">
        <v>45944</v>
      </c>
      <c r="R519" s="3" t="s">
        <v>39</v>
      </c>
      <c r="S519" s="3" t="s">
        <v>38</v>
      </c>
      <c r="T519" s="3" t="s">
        <v>43</v>
      </c>
      <c r="U519" s="3"/>
      <c r="V519" s="3" t="s">
        <v>41</v>
      </c>
      <c r="W519" s="5">
        <v>2824.99</v>
      </c>
      <c r="X519" s="5">
        <v>2824.99</v>
      </c>
      <c r="Y519" s="3">
        <v>0</v>
      </c>
      <c r="Z519" s="3">
        <v>0</v>
      </c>
      <c r="AA519" s="3">
        <v>0</v>
      </c>
    </row>
    <row r="520" spans="1:27" ht="60.75" x14ac:dyDescent="0.25">
      <c r="A520" s="3" t="s">
        <v>28</v>
      </c>
      <c r="B520" s="3" t="s">
        <v>29</v>
      </c>
      <c r="C520" s="3" t="s">
        <v>30</v>
      </c>
      <c r="D520" s="3" t="s">
        <v>31</v>
      </c>
      <c r="E520" s="3" t="s">
        <v>32</v>
      </c>
      <c r="F520" s="3" t="s">
        <v>153</v>
      </c>
      <c r="G520" s="3">
        <v>2025</v>
      </c>
      <c r="H520" s="3" t="str">
        <f>CONCATENATE("54240514353")</f>
        <v>54240514353</v>
      </c>
      <c r="I520" s="3" t="s">
        <v>34</v>
      </c>
      <c r="J520" s="3" t="s">
        <v>35</v>
      </c>
      <c r="K520" s="3"/>
      <c r="L520" s="3" t="s">
        <v>36</v>
      </c>
      <c r="M520" s="3" t="str">
        <f>CONCATENATE("RFFJCB96T25L500S")</f>
        <v>RFFJCB96T25L500S</v>
      </c>
      <c r="N520" s="3" t="s">
        <v>636</v>
      </c>
      <c r="O520" s="3" t="s">
        <v>38</v>
      </c>
      <c r="P520" s="3"/>
      <c r="Q520" s="4">
        <v>45944</v>
      </c>
      <c r="R520" s="3" t="s">
        <v>39</v>
      </c>
      <c r="S520" s="3" t="s">
        <v>38</v>
      </c>
      <c r="T520" s="3" t="s">
        <v>43</v>
      </c>
      <c r="U520" s="3"/>
      <c r="V520" s="3" t="s">
        <v>41</v>
      </c>
      <c r="W520" s="5">
        <v>8118.49</v>
      </c>
      <c r="X520" s="5">
        <v>8118.49</v>
      </c>
      <c r="Y520" s="3">
        <v>0</v>
      </c>
      <c r="Z520" s="3">
        <v>0</v>
      </c>
      <c r="AA520" s="3">
        <v>0</v>
      </c>
    </row>
    <row r="521" spans="1:27" ht="60.75" x14ac:dyDescent="0.25">
      <c r="A521" s="3" t="s">
        <v>28</v>
      </c>
      <c r="B521" s="3" t="s">
        <v>29</v>
      </c>
      <c r="C521" s="3" t="s">
        <v>30</v>
      </c>
      <c r="D521" s="3" t="s">
        <v>31</v>
      </c>
      <c r="E521" s="3" t="s">
        <v>32</v>
      </c>
      <c r="F521" s="3" t="s">
        <v>44</v>
      </c>
      <c r="G521" s="3">
        <v>2025</v>
      </c>
      <c r="H521" s="3" t="str">
        <f>CONCATENATE("54240518750")</f>
        <v>54240518750</v>
      </c>
      <c r="I521" s="3" t="s">
        <v>34</v>
      </c>
      <c r="J521" s="3" t="s">
        <v>35</v>
      </c>
      <c r="K521" s="3"/>
      <c r="L521" s="3" t="s">
        <v>36</v>
      </c>
      <c r="M521" s="3" t="str">
        <f>CONCATENATE("MRTLCU71T11C745Y")</f>
        <v>MRTLCU71T11C745Y</v>
      </c>
      <c r="N521" s="3" t="s">
        <v>637</v>
      </c>
      <c r="O521" s="3" t="s">
        <v>38</v>
      </c>
      <c r="P521" s="3"/>
      <c r="Q521" s="4">
        <v>45944</v>
      </c>
      <c r="R521" s="3" t="s">
        <v>39</v>
      </c>
      <c r="S521" s="3" t="s">
        <v>38</v>
      </c>
      <c r="T521" s="3" t="s">
        <v>43</v>
      </c>
      <c r="U521" s="3"/>
      <c r="V521" s="3" t="s">
        <v>41</v>
      </c>
      <c r="W521" s="5">
        <v>2780.24</v>
      </c>
      <c r="X521" s="5">
        <v>2780.24</v>
      </c>
      <c r="Y521" s="3">
        <v>0</v>
      </c>
      <c r="Z521" s="3">
        <v>0</v>
      </c>
      <c r="AA521" s="3">
        <v>0</v>
      </c>
    </row>
    <row r="522" spans="1:27" ht="60.75" x14ac:dyDescent="0.25">
      <c r="A522" s="3" t="s">
        <v>28</v>
      </c>
      <c r="B522" s="3" t="s">
        <v>29</v>
      </c>
      <c r="C522" s="3" t="s">
        <v>30</v>
      </c>
      <c r="D522" s="3" t="s">
        <v>31</v>
      </c>
      <c r="E522" s="3" t="s">
        <v>32</v>
      </c>
      <c r="F522" s="3" t="s">
        <v>115</v>
      </c>
      <c r="G522" s="3">
        <v>2025</v>
      </c>
      <c r="H522" s="3" t="str">
        <f>CONCATENATE("54240514239")</f>
        <v>54240514239</v>
      </c>
      <c r="I522" s="3" t="s">
        <v>34</v>
      </c>
      <c r="J522" s="3" t="s">
        <v>35</v>
      </c>
      <c r="K522" s="3"/>
      <c r="L522" s="3" t="s">
        <v>36</v>
      </c>
      <c r="M522" s="3" t="str">
        <f>CONCATENATE("CNDSVN44E59I459B")</f>
        <v>CNDSVN44E59I459B</v>
      </c>
      <c r="N522" s="3" t="s">
        <v>638</v>
      </c>
      <c r="O522" s="3" t="s">
        <v>38</v>
      </c>
      <c r="P522" s="3"/>
      <c r="Q522" s="4">
        <v>45944</v>
      </c>
      <c r="R522" s="3" t="s">
        <v>39</v>
      </c>
      <c r="S522" s="3" t="s">
        <v>38</v>
      </c>
      <c r="T522" s="3" t="s">
        <v>43</v>
      </c>
      <c r="U522" s="3"/>
      <c r="V522" s="3" t="s">
        <v>41</v>
      </c>
      <c r="W522" s="5">
        <v>1011.86</v>
      </c>
      <c r="X522" s="5">
        <v>1011.86</v>
      </c>
      <c r="Y522" s="3">
        <v>0</v>
      </c>
      <c r="Z522" s="3">
        <v>0</v>
      </c>
      <c r="AA522" s="3">
        <v>0</v>
      </c>
    </row>
    <row r="523" spans="1:27" ht="72.75" x14ac:dyDescent="0.25">
      <c r="A523" s="3" t="s">
        <v>28</v>
      </c>
      <c r="B523" s="3" t="s">
        <v>29</v>
      </c>
      <c r="C523" s="3" t="s">
        <v>30</v>
      </c>
      <c r="D523" s="3" t="s">
        <v>31</v>
      </c>
      <c r="E523" s="3" t="s">
        <v>32</v>
      </c>
      <c r="F523" s="3" t="s">
        <v>153</v>
      </c>
      <c r="G523" s="3">
        <v>2025</v>
      </c>
      <c r="H523" s="3" t="str">
        <f>CONCATENATE("54240514965")</f>
        <v>54240514965</v>
      </c>
      <c r="I523" s="3" t="s">
        <v>34</v>
      </c>
      <c r="J523" s="3" t="s">
        <v>35</v>
      </c>
      <c r="K523" s="3"/>
      <c r="L523" s="3" t="s">
        <v>36</v>
      </c>
      <c r="M523" s="3" t="str">
        <f>CONCATENATE("CNTNZE53R26B846W")</f>
        <v>CNTNZE53R26B846W</v>
      </c>
      <c r="N523" s="3" t="s">
        <v>639</v>
      </c>
      <c r="O523" s="3" t="s">
        <v>38</v>
      </c>
      <c r="P523" s="3"/>
      <c r="Q523" s="4">
        <v>45944</v>
      </c>
      <c r="R523" s="3" t="s">
        <v>39</v>
      </c>
      <c r="S523" s="3" t="s">
        <v>38</v>
      </c>
      <c r="T523" s="3" t="s">
        <v>43</v>
      </c>
      <c r="U523" s="3"/>
      <c r="V523" s="3" t="s">
        <v>41</v>
      </c>
      <c r="W523" s="5">
        <v>3302.76</v>
      </c>
      <c r="X523" s="5">
        <v>3302.76</v>
      </c>
      <c r="Y523" s="3">
        <v>0</v>
      </c>
      <c r="Z523" s="3">
        <v>0</v>
      </c>
      <c r="AA523" s="3">
        <v>0</v>
      </c>
    </row>
    <row r="524" spans="1:27" ht="36.75" x14ac:dyDescent="0.25">
      <c r="A524" s="3" t="s">
        <v>28</v>
      </c>
      <c r="B524" s="3" t="s">
        <v>29</v>
      </c>
      <c r="C524" s="3" t="s">
        <v>30</v>
      </c>
      <c r="D524" s="3" t="s">
        <v>31</v>
      </c>
      <c r="E524" s="3" t="s">
        <v>32</v>
      </c>
      <c r="F524" s="3" t="s">
        <v>115</v>
      </c>
      <c r="G524" s="3">
        <v>2025</v>
      </c>
      <c r="H524" s="3" t="str">
        <f>CONCATENATE("54240514767")</f>
        <v>54240514767</v>
      </c>
      <c r="I524" s="3" t="s">
        <v>149</v>
      </c>
      <c r="J524" s="3" t="s">
        <v>35</v>
      </c>
      <c r="K524" s="3"/>
      <c r="L524" s="3" t="s">
        <v>36</v>
      </c>
      <c r="M524" s="3" t="str">
        <f>CONCATENATE("01382170411")</f>
        <v>01382170411</v>
      </c>
      <c r="N524" s="3" t="s">
        <v>640</v>
      </c>
      <c r="O524" s="3" t="s">
        <v>38</v>
      </c>
      <c r="P524" s="3"/>
      <c r="Q524" s="4">
        <v>45944</v>
      </c>
      <c r="R524" s="3" t="s">
        <v>39</v>
      </c>
      <c r="S524" s="3" t="s">
        <v>38</v>
      </c>
      <c r="T524" s="3" t="s">
        <v>43</v>
      </c>
      <c r="U524" s="3"/>
      <c r="V524" s="3" t="s">
        <v>41</v>
      </c>
      <c r="W524" s="5">
        <v>16866.5</v>
      </c>
      <c r="X524" s="5">
        <v>16866.5</v>
      </c>
      <c r="Y524" s="3">
        <v>0</v>
      </c>
      <c r="Z524" s="3">
        <v>0</v>
      </c>
      <c r="AA524" s="3">
        <v>0</v>
      </c>
    </row>
    <row r="525" spans="1:27" ht="60.75" x14ac:dyDescent="0.25">
      <c r="A525" s="3" t="s">
        <v>28</v>
      </c>
      <c r="B525" s="3" t="s">
        <v>29</v>
      </c>
      <c r="C525" s="3" t="s">
        <v>30</v>
      </c>
      <c r="D525" s="3" t="s">
        <v>31</v>
      </c>
      <c r="E525" s="3" t="s">
        <v>32</v>
      </c>
      <c r="F525" s="3" t="s">
        <v>115</v>
      </c>
      <c r="G525" s="3">
        <v>2025</v>
      </c>
      <c r="H525" s="3" t="str">
        <f>CONCATENATE("54240514890")</f>
        <v>54240514890</v>
      </c>
      <c r="I525" s="3" t="s">
        <v>149</v>
      </c>
      <c r="J525" s="3" t="s">
        <v>35</v>
      </c>
      <c r="K525" s="3"/>
      <c r="L525" s="3" t="s">
        <v>36</v>
      </c>
      <c r="M525" s="3" t="str">
        <f>CONCATENATE("MNTMRC57S07L500L")</f>
        <v>MNTMRC57S07L500L</v>
      </c>
      <c r="N525" s="3" t="s">
        <v>641</v>
      </c>
      <c r="O525" s="3" t="s">
        <v>38</v>
      </c>
      <c r="P525" s="3"/>
      <c r="Q525" s="4">
        <v>45944</v>
      </c>
      <c r="R525" s="3" t="s">
        <v>39</v>
      </c>
      <c r="S525" s="3" t="s">
        <v>38</v>
      </c>
      <c r="T525" s="3" t="s">
        <v>43</v>
      </c>
      <c r="U525" s="3"/>
      <c r="V525" s="3" t="s">
        <v>41</v>
      </c>
      <c r="W525" s="5">
        <v>2191.48</v>
      </c>
      <c r="X525" s="5">
        <v>2191.48</v>
      </c>
      <c r="Y525" s="3">
        <v>0</v>
      </c>
      <c r="Z525" s="3">
        <v>0</v>
      </c>
      <c r="AA525" s="3">
        <v>0</v>
      </c>
    </row>
    <row r="526" spans="1:27" ht="36.75" x14ac:dyDescent="0.25">
      <c r="A526" s="3" t="s">
        <v>28</v>
      </c>
      <c r="B526" s="3" t="s">
        <v>29</v>
      </c>
      <c r="C526" s="3" t="s">
        <v>30</v>
      </c>
      <c r="D526" s="3" t="s">
        <v>49</v>
      </c>
      <c r="E526" s="3" t="s">
        <v>91</v>
      </c>
      <c r="F526" s="3" t="s">
        <v>92</v>
      </c>
      <c r="G526" s="3">
        <v>2025</v>
      </c>
      <c r="H526" s="3" t="str">
        <f>CONCATENATE("54240514858")</f>
        <v>54240514858</v>
      </c>
      <c r="I526" s="3" t="s">
        <v>34</v>
      </c>
      <c r="J526" s="3" t="s">
        <v>35</v>
      </c>
      <c r="K526" s="3"/>
      <c r="L526" s="3" t="s">
        <v>36</v>
      </c>
      <c r="M526" s="3" t="str">
        <f>CONCATENATE("01574540439")</f>
        <v>01574540439</v>
      </c>
      <c r="N526" s="3" t="s">
        <v>642</v>
      </c>
      <c r="O526" s="3" t="s">
        <v>38</v>
      </c>
      <c r="P526" s="3"/>
      <c r="Q526" s="4">
        <v>45944</v>
      </c>
      <c r="R526" s="3" t="s">
        <v>39</v>
      </c>
      <c r="S526" s="3" t="s">
        <v>38</v>
      </c>
      <c r="T526" s="3" t="s">
        <v>43</v>
      </c>
      <c r="U526" s="3"/>
      <c r="V526" s="3" t="s">
        <v>41</v>
      </c>
      <c r="W526" s="5">
        <v>18425.55</v>
      </c>
      <c r="X526" s="5">
        <v>18425.55</v>
      </c>
      <c r="Y526" s="3">
        <v>0</v>
      </c>
      <c r="Z526" s="3">
        <v>0</v>
      </c>
      <c r="AA526" s="3">
        <v>0</v>
      </c>
    </row>
    <row r="527" spans="1:27" ht="72.75" x14ac:dyDescent="0.25">
      <c r="A527" s="3" t="s">
        <v>28</v>
      </c>
      <c r="B527" s="3" t="s">
        <v>29</v>
      </c>
      <c r="C527" s="3" t="s">
        <v>30</v>
      </c>
      <c r="D527" s="3" t="s">
        <v>63</v>
      </c>
      <c r="E527" s="3" t="s">
        <v>53</v>
      </c>
      <c r="F527" s="3" t="s">
        <v>80</v>
      </c>
      <c r="G527" s="3">
        <v>2025</v>
      </c>
      <c r="H527" s="3" t="str">
        <f>CONCATENATE("54240515061")</f>
        <v>54240515061</v>
      </c>
      <c r="I527" s="3" t="s">
        <v>149</v>
      </c>
      <c r="J527" s="3" t="s">
        <v>35</v>
      </c>
      <c r="K527" s="3"/>
      <c r="L527" s="3" t="s">
        <v>36</v>
      </c>
      <c r="M527" s="3" t="str">
        <f>CONCATENATE("CRRRRT74M08H769B")</f>
        <v>CRRRRT74M08H769B</v>
      </c>
      <c r="N527" s="3" t="s">
        <v>643</v>
      </c>
      <c r="O527" s="3" t="s">
        <v>38</v>
      </c>
      <c r="P527" s="3"/>
      <c r="Q527" s="4">
        <v>45944</v>
      </c>
      <c r="R527" s="3" t="s">
        <v>39</v>
      </c>
      <c r="S527" s="3" t="s">
        <v>38</v>
      </c>
      <c r="T527" s="3" t="s">
        <v>43</v>
      </c>
      <c r="U527" s="3"/>
      <c r="V527" s="3" t="s">
        <v>41</v>
      </c>
      <c r="W527" s="5">
        <v>3505.78</v>
      </c>
      <c r="X527" s="5">
        <v>3505.78</v>
      </c>
      <c r="Y527" s="3">
        <v>0</v>
      </c>
      <c r="Z527" s="3">
        <v>0</v>
      </c>
      <c r="AA527" s="3">
        <v>0</v>
      </c>
    </row>
    <row r="528" spans="1:27" ht="60.75" x14ac:dyDescent="0.25">
      <c r="A528" s="3" t="s">
        <v>28</v>
      </c>
      <c r="B528" s="3" t="s">
        <v>29</v>
      </c>
      <c r="C528" s="3" t="s">
        <v>30</v>
      </c>
      <c r="D528" s="3" t="s">
        <v>31</v>
      </c>
      <c r="E528" s="3" t="s">
        <v>53</v>
      </c>
      <c r="F528" s="3" t="s">
        <v>54</v>
      </c>
      <c r="G528" s="3">
        <v>2025</v>
      </c>
      <c r="H528" s="3" t="str">
        <f>CONCATENATE("54240515319")</f>
        <v>54240515319</v>
      </c>
      <c r="I528" s="3" t="s">
        <v>34</v>
      </c>
      <c r="J528" s="3" t="s">
        <v>35</v>
      </c>
      <c r="K528" s="3"/>
      <c r="L528" s="3" t="s">
        <v>36</v>
      </c>
      <c r="M528" s="3" t="str">
        <f>CONCATENATE("MROYLY81S66Z504Q")</f>
        <v>MROYLY81S66Z504Q</v>
      </c>
      <c r="N528" s="3" t="s">
        <v>644</v>
      </c>
      <c r="O528" s="3" t="s">
        <v>38</v>
      </c>
      <c r="P528" s="3"/>
      <c r="Q528" s="4">
        <v>45944</v>
      </c>
      <c r="R528" s="3" t="s">
        <v>39</v>
      </c>
      <c r="S528" s="3" t="s">
        <v>38</v>
      </c>
      <c r="T528" s="3" t="s">
        <v>43</v>
      </c>
      <c r="U528" s="3"/>
      <c r="V528" s="3" t="s">
        <v>41</v>
      </c>
      <c r="W528" s="5">
        <v>6935.44</v>
      </c>
      <c r="X528" s="5">
        <v>6935.44</v>
      </c>
      <c r="Y528" s="3">
        <v>0</v>
      </c>
      <c r="Z528" s="3">
        <v>0</v>
      </c>
      <c r="AA528" s="3">
        <v>0</v>
      </c>
    </row>
    <row r="529" spans="1:27" ht="60.75" x14ac:dyDescent="0.25">
      <c r="A529" s="3" t="s">
        <v>28</v>
      </c>
      <c r="B529" s="3" t="s">
        <v>29</v>
      </c>
      <c r="C529" s="3" t="s">
        <v>30</v>
      </c>
      <c r="D529" s="3" t="s">
        <v>58</v>
      </c>
      <c r="E529" s="3" t="s">
        <v>53</v>
      </c>
      <c r="F529" s="3" t="s">
        <v>123</v>
      </c>
      <c r="G529" s="3">
        <v>2025</v>
      </c>
      <c r="H529" s="3" t="str">
        <f>CONCATENATE("54240515343")</f>
        <v>54240515343</v>
      </c>
      <c r="I529" s="3" t="s">
        <v>34</v>
      </c>
      <c r="J529" s="3" t="s">
        <v>35</v>
      </c>
      <c r="K529" s="3"/>
      <c r="L529" s="3" t="s">
        <v>36</v>
      </c>
      <c r="M529" s="3" t="str">
        <f>CONCATENATE("FLPFNC80E08E388J")</f>
        <v>FLPFNC80E08E388J</v>
      </c>
      <c r="N529" s="3" t="s">
        <v>645</v>
      </c>
      <c r="O529" s="3" t="s">
        <v>38</v>
      </c>
      <c r="P529" s="3"/>
      <c r="Q529" s="4">
        <v>45944</v>
      </c>
      <c r="R529" s="3" t="s">
        <v>39</v>
      </c>
      <c r="S529" s="3" t="s">
        <v>38</v>
      </c>
      <c r="T529" s="3" t="s">
        <v>43</v>
      </c>
      <c r="U529" s="3"/>
      <c r="V529" s="3" t="s">
        <v>41</v>
      </c>
      <c r="W529" s="3">
        <v>640.96</v>
      </c>
      <c r="X529" s="3">
        <v>640.96</v>
      </c>
      <c r="Y529" s="3">
        <v>0</v>
      </c>
      <c r="Z529" s="3">
        <v>0</v>
      </c>
      <c r="AA529" s="3">
        <v>0</v>
      </c>
    </row>
    <row r="530" spans="1:27" ht="60.75" x14ac:dyDescent="0.25">
      <c r="A530" s="3" t="s">
        <v>28</v>
      </c>
      <c r="B530" s="3" t="s">
        <v>29</v>
      </c>
      <c r="C530" s="3" t="s">
        <v>30</v>
      </c>
      <c r="D530" s="3" t="s">
        <v>58</v>
      </c>
      <c r="E530" s="3" t="s">
        <v>53</v>
      </c>
      <c r="F530" s="3" t="s">
        <v>426</v>
      </c>
      <c r="G530" s="3">
        <v>2025</v>
      </c>
      <c r="H530" s="3" t="str">
        <f>CONCATENATE("54240515855")</f>
        <v>54240515855</v>
      </c>
      <c r="I530" s="3" t="s">
        <v>34</v>
      </c>
      <c r="J530" s="3" t="s">
        <v>35</v>
      </c>
      <c r="K530" s="3"/>
      <c r="L530" s="3" t="s">
        <v>36</v>
      </c>
      <c r="M530" s="3" t="str">
        <f>CONCATENATE("BNALSN75E47D451P")</f>
        <v>BNALSN75E47D451P</v>
      </c>
      <c r="N530" s="3" t="s">
        <v>646</v>
      </c>
      <c r="O530" s="3" t="s">
        <v>38</v>
      </c>
      <c r="P530" s="3"/>
      <c r="Q530" s="4">
        <v>45944</v>
      </c>
      <c r="R530" s="3" t="s">
        <v>39</v>
      </c>
      <c r="S530" s="3" t="s">
        <v>38</v>
      </c>
      <c r="T530" s="3" t="s">
        <v>43</v>
      </c>
      <c r="U530" s="3"/>
      <c r="V530" s="3" t="s">
        <v>41</v>
      </c>
      <c r="W530" s="5">
        <v>5191.2700000000004</v>
      </c>
      <c r="X530" s="5">
        <v>5191.2700000000004</v>
      </c>
      <c r="Y530" s="3">
        <v>0</v>
      </c>
      <c r="Z530" s="3">
        <v>0</v>
      </c>
      <c r="AA530" s="3">
        <v>0</v>
      </c>
    </row>
    <row r="531" spans="1:27" ht="36.75" x14ac:dyDescent="0.25">
      <c r="A531" s="3" t="s">
        <v>28</v>
      </c>
      <c r="B531" s="3" t="s">
        <v>29</v>
      </c>
      <c r="C531" s="3" t="s">
        <v>30</v>
      </c>
      <c r="D531" s="3" t="s">
        <v>49</v>
      </c>
      <c r="E531" s="3" t="s">
        <v>46</v>
      </c>
      <c r="F531" s="3" t="s">
        <v>205</v>
      </c>
      <c r="G531" s="3">
        <v>2025</v>
      </c>
      <c r="H531" s="3" t="str">
        <f>CONCATENATE("54240516010")</f>
        <v>54240516010</v>
      </c>
      <c r="I531" s="3" t="s">
        <v>34</v>
      </c>
      <c r="J531" s="3" t="s">
        <v>35</v>
      </c>
      <c r="K531" s="3"/>
      <c r="L531" s="3" t="s">
        <v>36</v>
      </c>
      <c r="M531" s="3" t="str">
        <f>CONCATENATE("01399100435")</f>
        <v>01399100435</v>
      </c>
      <c r="N531" s="3" t="s">
        <v>647</v>
      </c>
      <c r="O531" s="3" t="s">
        <v>38</v>
      </c>
      <c r="P531" s="3"/>
      <c r="Q531" s="4">
        <v>45944</v>
      </c>
      <c r="R531" s="3" t="s">
        <v>39</v>
      </c>
      <c r="S531" s="3" t="s">
        <v>38</v>
      </c>
      <c r="T531" s="3" t="s">
        <v>43</v>
      </c>
      <c r="U531" s="3"/>
      <c r="V531" s="3" t="s">
        <v>41</v>
      </c>
      <c r="W531" s="5">
        <v>20282.55</v>
      </c>
      <c r="X531" s="5">
        <v>20282.55</v>
      </c>
      <c r="Y531" s="3">
        <v>0</v>
      </c>
      <c r="Z531" s="3">
        <v>0</v>
      </c>
      <c r="AA531" s="3">
        <v>0</v>
      </c>
    </row>
    <row r="532" spans="1:27" ht="36.75" x14ac:dyDescent="0.25">
      <c r="A532" s="3" t="s">
        <v>28</v>
      </c>
      <c r="B532" s="3" t="s">
        <v>29</v>
      </c>
      <c r="C532" s="3" t="s">
        <v>30</v>
      </c>
      <c r="D532" s="3" t="s">
        <v>49</v>
      </c>
      <c r="E532" s="3" t="s">
        <v>46</v>
      </c>
      <c r="F532" s="3" t="s">
        <v>131</v>
      </c>
      <c r="G532" s="3">
        <v>2025</v>
      </c>
      <c r="H532" s="3" t="str">
        <f>CONCATENATE("54240516564")</f>
        <v>54240516564</v>
      </c>
      <c r="I532" s="3" t="s">
        <v>34</v>
      </c>
      <c r="J532" s="3" t="s">
        <v>35</v>
      </c>
      <c r="K532" s="3"/>
      <c r="L532" s="3" t="s">
        <v>36</v>
      </c>
      <c r="M532" s="3" t="str">
        <f>CONCATENATE("01945800439")</f>
        <v>01945800439</v>
      </c>
      <c r="N532" s="3" t="s">
        <v>648</v>
      </c>
      <c r="O532" s="3" t="s">
        <v>38</v>
      </c>
      <c r="P532" s="3"/>
      <c r="Q532" s="4">
        <v>45944</v>
      </c>
      <c r="R532" s="3" t="s">
        <v>39</v>
      </c>
      <c r="S532" s="3" t="s">
        <v>38</v>
      </c>
      <c r="T532" s="3" t="s">
        <v>43</v>
      </c>
      <c r="U532" s="3"/>
      <c r="V532" s="3" t="s">
        <v>41</v>
      </c>
      <c r="W532" s="5">
        <v>2068.6999999999998</v>
      </c>
      <c r="X532" s="5">
        <v>2068.6999999999998</v>
      </c>
      <c r="Y532" s="3">
        <v>0</v>
      </c>
      <c r="Z532" s="3">
        <v>0</v>
      </c>
      <c r="AA532" s="3">
        <v>0</v>
      </c>
    </row>
    <row r="533" spans="1:27" ht="60.75" x14ac:dyDescent="0.25">
      <c r="A533" s="3" t="s">
        <v>28</v>
      </c>
      <c r="B533" s="3" t="s">
        <v>29</v>
      </c>
      <c r="C533" s="3" t="s">
        <v>30</v>
      </c>
      <c r="D533" s="3" t="s">
        <v>49</v>
      </c>
      <c r="E533" s="3" t="s">
        <v>46</v>
      </c>
      <c r="F533" s="3" t="s">
        <v>131</v>
      </c>
      <c r="G533" s="3">
        <v>2025</v>
      </c>
      <c r="H533" s="3" t="str">
        <f>CONCATENATE("54240516572")</f>
        <v>54240516572</v>
      </c>
      <c r="I533" s="3" t="s">
        <v>34</v>
      </c>
      <c r="J533" s="3" t="s">
        <v>35</v>
      </c>
      <c r="K533" s="3"/>
      <c r="L533" s="3" t="s">
        <v>36</v>
      </c>
      <c r="M533" s="3" t="str">
        <f>CONCATENATE("LTTDRN93T11Z601K")</f>
        <v>LTTDRN93T11Z601K</v>
      </c>
      <c r="N533" s="3" t="s">
        <v>649</v>
      </c>
      <c r="O533" s="3" t="s">
        <v>38</v>
      </c>
      <c r="P533" s="3"/>
      <c r="Q533" s="4">
        <v>45944</v>
      </c>
      <c r="R533" s="3" t="s">
        <v>39</v>
      </c>
      <c r="S533" s="3" t="s">
        <v>38</v>
      </c>
      <c r="T533" s="3" t="s">
        <v>43</v>
      </c>
      <c r="U533" s="3"/>
      <c r="V533" s="3" t="s">
        <v>41</v>
      </c>
      <c r="W533" s="3">
        <v>412.87</v>
      </c>
      <c r="X533" s="3">
        <v>412.87</v>
      </c>
      <c r="Y533" s="3">
        <v>0</v>
      </c>
      <c r="Z533" s="3">
        <v>0</v>
      </c>
      <c r="AA533" s="3">
        <v>0</v>
      </c>
    </row>
    <row r="534" spans="1:27" ht="36.75" x14ac:dyDescent="0.25">
      <c r="A534" s="3" t="s">
        <v>28</v>
      </c>
      <c r="B534" s="3" t="s">
        <v>29</v>
      </c>
      <c r="C534" s="3" t="s">
        <v>30</v>
      </c>
      <c r="D534" s="3" t="s">
        <v>63</v>
      </c>
      <c r="E534" s="3" t="s">
        <v>91</v>
      </c>
      <c r="F534" s="3" t="s">
        <v>94</v>
      </c>
      <c r="G534" s="3">
        <v>2025</v>
      </c>
      <c r="H534" s="3" t="str">
        <f>CONCATENATE("54240506433")</f>
        <v>54240506433</v>
      </c>
      <c r="I534" s="3" t="s">
        <v>34</v>
      </c>
      <c r="J534" s="3" t="s">
        <v>35</v>
      </c>
      <c r="K534" s="3"/>
      <c r="L534" s="3" t="s">
        <v>36</v>
      </c>
      <c r="M534" s="3" t="str">
        <f>CONCATENATE("02270700442")</f>
        <v>02270700442</v>
      </c>
      <c r="N534" s="3" t="s">
        <v>650</v>
      </c>
      <c r="O534" s="3" t="s">
        <v>38</v>
      </c>
      <c r="P534" s="3"/>
      <c r="Q534" s="4">
        <v>45944</v>
      </c>
      <c r="R534" s="3" t="s">
        <v>39</v>
      </c>
      <c r="S534" s="3" t="s">
        <v>38</v>
      </c>
      <c r="T534" s="3" t="s">
        <v>43</v>
      </c>
      <c r="U534" s="3"/>
      <c r="V534" s="3" t="s">
        <v>41</v>
      </c>
      <c r="W534" s="5">
        <v>4338.88</v>
      </c>
      <c r="X534" s="5">
        <v>4338.88</v>
      </c>
      <c r="Y534" s="3">
        <v>0</v>
      </c>
      <c r="Z534" s="3">
        <v>0</v>
      </c>
      <c r="AA534" s="3">
        <v>0</v>
      </c>
    </row>
    <row r="535" spans="1:27" ht="72.75" x14ac:dyDescent="0.25">
      <c r="A535" s="3" t="s">
        <v>28</v>
      </c>
      <c r="B535" s="3" t="s">
        <v>29</v>
      </c>
      <c r="C535" s="3" t="s">
        <v>30</v>
      </c>
      <c r="D535" s="3" t="s">
        <v>49</v>
      </c>
      <c r="E535" s="3" t="s">
        <v>32</v>
      </c>
      <c r="F535" s="3" t="s">
        <v>78</v>
      </c>
      <c r="G535" s="3">
        <v>2025</v>
      </c>
      <c r="H535" s="3" t="str">
        <f>CONCATENATE("54240593803")</f>
        <v>54240593803</v>
      </c>
      <c r="I535" s="3" t="s">
        <v>34</v>
      </c>
      <c r="J535" s="3" t="s">
        <v>35</v>
      </c>
      <c r="K535" s="3"/>
      <c r="L535" s="3" t="s">
        <v>36</v>
      </c>
      <c r="M535" s="3" t="str">
        <f>CONCATENATE("NGLRSO64D69B474W")</f>
        <v>NGLRSO64D69B474W</v>
      </c>
      <c r="N535" s="3" t="s">
        <v>651</v>
      </c>
      <c r="O535" s="3" t="s">
        <v>38</v>
      </c>
      <c r="P535" s="3"/>
      <c r="Q535" s="4">
        <v>45944</v>
      </c>
      <c r="R535" s="3" t="s">
        <v>39</v>
      </c>
      <c r="S535" s="3" t="s">
        <v>38</v>
      </c>
      <c r="T535" s="3" t="s">
        <v>43</v>
      </c>
      <c r="U535" s="3"/>
      <c r="V535" s="3" t="s">
        <v>41</v>
      </c>
      <c r="W535" s="5">
        <v>7579.11</v>
      </c>
      <c r="X535" s="5">
        <v>7579.11</v>
      </c>
      <c r="Y535" s="3">
        <v>0</v>
      </c>
      <c r="Z535" s="3">
        <v>0</v>
      </c>
      <c r="AA535" s="3">
        <v>0</v>
      </c>
    </row>
    <row r="536" spans="1:27" ht="72.75" x14ac:dyDescent="0.25">
      <c r="A536" s="3" t="s">
        <v>28</v>
      </c>
      <c r="B536" s="3" t="s">
        <v>29</v>
      </c>
      <c r="C536" s="3" t="s">
        <v>30</v>
      </c>
      <c r="D536" s="3" t="s">
        <v>49</v>
      </c>
      <c r="E536" s="3" t="s">
        <v>32</v>
      </c>
      <c r="F536" s="3" t="s">
        <v>78</v>
      </c>
      <c r="G536" s="3">
        <v>2025</v>
      </c>
      <c r="H536" s="3" t="str">
        <f>CONCATENATE("54240506516")</f>
        <v>54240506516</v>
      </c>
      <c r="I536" s="3" t="s">
        <v>34</v>
      </c>
      <c r="J536" s="3" t="s">
        <v>35</v>
      </c>
      <c r="K536" s="3"/>
      <c r="L536" s="3" t="s">
        <v>36</v>
      </c>
      <c r="M536" s="3" t="str">
        <f>CONCATENATE("BRGRRT63A18D429U")</f>
        <v>BRGRRT63A18D429U</v>
      </c>
      <c r="N536" s="3" t="s">
        <v>652</v>
      </c>
      <c r="O536" s="3" t="s">
        <v>38</v>
      </c>
      <c r="P536" s="3"/>
      <c r="Q536" s="4">
        <v>45944</v>
      </c>
      <c r="R536" s="3" t="s">
        <v>39</v>
      </c>
      <c r="S536" s="3" t="s">
        <v>38</v>
      </c>
      <c r="T536" s="3" t="s">
        <v>43</v>
      </c>
      <c r="U536" s="3"/>
      <c r="V536" s="3" t="s">
        <v>41</v>
      </c>
      <c r="W536" s="5">
        <v>7585.61</v>
      </c>
      <c r="X536" s="5">
        <v>7585.61</v>
      </c>
      <c r="Y536" s="3">
        <v>0</v>
      </c>
      <c r="Z536" s="3">
        <v>0</v>
      </c>
      <c r="AA536" s="3">
        <v>0</v>
      </c>
    </row>
    <row r="537" spans="1:27" ht="60.75" x14ac:dyDescent="0.25">
      <c r="A537" s="3" t="s">
        <v>28</v>
      </c>
      <c r="B537" s="3" t="s">
        <v>29</v>
      </c>
      <c r="C537" s="3" t="s">
        <v>30</v>
      </c>
      <c r="D537" s="3" t="s">
        <v>63</v>
      </c>
      <c r="E537" s="3" t="s">
        <v>91</v>
      </c>
      <c r="F537" s="3" t="s">
        <v>94</v>
      </c>
      <c r="G537" s="3">
        <v>2025</v>
      </c>
      <c r="H537" s="3" t="str">
        <f>CONCATENATE("54240506573")</f>
        <v>54240506573</v>
      </c>
      <c r="I537" s="3" t="s">
        <v>34</v>
      </c>
      <c r="J537" s="3" t="s">
        <v>35</v>
      </c>
      <c r="K537" s="3"/>
      <c r="L537" s="3" t="s">
        <v>36</v>
      </c>
      <c r="M537" s="3" t="str">
        <f>CONCATENATE("DLBGPP71M31H501X")</f>
        <v>DLBGPP71M31H501X</v>
      </c>
      <c r="N537" s="3" t="s">
        <v>653</v>
      </c>
      <c r="O537" s="3" t="s">
        <v>38</v>
      </c>
      <c r="P537" s="3"/>
      <c r="Q537" s="4">
        <v>45944</v>
      </c>
      <c r="R537" s="3" t="s">
        <v>39</v>
      </c>
      <c r="S537" s="3" t="s">
        <v>38</v>
      </c>
      <c r="T537" s="3" t="s">
        <v>43</v>
      </c>
      <c r="U537" s="3"/>
      <c r="V537" s="3" t="s">
        <v>41</v>
      </c>
      <c r="W537" s="5">
        <v>4796.66</v>
      </c>
      <c r="X537" s="5">
        <v>4796.66</v>
      </c>
      <c r="Y537" s="3">
        <v>0</v>
      </c>
      <c r="Z537" s="3">
        <v>0</v>
      </c>
      <c r="AA537" s="3">
        <v>0</v>
      </c>
    </row>
    <row r="538" spans="1:27" ht="36.75" x14ac:dyDescent="0.25">
      <c r="A538" s="3" t="s">
        <v>28</v>
      </c>
      <c r="B538" s="3" t="s">
        <v>29</v>
      </c>
      <c r="C538" s="3" t="s">
        <v>30</v>
      </c>
      <c r="D538" s="3" t="s">
        <v>63</v>
      </c>
      <c r="E538" s="3" t="s">
        <v>91</v>
      </c>
      <c r="F538" s="3" t="s">
        <v>94</v>
      </c>
      <c r="G538" s="3">
        <v>2025</v>
      </c>
      <c r="H538" s="3" t="str">
        <f>CONCATENATE("54240506599")</f>
        <v>54240506599</v>
      </c>
      <c r="I538" s="3" t="s">
        <v>149</v>
      </c>
      <c r="J538" s="3" t="s">
        <v>35</v>
      </c>
      <c r="K538" s="3"/>
      <c r="L538" s="3" t="s">
        <v>36</v>
      </c>
      <c r="M538" s="3" t="str">
        <f>CONCATENATE("01136120449")</f>
        <v>01136120449</v>
      </c>
      <c r="N538" s="3" t="s">
        <v>654</v>
      </c>
      <c r="O538" s="3" t="s">
        <v>38</v>
      </c>
      <c r="P538" s="3"/>
      <c r="Q538" s="4">
        <v>45944</v>
      </c>
      <c r="R538" s="3" t="s">
        <v>39</v>
      </c>
      <c r="S538" s="3" t="s">
        <v>38</v>
      </c>
      <c r="T538" s="3" t="s">
        <v>43</v>
      </c>
      <c r="U538" s="3"/>
      <c r="V538" s="3" t="s">
        <v>41</v>
      </c>
      <c r="W538" s="5">
        <v>1332.52</v>
      </c>
      <c r="X538" s="5">
        <v>1332.52</v>
      </c>
      <c r="Y538" s="3">
        <v>0</v>
      </c>
      <c r="Z538" s="3">
        <v>0</v>
      </c>
      <c r="AA538" s="3">
        <v>0</v>
      </c>
    </row>
    <row r="539" spans="1:27" ht="60.75" x14ac:dyDescent="0.25">
      <c r="A539" s="3" t="s">
        <v>28</v>
      </c>
      <c r="B539" s="3" t="s">
        <v>29</v>
      </c>
      <c r="C539" s="3" t="s">
        <v>30</v>
      </c>
      <c r="D539" s="3" t="s">
        <v>49</v>
      </c>
      <c r="E539" s="3" t="s">
        <v>32</v>
      </c>
      <c r="F539" s="3" t="s">
        <v>78</v>
      </c>
      <c r="G539" s="3">
        <v>2025</v>
      </c>
      <c r="H539" s="3" t="str">
        <f>CONCATENATE("54240506490")</f>
        <v>54240506490</v>
      </c>
      <c r="I539" s="3" t="s">
        <v>34</v>
      </c>
      <c r="J539" s="3" t="s">
        <v>35</v>
      </c>
      <c r="K539" s="3"/>
      <c r="L539" s="3" t="s">
        <v>36</v>
      </c>
      <c r="M539" s="3" t="str">
        <f>CONCATENATE("BTTLBT55C67C773M")</f>
        <v>BTTLBT55C67C773M</v>
      </c>
      <c r="N539" s="3" t="s">
        <v>655</v>
      </c>
      <c r="O539" s="3" t="s">
        <v>38</v>
      </c>
      <c r="P539" s="3"/>
      <c r="Q539" s="4">
        <v>45944</v>
      </c>
      <c r="R539" s="3" t="s">
        <v>39</v>
      </c>
      <c r="S539" s="3" t="s">
        <v>38</v>
      </c>
      <c r="T539" s="3" t="s">
        <v>43</v>
      </c>
      <c r="U539" s="3"/>
      <c r="V539" s="3" t="s">
        <v>41</v>
      </c>
      <c r="W539" s="5">
        <v>8009.53</v>
      </c>
      <c r="X539" s="5">
        <v>8009.53</v>
      </c>
      <c r="Y539" s="3">
        <v>0</v>
      </c>
      <c r="Z539" s="3">
        <v>0</v>
      </c>
      <c r="AA539" s="3">
        <v>0</v>
      </c>
    </row>
    <row r="540" spans="1:27" ht="60.75" x14ac:dyDescent="0.25">
      <c r="A540" s="3" t="s">
        <v>28</v>
      </c>
      <c r="B540" s="3" t="s">
        <v>29</v>
      </c>
      <c r="C540" s="3" t="s">
        <v>30</v>
      </c>
      <c r="D540" s="3" t="s">
        <v>49</v>
      </c>
      <c r="E540" s="3" t="s">
        <v>32</v>
      </c>
      <c r="F540" s="3" t="s">
        <v>78</v>
      </c>
      <c r="G540" s="3">
        <v>2025</v>
      </c>
      <c r="H540" s="3" t="str">
        <f>CONCATENATE("54240592557")</f>
        <v>54240592557</v>
      </c>
      <c r="I540" s="3" t="s">
        <v>34</v>
      </c>
      <c r="J540" s="3" t="s">
        <v>35</v>
      </c>
      <c r="K540" s="3"/>
      <c r="L540" s="3" t="s">
        <v>36</v>
      </c>
      <c r="M540" s="3" t="str">
        <f>CONCATENATE("CRRFRC97R25I156U")</f>
        <v>CRRFRC97R25I156U</v>
      </c>
      <c r="N540" s="3" t="s">
        <v>656</v>
      </c>
      <c r="O540" s="3" t="s">
        <v>38</v>
      </c>
      <c r="P540" s="3"/>
      <c r="Q540" s="4">
        <v>45944</v>
      </c>
      <c r="R540" s="3" t="s">
        <v>39</v>
      </c>
      <c r="S540" s="3" t="s">
        <v>38</v>
      </c>
      <c r="T540" s="3" t="s">
        <v>43</v>
      </c>
      <c r="U540" s="3"/>
      <c r="V540" s="3" t="s">
        <v>41</v>
      </c>
      <c r="W540" s="5">
        <v>5145.18</v>
      </c>
      <c r="X540" s="5">
        <v>5145.18</v>
      </c>
      <c r="Y540" s="3">
        <v>0</v>
      </c>
      <c r="Z540" s="3">
        <v>0</v>
      </c>
      <c r="AA540" s="3">
        <v>0</v>
      </c>
    </row>
    <row r="541" spans="1:27" ht="72.75" x14ac:dyDescent="0.25">
      <c r="A541" s="3" t="s">
        <v>28</v>
      </c>
      <c r="B541" s="3" t="s">
        <v>29</v>
      </c>
      <c r="C541" s="3" t="s">
        <v>30</v>
      </c>
      <c r="D541" s="3" t="s">
        <v>49</v>
      </c>
      <c r="E541" s="3" t="s">
        <v>32</v>
      </c>
      <c r="F541" s="3" t="s">
        <v>78</v>
      </c>
      <c r="G541" s="3">
        <v>2025</v>
      </c>
      <c r="H541" s="3" t="str">
        <f>CONCATENATE("54240506656")</f>
        <v>54240506656</v>
      </c>
      <c r="I541" s="3" t="s">
        <v>34</v>
      </c>
      <c r="J541" s="3" t="s">
        <v>35</v>
      </c>
      <c r="K541" s="3"/>
      <c r="L541" s="3" t="s">
        <v>36</v>
      </c>
      <c r="M541" s="3" t="str">
        <f>CONCATENATE("DSNSBE36D03M078D")</f>
        <v>DSNSBE36D03M078D</v>
      </c>
      <c r="N541" s="3" t="s">
        <v>657</v>
      </c>
      <c r="O541" s="3" t="s">
        <v>38</v>
      </c>
      <c r="P541" s="3"/>
      <c r="Q541" s="4">
        <v>45944</v>
      </c>
      <c r="R541" s="3" t="s">
        <v>39</v>
      </c>
      <c r="S541" s="3" t="s">
        <v>38</v>
      </c>
      <c r="T541" s="3" t="s">
        <v>43</v>
      </c>
      <c r="U541" s="3"/>
      <c r="V541" s="3" t="s">
        <v>41</v>
      </c>
      <c r="W541" s="5">
        <v>5333.25</v>
      </c>
      <c r="X541" s="5">
        <v>5333.25</v>
      </c>
      <c r="Y541" s="3">
        <v>0</v>
      </c>
      <c r="Z541" s="3">
        <v>0</v>
      </c>
      <c r="AA541" s="3">
        <v>0</v>
      </c>
    </row>
    <row r="542" spans="1:27" ht="60.75" x14ac:dyDescent="0.25">
      <c r="A542" s="3" t="s">
        <v>28</v>
      </c>
      <c r="B542" s="3" t="s">
        <v>29</v>
      </c>
      <c r="C542" s="3" t="s">
        <v>30</v>
      </c>
      <c r="D542" s="3" t="s">
        <v>49</v>
      </c>
      <c r="E542" s="3" t="s">
        <v>32</v>
      </c>
      <c r="F542" s="3" t="s">
        <v>78</v>
      </c>
      <c r="G542" s="3">
        <v>2025</v>
      </c>
      <c r="H542" s="3" t="str">
        <f>CONCATENATE("54240506706")</f>
        <v>54240506706</v>
      </c>
      <c r="I542" s="3" t="s">
        <v>34</v>
      </c>
      <c r="J542" s="3" t="s">
        <v>35</v>
      </c>
      <c r="K542" s="3"/>
      <c r="L542" s="3" t="s">
        <v>36</v>
      </c>
      <c r="M542" s="3" t="str">
        <f>CONCATENATE("FRNMRC82T21I156H")</f>
        <v>FRNMRC82T21I156H</v>
      </c>
      <c r="N542" s="3" t="s">
        <v>658</v>
      </c>
      <c r="O542" s="3" t="s">
        <v>38</v>
      </c>
      <c r="P542" s="3"/>
      <c r="Q542" s="4">
        <v>45944</v>
      </c>
      <c r="R542" s="3" t="s">
        <v>39</v>
      </c>
      <c r="S542" s="3" t="s">
        <v>38</v>
      </c>
      <c r="T542" s="3" t="s">
        <v>43</v>
      </c>
      <c r="U542" s="3"/>
      <c r="V542" s="3" t="s">
        <v>41</v>
      </c>
      <c r="W542" s="5">
        <v>20076.740000000002</v>
      </c>
      <c r="X542" s="5">
        <v>20076.740000000002</v>
      </c>
      <c r="Y542" s="3">
        <v>0</v>
      </c>
      <c r="Z542" s="3">
        <v>0</v>
      </c>
      <c r="AA542" s="3">
        <v>0</v>
      </c>
    </row>
    <row r="543" spans="1:27" ht="60.75" x14ac:dyDescent="0.25">
      <c r="A543" s="3" t="s">
        <v>28</v>
      </c>
      <c r="B543" s="3" t="s">
        <v>29</v>
      </c>
      <c r="C543" s="3" t="s">
        <v>30</v>
      </c>
      <c r="D543" s="3" t="s">
        <v>49</v>
      </c>
      <c r="E543" s="3" t="s">
        <v>32</v>
      </c>
      <c r="F543" s="3" t="s">
        <v>78</v>
      </c>
      <c r="G543" s="3">
        <v>2025</v>
      </c>
      <c r="H543" s="3" t="str">
        <f>CONCATENATE("54240586401")</f>
        <v>54240586401</v>
      </c>
      <c r="I543" s="3" t="s">
        <v>34</v>
      </c>
      <c r="J543" s="3" t="s">
        <v>35</v>
      </c>
      <c r="K543" s="3"/>
      <c r="L543" s="3" t="s">
        <v>36</v>
      </c>
      <c r="M543" s="3" t="str">
        <f>CONCATENATE("LTNFLL66H70F051Q")</f>
        <v>LTNFLL66H70F051Q</v>
      </c>
      <c r="N543" s="3" t="s">
        <v>659</v>
      </c>
      <c r="O543" s="3" t="s">
        <v>38</v>
      </c>
      <c r="P543" s="3"/>
      <c r="Q543" s="4">
        <v>45944</v>
      </c>
      <c r="R543" s="3" t="s">
        <v>39</v>
      </c>
      <c r="S543" s="3" t="s">
        <v>38</v>
      </c>
      <c r="T543" s="3" t="s">
        <v>43</v>
      </c>
      <c r="U543" s="3"/>
      <c r="V543" s="3" t="s">
        <v>41</v>
      </c>
      <c r="W543" s="5">
        <v>3437.78</v>
      </c>
      <c r="X543" s="5">
        <v>3437.78</v>
      </c>
      <c r="Y543" s="3">
        <v>0</v>
      </c>
      <c r="Z543" s="3">
        <v>0</v>
      </c>
      <c r="AA543" s="3">
        <v>0</v>
      </c>
    </row>
    <row r="544" spans="1:27" ht="60.75" x14ac:dyDescent="0.25">
      <c r="A544" s="3" t="s">
        <v>28</v>
      </c>
      <c r="B544" s="3" t="s">
        <v>29</v>
      </c>
      <c r="C544" s="3" t="s">
        <v>30</v>
      </c>
      <c r="D544" s="3" t="s">
        <v>63</v>
      </c>
      <c r="E544" s="3" t="s">
        <v>91</v>
      </c>
      <c r="F544" s="3" t="s">
        <v>94</v>
      </c>
      <c r="G544" s="3">
        <v>2025</v>
      </c>
      <c r="H544" s="3" t="str">
        <f>CONCATENATE("54240506755")</f>
        <v>54240506755</v>
      </c>
      <c r="I544" s="3" t="s">
        <v>34</v>
      </c>
      <c r="J544" s="3" t="s">
        <v>35</v>
      </c>
      <c r="K544" s="3"/>
      <c r="L544" s="3" t="s">
        <v>36</v>
      </c>
      <c r="M544" s="3" t="str">
        <f>CONCATENATE("GNTFNN68P13F520F")</f>
        <v>GNTFNN68P13F520F</v>
      </c>
      <c r="N544" s="3" t="s">
        <v>660</v>
      </c>
      <c r="O544" s="3" t="s">
        <v>38</v>
      </c>
      <c r="P544" s="3"/>
      <c r="Q544" s="4">
        <v>45944</v>
      </c>
      <c r="R544" s="3" t="s">
        <v>39</v>
      </c>
      <c r="S544" s="3" t="s">
        <v>38</v>
      </c>
      <c r="T544" s="3" t="s">
        <v>43</v>
      </c>
      <c r="U544" s="3"/>
      <c r="V544" s="3" t="s">
        <v>41</v>
      </c>
      <c r="W544" s="5">
        <v>1613.49</v>
      </c>
      <c r="X544" s="5">
        <v>1613.49</v>
      </c>
      <c r="Y544" s="3">
        <v>0</v>
      </c>
      <c r="Z544" s="3">
        <v>0</v>
      </c>
      <c r="AA544" s="3">
        <v>0</v>
      </c>
    </row>
    <row r="545" spans="1:27" ht="36.75" x14ac:dyDescent="0.25">
      <c r="A545" s="3" t="s">
        <v>28</v>
      </c>
      <c r="B545" s="3" t="s">
        <v>29</v>
      </c>
      <c r="C545" s="3" t="s">
        <v>30</v>
      </c>
      <c r="D545" s="3" t="s">
        <v>49</v>
      </c>
      <c r="E545" s="3" t="s">
        <v>91</v>
      </c>
      <c r="F545" s="3" t="s">
        <v>94</v>
      </c>
      <c r="G545" s="3">
        <v>2025</v>
      </c>
      <c r="H545" s="3" t="str">
        <f>CONCATENATE("54240506722")</f>
        <v>54240506722</v>
      </c>
      <c r="I545" s="3" t="s">
        <v>34</v>
      </c>
      <c r="J545" s="3" t="s">
        <v>35</v>
      </c>
      <c r="K545" s="3"/>
      <c r="L545" s="3" t="s">
        <v>36</v>
      </c>
      <c r="M545" s="3" t="str">
        <f>CONCATENATE("01941310433")</f>
        <v>01941310433</v>
      </c>
      <c r="N545" s="3" t="s">
        <v>661</v>
      </c>
      <c r="O545" s="3" t="s">
        <v>38</v>
      </c>
      <c r="P545" s="3"/>
      <c r="Q545" s="4">
        <v>45944</v>
      </c>
      <c r="R545" s="3" t="s">
        <v>39</v>
      </c>
      <c r="S545" s="3" t="s">
        <v>38</v>
      </c>
      <c r="T545" s="3" t="s">
        <v>43</v>
      </c>
      <c r="U545" s="3"/>
      <c r="V545" s="3" t="s">
        <v>41</v>
      </c>
      <c r="W545" s="5">
        <v>1558.59</v>
      </c>
      <c r="X545" s="5">
        <v>1558.59</v>
      </c>
      <c r="Y545" s="3">
        <v>0</v>
      </c>
      <c r="Z545" s="3">
        <v>0</v>
      </c>
      <c r="AA545" s="3">
        <v>0</v>
      </c>
    </row>
    <row r="546" spans="1:27" ht="60.75" x14ac:dyDescent="0.25">
      <c r="A546" s="3" t="s">
        <v>28</v>
      </c>
      <c r="B546" s="3" t="s">
        <v>29</v>
      </c>
      <c r="C546" s="3" t="s">
        <v>30</v>
      </c>
      <c r="D546" s="3" t="s">
        <v>31</v>
      </c>
      <c r="E546" s="3" t="s">
        <v>145</v>
      </c>
      <c r="F546" s="3" t="s">
        <v>485</v>
      </c>
      <c r="G546" s="3">
        <v>2025</v>
      </c>
      <c r="H546" s="3" t="str">
        <f>CONCATENATE("54240506896")</f>
        <v>54240506896</v>
      </c>
      <c r="I546" s="3" t="s">
        <v>34</v>
      </c>
      <c r="J546" s="3" t="s">
        <v>35</v>
      </c>
      <c r="K546" s="3"/>
      <c r="L546" s="3" t="s">
        <v>36</v>
      </c>
      <c r="M546" s="3" t="str">
        <f>CONCATENATE("PRNGNN82D23D488Z")</f>
        <v>PRNGNN82D23D488Z</v>
      </c>
      <c r="N546" s="3" t="s">
        <v>662</v>
      </c>
      <c r="O546" s="3" t="s">
        <v>38</v>
      </c>
      <c r="P546" s="3"/>
      <c r="Q546" s="4">
        <v>45944</v>
      </c>
      <c r="R546" s="3" t="s">
        <v>39</v>
      </c>
      <c r="S546" s="3" t="s">
        <v>38</v>
      </c>
      <c r="T546" s="3" t="s">
        <v>43</v>
      </c>
      <c r="U546" s="3"/>
      <c r="V546" s="3" t="s">
        <v>41</v>
      </c>
      <c r="W546" s="5">
        <v>4308.8500000000004</v>
      </c>
      <c r="X546" s="5">
        <v>4308.8500000000004</v>
      </c>
      <c r="Y546" s="3">
        <v>0</v>
      </c>
      <c r="Z546" s="3">
        <v>0</v>
      </c>
      <c r="AA546" s="3">
        <v>0</v>
      </c>
    </row>
    <row r="547" spans="1:27" ht="36.75" x14ac:dyDescent="0.25">
      <c r="A547" s="3" t="s">
        <v>28</v>
      </c>
      <c r="B547" s="3" t="s">
        <v>29</v>
      </c>
      <c r="C547" s="3" t="s">
        <v>30</v>
      </c>
      <c r="D547" s="3" t="s">
        <v>31</v>
      </c>
      <c r="E547" s="3" t="s">
        <v>145</v>
      </c>
      <c r="F547" s="3" t="s">
        <v>485</v>
      </c>
      <c r="G547" s="3">
        <v>2025</v>
      </c>
      <c r="H547" s="3" t="str">
        <f>CONCATENATE("54240506920")</f>
        <v>54240506920</v>
      </c>
      <c r="I547" s="3" t="s">
        <v>34</v>
      </c>
      <c r="J547" s="3" t="s">
        <v>35</v>
      </c>
      <c r="K547" s="3"/>
      <c r="L547" s="3" t="s">
        <v>36</v>
      </c>
      <c r="M547" s="3" t="str">
        <f>CONCATENATE("01330250414")</f>
        <v>01330250414</v>
      </c>
      <c r="N547" s="3" t="s">
        <v>663</v>
      </c>
      <c r="O547" s="3" t="s">
        <v>38</v>
      </c>
      <c r="P547" s="3"/>
      <c r="Q547" s="4">
        <v>45944</v>
      </c>
      <c r="R547" s="3" t="s">
        <v>39</v>
      </c>
      <c r="S547" s="3" t="s">
        <v>38</v>
      </c>
      <c r="T547" s="3" t="s">
        <v>43</v>
      </c>
      <c r="U547" s="3"/>
      <c r="V547" s="3" t="s">
        <v>41</v>
      </c>
      <c r="W547" s="5">
        <v>3311.61</v>
      </c>
      <c r="X547" s="5">
        <v>3311.61</v>
      </c>
      <c r="Y547" s="3">
        <v>0</v>
      </c>
      <c r="Z547" s="3">
        <v>0</v>
      </c>
      <c r="AA547" s="3">
        <v>0</v>
      </c>
    </row>
    <row r="548" spans="1:27" ht="60.75" x14ac:dyDescent="0.25">
      <c r="A548" s="3" t="s">
        <v>28</v>
      </c>
      <c r="B548" s="3" t="s">
        <v>29</v>
      </c>
      <c r="C548" s="3" t="s">
        <v>30</v>
      </c>
      <c r="D548" s="3" t="s">
        <v>31</v>
      </c>
      <c r="E548" s="3" t="s">
        <v>32</v>
      </c>
      <c r="F548" s="3" t="s">
        <v>440</v>
      </c>
      <c r="G548" s="3">
        <v>2025</v>
      </c>
      <c r="H548" s="3" t="str">
        <f>CONCATENATE("54240506961")</f>
        <v>54240506961</v>
      </c>
      <c r="I548" s="3" t="s">
        <v>34</v>
      </c>
      <c r="J548" s="3" t="s">
        <v>35</v>
      </c>
      <c r="K548" s="3"/>
      <c r="L548" s="3" t="s">
        <v>36</v>
      </c>
      <c r="M548" s="3" t="str">
        <f>CONCATENATE("MGNLCN54S09I459K")</f>
        <v>MGNLCN54S09I459K</v>
      </c>
      <c r="N548" s="3" t="s">
        <v>664</v>
      </c>
      <c r="O548" s="3" t="s">
        <v>38</v>
      </c>
      <c r="P548" s="3"/>
      <c r="Q548" s="4">
        <v>45944</v>
      </c>
      <c r="R548" s="3" t="s">
        <v>39</v>
      </c>
      <c r="S548" s="3" t="s">
        <v>38</v>
      </c>
      <c r="T548" s="3" t="s">
        <v>43</v>
      </c>
      <c r="U548" s="3"/>
      <c r="V548" s="3" t="s">
        <v>41</v>
      </c>
      <c r="W548" s="5">
        <v>8054.15</v>
      </c>
      <c r="X548" s="5">
        <v>8054.15</v>
      </c>
      <c r="Y548" s="3">
        <v>0</v>
      </c>
      <c r="Z548" s="3">
        <v>0</v>
      </c>
      <c r="AA548" s="3">
        <v>0</v>
      </c>
    </row>
    <row r="549" spans="1:27" ht="60.75" x14ac:dyDescent="0.25">
      <c r="A549" s="3" t="s">
        <v>28</v>
      </c>
      <c r="B549" s="3" t="s">
        <v>29</v>
      </c>
      <c r="C549" s="3" t="s">
        <v>30</v>
      </c>
      <c r="D549" s="3" t="s">
        <v>63</v>
      </c>
      <c r="E549" s="3" t="s">
        <v>32</v>
      </c>
      <c r="F549" s="3" t="s">
        <v>142</v>
      </c>
      <c r="G549" s="3">
        <v>2025</v>
      </c>
      <c r="H549" s="3" t="str">
        <f>CONCATENATE("54240507001")</f>
        <v>54240507001</v>
      </c>
      <c r="I549" s="3" t="s">
        <v>34</v>
      </c>
      <c r="J549" s="3" t="s">
        <v>35</v>
      </c>
      <c r="K549" s="3"/>
      <c r="L549" s="3" t="s">
        <v>36</v>
      </c>
      <c r="M549" s="3" t="str">
        <f>CONCATENATE("VLLRSO35B43C321Y")</f>
        <v>VLLRSO35B43C321Y</v>
      </c>
      <c r="N549" s="3" t="s">
        <v>665</v>
      </c>
      <c r="O549" s="3" t="s">
        <v>38</v>
      </c>
      <c r="P549" s="3"/>
      <c r="Q549" s="4">
        <v>45944</v>
      </c>
      <c r="R549" s="3" t="s">
        <v>39</v>
      </c>
      <c r="S549" s="3" t="s">
        <v>38</v>
      </c>
      <c r="T549" s="3" t="s">
        <v>43</v>
      </c>
      <c r="U549" s="3"/>
      <c r="V549" s="3" t="s">
        <v>41</v>
      </c>
      <c r="W549" s="5">
        <v>7909.09</v>
      </c>
      <c r="X549" s="5">
        <v>7909.09</v>
      </c>
      <c r="Y549" s="3">
        <v>0</v>
      </c>
      <c r="Z549" s="3">
        <v>0</v>
      </c>
      <c r="AA549" s="3">
        <v>0</v>
      </c>
    </row>
    <row r="550" spans="1:27" ht="60.75" x14ac:dyDescent="0.25">
      <c r="A550" s="3" t="s">
        <v>28</v>
      </c>
      <c r="B550" s="3" t="s">
        <v>29</v>
      </c>
      <c r="C550" s="3" t="s">
        <v>30</v>
      </c>
      <c r="D550" s="3" t="s">
        <v>49</v>
      </c>
      <c r="E550" s="3" t="s">
        <v>91</v>
      </c>
      <c r="F550" s="3" t="s">
        <v>92</v>
      </c>
      <c r="G550" s="3">
        <v>2025</v>
      </c>
      <c r="H550" s="3" t="str">
        <f>CONCATENATE("54240507043")</f>
        <v>54240507043</v>
      </c>
      <c r="I550" s="3" t="s">
        <v>34</v>
      </c>
      <c r="J550" s="3" t="s">
        <v>35</v>
      </c>
      <c r="K550" s="3"/>
      <c r="L550" s="3" t="s">
        <v>36</v>
      </c>
      <c r="M550" s="3" t="str">
        <f>CONCATENATE("NTLLNE78T50H769S")</f>
        <v>NTLLNE78T50H769S</v>
      </c>
      <c r="N550" s="3" t="s">
        <v>666</v>
      </c>
      <c r="O550" s="3" t="s">
        <v>38</v>
      </c>
      <c r="P550" s="3"/>
      <c r="Q550" s="4">
        <v>45944</v>
      </c>
      <c r="R550" s="3" t="s">
        <v>39</v>
      </c>
      <c r="S550" s="3" t="s">
        <v>38</v>
      </c>
      <c r="T550" s="3" t="s">
        <v>43</v>
      </c>
      <c r="U550" s="3"/>
      <c r="V550" s="3" t="s">
        <v>41</v>
      </c>
      <c r="W550" s="5">
        <v>1496.58</v>
      </c>
      <c r="X550" s="5">
        <v>1496.58</v>
      </c>
      <c r="Y550" s="3">
        <v>0</v>
      </c>
      <c r="Z550" s="3">
        <v>0</v>
      </c>
      <c r="AA550" s="3">
        <v>0</v>
      </c>
    </row>
    <row r="551" spans="1:27" ht="60.75" x14ac:dyDescent="0.25">
      <c r="A551" s="3" t="s">
        <v>28</v>
      </c>
      <c r="B551" s="3" t="s">
        <v>29</v>
      </c>
      <c r="C551" s="3" t="s">
        <v>30</v>
      </c>
      <c r="D551" s="3" t="s">
        <v>63</v>
      </c>
      <c r="E551" s="3" t="s">
        <v>32</v>
      </c>
      <c r="F551" s="3" t="s">
        <v>142</v>
      </c>
      <c r="G551" s="3">
        <v>2025</v>
      </c>
      <c r="H551" s="3" t="str">
        <f>CONCATENATE("54240507142")</f>
        <v>54240507142</v>
      </c>
      <c r="I551" s="3" t="s">
        <v>34</v>
      </c>
      <c r="J551" s="3" t="s">
        <v>35</v>
      </c>
      <c r="K551" s="3"/>
      <c r="L551" s="3" t="s">
        <v>36</v>
      </c>
      <c r="M551" s="3" t="str">
        <f>CONCATENATE("VTLPNI65C19A252I")</f>
        <v>VTLPNI65C19A252I</v>
      </c>
      <c r="N551" s="3" t="s">
        <v>667</v>
      </c>
      <c r="O551" s="3" t="s">
        <v>38</v>
      </c>
      <c r="P551" s="3"/>
      <c r="Q551" s="4">
        <v>45944</v>
      </c>
      <c r="R551" s="3" t="s">
        <v>39</v>
      </c>
      <c r="S551" s="3" t="s">
        <v>38</v>
      </c>
      <c r="T551" s="3" t="s">
        <v>43</v>
      </c>
      <c r="U551" s="3"/>
      <c r="V551" s="3" t="s">
        <v>41</v>
      </c>
      <c r="W551" s="5">
        <v>5670.44</v>
      </c>
      <c r="X551" s="5">
        <v>5670.44</v>
      </c>
      <c r="Y551" s="3">
        <v>0</v>
      </c>
      <c r="Z551" s="3">
        <v>0</v>
      </c>
      <c r="AA551" s="3">
        <v>0</v>
      </c>
    </row>
    <row r="552" spans="1:27" ht="36.75" x14ac:dyDescent="0.25">
      <c r="A552" s="3" t="s">
        <v>28</v>
      </c>
      <c r="B552" s="3" t="s">
        <v>29</v>
      </c>
      <c r="C552" s="3" t="s">
        <v>30</v>
      </c>
      <c r="D552" s="3" t="s">
        <v>49</v>
      </c>
      <c r="E552" s="3" t="s">
        <v>32</v>
      </c>
      <c r="F552" s="3" t="s">
        <v>283</v>
      </c>
      <c r="G552" s="3">
        <v>2025</v>
      </c>
      <c r="H552" s="3" t="str">
        <f>CONCATENATE("54240507209")</f>
        <v>54240507209</v>
      </c>
      <c r="I552" s="3" t="s">
        <v>34</v>
      </c>
      <c r="J552" s="3" t="s">
        <v>35</v>
      </c>
      <c r="K552" s="3"/>
      <c r="L552" s="3" t="s">
        <v>36</v>
      </c>
      <c r="M552" s="3" t="str">
        <f>CONCATENATE("02094900434")</f>
        <v>02094900434</v>
      </c>
      <c r="N552" s="3" t="s">
        <v>668</v>
      </c>
      <c r="O552" s="3" t="s">
        <v>38</v>
      </c>
      <c r="P552" s="3"/>
      <c r="Q552" s="4">
        <v>45944</v>
      </c>
      <c r="R552" s="3" t="s">
        <v>39</v>
      </c>
      <c r="S552" s="3" t="s">
        <v>38</v>
      </c>
      <c r="T552" s="3" t="s">
        <v>43</v>
      </c>
      <c r="U552" s="3"/>
      <c r="V552" s="3" t="s">
        <v>41</v>
      </c>
      <c r="W552" s="5">
        <v>4048.81</v>
      </c>
      <c r="X552" s="5">
        <v>4048.81</v>
      </c>
      <c r="Y552" s="3">
        <v>0</v>
      </c>
      <c r="Z552" s="3">
        <v>0</v>
      </c>
      <c r="AA552" s="3">
        <v>0</v>
      </c>
    </row>
    <row r="553" spans="1:27" ht="36.75" x14ac:dyDescent="0.25">
      <c r="A553" s="3" t="s">
        <v>28</v>
      </c>
      <c r="B553" s="3" t="s">
        <v>29</v>
      </c>
      <c r="C553" s="3" t="s">
        <v>30</v>
      </c>
      <c r="D553" s="3" t="s">
        <v>49</v>
      </c>
      <c r="E553" s="3" t="s">
        <v>32</v>
      </c>
      <c r="F553" s="3" t="s">
        <v>86</v>
      </c>
      <c r="G553" s="3">
        <v>2025</v>
      </c>
      <c r="H553" s="3" t="str">
        <f>CONCATENATE("54240514452")</f>
        <v>54240514452</v>
      </c>
      <c r="I553" s="3" t="s">
        <v>34</v>
      </c>
      <c r="J553" s="3" t="s">
        <v>35</v>
      </c>
      <c r="K553" s="3"/>
      <c r="L553" s="3" t="s">
        <v>36</v>
      </c>
      <c r="M553" s="3" t="str">
        <f>CONCATENATE("02107470433")</f>
        <v>02107470433</v>
      </c>
      <c r="N553" s="3" t="s">
        <v>669</v>
      </c>
      <c r="O553" s="3" t="s">
        <v>38</v>
      </c>
      <c r="P553" s="3"/>
      <c r="Q553" s="4">
        <v>45944</v>
      </c>
      <c r="R553" s="3" t="s">
        <v>39</v>
      </c>
      <c r="S553" s="3" t="s">
        <v>38</v>
      </c>
      <c r="T553" s="3" t="s">
        <v>43</v>
      </c>
      <c r="U553" s="3"/>
      <c r="V553" s="3" t="s">
        <v>41</v>
      </c>
      <c r="W553" s="5">
        <v>2397.23</v>
      </c>
      <c r="X553" s="5">
        <v>2397.23</v>
      </c>
      <c r="Y553" s="3">
        <v>0</v>
      </c>
      <c r="Z553" s="3">
        <v>0</v>
      </c>
      <c r="AA553" s="3">
        <v>0</v>
      </c>
    </row>
    <row r="554" spans="1:27" ht="60.75" x14ac:dyDescent="0.25">
      <c r="A554" s="3" t="s">
        <v>28</v>
      </c>
      <c r="B554" s="3" t="s">
        <v>29</v>
      </c>
      <c r="C554" s="3" t="s">
        <v>30</v>
      </c>
      <c r="D554" s="3" t="s">
        <v>49</v>
      </c>
      <c r="E554" s="3" t="s">
        <v>91</v>
      </c>
      <c r="F554" s="3" t="s">
        <v>92</v>
      </c>
      <c r="G554" s="3">
        <v>2025</v>
      </c>
      <c r="H554" s="3" t="str">
        <f>CONCATENATE("54240507449")</f>
        <v>54240507449</v>
      </c>
      <c r="I554" s="3" t="s">
        <v>34</v>
      </c>
      <c r="J554" s="3" t="s">
        <v>35</v>
      </c>
      <c r="K554" s="3"/>
      <c r="L554" s="3" t="s">
        <v>36</v>
      </c>
      <c r="M554" s="3" t="str">
        <f>CONCATENATE("MNCLRA79H67L191L")</f>
        <v>MNCLRA79H67L191L</v>
      </c>
      <c r="N554" s="3" t="s">
        <v>670</v>
      </c>
      <c r="O554" s="3" t="s">
        <v>38</v>
      </c>
      <c r="P554" s="3"/>
      <c r="Q554" s="4">
        <v>45944</v>
      </c>
      <c r="R554" s="3" t="s">
        <v>39</v>
      </c>
      <c r="S554" s="3" t="s">
        <v>38</v>
      </c>
      <c r="T554" s="3" t="s">
        <v>43</v>
      </c>
      <c r="U554" s="3"/>
      <c r="V554" s="3" t="s">
        <v>41</v>
      </c>
      <c r="W554" s="5">
        <v>1399.13</v>
      </c>
      <c r="X554" s="5">
        <v>1399.13</v>
      </c>
      <c r="Y554" s="3">
        <v>0</v>
      </c>
      <c r="Z554" s="3">
        <v>0</v>
      </c>
      <c r="AA554" s="3">
        <v>0</v>
      </c>
    </row>
    <row r="555" spans="1:27" ht="60.75" x14ac:dyDescent="0.25">
      <c r="A555" s="3" t="s">
        <v>28</v>
      </c>
      <c r="B555" s="3" t="s">
        <v>29</v>
      </c>
      <c r="C555" s="3" t="s">
        <v>30</v>
      </c>
      <c r="D555" s="3" t="s">
        <v>63</v>
      </c>
      <c r="E555" s="3" t="s">
        <v>91</v>
      </c>
      <c r="F555" s="3" t="s">
        <v>94</v>
      </c>
      <c r="G555" s="3">
        <v>2025</v>
      </c>
      <c r="H555" s="3" t="str">
        <f>CONCATENATE("54240507738")</f>
        <v>54240507738</v>
      </c>
      <c r="I555" s="3" t="s">
        <v>34</v>
      </c>
      <c r="J555" s="3" t="s">
        <v>35</v>
      </c>
      <c r="K555" s="3"/>
      <c r="L555" s="3" t="s">
        <v>36</v>
      </c>
      <c r="M555" s="3" t="str">
        <f>CONCATENATE("PCFMSM69L17F205T")</f>
        <v>PCFMSM69L17F205T</v>
      </c>
      <c r="N555" s="3" t="s">
        <v>671</v>
      </c>
      <c r="O555" s="3" t="s">
        <v>38</v>
      </c>
      <c r="P555" s="3"/>
      <c r="Q555" s="4">
        <v>45944</v>
      </c>
      <c r="R555" s="3" t="s">
        <v>39</v>
      </c>
      <c r="S555" s="3" t="s">
        <v>38</v>
      </c>
      <c r="T555" s="3" t="s">
        <v>43</v>
      </c>
      <c r="U555" s="3"/>
      <c r="V555" s="3" t="s">
        <v>41</v>
      </c>
      <c r="W555" s="5">
        <v>1100.95</v>
      </c>
      <c r="X555" s="5">
        <v>1100.95</v>
      </c>
      <c r="Y555" s="3">
        <v>0</v>
      </c>
      <c r="Z555" s="3">
        <v>0</v>
      </c>
      <c r="AA555" s="3">
        <v>0</v>
      </c>
    </row>
    <row r="556" spans="1:27" ht="60.75" x14ac:dyDescent="0.25">
      <c r="A556" s="3" t="s">
        <v>28</v>
      </c>
      <c r="B556" s="3" t="s">
        <v>29</v>
      </c>
      <c r="C556" s="3" t="s">
        <v>30</v>
      </c>
      <c r="D556" s="3" t="s">
        <v>63</v>
      </c>
      <c r="E556" s="3" t="s">
        <v>91</v>
      </c>
      <c r="F556" s="3" t="s">
        <v>94</v>
      </c>
      <c r="G556" s="3">
        <v>2025</v>
      </c>
      <c r="H556" s="3" t="str">
        <f>CONCATENATE("54240507761")</f>
        <v>54240507761</v>
      </c>
      <c r="I556" s="3" t="s">
        <v>34</v>
      </c>
      <c r="J556" s="3" t="s">
        <v>35</v>
      </c>
      <c r="K556" s="3"/>
      <c r="L556" s="3" t="s">
        <v>36</v>
      </c>
      <c r="M556" s="3" t="str">
        <f>CONCATENATE("DRSRML69L14A462K")</f>
        <v>DRSRML69L14A462K</v>
      </c>
      <c r="N556" s="3" t="s">
        <v>672</v>
      </c>
      <c r="O556" s="3" t="s">
        <v>38</v>
      </c>
      <c r="P556" s="3"/>
      <c r="Q556" s="4">
        <v>45944</v>
      </c>
      <c r="R556" s="3" t="s">
        <v>39</v>
      </c>
      <c r="S556" s="3" t="s">
        <v>38</v>
      </c>
      <c r="T556" s="3" t="s">
        <v>43</v>
      </c>
      <c r="U556" s="3"/>
      <c r="V556" s="3" t="s">
        <v>41</v>
      </c>
      <c r="W556" s="5">
        <v>2051.5700000000002</v>
      </c>
      <c r="X556" s="5">
        <v>2051.5700000000002</v>
      </c>
      <c r="Y556" s="3">
        <v>0</v>
      </c>
      <c r="Z556" s="3">
        <v>0</v>
      </c>
      <c r="AA556" s="3">
        <v>0</v>
      </c>
    </row>
    <row r="557" spans="1:27" ht="60.75" x14ac:dyDescent="0.25">
      <c r="A557" s="3" t="s">
        <v>28</v>
      </c>
      <c r="B557" s="3" t="s">
        <v>29</v>
      </c>
      <c r="C557" s="3" t="s">
        <v>30</v>
      </c>
      <c r="D557" s="3" t="s">
        <v>63</v>
      </c>
      <c r="E557" s="3" t="s">
        <v>91</v>
      </c>
      <c r="F557" s="3" t="s">
        <v>94</v>
      </c>
      <c r="G557" s="3">
        <v>2025</v>
      </c>
      <c r="H557" s="3" t="str">
        <f>CONCATENATE("54240507795")</f>
        <v>54240507795</v>
      </c>
      <c r="I557" s="3" t="s">
        <v>34</v>
      </c>
      <c r="J557" s="3" t="s">
        <v>35</v>
      </c>
      <c r="K557" s="3"/>
      <c r="L557" s="3" t="s">
        <v>36</v>
      </c>
      <c r="M557" s="3" t="str">
        <f>CONCATENATE("QRSPLA62M09A462A")</f>
        <v>QRSPLA62M09A462A</v>
      </c>
      <c r="N557" s="3" t="s">
        <v>673</v>
      </c>
      <c r="O557" s="3" t="s">
        <v>38</v>
      </c>
      <c r="P557" s="3"/>
      <c r="Q557" s="4">
        <v>45944</v>
      </c>
      <c r="R557" s="3" t="s">
        <v>39</v>
      </c>
      <c r="S557" s="3" t="s">
        <v>38</v>
      </c>
      <c r="T557" s="3" t="s">
        <v>43</v>
      </c>
      <c r="U557" s="3"/>
      <c r="V557" s="3" t="s">
        <v>41</v>
      </c>
      <c r="W557" s="5">
        <v>12300.51</v>
      </c>
      <c r="X557" s="5">
        <v>12300.51</v>
      </c>
      <c r="Y557" s="3">
        <v>0</v>
      </c>
      <c r="Z557" s="3">
        <v>0</v>
      </c>
      <c r="AA557" s="3">
        <v>0</v>
      </c>
    </row>
    <row r="558" spans="1:27" ht="60.75" x14ac:dyDescent="0.25">
      <c r="A558" s="3" t="s">
        <v>28</v>
      </c>
      <c r="B558" s="3" t="s">
        <v>29</v>
      </c>
      <c r="C558" s="3" t="s">
        <v>30</v>
      </c>
      <c r="D558" s="3" t="s">
        <v>63</v>
      </c>
      <c r="E558" s="3" t="s">
        <v>91</v>
      </c>
      <c r="F558" s="3" t="s">
        <v>94</v>
      </c>
      <c r="G558" s="3">
        <v>2025</v>
      </c>
      <c r="H558" s="3" t="str">
        <f>CONCATENATE("54240507704")</f>
        <v>54240507704</v>
      </c>
      <c r="I558" s="3" t="s">
        <v>34</v>
      </c>
      <c r="J558" s="3" t="s">
        <v>35</v>
      </c>
      <c r="K558" s="3"/>
      <c r="L558" s="3" t="s">
        <v>36</v>
      </c>
      <c r="M558" s="3" t="str">
        <f>CONCATENATE("MRRCRG91H04I156F")</f>
        <v>MRRCRG91H04I156F</v>
      </c>
      <c r="N558" s="3" t="s">
        <v>674</v>
      </c>
      <c r="O558" s="3" t="s">
        <v>38</v>
      </c>
      <c r="P558" s="3"/>
      <c r="Q558" s="4">
        <v>45944</v>
      </c>
      <c r="R558" s="3" t="s">
        <v>39</v>
      </c>
      <c r="S558" s="3" t="s">
        <v>38</v>
      </c>
      <c r="T558" s="3" t="s">
        <v>43</v>
      </c>
      <c r="U558" s="3"/>
      <c r="V558" s="3" t="s">
        <v>41</v>
      </c>
      <c r="W558" s="5">
        <v>1961.36</v>
      </c>
      <c r="X558" s="5">
        <v>1961.36</v>
      </c>
      <c r="Y558" s="3">
        <v>0</v>
      </c>
      <c r="Z558" s="3">
        <v>0</v>
      </c>
      <c r="AA558" s="3">
        <v>0</v>
      </c>
    </row>
    <row r="559" spans="1:27" ht="72.75" x14ac:dyDescent="0.25">
      <c r="A559" s="3" t="s">
        <v>28</v>
      </c>
      <c r="B559" s="3" t="s">
        <v>29</v>
      </c>
      <c r="C559" s="3" t="s">
        <v>30</v>
      </c>
      <c r="D559" s="3" t="s">
        <v>63</v>
      </c>
      <c r="E559" s="3" t="s">
        <v>91</v>
      </c>
      <c r="F559" s="3" t="s">
        <v>94</v>
      </c>
      <c r="G559" s="3">
        <v>2025</v>
      </c>
      <c r="H559" s="3" t="str">
        <f>CONCATENATE("54240507811")</f>
        <v>54240507811</v>
      </c>
      <c r="I559" s="3" t="s">
        <v>34</v>
      </c>
      <c r="J559" s="3" t="s">
        <v>35</v>
      </c>
      <c r="K559" s="3"/>
      <c r="L559" s="3" t="s">
        <v>36</v>
      </c>
      <c r="M559" s="3" t="str">
        <f>CONCATENATE("RZZNMR61C65A462I")</f>
        <v>RZZNMR61C65A462I</v>
      </c>
      <c r="N559" s="3" t="s">
        <v>675</v>
      </c>
      <c r="O559" s="3" t="s">
        <v>38</v>
      </c>
      <c r="P559" s="3"/>
      <c r="Q559" s="4">
        <v>45944</v>
      </c>
      <c r="R559" s="3" t="s">
        <v>39</v>
      </c>
      <c r="S559" s="3" t="s">
        <v>38</v>
      </c>
      <c r="T559" s="3" t="s">
        <v>43</v>
      </c>
      <c r="U559" s="3"/>
      <c r="V559" s="3" t="s">
        <v>41</v>
      </c>
      <c r="W559" s="5">
        <v>5165.0200000000004</v>
      </c>
      <c r="X559" s="5">
        <v>5165.0200000000004</v>
      </c>
      <c r="Y559" s="3">
        <v>0</v>
      </c>
      <c r="Z559" s="3">
        <v>0</v>
      </c>
      <c r="AA559" s="3">
        <v>0</v>
      </c>
    </row>
    <row r="560" spans="1:27" ht="60.75" x14ac:dyDescent="0.25">
      <c r="A560" s="3" t="s">
        <v>28</v>
      </c>
      <c r="B560" s="3" t="s">
        <v>29</v>
      </c>
      <c r="C560" s="3" t="s">
        <v>30</v>
      </c>
      <c r="D560" s="3" t="s">
        <v>58</v>
      </c>
      <c r="E560" s="3" t="s">
        <v>53</v>
      </c>
      <c r="F560" s="3" t="s">
        <v>59</v>
      </c>
      <c r="G560" s="3">
        <v>2025</v>
      </c>
      <c r="H560" s="3" t="str">
        <f>CONCATENATE("54240509262")</f>
        <v>54240509262</v>
      </c>
      <c r="I560" s="3" t="s">
        <v>34</v>
      </c>
      <c r="J560" s="3" t="s">
        <v>35</v>
      </c>
      <c r="K560" s="3"/>
      <c r="L560" s="3" t="s">
        <v>36</v>
      </c>
      <c r="M560" s="3" t="str">
        <f>CONCATENATE("CCCDVD39H22A366S")</f>
        <v>CCCDVD39H22A366S</v>
      </c>
      <c r="N560" s="3" t="s">
        <v>676</v>
      </c>
      <c r="O560" s="3" t="s">
        <v>38</v>
      </c>
      <c r="P560" s="3"/>
      <c r="Q560" s="4">
        <v>45944</v>
      </c>
      <c r="R560" s="3" t="s">
        <v>39</v>
      </c>
      <c r="S560" s="3" t="s">
        <v>38</v>
      </c>
      <c r="T560" s="3" t="s">
        <v>43</v>
      </c>
      <c r="U560" s="3"/>
      <c r="V560" s="3" t="s">
        <v>41</v>
      </c>
      <c r="W560" s="3">
        <v>941.15</v>
      </c>
      <c r="X560" s="3">
        <v>941.15</v>
      </c>
      <c r="Y560" s="3">
        <v>0</v>
      </c>
      <c r="Z560" s="3">
        <v>0</v>
      </c>
      <c r="AA560" s="3">
        <v>0</v>
      </c>
    </row>
    <row r="561" spans="1:27" ht="60.75" x14ac:dyDescent="0.25">
      <c r="A561" s="3" t="s">
        <v>28</v>
      </c>
      <c r="B561" s="3" t="s">
        <v>29</v>
      </c>
      <c r="C561" s="3" t="s">
        <v>30</v>
      </c>
      <c r="D561" s="3" t="s">
        <v>49</v>
      </c>
      <c r="E561" s="3" t="s">
        <v>46</v>
      </c>
      <c r="F561" s="3" t="s">
        <v>131</v>
      </c>
      <c r="G561" s="3">
        <v>2025</v>
      </c>
      <c r="H561" s="3" t="str">
        <f>CONCATENATE("54240508363")</f>
        <v>54240508363</v>
      </c>
      <c r="I561" s="3" t="s">
        <v>34</v>
      </c>
      <c r="J561" s="3" t="s">
        <v>35</v>
      </c>
      <c r="K561" s="3"/>
      <c r="L561" s="3" t="s">
        <v>36</v>
      </c>
      <c r="M561" s="3" t="str">
        <f>CONCATENATE("PRLRLF31S22L191T")</f>
        <v>PRLRLF31S22L191T</v>
      </c>
      <c r="N561" s="3" t="s">
        <v>677</v>
      </c>
      <c r="O561" s="3" t="s">
        <v>38</v>
      </c>
      <c r="P561" s="3"/>
      <c r="Q561" s="4">
        <v>45944</v>
      </c>
      <c r="R561" s="3" t="s">
        <v>39</v>
      </c>
      <c r="S561" s="3" t="s">
        <v>38</v>
      </c>
      <c r="T561" s="3" t="s">
        <v>43</v>
      </c>
      <c r="U561" s="3"/>
      <c r="V561" s="3" t="s">
        <v>41</v>
      </c>
      <c r="W561" s="5">
        <v>5088.63</v>
      </c>
      <c r="X561" s="5">
        <v>5088.63</v>
      </c>
      <c r="Y561" s="3">
        <v>0</v>
      </c>
      <c r="Z561" s="3">
        <v>0</v>
      </c>
      <c r="AA561" s="3">
        <v>0</v>
      </c>
    </row>
    <row r="562" spans="1:27" ht="60.75" x14ac:dyDescent="0.25">
      <c r="A562" s="3" t="s">
        <v>28</v>
      </c>
      <c r="B562" s="3" t="s">
        <v>29</v>
      </c>
      <c r="C562" s="3" t="s">
        <v>30</v>
      </c>
      <c r="D562" s="3" t="s">
        <v>63</v>
      </c>
      <c r="E562" s="3" t="s">
        <v>53</v>
      </c>
      <c r="F562" s="3" t="s">
        <v>678</v>
      </c>
      <c r="G562" s="3">
        <v>2025</v>
      </c>
      <c r="H562" s="3" t="str">
        <f>CONCATENATE("54240508314")</f>
        <v>54240508314</v>
      </c>
      <c r="I562" s="3" t="s">
        <v>34</v>
      </c>
      <c r="J562" s="3" t="s">
        <v>35</v>
      </c>
      <c r="K562" s="3"/>
      <c r="L562" s="3" t="s">
        <v>36</v>
      </c>
      <c r="M562" s="3" t="str">
        <f>CONCATENATE("SLVPLG97M05H769M")</f>
        <v>SLVPLG97M05H769M</v>
      </c>
      <c r="N562" s="3" t="s">
        <v>679</v>
      </c>
      <c r="O562" s="3" t="s">
        <v>38</v>
      </c>
      <c r="P562" s="3"/>
      <c r="Q562" s="4">
        <v>45944</v>
      </c>
      <c r="R562" s="3" t="s">
        <v>39</v>
      </c>
      <c r="S562" s="3" t="s">
        <v>38</v>
      </c>
      <c r="T562" s="3" t="s">
        <v>43</v>
      </c>
      <c r="U562" s="3"/>
      <c r="V562" s="3" t="s">
        <v>41</v>
      </c>
      <c r="W562" s="5">
        <v>6081.73</v>
      </c>
      <c r="X562" s="5">
        <v>6081.73</v>
      </c>
      <c r="Y562" s="3">
        <v>0</v>
      </c>
      <c r="Z562" s="3">
        <v>0</v>
      </c>
      <c r="AA562" s="3">
        <v>0</v>
      </c>
    </row>
    <row r="563" spans="1:27" ht="60.75" x14ac:dyDescent="0.25">
      <c r="A563" s="3" t="s">
        <v>28</v>
      </c>
      <c r="B563" s="3" t="s">
        <v>29</v>
      </c>
      <c r="C563" s="3" t="s">
        <v>30</v>
      </c>
      <c r="D563" s="3" t="s">
        <v>63</v>
      </c>
      <c r="E563" s="3" t="s">
        <v>53</v>
      </c>
      <c r="F563" s="3" t="s">
        <v>678</v>
      </c>
      <c r="G563" s="3">
        <v>2025</v>
      </c>
      <c r="H563" s="3" t="str">
        <f>CONCATENATE("54240508470")</f>
        <v>54240508470</v>
      </c>
      <c r="I563" s="3" t="s">
        <v>34</v>
      </c>
      <c r="J563" s="3" t="s">
        <v>35</v>
      </c>
      <c r="K563" s="3"/>
      <c r="L563" s="3" t="s">
        <v>36</v>
      </c>
      <c r="M563" s="3" t="str">
        <f>CONCATENATE("DDULLI85P61Z138Z")</f>
        <v>DDULLI85P61Z138Z</v>
      </c>
      <c r="N563" s="3" t="s">
        <v>680</v>
      </c>
      <c r="O563" s="3" t="s">
        <v>38</v>
      </c>
      <c r="P563" s="3"/>
      <c r="Q563" s="4">
        <v>45944</v>
      </c>
      <c r="R563" s="3" t="s">
        <v>39</v>
      </c>
      <c r="S563" s="3" t="s">
        <v>38</v>
      </c>
      <c r="T563" s="3" t="s">
        <v>43</v>
      </c>
      <c r="U563" s="3"/>
      <c r="V563" s="3" t="s">
        <v>41</v>
      </c>
      <c r="W563" s="5">
        <v>1467.51</v>
      </c>
      <c r="X563" s="5">
        <v>1467.51</v>
      </c>
      <c r="Y563" s="3">
        <v>0</v>
      </c>
      <c r="Z563" s="3">
        <v>0</v>
      </c>
      <c r="AA563" s="3">
        <v>0</v>
      </c>
    </row>
    <row r="564" spans="1:27" ht="36.75" x14ac:dyDescent="0.25">
      <c r="A564" s="3" t="s">
        <v>28</v>
      </c>
      <c r="B564" s="3" t="s">
        <v>29</v>
      </c>
      <c r="C564" s="3" t="s">
        <v>30</v>
      </c>
      <c r="D564" s="3" t="s">
        <v>58</v>
      </c>
      <c r="E564" s="3" t="s">
        <v>32</v>
      </c>
      <c r="F564" s="3" t="s">
        <v>102</v>
      </c>
      <c r="G564" s="3">
        <v>2025</v>
      </c>
      <c r="H564" s="3" t="str">
        <f>CONCATENATE("54240508447")</f>
        <v>54240508447</v>
      </c>
      <c r="I564" s="3" t="s">
        <v>34</v>
      </c>
      <c r="J564" s="3" t="s">
        <v>35</v>
      </c>
      <c r="K564" s="3"/>
      <c r="L564" s="3" t="s">
        <v>36</v>
      </c>
      <c r="M564" s="3" t="str">
        <f>CONCATENATE("02431390422")</f>
        <v>02431390422</v>
      </c>
      <c r="N564" s="3" t="s">
        <v>681</v>
      </c>
      <c r="O564" s="3" t="s">
        <v>38</v>
      </c>
      <c r="P564" s="3"/>
      <c r="Q564" s="4">
        <v>45944</v>
      </c>
      <c r="R564" s="3" t="s">
        <v>39</v>
      </c>
      <c r="S564" s="3" t="s">
        <v>38</v>
      </c>
      <c r="T564" s="3" t="s">
        <v>43</v>
      </c>
      <c r="U564" s="3"/>
      <c r="V564" s="3" t="s">
        <v>41</v>
      </c>
      <c r="W564" s="5">
        <v>21711.66</v>
      </c>
      <c r="X564" s="5">
        <v>21711.66</v>
      </c>
      <c r="Y564" s="3">
        <v>0</v>
      </c>
      <c r="Z564" s="3">
        <v>0</v>
      </c>
      <c r="AA564" s="3">
        <v>0</v>
      </c>
    </row>
    <row r="565" spans="1:27" ht="60.75" x14ac:dyDescent="0.25">
      <c r="A565" s="3" t="s">
        <v>28</v>
      </c>
      <c r="B565" s="3" t="s">
        <v>29</v>
      </c>
      <c r="C565" s="3" t="s">
        <v>30</v>
      </c>
      <c r="D565" s="3" t="s">
        <v>31</v>
      </c>
      <c r="E565" s="3" t="s">
        <v>46</v>
      </c>
      <c r="F565" s="3" t="s">
        <v>47</v>
      </c>
      <c r="G565" s="3">
        <v>2025</v>
      </c>
      <c r="H565" s="3" t="str">
        <f>CONCATENATE("54240508777")</f>
        <v>54240508777</v>
      </c>
      <c r="I565" s="3" t="s">
        <v>34</v>
      </c>
      <c r="J565" s="3" t="s">
        <v>35</v>
      </c>
      <c r="K565" s="3"/>
      <c r="L565" s="3" t="s">
        <v>36</v>
      </c>
      <c r="M565" s="3" t="str">
        <f>CONCATENATE("RMTMRK82T50L500A")</f>
        <v>RMTMRK82T50L500A</v>
      </c>
      <c r="N565" s="3" t="s">
        <v>682</v>
      </c>
      <c r="O565" s="3" t="s">
        <v>38</v>
      </c>
      <c r="P565" s="3"/>
      <c r="Q565" s="4">
        <v>45944</v>
      </c>
      <c r="R565" s="3" t="s">
        <v>39</v>
      </c>
      <c r="S565" s="3" t="s">
        <v>38</v>
      </c>
      <c r="T565" s="3" t="s">
        <v>43</v>
      </c>
      <c r="U565" s="3"/>
      <c r="V565" s="3" t="s">
        <v>41</v>
      </c>
      <c r="W565" s="5">
        <v>2763.54</v>
      </c>
      <c r="X565" s="5">
        <v>2763.54</v>
      </c>
      <c r="Y565" s="3">
        <v>0</v>
      </c>
      <c r="Z565" s="3">
        <v>0</v>
      </c>
      <c r="AA565" s="3">
        <v>0</v>
      </c>
    </row>
    <row r="566" spans="1:27" ht="72.75" x14ac:dyDescent="0.25">
      <c r="A566" s="3" t="s">
        <v>28</v>
      </c>
      <c r="B566" s="3" t="s">
        <v>29</v>
      </c>
      <c r="C566" s="3" t="s">
        <v>30</v>
      </c>
      <c r="D566" s="3" t="s">
        <v>31</v>
      </c>
      <c r="E566" s="3" t="s">
        <v>32</v>
      </c>
      <c r="F566" s="3" t="s">
        <v>115</v>
      </c>
      <c r="G566" s="3">
        <v>2025</v>
      </c>
      <c r="H566" s="3" t="str">
        <f>CONCATENATE("54240509072")</f>
        <v>54240509072</v>
      </c>
      <c r="I566" s="3" t="s">
        <v>149</v>
      </c>
      <c r="J566" s="3" t="s">
        <v>35</v>
      </c>
      <c r="K566" s="3"/>
      <c r="L566" s="3" t="s">
        <v>36</v>
      </c>
      <c r="M566" s="3" t="str">
        <f>CONCATENATE("MDRNMR49T70L500M")</f>
        <v>MDRNMR49T70L500M</v>
      </c>
      <c r="N566" s="3" t="s">
        <v>683</v>
      </c>
      <c r="O566" s="3" t="s">
        <v>38</v>
      </c>
      <c r="P566" s="3"/>
      <c r="Q566" s="4">
        <v>45944</v>
      </c>
      <c r="R566" s="3" t="s">
        <v>39</v>
      </c>
      <c r="S566" s="3" t="s">
        <v>38</v>
      </c>
      <c r="T566" s="3" t="s">
        <v>43</v>
      </c>
      <c r="U566" s="3"/>
      <c r="V566" s="3" t="s">
        <v>41</v>
      </c>
      <c r="W566" s="5">
        <v>1923.73</v>
      </c>
      <c r="X566" s="5">
        <v>1923.73</v>
      </c>
      <c r="Y566" s="3">
        <v>0</v>
      </c>
      <c r="Z566" s="3">
        <v>0</v>
      </c>
      <c r="AA566" s="3">
        <v>0</v>
      </c>
    </row>
    <row r="567" spans="1:27" ht="36.75" x14ac:dyDescent="0.25">
      <c r="A567" s="3" t="s">
        <v>28</v>
      </c>
      <c r="B567" s="3" t="s">
        <v>29</v>
      </c>
      <c r="C567" s="3" t="s">
        <v>30</v>
      </c>
      <c r="D567" s="3" t="s">
        <v>58</v>
      </c>
      <c r="E567" s="3" t="s">
        <v>91</v>
      </c>
      <c r="F567" s="3" t="s">
        <v>106</v>
      </c>
      <c r="G567" s="3">
        <v>2025</v>
      </c>
      <c r="H567" s="3" t="str">
        <f>CONCATENATE("54240509114")</f>
        <v>54240509114</v>
      </c>
      <c r="I567" s="3" t="s">
        <v>34</v>
      </c>
      <c r="J567" s="3" t="s">
        <v>35</v>
      </c>
      <c r="K567" s="3"/>
      <c r="L567" s="3" t="s">
        <v>36</v>
      </c>
      <c r="M567" s="3" t="str">
        <f>CONCATENATE("00078000429")</f>
        <v>00078000429</v>
      </c>
      <c r="N567" s="3" t="s">
        <v>684</v>
      </c>
      <c r="O567" s="3" t="s">
        <v>38</v>
      </c>
      <c r="P567" s="3"/>
      <c r="Q567" s="4">
        <v>45944</v>
      </c>
      <c r="R567" s="3" t="s">
        <v>39</v>
      </c>
      <c r="S567" s="3" t="s">
        <v>38</v>
      </c>
      <c r="T567" s="3" t="s">
        <v>43</v>
      </c>
      <c r="U567" s="3"/>
      <c r="V567" s="3" t="s">
        <v>41</v>
      </c>
      <c r="W567" s="5">
        <v>57824.82</v>
      </c>
      <c r="X567" s="5">
        <v>57824.82</v>
      </c>
      <c r="Y567" s="3">
        <v>0</v>
      </c>
      <c r="Z567" s="3">
        <v>0</v>
      </c>
      <c r="AA567" s="3">
        <v>0</v>
      </c>
    </row>
    <row r="568" spans="1:27" ht="36.75" x14ac:dyDescent="0.25">
      <c r="A568" s="3" t="s">
        <v>28</v>
      </c>
      <c r="B568" s="3" t="s">
        <v>29</v>
      </c>
      <c r="C568" s="3" t="s">
        <v>30</v>
      </c>
      <c r="D568" s="3" t="s">
        <v>31</v>
      </c>
      <c r="E568" s="3" t="s">
        <v>46</v>
      </c>
      <c r="F568" s="3" t="s">
        <v>108</v>
      </c>
      <c r="G568" s="3">
        <v>2025</v>
      </c>
      <c r="H568" s="3" t="str">
        <f>CONCATENATE("54240509205")</f>
        <v>54240509205</v>
      </c>
      <c r="I568" s="3" t="s">
        <v>149</v>
      </c>
      <c r="J568" s="3" t="s">
        <v>35</v>
      </c>
      <c r="K568" s="3"/>
      <c r="L568" s="3" t="s">
        <v>36</v>
      </c>
      <c r="M568" s="3" t="str">
        <f>CONCATENATE("02707760415")</f>
        <v>02707760415</v>
      </c>
      <c r="N568" s="3" t="s">
        <v>685</v>
      </c>
      <c r="O568" s="3" t="s">
        <v>38</v>
      </c>
      <c r="P568" s="3"/>
      <c r="Q568" s="4">
        <v>45944</v>
      </c>
      <c r="R568" s="3" t="s">
        <v>39</v>
      </c>
      <c r="S568" s="3" t="s">
        <v>38</v>
      </c>
      <c r="T568" s="3" t="s">
        <v>43</v>
      </c>
      <c r="U568" s="3"/>
      <c r="V568" s="3" t="s">
        <v>41</v>
      </c>
      <c r="W568" s="5">
        <v>2388.52</v>
      </c>
      <c r="X568" s="5">
        <v>2388.52</v>
      </c>
      <c r="Y568" s="3">
        <v>0</v>
      </c>
      <c r="Z568" s="3">
        <v>0</v>
      </c>
      <c r="AA568" s="3">
        <v>0</v>
      </c>
    </row>
    <row r="569" spans="1:27" ht="60.75" x14ac:dyDescent="0.25">
      <c r="A569" s="3" t="s">
        <v>28</v>
      </c>
      <c r="B569" s="3" t="s">
        <v>29</v>
      </c>
      <c r="C569" s="3" t="s">
        <v>30</v>
      </c>
      <c r="D569" s="3" t="s">
        <v>63</v>
      </c>
      <c r="E569" s="3" t="s">
        <v>91</v>
      </c>
      <c r="F569" s="3" t="s">
        <v>94</v>
      </c>
      <c r="G569" s="3">
        <v>2025</v>
      </c>
      <c r="H569" s="3" t="str">
        <f>CONCATENATE("54240509247")</f>
        <v>54240509247</v>
      </c>
      <c r="I569" s="3" t="s">
        <v>34</v>
      </c>
      <c r="J569" s="3" t="s">
        <v>35</v>
      </c>
      <c r="K569" s="3"/>
      <c r="L569" s="3" t="s">
        <v>36</v>
      </c>
      <c r="M569" s="3" t="str">
        <f>CONCATENATE("MCCMHL88P58D542O")</f>
        <v>MCCMHL88P58D542O</v>
      </c>
      <c r="N569" s="3" t="s">
        <v>686</v>
      </c>
      <c r="O569" s="3" t="s">
        <v>38</v>
      </c>
      <c r="P569" s="3"/>
      <c r="Q569" s="4">
        <v>45944</v>
      </c>
      <c r="R569" s="3" t="s">
        <v>39</v>
      </c>
      <c r="S569" s="3" t="s">
        <v>38</v>
      </c>
      <c r="T569" s="3" t="s">
        <v>43</v>
      </c>
      <c r="U569" s="3"/>
      <c r="V569" s="3" t="s">
        <v>41</v>
      </c>
      <c r="W569" s="5">
        <v>2593.54</v>
      </c>
      <c r="X569" s="5">
        <v>2593.54</v>
      </c>
      <c r="Y569" s="3">
        <v>0</v>
      </c>
      <c r="Z569" s="3">
        <v>0</v>
      </c>
      <c r="AA569" s="3">
        <v>0</v>
      </c>
    </row>
    <row r="570" spans="1:27" ht="60.75" x14ac:dyDescent="0.25">
      <c r="A570" s="3" t="s">
        <v>28</v>
      </c>
      <c r="B570" s="3" t="s">
        <v>29</v>
      </c>
      <c r="C570" s="3" t="s">
        <v>30</v>
      </c>
      <c r="D570" s="3" t="s">
        <v>63</v>
      </c>
      <c r="E570" s="3" t="s">
        <v>32</v>
      </c>
      <c r="F570" s="3" t="s">
        <v>243</v>
      </c>
      <c r="G570" s="3">
        <v>2025</v>
      </c>
      <c r="H570" s="3" t="str">
        <f>CONCATENATE("54240509171")</f>
        <v>54240509171</v>
      </c>
      <c r="I570" s="3" t="s">
        <v>34</v>
      </c>
      <c r="J570" s="3" t="s">
        <v>35</v>
      </c>
      <c r="K570" s="3"/>
      <c r="L570" s="3" t="s">
        <v>36</v>
      </c>
      <c r="M570" s="3" t="str">
        <f>CONCATENATE("STRLGU61E31E807X")</f>
        <v>STRLGU61E31E807X</v>
      </c>
      <c r="N570" s="3" t="s">
        <v>687</v>
      </c>
      <c r="O570" s="3" t="s">
        <v>38</v>
      </c>
      <c r="P570" s="3"/>
      <c r="Q570" s="4">
        <v>45944</v>
      </c>
      <c r="R570" s="3" t="s">
        <v>39</v>
      </c>
      <c r="S570" s="3" t="s">
        <v>38</v>
      </c>
      <c r="T570" s="3" t="s">
        <v>43</v>
      </c>
      <c r="U570" s="3"/>
      <c r="V570" s="3" t="s">
        <v>41</v>
      </c>
      <c r="W570" s="5">
        <v>2384.5100000000002</v>
      </c>
      <c r="X570" s="5">
        <v>2384.5100000000002</v>
      </c>
      <c r="Y570" s="3">
        <v>0</v>
      </c>
      <c r="Z570" s="3">
        <v>0</v>
      </c>
      <c r="AA570" s="3">
        <v>0</v>
      </c>
    </row>
    <row r="571" spans="1:27" ht="60.75" x14ac:dyDescent="0.25">
      <c r="A571" s="3" t="s">
        <v>28</v>
      </c>
      <c r="B571" s="3" t="s">
        <v>29</v>
      </c>
      <c r="C571" s="3" t="s">
        <v>30</v>
      </c>
      <c r="D571" s="3" t="s">
        <v>31</v>
      </c>
      <c r="E571" s="3" t="s">
        <v>74</v>
      </c>
      <c r="F571" s="3" t="s">
        <v>688</v>
      </c>
      <c r="G571" s="3">
        <v>2025</v>
      </c>
      <c r="H571" s="3" t="str">
        <f>CONCATENATE("54240509361")</f>
        <v>54240509361</v>
      </c>
      <c r="I571" s="3" t="s">
        <v>34</v>
      </c>
      <c r="J571" s="3" t="s">
        <v>35</v>
      </c>
      <c r="K571" s="3"/>
      <c r="L571" s="3" t="s">
        <v>36</v>
      </c>
      <c r="M571" s="3" t="str">
        <f>CONCATENATE("PLVRTT60C64D749Y")</f>
        <v>PLVRTT60C64D749Y</v>
      </c>
      <c r="N571" s="3" t="s">
        <v>689</v>
      </c>
      <c r="O571" s="3" t="s">
        <v>38</v>
      </c>
      <c r="P571" s="3"/>
      <c r="Q571" s="4">
        <v>45944</v>
      </c>
      <c r="R571" s="3" t="s">
        <v>39</v>
      </c>
      <c r="S571" s="3" t="s">
        <v>38</v>
      </c>
      <c r="T571" s="3" t="s">
        <v>43</v>
      </c>
      <c r="U571" s="3"/>
      <c r="V571" s="3" t="s">
        <v>41</v>
      </c>
      <c r="W571" s="3">
        <v>595.1</v>
      </c>
      <c r="X571" s="3">
        <v>595.1</v>
      </c>
      <c r="Y571" s="3">
        <v>0</v>
      </c>
      <c r="Z571" s="3">
        <v>0</v>
      </c>
      <c r="AA571" s="3">
        <v>0</v>
      </c>
    </row>
    <row r="572" spans="1:27" ht="36.75" x14ac:dyDescent="0.25">
      <c r="A572" s="3" t="s">
        <v>28</v>
      </c>
      <c r="B572" s="3" t="s">
        <v>29</v>
      </c>
      <c r="C572" s="3" t="s">
        <v>30</v>
      </c>
      <c r="D572" s="3" t="s">
        <v>58</v>
      </c>
      <c r="E572" s="3" t="s">
        <v>53</v>
      </c>
      <c r="F572" s="3" t="s">
        <v>123</v>
      </c>
      <c r="G572" s="3">
        <v>2025</v>
      </c>
      <c r="H572" s="3" t="str">
        <f>CONCATENATE("54240509395")</f>
        <v>54240509395</v>
      </c>
      <c r="I572" s="3" t="s">
        <v>34</v>
      </c>
      <c r="J572" s="3" t="s">
        <v>35</v>
      </c>
      <c r="K572" s="3"/>
      <c r="L572" s="3" t="s">
        <v>36</v>
      </c>
      <c r="M572" s="3" t="str">
        <f>CONCATENATE("02818400422")</f>
        <v>02818400422</v>
      </c>
      <c r="N572" s="3" t="s">
        <v>690</v>
      </c>
      <c r="O572" s="3" t="s">
        <v>38</v>
      </c>
      <c r="P572" s="3"/>
      <c r="Q572" s="4">
        <v>45944</v>
      </c>
      <c r="R572" s="3" t="s">
        <v>39</v>
      </c>
      <c r="S572" s="3" t="s">
        <v>38</v>
      </c>
      <c r="T572" s="3" t="s">
        <v>43</v>
      </c>
      <c r="U572" s="3"/>
      <c r="V572" s="3" t="s">
        <v>41</v>
      </c>
      <c r="W572" s="5">
        <v>21158.69</v>
      </c>
      <c r="X572" s="5">
        <v>21158.69</v>
      </c>
      <c r="Y572" s="3">
        <v>0</v>
      </c>
      <c r="Z572" s="3">
        <v>0</v>
      </c>
      <c r="AA572" s="3">
        <v>0</v>
      </c>
    </row>
    <row r="573" spans="1:27" ht="60.75" x14ac:dyDescent="0.25">
      <c r="A573" s="3" t="s">
        <v>28</v>
      </c>
      <c r="B573" s="3" t="s">
        <v>29</v>
      </c>
      <c r="C573" s="3" t="s">
        <v>30</v>
      </c>
      <c r="D573" s="3" t="s">
        <v>63</v>
      </c>
      <c r="E573" s="3" t="s">
        <v>74</v>
      </c>
      <c r="F573" s="3" t="s">
        <v>691</v>
      </c>
      <c r="G573" s="3">
        <v>2025</v>
      </c>
      <c r="H573" s="3" t="str">
        <f>CONCATENATE("54240509460")</f>
        <v>54240509460</v>
      </c>
      <c r="I573" s="3" t="s">
        <v>34</v>
      </c>
      <c r="J573" s="3" t="s">
        <v>35</v>
      </c>
      <c r="K573" s="3"/>
      <c r="L573" s="3" t="s">
        <v>36</v>
      </c>
      <c r="M573" s="3" t="str">
        <f>CONCATENATE("BRDPLA64D11D542R")</f>
        <v>BRDPLA64D11D542R</v>
      </c>
      <c r="N573" s="3" t="s">
        <v>692</v>
      </c>
      <c r="O573" s="3" t="s">
        <v>38</v>
      </c>
      <c r="P573" s="3"/>
      <c r="Q573" s="4">
        <v>45944</v>
      </c>
      <c r="R573" s="3" t="s">
        <v>39</v>
      </c>
      <c r="S573" s="3" t="s">
        <v>38</v>
      </c>
      <c r="T573" s="3" t="s">
        <v>43</v>
      </c>
      <c r="U573" s="3"/>
      <c r="V573" s="3" t="s">
        <v>41</v>
      </c>
      <c r="W573" s="5">
        <v>6763.53</v>
      </c>
      <c r="X573" s="5">
        <v>6763.53</v>
      </c>
      <c r="Y573" s="3">
        <v>0</v>
      </c>
      <c r="Z573" s="3">
        <v>0</v>
      </c>
      <c r="AA573" s="3">
        <v>0</v>
      </c>
    </row>
    <row r="574" spans="1:27" ht="60.75" x14ac:dyDescent="0.25">
      <c r="A574" s="3" t="s">
        <v>28</v>
      </c>
      <c r="B574" s="3" t="s">
        <v>29</v>
      </c>
      <c r="C574" s="3" t="s">
        <v>30</v>
      </c>
      <c r="D574" s="3" t="s">
        <v>63</v>
      </c>
      <c r="E574" s="3" t="s">
        <v>32</v>
      </c>
      <c r="F574" s="3" t="s">
        <v>158</v>
      </c>
      <c r="G574" s="3">
        <v>2025</v>
      </c>
      <c r="H574" s="3" t="str">
        <f>CONCATENATE("54240509478")</f>
        <v>54240509478</v>
      </c>
      <c r="I574" s="3" t="s">
        <v>34</v>
      </c>
      <c r="J574" s="3" t="s">
        <v>35</v>
      </c>
      <c r="K574" s="3"/>
      <c r="L574" s="3" t="s">
        <v>36</v>
      </c>
      <c r="M574" s="3" t="str">
        <f>CONCATENATE("CLLFBA73H26H588W")</f>
        <v>CLLFBA73H26H588W</v>
      </c>
      <c r="N574" s="3" t="s">
        <v>693</v>
      </c>
      <c r="O574" s="3" t="s">
        <v>38</v>
      </c>
      <c r="P574" s="3"/>
      <c r="Q574" s="4">
        <v>45944</v>
      </c>
      <c r="R574" s="3" t="s">
        <v>39</v>
      </c>
      <c r="S574" s="3" t="s">
        <v>38</v>
      </c>
      <c r="T574" s="3" t="s">
        <v>43</v>
      </c>
      <c r="U574" s="3"/>
      <c r="V574" s="3" t="s">
        <v>41</v>
      </c>
      <c r="W574" s="5">
        <v>4916.71</v>
      </c>
      <c r="X574" s="5">
        <v>4916.71</v>
      </c>
      <c r="Y574" s="3">
        <v>0</v>
      </c>
      <c r="Z574" s="3">
        <v>0</v>
      </c>
      <c r="AA574" s="3">
        <v>0</v>
      </c>
    </row>
    <row r="575" spans="1:27" ht="36.75" x14ac:dyDescent="0.25">
      <c r="A575" s="3" t="s">
        <v>28</v>
      </c>
      <c r="B575" s="3" t="s">
        <v>29</v>
      </c>
      <c r="C575" s="3" t="s">
        <v>30</v>
      </c>
      <c r="D575" s="3" t="s">
        <v>31</v>
      </c>
      <c r="E575" s="3" t="s">
        <v>32</v>
      </c>
      <c r="F575" s="3" t="s">
        <v>153</v>
      </c>
      <c r="G575" s="3">
        <v>2025</v>
      </c>
      <c r="H575" s="3" t="str">
        <f>CONCATENATE("54240517224")</f>
        <v>54240517224</v>
      </c>
      <c r="I575" s="3" t="s">
        <v>34</v>
      </c>
      <c r="J575" s="3" t="s">
        <v>35</v>
      </c>
      <c r="K575" s="3"/>
      <c r="L575" s="3" t="s">
        <v>36</v>
      </c>
      <c r="M575" s="3" t="str">
        <f>CONCATENATE("02344550419")</f>
        <v>02344550419</v>
      </c>
      <c r="N575" s="3" t="s">
        <v>694</v>
      </c>
      <c r="O575" s="3" t="s">
        <v>38</v>
      </c>
      <c r="P575" s="3"/>
      <c r="Q575" s="4">
        <v>45944</v>
      </c>
      <c r="R575" s="3" t="s">
        <v>39</v>
      </c>
      <c r="S575" s="3" t="s">
        <v>38</v>
      </c>
      <c r="T575" s="3" t="s">
        <v>43</v>
      </c>
      <c r="U575" s="3"/>
      <c r="V575" s="3" t="s">
        <v>41</v>
      </c>
      <c r="W575" s="5">
        <v>11446.62</v>
      </c>
      <c r="X575" s="5">
        <v>11446.62</v>
      </c>
      <c r="Y575" s="3">
        <v>0</v>
      </c>
      <c r="Z575" s="3">
        <v>0</v>
      </c>
      <c r="AA575" s="3">
        <v>0</v>
      </c>
    </row>
    <row r="576" spans="1:27" ht="72.75" x14ac:dyDescent="0.25">
      <c r="A576" s="3" t="s">
        <v>28</v>
      </c>
      <c r="B576" s="3" t="s">
        <v>29</v>
      </c>
      <c r="C576" s="3" t="s">
        <v>30</v>
      </c>
      <c r="D576" s="3" t="s">
        <v>63</v>
      </c>
      <c r="E576" s="3" t="s">
        <v>91</v>
      </c>
      <c r="F576" s="3" t="s">
        <v>94</v>
      </c>
      <c r="G576" s="3">
        <v>2025</v>
      </c>
      <c r="H576" s="3" t="str">
        <f>CONCATENATE("54240509965")</f>
        <v>54240509965</v>
      </c>
      <c r="I576" s="3" t="s">
        <v>34</v>
      </c>
      <c r="J576" s="3" t="s">
        <v>35</v>
      </c>
      <c r="K576" s="3"/>
      <c r="L576" s="3" t="s">
        <v>36</v>
      </c>
      <c r="M576" s="3" t="str">
        <f>CONCATENATE("DVRGRR77D04D612B")</f>
        <v>DVRGRR77D04D612B</v>
      </c>
      <c r="N576" s="3" t="s">
        <v>695</v>
      </c>
      <c r="O576" s="3" t="s">
        <v>38</v>
      </c>
      <c r="P576" s="3"/>
      <c r="Q576" s="4">
        <v>45944</v>
      </c>
      <c r="R576" s="3" t="s">
        <v>39</v>
      </c>
      <c r="S576" s="3" t="s">
        <v>38</v>
      </c>
      <c r="T576" s="3" t="s">
        <v>43</v>
      </c>
      <c r="U576" s="3"/>
      <c r="V576" s="3" t="s">
        <v>41</v>
      </c>
      <c r="W576" s="3">
        <v>775.85</v>
      </c>
      <c r="X576" s="3">
        <v>775.85</v>
      </c>
      <c r="Y576" s="3">
        <v>0</v>
      </c>
      <c r="Z576" s="3">
        <v>0</v>
      </c>
      <c r="AA576" s="3">
        <v>0</v>
      </c>
    </row>
    <row r="577" spans="1:27" ht="60.75" x14ac:dyDescent="0.25">
      <c r="A577" s="3" t="s">
        <v>28</v>
      </c>
      <c r="B577" s="3" t="s">
        <v>29</v>
      </c>
      <c r="C577" s="3" t="s">
        <v>30</v>
      </c>
      <c r="D577" s="3" t="s">
        <v>63</v>
      </c>
      <c r="E577" s="3" t="s">
        <v>32</v>
      </c>
      <c r="F577" s="3" t="s">
        <v>696</v>
      </c>
      <c r="G577" s="3">
        <v>2025</v>
      </c>
      <c r="H577" s="3" t="str">
        <f>CONCATENATE("54240510237")</f>
        <v>54240510237</v>
      </c>
      <c r="I577" s="3" t="s">
        <v>34</v>
      </c>
      <c r="J577" s="3" t="s">
        <v>35</v>
      </c>
      <c r="K577" s="3"/>
      <c r="L577" s="3" t="s">
        <v>36</v>
      </c>
      <c r="M577" s="3" t="str">
        <f>CONCATENATE("FRTGNN00B04A462J")</f>
        <v>FRTGNN00B04A462J</v>
      </c>
      <c r="N577" s="3" t="s">
        <v>697</v>
      </c>
      <c r="O577" s="3" t="s">
        <v>38</v>
      </c>
      <c r="P577" s="3"/>
      <c r="Q577" s="4">
        <v>45944</v>
      </c>
      <c r="R577" s="3" t="s">
        <v>39</v>
      </c>
      <c r="S577" s="3" t="s">
        <v>38</v>
      </c>
      <c r="T577" s="3" t="s">
        <v>43</v>
      </c>
      <c r="U577" s="3"/>
      <c r="V577" s="3" t="s">
        <v>41</v>
      </c>
      <c r="W577" s="5">
        <v>2052.04</v>
      </c>
      <c r="X577" s="5">
        <v>2052.04</v>
      </c>
      <c r="Y577" s="3">
        <v>0</v>
      </c>
      <c r="Z577" s="3">
        <v>0</v>
      </c>
      <c r="AA577" s="3">
        <v>0</v>
      </c>
    </row>
    <row r="578" spans="1:27" ht="60.75" x14ac:dyDescent="0.25">
      <c r="A578" s="3" t="s">
        <v>28</v>
      </c>
      <c r="B578" s="3" t="s">
        <v>29</v>
      </c>
      <c r="C578" s="3" t="s">
        <v>30</v>
      </c>
      <c r="D578" s="3" t="s">
        <v>58</v>
      </c>
      <c r="E578" s="3" t="s">
        <v>32</v>
      </c>
      <c r="F578" s="3" t="s">
        <v>100</v>
      </c>
      <c r="G578" s="3">
        <v>2025</v>
      </c>
      <c r="H578" s="3" t="str">
        <f>CONCATENATE("54240525961")</f>
        <v>54240525961</v>
      </c>
      <c r="I578" s="3" t="s">
        <v>34</v>
      </c>
      <c r="J578" s="3" t="s">
        <v>35</v>
      </c>
      <c r="K578" s="3"/>
      <c r="L578" s="3" t="s">
        <v>36</v>
      </c>
      <c r="M578" s="3" t="str">
        <f>CONCATENATE("BRCGLN45D20F381L")</f>
        <v>BRCGLN45D20F381L</v>
      </c>
      <c r="N578" s="3" t="s">
        <v>698</v>
      </c>
      <c r="O578" s="3" t="s">
        <v>38</v>
      </c>
      <c r="P578" s="3"/>
      <c r="Q578" s="4">
        <v>45944</v>
      </c>
      <c r="R578" s="3" t="s">
        <v>39</v>
      </c>
      <c r="S578" s="3" t="s">
        <v>38</v>
      </c>
      <c r="T578" s="3" t="s">
        <v>43</v>
      </c>
      <c r="U578" s="3"/>
      <c r="V578" s="3" t="s">
        <v>41</v>
      </c>
      <c r="W578" s="5">
        <v>1387.51</v>
      </c>
      <c r="X578" s="5">
        <v>1387.51</v>
      </c>
      <c r="Y578" s="3">
        <v>0</v>
      </c>
      <c r="Z578" s="3">
        <v>0</v>
      </c>
      <c r="AA578" s="3">
        <v>0</v>
      </c>
    </row>
    <row r="579" spans="1:27" ht="60.75" x14ac:dyDescent="0.25">
      <c r="A579" s="3" t="s">
        <v>28</v>
      </c>
      <c r="B579" s="3" t="s">
        <v>29</v>
      </c>
      <c r="C579" s="3" t="s">
        <v>30</v>
      </c>
      <c r="D579" s="3" t="s">
        <v>49</v>
      </c>
      <c r="E579" s="3" t="s">
        <v>53</v>
      </c>
      <c r="F579" s="3" t="s">
        <v>136</v>
      </c>
      <c r="G579" s="3">
        <v>2025</v>
      </c>
      <c r="H579" s="3" t="str">
        <f>CONCATENATE("54240510229")</f>
        <v>54240510229</v>
      </c>
      <c r="I579" s="3" t="s">
        <v>34</v>
      </c>
      <c r="J579" s="3" t="s">
        <v>35</v>
      </c>
      <c r="K579" s="3"/>
      <c r="L579" s="3" t="s">
        <v>36</v>
      </c>
      <c r="M579" s="3" t="str">
        <f>CONCATENATE("BLLFBA84R08F522R")</f>
        <v>BLLFBA84R08F522R</v>
      </c>
      <c r="N579" s="3" t="s">
        <v>699</v>
      </c>
      <c r="O579" s="3" t="s">
        <v>38</v>
      </c>
      <c r="P579" s="3"/>
      <c r="Q579" s="4">
        <v>45944</v>
      </c>
      <c r="R579" s="3" t="s">
        <v>39</v>
      </c>
      <c r="S579" s="3" t="s">
        <v>38</v>
      </c>
      <c r="T579" s="3" t="s">
        <v>43</v>
      </c>
      <c r="U579" s="3"/>
      <c r="V579" s="3" t="s">
        <v>41</v>
      </c>
      <c r="W579" s="3">
        <v>289.67</v>
      </c>
      <c r="X579" s="3">
        <v>289.67</v>
      </c>
      <c r="Y579" s="3">
        <v>0</v>
      </c>
      <c r="Z579" s="3">
        <v>0</v>
      </c>
      <c r="AA579" s="3">
        <v>0</v>
      </c>
    </row>
    <row r="580" spans="1:27" ht="36.75" x14ac:dyDescent="0.25">
      <c r="A580" s="3" t="s">
        <v>28</v>
      </c>
      <c r="B580" s="3" t="s">
        <v>29</v>
      </c>
      <c r="C580" s="3" t="s">
        <v>30</v>
      </c>
      <c r="D580" s="3" t="s">
        <v>63</v>
      </c>
      <c r="E580" s="3" t="s">
        <v>91</v>
      </c>
      <c r="F580" s="3" t="s">
        <v>94</v>
      </c>
      <c r="G580" s="3">
        <v>2025</v>
      </c>
      <c r="H580" s="3" t="str">
        <f>CONCATENATE("54240510401")</f>
        <v>54240510401</v>
      </c>
      <c r="I580" s="3" t="s">
        <v>34</v>
      </c>
      <c r="J580" s="3" t="s">
        <v>35</v>
      </c>
      <c r="K580" s="3"/>
      <c r="L580" s="3" t="s">
        <v>36</v>
      </c>
      <c r="M580" s="3" t="str">
        <f>CONCATENATE("01861420444")</f>
        <v>01861420444</v>
      </c>
      <c r="N580" s="3" t="s">
        <v>700</v>
      </c>
      <c r="O580" s="3" t="s">
        <v>38</v>
      </c>
      <c r="P580" s="3"/>
      <c r="Q580" s="4">
        <v>45944</v>
      </c>
      <c r="R580" s="3" t="s">
        <v>39</v>
      </c>
      <c r="S580" s="3" t="s">
        <v>38</v>
      </c>
      <c r="T580" s="3" t="s">
        <v>43</v>
      </c>
      <c r="U580" s="3"/>
      <c r="V580" s="3" t="s">
        <v>41</v>
      </c>
      <c r="W580" s="5">
        <v>11298.83</v>
      </c>
      <c r="X580" s="5">
        <v>11298.83</v>
      </c>
      <c r="Y580" s="3">
        <v>0</v>
      </c>
      <c r="Z580" s="3">
        <v>0</v>
      </c>
      <c r="AA580" s="3">
        <v>0</v>
      </c>
    </row>
    <row r="581" spans="1:27" ht="72.75" x14ac:dyDescent="0.25">
      <c r="A581" s="3" t="s">
        <v>28</v>
      </c>
      <c r="B581" s="3" t="s">
        <v>29</v>
      </c>
      <c r="C581" s="3" t="s">
        <v>30</v>
      </c>
      <c r="D581" s="3" t="s">
        <v>58</v>
      </c>
      <c r="E581" s="3" t="s">
        <v>53</v>
      </c>
      <c r="F581" s="3" t="s">
        <v>59</v>
      </c>
      <c r="G581" s="3">
        <v>2025</v>
      </c>
      <c r="H581" s="3" t="str">
        <f>CONCATENATE("54240510658")</f>
        <v>54240510658</v>
      </c>
      <c r="I581" s="3" t="s">
        <v>34</v>
      </c>
      <c r="J581" s="3" t="s">
        <v>35</v>
      </c>
      <c r="K581" s="3"/>
      <c r="L581" s="3" t="s">
        <v>36</v>
      </c>
      <c r="M581" s="3" t="str">
        <f>CONCATENATE("NGLGLN67R66D451R")</f>
        <v>NGLGLN67R66D451R</v>
      </c>
      <c r="N581" s="3" t="s">
        <v>701</v>
      </c>
      <c r="O581" s="3" t="s">
        <v>38</v>
      </c>
      <c r="P581" s="3"/>
      <c r="Q581" s="4">
        <v>45944</v>
      </c>
      <c r="R581" s="3" t="s">
        <v>39</v>
      </c>
      <c r="S581" s="3" t="s">
        <v>38</v>
      </c>
      <c r="T581" s="3" t="s">
        <v>43</v>
      </c>
      <c r="U581" s="3"/>
      <c r="V581" s="3" t="s">
        <v>41</v>
      </c>
      <c r="W581" s="5">
        <v>5640.27</v>
      </c>
      <c r="X581" s="5">
        <v>5640.27</v>
      </c>
      <c r="Y581" s="3">
        <v>0</v>
      </c>
      <c r="Z581" s="3">
        <v>0</v>
      </c>
      <c r="AA581" s="3">
        <v>0</v>
      </c>
    </row>
    <row r="582" spans="1:27" ht="36.75" x14ac:dyDescent="0.25">
      <c r="A582" s="3" t="s">
        <v>28</v>
      </c>
      <c r="B582" s="3" t="s">
        <v>29</v>
      </c>
      <c r="C582" s="3" t="s">
        <v>30</v>
      </c>
      <c r="D582" s="3" t="s">
        <v>49</v>
      </c>
      <c r="E582" s="3" t="s">
        <v>46</v>
      </c>
      <c r="F582" s="3" t="s">
        <v>126</v>
      </c>
      <c r="G582" s="3">
        <v>2025</v>
      </c>
      <c r="H582" s="3" t="str">
        <f>CONCATENATE("54240510708")</f>
        <v>54240510708</v>
      </c>
      <c r="I582" s="3" t="s">
        <v>34</v>
      </c>
      <c r="J582" s="3" t="s">
        <v>35</v>
      </c>
      <c r="K582" s="3"/>
      <c r="L582" s="3" t="s">
        <v>36</v>
      </c>
      <c r="M582" s="3" t="str">
        <f>CONCATENATE("00898770433")</f>
        <v>00898770433</v>
      </c>
      <c r="N582" s="3" t="s">
        <v>702</v>
      </c>
      <c r="O582" s="3" t="s">
        <v>38</v>
      </c>
      <c r="P582" s="3"/>
      <c r="Q582" s="4">
        <v>45944</v>
      </c>
      <c r="R582" s="3" t="s">
        <v>39</v>
      </c>
      <c r="S582" s="3" t="s">
        <v>38</v>
      </c>
      <c r="T582" s="3" t="s">
        <v>43</v>
      </c>
      <c r="U582" s="3"/>
      <c r="V582" s="3" t="s">
        <v>41</v>
      </c>
      <c r="W582" s="5">
        <v>6767.32</v>
      </c>
      <c r="X582" s="5">
        <v>6767.32</v>
      </c>
      <c r="Y582" s="3">
        <v>0</v>
      </c>
      <c r="Z582" s="3">
        <v>0</v>
      </c>
      <c r="AA582" s="3">
        <v>0</v>
      </c>
    </row>
    <row r="583" spans="1:27" ht="60.75" x14ac:dyDescent="0.25">
      <c r="A583" s="3" t="s">
        <v>28</v>
      </c>
      <c r="B583" s="3" t="s">
        <v>29</v>
      </c>
      <c r="C583" s="3" t="s">
        <v>30</v>
      </c>
      <c r="D583" s="3" t="s">
        <v>49</v>
      </c>
      <c r="E583" s="3" t="s">
        <v>32</v>
      </c>
      <c r="F583" s="3" t="s">
        <v>69</v>
      </c>
      <c r="G583" s="3">
        <v>2025</v>
      </c>
      <c r="H583" s="3" t="str">
        <f>CONCATENATE("54240510823")</f>
        <v>54240510823</v>
      </c>
      <c r="I583" s="3" t="s">
        <v>34</v>
      </c>
      <c r="J583" s="3" t="s">
        <v>35</v>
      </c>
      <c r="K583" s="3"/>
      <c r="L583" s="3" t="s">
        <v>36</v>
      </c>
      <c r="M583" s="3" t="str">
        <f>CONCATENATE("DLBGFR74B19E783D")</f>
        <v>DLBGFR74B19E783D</v>
      </c>
      <c r="N583" s="3" t="s">
        <v>703</v>
      </c>
      <c r="O583" s="3" t="s">
        <v>38</v>
      </c>
      <c r="P583" s="3"/>
      <c r="Q583" s="4">
        <v>45944</v>
      </c>
      <c r="R583" s="3" t="s">
        <v>39</v>
      </c>
      <c r="S583" s="3" t="s">
        <v>38</v>
      </c>
      <c r="T583" s="3" t="s">
        <v>43</v>
      </c>
      <c r="U583" s="3"/>
      <c r="V583" s="3" t="s">
        <v>41</v>
      </c>
      <c r="W583" s="5">
        <v>1486</v>
      </c>
      <c r="X583" s="5">
        <v>1486</v>
      </c>
      <c r="Y583" s="3">
        <v>0</v>
      </c>
      <c r="Z583" s="3">
        <v>0</v>
      </c>
      <c r="AA583" s="3">
        <v>0</v>
      </c>
    </row>
    <row r="584" spans="1:27" ht="60.75" x14ac:dyDescent="0.25">
      <c r="A584" s="3" t="s">
        <v>28</v>
      </c>
      <c r="B584" s="3" t="s">
        <v>29</v>
      </c>
      <c r="C584" s="3" t="s">
        <v>30</v>
      </c>
      <c r="D584" s="3" t="s">
        <v>49</v>
      </c>
      <c r="E584" s="3" t="s">
        <v>32</v>
      </c>
      <c r="F584" s="3" t="s">
        <v>69</v>
      </c>
      <c r="G584" s="3">
        <v>2025</v>
      </c>
      <c r="H584" s="3" t="str">
        <f>CONCATENATE("54240511037")</f>
        <v>54240511037</v>
      </c>
      <c r="I584" s="3" t="s">
        <v>34</v>
      </c>
      <c r="J584" s="3" t="s">
        <v>35</v>
      </c>
      <c r="K584" s="3"/>
      <c r="L584" s="3" t="s">
        <v>36</v>
      </c>
      <c r="M584" s="3" t="str">
        <f>CONCATENATE("SLVFNC65E24M078J")</f>
        <v>SLVFNC65E24M078J</v>
      </c>
      <c r="N584" s="3" t="s">
        <v>704</v>
      </c>
      <c r="O584" s="3" t="s">
        <v>38</v>
      </c>
      <c r="P584" s="3"/>
      <c r="Q584" s="4">
        <v>45944</v>
      </c>
      <c r="R584" s="3" t="s">
        <v>39</v>
      </c>
      <c r="S584" s="3" t="s">
        <v>38</v>
      </c>
      <c r="T584" s="3" t="s">
        <v>43</v>
      </c>
      <c r="U584" s="3"/>
      <c r="V584" s="3" t="s">
        <v>41</v>
      </c>
      <c r="W584" s="5">
        <v>15286.2</v>
      </c>
      <c r="X584" s="5">
        <v>15286.2</v>
      </c>
      <c r="Y584" s="3">
        <v>0</v>
      </c>
      <c r="Z584" s="3">
        <v>0</v>
      </c>
      <c r="AA584" s="3">
        <v>0</v>
      </c>
    </row>
    <row r="585" spans="1:27" ht="60.75" x14ac:dyDescent="0.25">
      <c r="A585" s="3" t="s">
        <v>28</v>
      </c>
      <c r="B585" s="3" t="s">
        <v>29</v>
      </c>
      <c r="C585" s="3" t="s">
        <v>30</v>
      </c>
      <c r="D585" s="3" t="s">
        <v>31</v>
      </c>
      <c r="E585" s="3" t="s">
        <v>32</v>
      </c>
      <c r="F585" s="3" t="s">
        <v>115</v>
      </c>
      <c r="G585" s="3">
        <v>2025</v>
      </c>
      <c r="H585" s="3" t="str">
        <f>CONCATENATE("54240511045")</f>
        <v>54240511045</v>
      </c>
      <c r="I585" s="3" t="s">
        <v>34</v>
      </c>
      <c r="J585" s="3" t="s">
        <v>35</v>
      </c>
      <c r="K585" s="3"/>
      <c r="L585" s="3" t="s">
        <v>36</v>
      </c>
      <c r="M585" s="3" t="str">
        <f>CONCATENATE("CRBRSN61B54L500P")</f>
        <v>CRBRSN61B54L500P</v>
      </c>
      <c r="N585" s="3" t="s">
        <v>705</v>
      </c>
      <c r="O585" s="3" t="s">
        <v>38</v>
      </c>
      <c r="P585" s="3"/>
      <c r="Q585" s="4">
        <v>45944</v>
      </c>
      <c r="R585" s="3" t="s">
        <v>39</v>
      </c>
      <c r="S585" s="3" t="s">
        <v>38</v>
      </c>
      <c r="T585" s="3" t="s">
        <v>43</v>
      </c>
      <c r="U585" s="3"/>
      <c r="V585" s="3" t="s">
        <v>41</v>
      </c>
      <c r="W585" s="5">
        <v>3599.98</v>
      </c>
      <c r="X585" s="5">
        <v>3599.98</v>
      </c>
      <c r="Y585" s="3">
        <v>0</v>
      </c>
      <c r="Z585" s="3">
        <v>0</v>
      </c>
      <c r="AA585" s="3">
        <v>0</v>
      </c>
    </row>
    <row r="586" spans="1:27" ht="60.75" x14ac:dyDescent="0.25">
      <c r="A586" s="3" t="s">
        <v>28</v>
      </c>
      <c r="B586" s="3" t="s">
        <v>29</v>
      </c>
      <c r="C586" s="3" t="s">
        <v>30</v>
      </c>
      <c r="D586" s="3" t="s">
        <v>58</v>
      </c>
      <c r="E586" s="3" t="s">
        <v>32</v>
      </c>
      <c r="F586" s="3" t="s">
        <v>100</v>
      </c>
      <c r="G586" s="3">
        <v>2025</v>
      </c>
      <c r="H586" s="3" t="str">
        <f>CONCATENATE("54240511359")</f>
        <v>54240511359</v>
      </c>
      <c r="I586" s="3" t="s">
        <v>34</v>
      </c>
      <c r="J586" s="3" t="s">
        <v>35</v>
      </c>
      <c r="K586" s="3"/>
      <c r="L586" s="3" t="s">
        <v>36</v>
      </c>
      <c r="M586" s="3" t="str">
        <f>CONCATENATE("FDRPLC63R18A769F")</f>
        <v>FDRPLC63R18A769F</v>
      </c>
      <c r="N586" s="3" t="s">
        <v>706</v>
      </c>
      <c r="O586" s="3" t="s">
        <v>38</v>
      </c>
      <c r="P586" s="3"/>
      <c r="Q586" s="4">
        <v>45944</v>
      </c>
      <c r="R586" s="3" t="s">
        <v>39</v>
      </c>
      <c r="S586" s="3" t="s">
        <v>38</v>
      </c>
      <c r="T586" s="3" t="s">
        <v>43</v>
      </c>
      <c r="U586" s="3"/>
      <c r="V586" s="3" t="s">
        <v>41</v>
      </c>
      <c r="W586" s="5">
        <v>6030.07</v>
      </c>
      <c r="X586" s="5">
        <v>6030.07</v>
      </c>
      <c r="Y586" s="3">
        <v>0</v>
      </c>
      <c r="Z586" s="3">
        <v>0</v>
      </c>
      <c r="AA586" s="3">
        <v>0</v>
      </c>
    </row>
    <row r="587" spans="1:27" ht="36.75" x14ac:dyDescent="0.25">
      <c r="A587" s="3" t="s">
        <v>28</v>
      </c>
      <c r="B587" s="3" t="s">
        <v>29</v>
      </c>
      <c r="C587" s="3" t="s">
        <v>30</v>
      </c>
      <c r="D587" s="3" t="s">
        <v>63</v>
      </c>
      <c r="E587" s="3" t="s">
        <v>91</v>
      </c>
      <c r="F587" s="3" t="s">
        <v>94</v>
      </c>
      <c r="G587" s="3">
        <v>2025</v>
      </c>
      <c r="H587" s="3" t="str">
        <f>CONCATENATE("54240511276")</f>
        <v>54240511276</v>
      </c>
      <c r="I587" s="3" t="s">
        <v>34</v>
      </c>
      <c r="J587" s="3" t="s">
        <v>35</v>
      </c>
      <c r="K587" s="3"/>
      <c r="L587" s="3" t="s">
        <v>36</v>
      </c>
      <c r="M587" s="3" t="str">
        <f>CONCATENATE("02468740440")</f>
        <v>02468740440</v>
      </c>
      <c r="N587" s="3" t="s">
        <v>707</v>
      </c>
      <c r="O587" s="3" t="s">
        <v>38</v>
      </c>
      <c r="P587" s="3"/>
      <c r="Q587" s="4">
        <v>45944</v>
      </c>
      <c r="R587" s="3" t="s">
        <v>39</v>
      </c>
      <c r="S587" s="3" t="s">
        <v>38</v>
      </c>
      <c r="T587" s="3" t="s">
        <v>43</v>
      </c>
      <c r="U587" s="3"/>
      <c r="V587" s="3" t="s">
        <v>41</v>
      </c>
      <c r="W587" s="5">
        <v>11721.84</v>
      </c>
      <c r="X587" s="5">
        <v>11721.84</v>
      </c>
      <c r="Y587" s="3">
        <v>0</v>
      </c>
      <c r="Z587" s="3">
        <v>0</v>
      </c>
      <c r="AA587" s="3">
        <v>0</v>
      </c>
    </row>
    <row r="588" spans="1:27" ht="60.75" x14ac:dyDescent="0.25">
      <c r="A588" s="3" t="s">
        <v>28</v>
      </c>
      <c r="B588" s="3" t="s">
        <v>29</v>
      </c>
      <c r="C588" s="3" t="s">
        <v>30</v>
      </c>
      <c r="D588" s="3" t="s">
        <v>49</v>
      </c>
      <c r="E588" s="3" t="s">
        <v>32</v>
      </c>
      <c r="F588" s="3" t="s">
        <v>100</v>
      </c>
      <c r="G588" s="3">
        <v>2025</v>
      </c>
      <c r="H588" s="3" t="str">
        <f>CONCATENATE("54240511599")</f>
        <v>54240511599</v>
      </c>
      <c r="I588" s="3" t="s">
        <v>34</v>
      </c>
      <c r="J588" s="3" t="s">
        <v>35</v>
      </c>
      <c r="K588" s="3"/>
      <c r="L588" s="3" t="s">
        <v>36</v>
      </c>
      <c r="M588" s="3" t="str">
        <f>CONCATENATE("FLCLRD81A09E388B")</f>
        <v>FLCLRD81A09E388B</v>
      </c>
      <c r="N588" s="3" t="s">
        <v>708</v>
      </c>
      <c r="O588" s="3" t="s">
        <v>38</v>
      </c>
      <c r="P588" s="3"/>
      <c r="Q588" s="4">
        <v>45944</v>
      </c>
      <c r="R588" s="3" t="s">
        <v>39</v>
      </c>
      <c r="S588" s="3" t="s">
        <v>38</v>
      </c>
      <c r="T588" s="3" t="s">
        <v>43</v>
      </c>
      <c r="U588" s="3"/>
      <c r="V588" s="3" t="s">
        <v>41</v>
      </c>
      <c r="W588" s="5">
        <v>7482.47</v>
      </c>
      <c r="X588" s="5">
        <v>7482.47</v>
      </c>
      <c r="Y588" s="3">
        <v>0</v>
      </c>
      <c r="Z588" s="3">
        <v>0</v>
      </c>
      <c r="AA588" s="3">
        <v>0</v>
      </c>
    </row>
    <row r="589" spans="1:27" ht="60.75" x14ac:dyDescent="0.25">
      <c r="A589" s="3" t="s">
        <v>28</v>
      </c>
      <c r="B589" s="3" t="s">
        <v>29</v>
      </c>
      <c r="C589" s="3" t="s">
        <v>30</v>
      </c>
      <c r="D589" s="3" t="s">
        <v>31</v>
      </c>
      <c r="E589" s="3" t="s">
        <v>32</v>
      </c>
      <c r="F589" s="3" t="s">
        <v>440</v>
      </c>
      <c r="G589" s="3">
        <v>2025</v>
      </c>
      <c r="H589" s="3" t="str">
        <f>CONCATENATE("54240500238")</f>
        <v>54240500238</v>
      </c>
      <c r="I589" s="3" t="s">
        <v>34</v>
      </c>
      <c r="J589" s="3" t="s">
        <v>35</v>
      </c>
      <c r="K589" s="3"/>
      <c r="L589" s="3" t="s">
        <v>36</v>
      </c>
      <c r="M589" s="3" t="str">
        <f>CONCATENATE("BTTMRZ58B23G551C")</f>
        <v>BTTMRZ58B23G551C</v>
      </c>
      <c r="N589" s="3" t="s">
        <v>709</v>
      </c>
      <c r="O589" s="3" t="s">
        <v>38</v>
      </c>
      <c r="P589" s="3"/>
      <c r="Q589" s="4">
        <v>45944</v>
      </c>
      <c r="R589" s="3" t="s">
        <v>39</v>
      </c>
      <c r="S589" s="3" t="s">
        <v>38</v>
      </c>
      <c r="T589" s="3" t="s">
        <v>43</v>
      </c>
      <c r="U589" s="3"/>
      <c r="V589" s="3" t="s">
        <v>41</v>
      </c>
      <c r="W589" s="5">
        <v>9079.3799999999992</v>
      </c>
      <c r="X589" s="5">
        <v>9079.3799999999992</v>
      </c>
      <c r="Y589" s="3">
        <v>0</v>
      </c>
      <c r="Z589" s="3">
        <v>0</v>
      </c>
      <c r="AA589" s="3">
        <v>0</v>
      </c>
    </row>
    <row r="590" spans="1:27" ht="36.75" x14ac:dyDescent="0.25">
      <c r="A590" s="3" t="s">
        <v>28</v>
      </c>
      <c r="B590" s="3" t="s">
        <v>29</v>
      </c>
      <c r="C590" s="3" t="s">
        <v>30</v>
      </c>
      <c r="D590" s="3" t="s">
        <v>31</v>
      </c>
      <c r="E590" s="3" t="s">
        <v>32</v>
      </c>
      <c r="F590" s="3" t="s">
        <v>440</v>
      </c>
      <c r="G590" s="3">
        <v>2025</v>
      </c>
      <c r="H590" s="3" t="str">
        <f>CONCATENATE("54240500303")</f>
        <v>54240500303</v>
      </c>
      <c r="I590" s="3" t="s">
        <v>34</v>
      </c>
      <c r="J590" s="3" t="s">
        <v>35</v>
      </c>
      <c r="K590" s="3"/>
      <c r="L590" s="3" t="s">
        <v>36</v>
      </c>
      <c r="M590" s="3" t="str">
        <f>CONCATENATE("00699090411")</f>
        <v>00699090411</v>
      </c>
      <c r="N590" s="3" t="s">
        <v>710</v>
      </c>
      <c r="O590" s="3" t="s">
        <v>38</v>
      </c>
      <c r="P590" s="3"/>
      <c r="Q590" s="4">
        <v>45944</v>
      </c>
      <c r="R590" s="3" t="s">
        <v>39</v>
      </c>
      <c r="S590" s="3" t="s">
        <v>38</v>
      </c>
      <c r="T590" s="3" t="s">
        <v>43</v>
      </c>
      <c r="U590" s="3"/>
      <c r="V590" s="3" t="s">
        <v>41</v>
      </c>
      <c r="W590" s="5">
        <v>6490.18</v>
      </c>
      <c r="X590" s="5">
        <v>6490.18</v>
      </c>
      <c r="Y590" s="3">
        <v>0</v>
      </c>
      <c r="Z590" s="3">
        <v>0</v>
      </c>
      <c r="AA590" s="3">
        <v>0</v>
      </c>
    </row>
    <row r="591" spans="1:27" ht="60.75" x14ac:dyDescent="0.25">
      <c r="A591" s="3" t="s">
        <v>28</v>
      </c>
      <c r="B591" s="3" t="s">
        <v>29</v>
      </c>
      <c r="C591" s="3" t="s">
        <v>30</v>
      </c>
      <c r="D591" s="3" t="s">
        <v>63</v>
      </c>
      <c r="E591" s="3" t="s">
        <v>64</v>
      </c>
      <c r="F591" s="3" t="s">
        <v>65</v>
      </c>
      <c r="G591" s="3">
        <v>2025</v>
      </c>
      <c r="H591" s="3" t="str">
        <f>CONCATENATE("54240590460")</f>
        <v>54240590460</v>
      </c>
      <c r="I591" s="3" t="s">
        <v>34</v>
      </c>
      <c r="J591" s="3" t="s">
        <v>35</v>
      </c>
      <c r="K591" s="3"/>
      <c r="L591" s="3" t="s">
        <v>36</v>
      </c>
      <c r="M591" s="3" t="str">
        <f>CONCATENATE("STRJGS86T03H769W")</f>
        <v>STRJGS86T03H769W</v>
      </c>
      <c r="N591" s="3" t="s">
        <v>711</v>
      </c>
      <c r="O591" s="3" t="s">
        <v>38</v>
      </c>
      <c r="P591" s="3"/>
      <c r="Q591" s="4">
        <v>45944</v>
      </c>
      <c r="R591" s="3" t="s">
        <v>39</v>
      </c>
      <c r="S591" s="3" t="s">
        <v>38</v>
      </c>
      <c r="T591" s="3" t="s">
        <v>43</v>
      </c>
      <c r="U591" s="3"/>
      <c r="V591" s="3" t="s">
        <v>41</v>
      </c>
      <c r="W591" s="5">
        <v>1046.94</v>
      </c>
      <c r="X591" s="5">
        <v>1046.94</v>
      </c>
      <c r="Y591" s="3">
        <v>0</v>
      </c>
      <c r="Z591" s="3">
        <v>0</v>
      </c>
      <c r="AA591" s="3">
        <v>0</v>
      </c>
    </row>
    <row r="592" spans="1:27" ht="60.75" x14ac:dyDescent="0.25">
      <c r="A592" s="3" t="s">
        <v>28</v>
      </c>
      <c r="B592" s="3" t="s">
        <v>29</v>
      </c>
      <c r="C592" s="3" t="s">
        <v>30</v>
      </c>
      <c r="D592" s="3" t="s">
        <v>63</v>
      </c>
      <c r="E592" s="3" t="s">
        <v>64</v>
      </c>
      <c r="F592" s="3" t="s">
        <v>65</v>
      </c>
      <c r="G592" s="3">
        <v>2025</v>
      </c>
      <c r="H592" s="3" t="str">
        <f>CONCATENATE("54240590486")</f>
        <v>54240590486</v>
      </c>
      <c r="I592" s="3" t="s">
        <v>34</v>
      </c>
      <c r="J592" s="3" t="s">
        <v>35</v>
      </c>
      <c r="K592" s="3"/>
      <c r="L592" s="3" t="s">
        <v>36</v>
      </c>
      <c r="M592" s="3" t="str">
        <f>CONCATENATE("CNDFRC95T62H769M")</f>
        <v>CNDFRC95T62H769M</v>
      </c>
      <c r="N592" s="3" t="s">
        <v>712</v>
      </c>
      <c r="O592" s="3" t="s">
        <v>38</v>
      </c>
      <c r="P592" s="3"/>
      <c r="Q592" s="4">
        <v>45944</v>
      </c>
      <c r="R592" s="3" t="s">
        <v>39</v>
      </c>
      <c r="S592" s="3" t="s">
        <v>38</v>
      </c>
      <c r="T592" s="3" t="s">
        <v>43</v>
      </c>
      <c r="U592" s="3"/>
      <c r="V592" s="3" t="s">
        <v>41</v>
      </c>
      <c r="W592" s="5">
        <v>8789.77</v>
      </c>
      <c r="X592" s="5">
        <v>8789.77</v>
      </c>
      <c r="Y592" s="3">
        <v>0</v>
      </c>
      <c r="Z592" s="3">
        <v>0</v>
      </c>
      <c r="AA592" s="3">
        <v>0</v>
      </c>
    </row>
    <row r="593" spans="1:27" ht="60.75" x14ac:dyDescent="0.25">
      <c r="A593" s="3" t="s">
        <v>28</v>
      </c>
      <c r="B593" s="3" t="s">
        <v>29</v>
      </c>
      <c r="C593" s="3" t="s">
        <v>30</v>
      </c>
      <c r="D593" s="3" t="s">
        <v>31</v>
      </c>
      <c r="E593" s="3" t="s">
        <v>53</v>
      </c>
      <c r="F593" s="3" t="s">
        <v>82</v>
      </c>
      <c r="G593" s="3">
        <v>2025</v>
      </c>
      <c r="H593" s="3" t="str">
        <f>CONCATENATE("54240590320")</f>
        <v>54240590320</v>
      </c>
      <c r="I593" s="3" t="s">
        <v>34</v>
      </c>
      <c r="J593" s="3" t="s">
        <v>35</v>
      </c>
      <c r="K593" s="3"/>
      <c r="L593" s="3" t="s">
        <v>36</v>
      </c>
      <c r="M593" s="3" t="str">
        <f>CONCATENATE("GLNNTN48T30D541L")</f>
        <v>GLNNTN48T30D541L</v>
      </c>
      <c r="N593" s="3" t="s">
        <v>713</v>
      </c>
      <c r="O593" s="3" t="s">
        <v>38</v>
      </c>
      <c r="P593" s="3"/>
      <c r="Q593" s="4">
        <v>45944</v>
      </c>
      <c r="R593" s="3" t="s">
        <v>39</v>
      </c>
      <c r="S593" s="3" t="s">
        <v>38</v>
      </c>
      <c r="T593" s="3" t="s">
        <v>43</v>
      </c>
      <c r="U593" s="3"/>
      <c r="V593" s="3" t="s">
        <v>41</v>
      </c>
      <c r="W593" s="3">
        <v>412.66</v>
      </c>
      <c r="X593" s="3">
        <v>412.66</v>
      </c>
      <c r="Y593" s="3">
        <v>0</v>
      </c>
      <c r="Z593" s="3">
        <v>0</v>
      </c>
      <c r="AA593" s="3">
        <v>0</v>
      </c>
    </row>
    <row r="594" spans="1:27" ht="60.75" x14ac:dyDescent="0.25">
      <c r="A594" s="3" t="s">
        <v>28</v>
      </c>
      <c r="B594" s="3" t="s">
        <v>29</v>
      </c>
      <c r="C594" s="3" t="s">
        <v>30</v>
      </c>
      <c r="D594" s="3" t="s">
        <v>49</v>
      </c>
      <c r="E594" s="3" t="s">
        <v>32</v>
      </c>
      <c r="F594" s="3" t="s">
        <v>86</v>
      </c>
      <c r="G594" s="3">
        <v>2025</v>
      </c>
      <c r="H594" s="3" t="str">
        <f>CONCATENATE("54240590502")</f>
        <v>54240590502</v>
      </c>
      <c r="I594" s="3" t="s">
        <v>34</v>
      </c>
      <c r="J594" s="3" t="s">
        <v>35</v>
      </c>
      <c r="K594" s="3"/>
      <c r="L594" s="3" t="s">
        <v>36</v>
      </c>
      <c r="M594" s="3" t="str">
        <f>CONCATENATE("FTTSMN98H29I156K")</f>
        <v>FTTSMN98H29I156K</v>
      </c>
      <c r="N594" s="3" t="s">
        <v>714</v>
      </c>
      <c r="O594" s="3" t="s">
        <v>38</v>
      </c>
      <c r="P594" s="3"/>
      <c r="Q594" s="4">
        <v>45944</v>
      </c>
      <c r="R594" s="3" t="s">
        <v>39</v>
      </c>
      <c r="S594" s="3" t="s">
        <v>38</v>
      </c>
      <c r="T594" s="3" t="s">
        <v>43</v>
      </c>
      <c r="U594" s="3"/>
      <c r="V594" s="3" t="s">
        <v>41</v>
      </c>
      <c r="W594" s="5">
        <v>7532.24</v>
      </c>
      <c r="X594" s="5">
        <v>7532.24</v>
      </c>
      <c r="Y594" s="3">
        <v>0</v>
      </c>
      <c r="Z594" s="3">
        <v>0</v>
      </c>
      <c r="AA594" s="3">
        <v>0</v>
      </c>
    </row>
    <row r="595" spans="1:27" ht="72.75" x14ac:dyDescent="0.25">
      <c r="A595" s="3" t="s">
        <v>28</v>
      </c>
      <c r="B595" s="3" t="s">
        <v>29</v>
      </c>
      <c r="C595" s="3" t="s">
        <v>30</v>
      </c>
      <c r="D595" s="3" t="s">
        <v>31</v>
      </c>
      <c r="E595" s="3" t="s">
        <v>53</v>
      </c>
      <c r="F595" s="3" t="s">
        <v>172</v>
      </c>
      <c r="G595" s="3">
        <v>2025</v>
      </c>
      <c r="H595" s="3" t="str">
        <f>CONCATENATE("54240592482")</f>
        <v>54240592482</v>
      </c>
      <c r="I595" s="3" t="s">
        <v>34</v>
      </c>
      <c r="J595" s="3" t="s">
        <v>35</v>
      </c>
      <c r="K595" s="3"/>
      <c r="L595" s="3" t="s">
        <v>36</v>
      </c>
      <c r="M595" s="3" t="str">
        <f>CONCATENATE("FRTGRL05B19D488G")</f>
        <v>FRTGRL05B19D488G</v>
      </c>
      <c r="N595" s="3" t="s">
        <v>715</v>
      </c>
      <c r="O595" s="3" t="s">
        <v>38</v>
      </c>
      <c r="P595" s="3"/>
      <c r="Q595" s="4">
        <v>45944</v>
      </c>
      <c r="R595" s="3" t="s">
        <v>39</v>
      </c>
      <c r="S595" s="3" t="s">
        <v>38</v>
      </c>
      <c r="T595" s="3" t="s">
        <v>43</v>
      </c>
      <c r="U595" s="3"/>
      <c r="V595" s="3" t="s">
        <v>41</v>
      </c>
      <c r="W595" s="5">
        <v>5238.6099999999997</v>
      </c>
      <c r="X595" s="5">
        <v>5238.6099999999997</v>
      </c>
      <c r="Y595" s="3">
        <v>0</v>
      </c>
      <c r="Z595" s="3">
        <v>0</v>
      </c>
      <c r="AA595" s="3">
        <v>0</v>
      </c>
    </row>
    <row r="596" spans="1:27" ht="60.75" x14ac:dyDescent="0.25">
      <c r="A596" s="3" t="s">
        <v>28</v>
      </c>
      <c r="B596" s="3" t="s">
        <v>29</v>
      </c>
      <c r="C596" s="3" t="s">
        <v>30</v>
      </c>
      <c r="D596" s="3" t="s">
        <v>31</v>
      </c>
      <c r="E596" s="3" t="s">
        <v>32</v>
      </c>
      <c r="F596" s="3" t="s">
        <v>44</v>
      </c>
      <c r="G596" s="3">
        <v>2025</v>
      </c>
      <c r="H596" s="3" t="str">
        <f>CONCATENATE("54240591583")</f>
        <v>54240591583</v>
      </c>
      <c r="I596" s="3" t="s">
        <v>34</v>
      </c>
      <c r="J596" s="3" t="s">
        <v>35</v>
      </c>
      <c r="K596" s="3"/>
      <c r="L596" s="3" t="s">
        <v>36</v>
      </c>
      <c r="M596" s="3" t="str">
        <f>CONCATENATE("DRUFNC63C69B636V")</f>
        <v>DRUFNC63C69B636V</v>
      </c>
      <c r="N596" s="3" t="s">
        <v>716</v>
      </c>
      <c r="O596" s="3" t="s">
        <v>38</v>
      </c>
      <c r="P596" s="3"/>
      <c r="Q596" s="4">
        <v>45944</v>
      </c>
      <c r="R596" s="3" t="s">
        <v>39</v>
      </c>
      <c r="S596" s="3" t="s">
        <v>38</v>
      </c>
      <c r="T596" s="3" t="s">
        <v>43</v>
      </c>
      <c r="U596" s="3"/>
      <c r="V596" s="3" t="s">
        <v>41</v>
      </c>
      <c r="W596" s="5">
        <v>1460.27</v>
      </c>
      <c r="X596" s="5">
        <v>1460.27</v>
      </c>
      <c r="Y596" s="3">
        <v>0</v>
      </c>
      <c r="Z596" s="3">
        <v>0</v>
      </c>
      <c r="AA596" s="3">
        <v>0</v>
      </c>
    </row>
    <row r="597" spans="1:27" ht="36.75" x14ac:dyDescent="0.25">
      <c r="A597" s="3" t="s">
        <v>28</v>
      </c>
      <c r="B597" s="3" t="s">
        <v>29</v>
      </c>
      <c r="C597" s="3" t="s">
        <v>30</v>
      </c>
      <c r="D597" s="3" t="s">
        <v>58</v>
      </c>
      <c r="E597" s="3" t="s">
        <v>32</v>
      </c>
      <c r="F597" s="3" t="s">
        <v>96</v>
      </c>
      <c r="G597" s="3">
        <v>2025</v>
      </c>
      <c r="H597" s="3" t="str">
        <f>CONCATENATE("54240591724")</f>
        <v>54240591724</v>
      </c>
      <c r="I597" s="3" t="s">
        <v>34</v>
      </c>
      <c r="J597" s="3" t="s">
        <v>35</v>
      </c>
      <c r="K597" s="3"/>
      <c r="L597" s="3" t="s">
        <v>36</v>
      </c>
      <c r="M597" s="3" t="str">
        <f>CONCATENATE("81002710424")</f>
        <v>81002710424</v>
      </c>
      <c r="N597" s="3" t="s">
        <v>717</v>
      </c>
      <c r="O597" s="3" t="s">
        <v>38</v>
      </c>
      <c r="P597" s="3"/>
      <c r="Q597" s="4">
        <v>45944</v>
      </c>
      <c r="R597" s="3" t="s">
        <v>39</v>
      </c>
      <c r="S597" s="3" t="s">
        <v>38</v>
      </c>
      <c r="T597" s="3" t="s">
        <v>43</v>
      </c>
      <c r="U597" s="3"/>
      <c r="V597" s="3" t="s">
        <v>41</v>
      </c>
      <c r="W597" s="5">
        <v>4793.58</v>
      </c>
      <c r="X597" s="5">
        <v>4793.58</v>
      </c>
      <c r="Y597" s="3">
        <v>0</v>
      </c>
      <c r="Z597" s="3">
        <v>0</v>
      </c>
      <c r="AA597" s="3">
        <v>0</v>
      </c>
    </row>
    <row r="598" spans="1:27" ht="60.75" x14ac:dyDescent="0.25">
      <c r="A598" s="3" t="s">
        <v>28</v>
      </c>
      <c r="B598" s="3" t="s">
        <v>29</v>
      </c>
      <c r="C598" s="3" t="s">
        <v>30</v>
      </c>
      <c r="D598" s="3" t="s">
        <v>31</v>
      </c>
      <c r="E598" s="3" t="s">
        <v>32</v>
      </c>
      <c r="F598" s="3" t="s">
        <v>153</v>
      </c>
      <c r="G598" s="3">
        <v>2025</v>
      </c>
      <c r="H598" s="3" t="str">
        <f>CONCATENATE("54240592383")</f>
        <v>54240592383</v>
      </c>
      <c r="I598" s="3" t="s">
        <v>149</v>
      </c>
      <c r="J598" s="3" t="s">
        <v>35</v>
      </c>
      <c r="K598" s="3"/>
      <c r="L598" s="3" t="s">
        <v>36</v>
      </c>
      <c r="M598" s="3" t="str">
        <f>CONCATENATE("FTTGLI93T71L500E")</f>
        <v>FTTGLI93T71L500E</v>
      </c>
      <c r="N598" s="3" t="s">
        <v>718</v>
      </c>
      <c r="O598" s="3" t="s">
        <v>38</v>
      </c>
      <c r="P598" s="3"/>
      <c r="Q598" s="4">
        <v>45944</v>
      </c>
      <c r="R598" s="3" t="s">
        <v>39</v>
      </c>
      <c r="S598" s="3" t="s">
        <v>38</v>
      </c>
      <c r="T598" s="3" t="s">
        <v>43</v>
      </c>
      <c r="U598" s="3"/>
      <c r="V598" s="3" t="s">
        <v>41</v>
      </c>
      <c r="W598" s="3">
        <v>806.57</v>
      </c>
      <c r="X598" s="3">
        <v>806.57</v>
      </c>
      <c r="Y598" s="3">
        <v>0</v>
      </c>
      <c r="Z598" s="3">
        <v>0</v>
      </c>
      <c r="AA598" s="3">
        <v>0</v>
      </c>
    </row>
    <row r="599" spans="1:27" ht="36.75" x14ac:dyDescent="0.25">
      <c r="A599" s="3" t="s">
        <v>28</v>
      </c>
      <c r="B599" s="3" t="s">
        <v>29</v>
      </c>
      <c r="C599" s="3" t="s">
        <v>30</v>
      </c>
      <c r="D599" s="3" t="s">
        <v>49</v>
      </c>
      <c r="E599" s="3" t="s">
        <v>46</v>
      </c>
      <c r="F599" s="3" t="s">
        <v>205</v>
      </c>
      <c r="G599" s="3">
        <v>2025</v>
      </c>
      <c r="H599" s="3" t="str">
        <f>CONCATENATE("54240592508")</f>
        <v>54240592508</v>
      </c>
      <c r="I599" s="3" t="s">
        <v>34</v>
      </c>
      <c r="J599" s="3" t="s">
        <v>35</v>
      </c>
      <c r="K599" s="3"/>
      <c r="L599" s="3" t="s">
        <v>36</v>
      </c>
      <c r="M599" s="3" t="str">
        <f>CONCATENATE("02046650434")</f>
        <v>02046650434</v>
      </c>
      <c r="N599" s="3" t="s">
        <v>719</v>
      </c>
      <c r="O599" s="3" t="s">
        <v>38</v>
      </c>
      <c r="P599" s="3"/>
      <c r="Q599" s="4">
        <v>45944</v>
      </c>
      <c r="R599" s="3" t="s">
        <v>39</v>
      </c>
      <c r="S599" s="3" t="s">
        <v>38</v>
      </c>
      <c r="T599" s="3" t="s">
        <v>43</v>
      </c>
      <c r="U599" s="3"/>
      <c r="V599" s="3" t="s">
        <v>41</v>
      </c>
      <c r="W599" s="5">
        <v>4620.24</v>
      </c>
      <c r="X599" s="5">
        <v>4620.24</v>
      </c>
      <c r="Y599" s="3">
        <v>0</v>
      </c>
      <c r="Z599" s="3">
        <v>0</v>
      </c>
      <c r="AA599" s="3">
        <v>0</v>
      </c>
    </row>
    <row r="600" spans="1:27" ht="60.75" x14ac:dyDescent="0.25">
      <c r="A600" s="3" t="s">
        <v>28</v>
      </c>
      <c r="B600" s="3" t="s">
        <v>29</v>
      </c>
      <c r="C600" s="3" t="s">
        <v>30</v>
      </c>
      <c r="D600" s="3" t="s">
        <v>31</v>
      </c>
      <c r="E600" s="3" t="s">
        <v>53</v>
      </c>
      <c r="F600" s="3" t="s">
        <v>172</v>
      </c>
      <c r="G600" s="3">
        <v>2025</v>
      </c>
      <c r="H600" s="3" t="str">
        <f>CONCATENATE("54240592763")</f>
        <v>54240592763</v>
      </c>
      <c r="I600" s="3" t="s">
        <v>34</v>
      </c>
      <c r="J600" s="3" t="s">
        <v>35</v>
      </c>
      <c r="K600" s="3"/>
      <c r="L600" s="3" t="s">
        <v>36</v>
      </c>
      <c r="M600" s="3" t="str">
        <f>CONCATENATE("CLSLNZ70H45L219R")</f>
        <v>CLSLNZ70H45L219R</v>
      </c>
      <c r="N600" s="3" t="s">
        <v>720</v>
      </c>
      <c r="O600" s="3" t="s">
        <v>38</v>
      </c>
      <c r="P600" s="3"/>
      <c r="Q600" s="4">
        <v>45944</v>
      </c>
      <c r="R600" s="3" t="s">
        <v>39</v>
      </c>
      <c r="S600" s="3" t="s">
        <v>38</v>
      </c>
      <c r="T600" s="3" t="s">
        <v>43</v>
      </c>
      <c r="U600" s="3"/>
      <c r="V600" s="3" t="s">
        <v>41</v>
      </c>
      <c r="W600" s="5">
        <v>10248.290000000001</v>
      </c>
      <c r="X600" s="5">
        <v>10248.290000000001</v>
      </c>
      <c r="Y600" s="3">
        <v>0</v>
      </c>
      <c r="Z600" s="3">
        <v>0</v>
      </c>
      <c r="AA600" s="3">
        <v>0</v>
      </c>
    </row>
    <row r="601" spans="1:27" ht="60.75" x14ac:dyDescent="0.25">
      <c r="A601" s="3" t="s">
        <v>28</v>
      </c>
      <c r="B601" s="3" t="s">
        <v>29</v>
      </c>
      <c r="C601" s="3" t="s">
        <v>30</v>
      </c>
      <c r="D601" s="3" t="s">
        <v>31</v>
      </c>
      <c r="E601" s="3" t="s">
        <v>32</v>
      </c>
      <c r="F601" s="3" t="s">
        <v>153</v>
      </c>
      <c r="G601" s="3">
        <v>2025</v>
      </c>
      <c r="H601" s="3" t="str">
        <f>CONCATENATE("54240592243")</f>
        <v>54240592243</v>
      </c>
      <c r="I601" s="3" t="s">
        <v>34</v>
      </c>
      <c r="J601" s="3" t="s">
        <v>35</v>
      </c>
      <c r="K601" s="3"/>
      <c r="L601" s="3" t="s">
        <v>36</v>
      </c>
      <c r="M601" s="3" t="str">
        <f>CONCATENATE("LCRLRT78R22D749H")</f>
        <v>LCRLRT78R22D749H</v>
      </c>
      <c r="N601" s="3" t="s">
        <v>721</v>
      </c>
      <c r="O601" s="3" t="s">
        <v>38</v>
      </c>
      <c r="P601" s="3"/>
      <c r="Q601" s="4">
        <v>45944</v>
      </c>
      <c r="R601" s="3" t="s">
        <v>39</v>
      </c>
      <c r="S601" s="3" t="s">
        <v>38</v>
      </c>
      <c r="T601" s="3" t="s">
        <v>43</v>
      </c>
      <c r="U601" s="3"/>
      <c r="V601" s="3" t="s">
        <v>41</v>
      </c>
      <c r="W601" s="5">
        <v>5712.21</v>
      </c>
      <c r="X601" s="5">
        <v>5712.21</v>
      </c>
      <c r="Y601" s="3">
        <v>0</v>
      </c>
      <c r="Z601" s="3">
        <v>0</v>
      </c>
      <c r="AA601" s="3">
        <v>0</v>
      </c>
    </row>
    <row r="602" spans="1:27" ht="60.75" x14ac:dyDescent="0.25">
      <c r="A602" s="3" t="s">
        <v>28</v>
      </c>
      <c r="B602" s="3" t="s">
        <v>29</v>
      </c>
      <c r="C602" s="3" t="s">
        <v>30</v>
      </c>
      <c r="D602" s="3" t="s">
        <v>31</v>
      </c>
      <c r="E602" s="3" t="s">
        <v>74</v>
      </c>
      <c r="F602" s="3" t="s">
        <v>75</v>
      </c>
      <c r="G602" s="3">
        <v>2025</v>
      </c>
      <c r="H602" s="3" t="str">
        <f>CONCATENATE("54240592946")</f>
        <v>54240592946</v>
      </c>
      <c r="I602" s="3" t="s">
        <v>34</v>
      </c>
      <c r="J602" s="3" t="s">
        <v>35</v>
      </c>
      <c r="K602" s="3"/>
      <c r="L602" s="3" t="s">
        <v>36</v>
      </c>
      <c r="M602" s="3" t="str">
        <f>CONCATENATE("BNCSMN71R06D749X")</f>
        <v>BNCSMN71R06D749X</v>
      </c>
      <c r="N602" s="3" t="s">
        <v>722</v>
      </c>
      <c r="O602" s="3" t="s">
        <v>38</v>
      </c>
      <c r="P602" s="3"/>
      <c r="Q602" s="4">
        <v>45944</v>
      </c>
      <c r="R602" s="3" t="s">
        <v>39</v>
      </c>
      <c r="S602" s="3" t="s">
        <v>38</v>
      </c>
      <c r="T602" s="3" t="s">
        <v>43</v>
      </c>
      <c r="U602" s="3"/>
      <c r="V602" s="3" t="s">
        <v>41</v>
      </c>
      <c r="W602" s="5">
        <v>4831.62</v>
      </c>
      <c r="X602" s="5">
        <v>4831.62</v>
      </c>
      <c r="Y602" s="3">
        <v>0</v>
      </c>
      <c r="Z602" s="3">
        <v>0</v>
      </c>
      <c r="AA602" s="3">
        <v>0</v>
      </c>
    </row>
    <row r="603" spans="1:27" ht="36.75" x14ac:dyDescent="0.25">
      <c r="A603" s="3" t="s">
        <v>28</v>
      </c>
      <c r="B603" s="3" t="s">
        <v>29</v>
      </c>
      <c r="C603" s="3" t="s">
        <v>30</v>
      </c>
      <c r="D603" s="3" t="s">
        <v>31</v>
      </c>
      <c r="E603" s="3" t="s">
        <v>53</v>
      </c>
      <c r="F603" s="3" t="s">
        <v>172</v>
      </c>
      <c r="G603" s="3">
        <v>2025</v>
      </c>
      <c r="H603" s="3" t="str">
        <f>CONCATENATE("54240592904")</f>
        <v>54240592904</v>
      </c>
      <c r="I603" s="3" t="s">
        <v>34</v>
      </c>
      <c r="J603" s="3" t="s">
        <v>35</v>
      </c>
      <c r="K603" s="3"/>
      <c r="L603" s="3" t="s">
        <v>36</v>
      </c>
      <c r="M603" s="3" t="str">
        <f>CONCATENATE("02680870413")</f>
        <v>02680870413</v>
      </c>
      <c r="N603" s="3" t="s">
        <v>723</v>
      </c>
      <c r="O603" s="3" t="s">
        <v>38</v>
      </c>
      <c r="P603" s="3"/>
      <c r="Q603" s="4">
        <v>45944</v>
      </c>
      <c r="R603" s="3" t="s">
        <v>39</v>
      </c>
      <c r="S603" s="3" t="s">
        <v>38</v>
      </c>
      <c r="T603" s="3" t="s">
        <v>43</v>
      </c>
      <c r="U603" s="3"/>
      <c r="V603" s="3" t="s">
        <v>41</v>
      </c>
      <c r="W603" s="3">
        <v>614.61</v>
      </c>
      <c r="X603" s="3">
        <v>614.61</v>
      </c>
      <c r="Y603" s="3">
        <v>0</v>
      </c>
      <c r="Z603" s="3">
        <v>0</v>
      </c>
      <c r="AA603" s="3">
        <v>0</v>
      </c>
    </row>
    <row r="604" spans="1:27" ht="72.75" x14ac:dyDescent="0.25">
      <c r="A604" s="3" t="s">
        <v>28</v>
      </c>
      <c r="B604" s="3" t="s">
        <v>29</v>
      </c>
      <c r="C604" s="3" t="s">
        <v>30</v>
      </c>
      <c r="D604" s="3" t="s">
        <v>58</v>
      </c>
      <c r="E604" s="3" t="s">
        <v>32</v>
      </c>
      <c r="F604" s="3" t="s">
        <v>471</v>
      </c>
      <c r="G604" s="3">
        <v>2025</v>
      </c>
      <c r="H604" s="3" t="str">
        <f>CONCATENATE("54240592995")</f>
        <v>54240592995</v>
      </c>
      <c r="I604" s="3" t="s">
        <v>34</v>
      </c>
      <c r="J604" s="3" t="s">
        <v>35</v>
      </c>
      <c r="K604" s="3"/>
      <c r="L604" s="3" t="s">
        <v>36</v>
      </c>
      <c r="M604" s="3" t="str">
        <f>CONCATENATE("LMNMSM70H21I461B")</f>
        <v>LMNMSM70H21I461B</v>
      </c>
      <c r="N604" s="3" t="s">
        <v>724</v>
      </c>
      <c r="O604" s="3" t="s">
        <v>38</v>
      </c>
      <c r="P604" s="3"/>
      <c r="Q604" s="4">
        <v>45944</v>
      </c>
      <c r="R604" s="3" t="s">
        <v>39</v>
      </c>
      <c r="S604" s="3" t="s">
        <v>38</v>
      </c>
      <c r="T604" s="3" t="s">
        <v>43</v>
      </c>
      <c r="U604" s="3"/>
      <c r="V604" s="3" t="s">
        <v>41</v>
      </c>
      <c r="W604" s="5">
        <v>2560.25</v>
      </c>
      <c r="X604" s="5">
        <v>2560.25</v>
      </c>
      <c r="Y604" s="3">
        <v>0</v>
      </c>
      <c r="Z604" s="3">
        <v>0</v>
      </c>
      <c r="AA604" s="3">
        <v>0</v>
      </c>
    </row>
    <row r="605" spans="1:27" ht="60.75" x14ac:dyDescent="0.25">
      <c r="A605" s="3" t="s">
        <v>28</v>
      </c>
      <c r="B605" s="3" t="s">
        <v>29</v>
      </c>
      <c r="C605" s="3" t="s">
        <v>30</v>
      </c>
      <c r="D605" s="3" t="s">
        <v>49</v>
      </c>
      <c r="E605" s="3" t="s">
        <v>32</v>
      </c>
      <c r="F605" s="3" t="s">
        <v>71</v>
      </c>
      <c r="G605" s="3">
        <v>2025</v>
      </c>
      <c r="H605" s="3" t="str">
        <f>CONCATENATE("54240593035")</f>
        <v>54240593035</v>
      </c>
      <c r="I605" s="3" t="s">
        <v>34</v>
      </c>
      <c r="J605" s="3" t="s">
        <v>35</v>
      </c>
      <c r="K605" s="3"/>
      <c r="L605" s="3" t="s">
        <v>36</v>
      </c>
      <c r="M605" s="3" t="str">
        <f>CONCATENATE("LSNCRN77E60A462V")</f>
        <v>LSNCRN77E60A462V</v>
      </c>
      <c r="N605" s="3" t="s">
        <v>725</v>
      </c>
      <c r="O605" s="3" t="s">
        <v>38</v>
      </c>
      <c r="P605" s="3"/>
      <c r="Q605" s="4">
        <v>45944</v>
      </c>
      <c r="R605" s="3" t="s">
        <v>39</v>
      </c>
      <c r="S605" s="3" t="s">
        <v>38</v>
      </c>
      <c r="T605" s="3" t="s">
        <v>43</v>
      </c>
      <c r="U605" s="3"/>
      <c r="V605" s="3" t="s">
        <v>41</v>
      </c>
      <c r="W605" s="5">
        <v>1099.19</v>
      </c>
      <c r="X605" s="5">
        <v>1099.19</v>
      </c>
      <c r="Y605" s="3">
        <v>0</v>
      </c>
      <c r="Z605" s="3">
        <v>0</v>
      </c>
      <c r="AA605" s="3">
        <v>0</v>
      </c>
    </row>
    <row r="606" spans="1:27" ht="60.75" x14ac:dyDescent="0.25">
      <c r="A606" s="3" t="s">
        <v>28</v>
      </c>
      <c r="B606" s="3" t="s">
        <v>29</v>
      </c>
      <c r="C606" s="3" t="s">
        <v>30</v>
      </c>
      <c r="D606" s="3" t="s">
        <v>58</v>
      </c>
      <c r="E606" s="3" t="s">
        <v>32</v>
      </c>
      <c r="F606" s="3" t="s">
        <v>471</v>
      </c>
      <c r="G606" s="3">
        <v>2025</v>
      </c>
      <c r="H606" s="3" t="str">
        <f>CONCATENATE("54240592748")</f>
        <v>54240592748</v>
      </c>
      <c r="I606" s="3" t="s">
        <v>34</v>
      </c>
      <c r="J606" s="3" t="s">
        <v>35</v>
      </c>
      <c r="K606" s="3"/>
      <c r="L606" s="3" t="s">
        <v>36</v>
      </c>
      <c r="M606" s="3" t="str">
        <f>CONCATENATE("LSSSFN83T26D451S")</f>
        <v>LSSSFN83T26D451S</v>
      </c>
      <c r="N606" s="3" t="s">
        <v>726</v>
      </c>
      <c r="O606" s="3" t="s">
        <v>38</v>
      </c>
      <c r="P606" s="3"/>
      <c r="Q606" s="4">
        <v>45944</v>
      </c>
      <c r="R606" s="3" t="s">
        <v>39</v>
      </c>
      <c r="S606" s="3" t="s">
        <v>38</v>
      </c>
      <c r="T606" s="3" t="s">
        <v>43</v>
      </c>
      <c r="U606" s="3"/>
      <c r="V606" s="3" t="s">
        <v>41</v>
      </c>
      <c r="W606" s="5">
        <v>2961.71</v>
      </c>
      <c r="X606" s="5">
        <v>2961.71</v>
      </c>
      <c r="Y606" s="3">
        <v>0</v>
      </c>
      <c r="Z606" s="3">
        <v>0</v>
      </c>
      <c r="AA606" s="3">
        <v>0</v>
      </c>
    </row>
    <row r="607" spans="1:27" ht="60.75" x14ac:dyDescent="0.25">
      <c r="A607" s="3" t="s">
        <v>28</v>
      </c>
      <c r="B607" s="3" t="s">
        <v>29</v>
      </c>
      <c r="C607" s="3" t="s">
        <v>30</v>
      </c>
      <c r="D607" s="3" t="s">
        <v>58</v>
      </c>
      <c r="E607" s="3" t="s">
        <v>32</v>
      </c>
      <c r="F607" s="3" t="s">
        <v>471</v>
      </c>
      <c r="G607" s="3">
        <v>2025</v>
      </c>
      <c r="H607" s="3" t="str">
        <f>CONCATENATE("54240592953")</f>
        <v>54240592953</v>
      </c>
      <c r="I607" s="3" t="s">
        <v>34</v>
      </c>
      <c r="J607" s="3" t="s">
        <v>35</v>
      </c>
      <c r="K607" s="3"/>
      <c r="L607" s="3" t="s">
        <v>36</v>
      </c>
      <c r="M607" s="3" t="str">
        <f>CONCATENATE("LZZLEI59L44A366R")</f>
        <v>LZZLEI59L44A366R</v>
      </c>
      <c r="N607" s="3" t="s">
        <v>727</v>
      </c>
      <c r="O607" s="3" t="s">
        <v>38</v>
      </c>
      <c r="P607" s="3"/>
      <c r="Q607" s="4">
        <v>45944</v>
      </c>
      <c r="R607" s="3" t="s">
        <v>39</v>
      </c>
      <c r="S607" s="3" t="s">
        <v>38</v>
      </c>
      <c r="T607" s="3" t="s">
        <v>43</v>
      </c>
      <c r="U607" s="3"/>
      <c r="V607" s="3" t="s">
        <v>41</v>
      </c>
      <c r="W607" s="5">
        <v>1662.91</v>
      </c>
      <c r="X607" s="5">
        <v>1662.91</v>
      </c>
      <c r="Y607" s="3">
        <v>0</v>
      </c>
      <c r="Z607" s="3">
        <v>0</v>
      </c>
      <c r="AA607" s="3">
        <v>0</v>
      </c>
    </row>
    <row r="608" spans="1:27" ht="60.75" x14ac:dyDescent="0.25">
      <c r="A608" s="3" t="s">
        <v>28</v>
      </c>
      <c r="B608" s="3" t="s">
        <v>29</v>
      </c>
      <c r="C608" s="3" t="s">
        <v>30</v>
      </c>
      <c r="D608" s="3" t="s">
        <v>63</v>
      </c>
      <c r="E608" s="3" t="s">
        <v>64</v>
      </c>
      <c r="F608" s="3" t="s">
        <v>65</v>
      </c>
      <c r="G608" s="3">
        <v>2025</v>
      </c>
      <c r="H608" s="3" t="str">
        <f>CONCATENATE("54240593126")</f>
        <v>54240593126</v>
      </c>
      <c r="I608" s="3" t="s">
        <v>149</v>
      </c>
      <c r="J608" s="3" t="s">
        <v>35</v>
      </c>
      <c r="K608" s="3"/>
      <c r="L608" s="3" t="s">
        <v>36</v>
      </c>
      <c r="M608" s="3" t="str">
        <f>CONCATENATE("MSSPRZ77M07G005T")</f>
        <v>MSSPRZ77M07G005T</v>
      </c>
      <c r="N608" s="3" t="s">
        <v>728</v>
      </c>
      <c r="O608" s="3" t="s">
        <v>38</v>
      </c>
      <c r="P608" s="3"/>
      <c r="Q608" s="4">
        <v>45944</v>
      </c>
      <c r="R608" s="3" t="s">
        <v>39</v>
      </c>
      <c r="S608" s="3" t="s">
        <v>38</v>
      </c>
      <c r="T608" s="3" t="s">
        <v>43</v>
      </c>
      <c r="U608" s="3"/>
      <c r="V608" s="3" t="s">
        <v>41</v>
      </c>
      <c r="W608" s="5">
        <v>8781.7199999999993</v>
      </c>
      <c r="X608" s="5">
        <v>8781.7199999999993</v>
      </c>
      <c r="Y608" s="3">
        <v>0</v>
      </c>
      <c r="Z608" s="3">
        <v>0</v>
      </c>
      <c r="AA608" s="3">
        <v>0</v>
      </c>
    </row>
    <row r="609" spans="1:27" ht="60.75" x14ac:dyDescent="0.25">
      <c r="A609" s="3" t="s">
        <v>28</v>
      </c>
      <c r="B609" s="3" t="s">
        <v>29</v>
      </c>
      <c r="C609" s="3" t="s">
        <v>30</v>
      </c>
      <c r="D609" s="3" t="s">
        <v>63</v>
      </c>
      <c r="E609" s="3" t="s">
        <v>64</v>
      </c>
      <c r="F609" s="3" t="s">
        <v>65</v>
      </c>
      <c r="G609" s="3">
        <v>2025</v>
      </c>
      <c r="H609" s="3" t="str">
        <f>CONCATENATE("54240593241")</f>
        <v>54240593241</v>
      </c>
      <c r="I609" s="3" t="s">
        <v>34</v>
      </c>
      <c r="J609" s="3" t="s">
        <v>35</v>
      </c>
      <c r="K609" s="3"/>
      <c r="L609" s="3" t="s">
        <v>36</v>
      </c>
      <c r="M609" s="3" t="str">
        <f>CONCATENATE("CCCGRL60E25H588T")</f>
        <v>CCCGRL60E25H588T</v>
      </c>
      <c r="N609" s="3" t="s">
        <v>729</v>
      </c>
      <c r="O609" s="3" t="s">
        <v>38</v>
      </c>
      <c r="P609" s="3"/>
      <c r="Q609" s="4">
        <v>45944</v>
      </c>
      <c r="R609" s="3" t="s">
        <v>39</v>
      </c>
      <c r="S609" s="3" t="s">
        <v>38</v>
      </c>
      <c r="T609" s="3" t="s">
        <v>43</v>
      </c>
      <c r="U609" s="3"/>
      <c r="V609" s="3" t="s">
        <v>41</v>
      </c>
      <c r="W609" s="5">
        <v>4531.13</v>
      </c>
      <c r="X609" s="5">
        <v>4531.13</v>
      </c>
      <c r="Y609" s="3">
        <v>0</v>
      </c>
      <c r="Z609" s="3">
        <v>0</v>
      </c>
      <c r="AA609" s="3">
        <v>0</v>
      </c>
    </row>
    <row r="610" spans="1:27" ht="60.75" x14ac:dyDescent="0.25">
      <c r="A610" s="3" t="s">
        <v>28</v>
      </c>
      <c r="B610" s="3" t="s">
        <v>29</v>
      </c>
      <c r="C610" s="3" t="s">
        <v>30</v>
      </c>
      <c r="D610" s="3" t="s">
        <v>49</v>
      </c>
      <c r="E610" s="3" t="s">
        <v>46</v>
      </c>
      <c r="F610" s="3" t="s">
        <v>205</v>
      </c>
      <c r="G610" s="3">
        <v>2025</v>
      </c>
      <c r="H610" s="3" t="str">
        <f>CONCATENATE("54240593340")</f>
        <v>54240593340</v>
      </c>
      <c r="I610" s="3" t="s">
        <v>34</v>
      </c>
      <c r="J610" s="3" t="s">
        <v>35</v>
      </c>
      <c r="K610" s="3"/>
      <c r="L610" s="3" t="s">
        <v>36</v>
      </c>
      <c r="M610" s="3" t="str">
        <f>CONCATENATE("MRASFN89P19E783N")</f>
        <v>MRASFN89P19E783N</v>
      </c>
      <c r="N610" s="3" t="s">
        <v>730</v>
      </c>
      <c r="O610" s="3" t="s">
        <v>38</v>
      </c>
      <c r="P610" s="3"/>
      <c r="Q610" s="4">
        <v>45944</v>
      </c>
      <c r="R610" s="3" t="s">
        <v>39</v>
      </c>
      <c r="S610" s="3" t="s">
        <v>38</v>
      </c>
      <c r="T610" s="3" t="s">
        <v>43</v>
      </c>
      <c r="U610" s="3"/>
      <c r="V610" s="3" t="s">
        <v>41</v>
      </c>
      <c r="W610" s="5">
        <v>3459.91</v>
      </c>
      <c r="X610" s="5">
        <v>3459.91</v>
      </c>
      <c r="Y610" s="3">
        <v>0</v>
      </c>
      <c r="Z610" s="3">
        <v>0</v>
      </c>
      <c r="AA610" s="3">
        <v>0</v>
      </c>
    </row>
    <row r="611" spans="1:27" ht="60.75" x14ac:dyDescent="0.25">
      <c r="A611" s="3" t="s">
        <v>28</v>
      </c>
      <c r="B611" s="3" t="s">
        <v>29</v>
      </c>
      <c r="C611" s="3" t="s">
        <v>30</v>
      </c>
      <c r="D611" s="3" t="s">
        <v>49</v>
      </c>
      <c r="E611" s="3" t="s">
        <v>32</v>
      </c>
      <c r="F611" s="3" t="s">
        <v>78</v>
      </c>
      <c r="G611" s="3">
        <v>2025</v>
      </c>
      <c r="H611" s="3" t="str">
        <f>CONCATENATE("54240594074")</f>
        <v>54240594074</v>
      </c>
      <c r="I611" s="3" t="s">
        <v>34</v>
      </c>
      <c r="J611" s="3" t="s">
        <v>35</v>
      </c>
      <c r="K611" s="3"/>
      <c r="L611" s="3" t="s">
        <v>36</v>
      </c>
      <c r="M611" s="3" t="str">
        <f>CONCATENATE("MRZCRL65C22M082H")</f>
        <v>MRZCRL65C22M082H</v>
      </c>
      <c r="N611" s="3" t="s">
        <v>731</v>
      </c>
      <c r="O611" s="3" t="s">
        <v>38</v>
      </c>
      <c r="P611" s="3"/>
      <c r="Q611" s="4">
        <v>45944</v>
      </c>
      <c r="R611" s="3" t="s">
        <v>39</v>
      </c>
      <c r="S611" s="3" t="s">
        <v>38</v>
      </c>
      <c r="T611" s="3" t="s">
        <v>43</v>
      </c>
      <c r="U611" s="3"/>
      <c r="V611" s="3" t="s">
        <v>41</v>
      </c>
      <c r="W611" s="5">
        <v>2528.38</v>
      </c>
      <c r="X611" s="5">
        <v>2528.38</v>
      </c>
      <c r="Y611" s="3">
        <v>0</v>
      </c>
      <c r="Z611" s="3">
        <v>0</v>
      </c>
      <c r="AA611" s="3">
        <v>0</v>
      </c>
    </row>
    <row r="612" spans="1:27" ht="72.75" x14ac:dyDescent="0.25">
      <c r="A612" s="3" t="s">
        <v>28</v>
      </c>
      <c r="B612" s="3" t="s">
        <v>29</v>
      </c>
      <c r="C612" s="3" t="s">
        <v>30</v>
      </c>
      <c r="D612" s="3" t="s">
        <v>58</v>
      </c>
      <c r="E612" s="3" t="s">
        <v>91</v>
      </c>
      <c r="F612" s="3" t="s">
        <v>106</v>
      </c>
      <c r="G612" s="3">
        <v>2025</v>
      </c>
      <c r="H612" s="3" t="str">
        <f>CONCATENATE("54240595030")</f>
        <v>54240595030</v>
      </c>
      <c r="I612" s="3" t="s">
        <v>34</v>
      </c>
      <c r="J612" s="3" t="s">
        <v>35</v>
      </c>
      <c r="K612" s="3"/>
      <c r="L612" s="3" t="s">
        <v>36</v>
      </c>
      <c r="M612" s="3" t="str">
        <f>CONCATENATE("GGLMLA35A67A944H")</f>
        <v>GGLMLA35A67A944H</v>
      </c>
      <c r="N612" s="3" t="s">
        <v>732</v>
      </c>
      <c r="O612" s="3" t="s">
        <v>38</v>
      </c>
      <c r="P612" s="3"/>
      <c r="Q612" s="4">
        <v>45944</v>
      </c>
      <c r="R612" s="3" t="s">
        <v>39</v>
      </c>
      <c r="S612" s="3" t="s">
        <v>38</v>
      </c>
      <c r="T612" s="3" t="s">
        <v>43</v>
      </c>
      <c r="U612" s="3"/>
      <c r="V612" s="3" t="s">
        <v>41</v>
      </c>
      <c r="W612" s="5">
        <v>2044.61</v>
      </c>
      <c r="X612" s="5">
        <v>2044.61</v>
      </c>
      <c r="Y612" s="3">
        <v>0</v>
      </c>
      <c r="Z612" s="3">
        <v>0</v>
      </c>
      <c r="AA612" s="3">
        <v>0</v>
      </c>
    </row>
    <row r="613" spans="1:27" ht="36.75" x14ac:dyDescent="0.25">
      <c r="A613" s="3" t="s">
        <v>28</v>
      </c>
      <c r="B613" s="3" t="s">
        <v>29</v>
      </c>
      <c r="C613" s="3" t="s">
        <v>30</v>
      </c>
      <c r="D613" s="3" t="s">
        <v>49</v>
      </c>
      <c r="E613" s="3" t="s">
        <v>32</v>
      </c>
      <c r="F613" s="3" t="s">
        <v>78</v>
      </c>
      <c r="G613" s="3">
        <v>2025</v>
      </c>
      <c r="H613" s="3" t="str">
        <f>CONCATENATE("54240595170")</f>
        <v>54240595170</v>
      </c>
      <c r="I613" s="3" t="s">
        <v>34</v>
      </c>
      <c r="J613" s="3" t="s">
        <v>35</v>
      </c>
      <c r="K613" s="3"/>
      <c r="L613" s="3" t="s">
        <v>36</v>
      </c>
      <c r="M613" s="3" t="str">
        <f>CONCATENATE("02129920431")</f>
        <v>02129920431</v>
      </c>
      <c r="N613" s="3" t="s">
        <v>733</v>
      </c>
      <c r="O613" s="3" t="s">
        <v>38</v>
      </c>
      <c r="P613" s="3"/>
      <c r="Q613" s="4">
        <v>45944</v>
      </c>
      <c r="R613" s="3" t="s">
        <v>39</v>
      </c>
      <c r="S613" s="3" t="s">
        <v>38</v>
      </c>
      <c r="T613" s="3" t="s">
        <v>43</v>
      </c>
      <c r="U613" s="3"/>
      <c r="V613" s="3" t="s">
        <v>41</v>
      </c>
      <c r="W613" s="5">
        <v>1479.05</v>
      </c>
      <c r="X613" s="5">
        <v>1479.05</v>
      </c>
      <c r="Y613" s="3">
        <v>0</v>
      </c>
      <c r="Z613" s="3">
        <v>0</v>
      </c>
      <c r="AA613" s="3">
        <v>0</v>
      </c>
    </row>
    <row r="614" spans="1:27" ht="72.75" x14ac:dyDescent="0.25">
      <c r="A614" s="3" t="s">
        <v>28</v>
      </c>
      <c r="B614" s="3" t="s">
        <v>29</v>
      </c>
      <c r="C614" s="3" t="s">
        <v>30</v>
      </c>
      <c r="D614" s="3" t="s">
        <v>49</v>
      </c>
      <c r="E614" s="3" t="s">
        <v>32</v>
      </c>
      <c r="F614" s="3" t="s">
        <v>71</v>
      </c>
      <c r="G614" s="3">
        <v>2025</v>
      </c>
      <c r="H614" s="3" t="str">
        <f>CONCATENATE("54240596228")</f>
        <v>54240596228</v>
      </c>
      <c r="I614" s="3" t="s">
        <v>34</v>
      </c>
      <c r="J614" s="3" t="s">
        <v>35</v>
      </c>
      <c r="K614" s="3"/>
      <c r="L614" s="3" t="s">
        <v>36</v>
      </c>
      <c r="M614" s="3" t="str">
        <f>CONCATENATE("CZZMSM96A04E783G")</f>
        <v>CZZMSM96A04E783G</v>
      </c>
      <c r="N614" s="3" t="s">
        <v>734</v>
      </c>
      <c r="O614" s="3" t="s">
        <v>38</v>
      </c>
      <c r="P614" s="3"/>
      <c r="Q614" s="4">
        <v>45944</v>
      </c>
      <c r="R614" s="3" t="s">
        <v>39</v>
      </c>
      <c r="S614" s="3" t="s">
        <v>38</v>
      </c>
      <c r="T614" s="3" t="s">
        <v>43</v>
      </c>
      <c r="U614" s="3"/>
      <c r="V614" s="3" t="s">
        <v>41</v>
      </c>
      <c r="W614" s="5">
        <v>5792.57</v>
      </c>
      <c r="X614" s="5">
        <v>5792.57</v>
      </c>
      <c r="Y614" s="3">
        <v>0</v>
      </c>
      <c r="Z614" s="3">
        <v>0</v>
      </c>
      <c r="AA614" s="3">
        <v>0</v>
      </c>
    </row>
    <row r="615" spans="1:27" ht="36.75" x14ac:dyDescent="0.25">
      <c r="A615" s="3" t="s">
        <v>28</v>
      </c>
      <c r="B615" s="3" t="s">
        <v>29</v>
      </c>
      <c r="C615" s="3" t="s">
        <v>30</v>
      </c>
      <c r="D615" s="3" t="s">
        <v>49</v>
      </c>
      <c r="E615" s="3" t="s">
        <v>32</v>
      </c>
      <c r="F615" s="3" t="s">
        <v>71</v>
      </c>
      <c r="G615" s="3">
        <v>2025</v>
      </c>
      <c r="H615" s="3" t="str">
        <f>CONCATENATE("54240598026")</f>
        <v>54240598026</v>
      </c>
      <c r="I615" s="3" t="s">
        <v>34</v>
      </c>
      <c r="J615" s="3" t="s">
        <v>35</v>
      </c>
      <c r="K615" s="3"/>
      <c r="L615" s="3" t="s">
        <v>36</v>
      </c>
      <c r="M615" s="3" t="str">
        <f>CONCATENATE("01675450439")</f>
        <v>01675450439</v>
      </c>
      <c r="N615" s="3" t="s">
        <v>735</v>
      </c>
      <c r="O615" s="3" t="s">
        <v>38</v>
      </c>
      <c r="P615" s="3"/>
      <c r="Q615" s="4">
        <v>45944</v>
      </c>
      <c r="R615" s="3" t="s">
        <v>39</v>
      </c>
      <c r="S615" s="3" t="s">
        <v>38</v>
      </c>
      <c r="T615" s="3" t="s">
        <v>43</v>
      </c>
      <c r="U615" s="3"/>
      <c r="V615" s="3" t="s">
        <v>41</v>
      </c>
      <c r="W615" s="5">
        <v>15926.4</v>
      </c>
      <c r="X615" s="5">
        <v>15926.4</v>
      </c>
      <c r="Y615" s="3">
        <v>0</v>
      </c>
      <c r="Z615" s="3">
        <v>0</v>
      </c>
      <c r="AA615" s="3">
        <v>0</v>
      </c>
    </row>
    <row r="616" spans="1:27" ht="60.75" x14ac:dyDescent="0.25">
      <c r="A616" s="3" t="s">
        <v>28</v>
      </c>
      <c r="B616" s="3" t="s">
        <v>29</v>
      </c>
      <c r="C616" s="3" t="s">
        <v>30</v>
      </c>
      <c r="D616" s="3" t="s">
        <v>49</v>
      </c>
      <c r="E616" s="3" t="s">
        <v>32</v>
      </c>
      <c r="F616" s="3" t="s">
        <v>71</v>
      </c>
      <c r="G616" s="3">
        <v>2025</v>
      </c>
      <c r="H616" s="3" t="str">
        <f>CONCATENATE("54240598364")</f>
        <v>54240598364</v>
      </c>
      <c r="I616" s="3" t="s">
        <v>34</v>
      </c>
      <c r="J616" s="3" t="s">
        <v>35</v>
      </c>
      <c r="K616" s="3"/>
      <c r="L616" s="3" t="s">
        <v>36</v>
      </c>
      <c r="M616" s="3" t="str">
        <f>CONCATENATE("STRLSN82H53E783F")</f>
        <v>STRLSN82H53E783F</v>
      </c>
      <c r="N616" s="3" t="s">
        <v>736</v>
      </c>
      <c r="O616" s="3" t="s">
        <v>38</v>
      </c>
      <c r="P616" s="3"/>
      <c r="Q616" s="4">
        <v>45944</v>
      </c>
      <c r="R616" s="3" t="s">
        <v>39</v>
      </c>
      <c r="S616" s="3" t="s">
        <v>38</v>
      </c>
      <c r="T616" s="3" t="s">
        <v>43</v>
      </c>
      <c r="U616" s="3"/>
      <c r="V616" s="3" t="s">
        <v>41</v>
      </c>
      <c r="W616" s="5">
        <v>5889.91</v>
      </c>
      <c r="X616" s="5">
        <v>5889.91</v>
      </c>
      <c r="Y616" s="3">
        <v>0</v>
      </c>
      <c r="Z616" s="3">
        <v>0</v>
      </c>
      <c r="AA616" s="3">
        <v>0</v>
      </c>
    </row>
    <row r="617" spans="1:27" ht="60.75" x14ac:dyDescent="0.25">
      <c r="A617" s="3" t="s">
        <v>28</v>
      </c>
      <c r="B617" s="3" t="s">
        <v>29</v>
      </c>
      <c r="C617" s="3" t="s">
        <v>30</v>
      </c>
      <c r="D617" s="3" t="s">
        <v>49</v>
      </c>
      <c r="E617" s="3" t="s">
        <v>91</v>
      </c>
      <c r="F617" s="3" t="s">
        <v>92</v>
      </c>
      <c r="G617" s="3">
        <v>2025</v>
      </c>
      <c r="H617" s="3" t="str">
        <f>CONCATENATE("54240613320")</f>
        <v>54240613320</v>
      </c>
      <c r="I617" s="3" t="s">
        <v>34</v>
      </c>
      <c r="J617" s="3" t="s">
        <v>35</v>
      </c>
      <c r="K617" s="3"/>
      <c r="L617" s="3" t="s">
        <v>36</v>
      </c>
      <c r="M617" s="3" t="str">
        <f>CONCATENATE("BCCFRC84P47L366E")</f>
        <v>BCCFRC84P47L366E</v>
      </c>
      <c r="N617" s="3" t="s">
        <v>737</v>
      </c>
      <c r="O617" s="3" t="s">
        <v>38</v>
      </c>
      <c r="P617" s="3"/>
      <c r="Q617" s="4">
        <v>45944</v>
      </c>
      <c r="R617" s="3" t="s">
        <v>39</v>
      </c>
      <c r="S617" s="3" t="s">
        <v>38</v>
      </c>
      <c r="T617" s="3" t="s">
        <v>43</v>
      </c>
      <c r="U617" s="3"/>
      <c r="V617" s="3" t="s">
        <v>41</v>
      </c>
      <c r="W617" s="5">
        <v>1567.27</v>
      </c>
      <c r="X617" s="5">
        <v>1567.27</v>
      </c>
      <c r="Y617" s="3">
        <v>0</v>
      </c>
      <c r="Z617" s="3">
        <v>0</v>
      </c>
      <c r="AA617" s="3">
        <v>0</v>
      </c>
    </row>
    <row r="618" spans="1:27" ht="36.75" x14ac:dyDescent="0.25">
      <c r="A618" s="3" t="s">
        <v>28</v>
      </c>
      <c r="B618" s="3" t="s">
        <v>29</v>
      </c>
      <c r="C618" s="3" t="s">
        <v>30</v>
      </c>
      <c r="D618" s="3" t="s">
        <v>49</v>
      </c>
      <c r="E618" s="3" t="s">
        <v>91</v>
      </c>
      <c r="F618" s="3" t="s">
        <v>92</v>
      </c>
      <c r="G618" s="3">
        <v>2025</v>
      </c>
      <c r="H618" s="3" t="str">
        <f>CONCATENATE("54240599057")</f>
        <v>54240599057</v>
      </c>
      <c r="I618" s="3" t="s">
        <v>34</v>
      </c>
      <c r="J618" s="3" t="s">
        <v>35</v>
      </c>
      <c r="K618" s="3"/>
      <c r="L618" s="3" t="s">
        <v>36</v>
      </c>
      <c r="M618" s="3" t="str">
        <f>CONCATENATE("02056930437")</f>
        <v>02056930437</v>
      </c>
      <c r="N618" s="3" t="s">
        <v>738</v>
      </c>
      <c r="O618" s="3" t="s">
        <v>38</v>
      </c>
      <c r="P618" s="3"/>
      <c r="Q618" s="4">
        <v>45944</v>
      </c>
      <c r="R618" s="3" t="s">
        <v>39</v>
      </c>
      <c r="S618" s="3" t="s">
        <v>38</v>
      </c>
      <c r="T618" s="3" t="s">
        <v>43</v>
      </c>
      <c r="U618" s="3"/>
      <c r="V618" s="3" t="s">
        <v>41</v>
      </c>
      <c r="W618" s="5">
        <v>3438.09</v>
      </c>
      <c r="X618" s="5">
        <v>3438.09</v>
      </c>
      <c r="Y618" s="3">
        <v>0</v>
      </c>
      <c r="Z618" s="3">
        <v>0</v>
      </c>
      <c r="AA618" s="3">
        <v>0</v>
      </c>
    </row>
    <row r="619" spans="1:27" ht="72.75" x14ac:dyDescent="0.25">
      <c r="A619" s="3" t="s">
        <v>28</v>
      </c>
      <c r="B619" s="3" t="s">
        <v>29</v>
      </c>
      <c r="C619" s="3" t="s">
        <v>30</v>
      </c>
      <c r="D619" s="3" t="s">
        <v>49</v>
      </c>
      <c r="E619" s="3" t="s">
        <v>32</v>
      </c>
      <c r="F619" s="3" t="s">
        <v>283</v>
      </c>
      <c r="G619" s="3">
        <v>2025</v>
      </c>
      <c r="H619" s="3" t="str">
        <f>CONCATENATE("54240599198")</f>
        <v>54240599198</v>
      </c>
      <c r="I619" s="3" t="s">
        <v>34</v>
      </c>
      <c r="J619" s="3" t="s">
        <v>35</v>
      </c>
      <c r="K619" s="3"/>
      <c r="L619" s="3" t="s">
        <v>36</v>
      </c>
      <c r="M619" s="3" t="str">
        <f>CONCATENATE("CMNMSM84L19H211F")</f>
        <v>CMNMSM84L19H211F</v>
      </c>
      <c r="N619" s="3" t="s">
        <v>739</v>
      </c>
      <c r="O619" s="3" t="s">
        <v>38</v>
      </c>
      <c r="P619" s="3"/>
      <c r="Q619" s="4">
        <v>45944</v>
      </c>
      <c r="R619" s="3" t="s">
        <v>39</v>
      </c>
      <c r="S619" s="3" t="s">
        <v>38</v>
      </c>
      <c r="T619" s="3" t="s">
        <v>43</v>
      </c>
      <c r="U619" s="3"/>
      <c r="V619" s="3" t="s">
        <v>41</v>
      </c>
      <c r="W619" s="3">
        <v>902.38</v>
      </c>
      <c r="X619" s="3">
        <v>902.38</v>
      </c>
      <c r="Y619" s="3">
        <v>0</v>
      </c>
      <c r="Z619" s="3">
        <v>0</v>
      </c>
      <c r="AA619" s="3">
        <v>0</v>
      </c>
    </row>
    <row r="620" spans="1:27" ht="60.75" x14ac:dyDescent="0.25">
      <c r="A620" s="3" t="s">
        <v>28</v>
      </c>
      <c r="B620" s="3" t="s">
        <v>29</v>
      </c>
      <c r="C620" s="3" t="s">
        <v>30</v>
      </c>
      <c r="D620" s="3" t="s">
        <v>31</v>
      </c>
      <c r="E620" s="3" t="s">
        <v>53</v>
      </c>
      <c r="F620" s="3" t="s">
        <v>172</v>
      </c>
      <c r="G620" s="3">
        <v>2025</v>
      </c>
      <c r="H620" s="3" t="str">
        <f>CONCATENATE("54240599487")</f>
        <v>54240599487</v>
      </c>
      <c r="I620" s="3" t="s">
        <v>34</v>
      </c>
      <c r="J620" s="3" t="s">
        <v>35</v>
      </c>
      <c r="K620" s="3"/>
      <c r="L620" s="3" t="s">
        <v>36</v>
      </c>
      <c r="M620" s="3" t="str">
        <f>CONCATENATE("PGNGCM98P07A271J")</f>
        <v>PGNGCM98P07A271J</v>
      </c>
      <c r="N620" s="3" t="s">
        <v>740</v>
      </c>
      <c r="O620" s="3" t="s">
        <v>38</v>
      </c>
      <c r="P620" s="3"/>
      <c r="Q620" s="4">
        <v>45944</v>
      </c>
      <c r="R620" s="3" t="s">
        <v>39</v>
      </c>
      <c r="S620" s="3" t="s">
        <v>38</v>
      </c>
      <c r="T620" s="3" t="s">
        <v>43</v>
      </c>
      <c r="U620" s="3"/>
      <c r="V620" s="3" t="s">
        <v>41</v>
      </c>
      <c r="W620" s="3">
        <v>875.22</v>
      </c>
      <c r="X620" s="3">
        <v>875.22</v>
      </c>
      <c r="Y620" s="3">
        <v>0</v>
      </c>
      <c r="Z620" s="3">
        <v>0</v>
      </c>
      <c r="AA620" s="3">
        <v>0</v>
      </c>
    </row>
    <row r="621" spans="1:27" ht="36.75" x14ac:dyDescent="0.25">
      <c r="A621" s="3" t="s">
        <v>28</v>
      </c>
      <c r="B621" s="3" t="s">
        <v>29</v>
      </c>
      <c r="C621" s="3" t="s">
        <v>30</v>
      </c>
      <c r="D621" s="3" t="s">
        <v>49</v>
      </c>
      <c r="E621" s="3" t="s">
        <v>91</v>
      </c>
      <c r="F621" s="3" t="s">
        <v>92</v>
      </c>
      <c r="G621" s="3">
        <v>2025</v>
      </c>
      <c r="H621" s="3" t="str">
        <f>CONCATENATE("54240602604")</f>
        <v>54240602604</v>
      </c>
      <c r="I621" s="3" t="s">
        <v>34</v>
      </c>
      <c r="J621" s="3" t="s">
        <v>35</v>
      </c>
      <c r="K621" s="3"/>
      <c r="L621" s="3" t="s">
        <v>36</v>
      </c>
      <c r="M621" s="3" t="str">
        <f>CONCATENATE("02075950432")</f>
        <v>02075950432</v>
      </c>
      <c r="N621" s="3" t="s">
        <v>741</v>
      </c>
      <c r="O621" s="3" t="s">
        <v>38</v>
      </c>
      <c r="P621" s="3"/>
      <c r="Q621" s="4">
        <v>45944</v>
      </c>
      <c r="R621" s="3" t="s">
        <v>39</v>
      </c>
      <c r="S621" s="3" t="s">
        <v>38</v>
      </c>
      <c r="T621" s="3" t="s">
        <v>43</v>
      </c>
      <c r="U621" s="3"/>
      <c r="V621" s="3" t="s">
        <v>41</v>
      </c>
      <c r="W621" s="3">
        <v>856.73</v>
      </c>
      <c r="X621" s="3">
        <v>856.73</v>
      </c>
      <c r="Y621" s="3">
        <v>0</v>
      </c>
      <c r="Z621" s="3">
        <v>0</v>
      </c>
      <c r="AA621" s="3">
        <v>0</v>
      </c>
    </row>
    <row r="622" spans="1:27" ht="60.75" x14ac:dyDescent="0.25">
      <c r="A622" s="3" t="s">
        <v>28</v>
      </c>
      <c r="B622" s="3" t="s">
        <v>29</v>
      </c>
      <c r="C622" s="3" t="s">
        <v>30</v>
      </c>
      <c r="D622" s="3" t="s">
        <v>49</v>
      </c>
      <c r="E622" s="3" t="s">
        <v>32</v>
      </c>
      <c r="F622" s="3" t="s">
        <v>78</v>
      </c>
      <c r="G622" s="3">
        <v>2025</v>
      </c>
      <c r="H622" s="3" t="str">
        <f>CONCATENATE("54240613841")</f>
        <v>54240613841</v>
      </c>
      <c r="I622" s="3" t="s">
        <v>34</v>
      </c>
      <c r="J622" s="3" t="s">
        <v>35</v>
      </c>
      <c r="K622" s="3"/>
      <c r="L622" s="3" t="s">
        <v>36</v>
      </c>
      <c r="M622" s="3" t="str">
        <f>CONCATENATE("SPEFTN65D21M078G")</f>
        <v>SPEFTN65D21M078G</v>
      </c>
      <c r="N622" s="3" t="s">
        <v>742</v>
      </c>
      <c r="O622" s="3" t="s">
        <v>38</v>
      </c>
      <c r="P622" s="3"/>
      <c r="Q622" s="4">
        <v>45944</v>
      </c>
      <c r="R622" s="3" t="s">
        <v>39</v>
      </c>
      <c r="S622" s="3" t="s">
        <v>38</v>
      </c>
      <c r="T622" s="3" t="s">
        <v>43</v>
      </c>
      <c r="U622" s="3"/>
      <c r="V622" s="3" t="s">
        <v>41</v>
      </c>
      <c r="W622" s="5">
        <v>11950.37</v>
      </c>
      <c r="X622" s="5">
        <v>11950.37</v>
      </c>
      <c r="Y622" s="3">
        <v>0</v>
      </c>
      <c r="Z622" s="3">
        <v>0</v>
      </c>
      <c r="AA622" s="3">
        <v>0</v>
      </c>
    </row>
    <row r="623" spans="1:27" ht="60.75" x14ac:dyDescent="0.25">
      <c r="A623" s="3" t="s">
        <v>28</v>
      </c>
      <c r="B623" s="3" t="s">
        <v>29</v>
      </c>
      <c r="C623" s="3" t="s">
        <v>30</v>
      </c>
      <c r="D623" s="3" t="s">
        <v>63</v>
      </c>
      <c r="E623" s="3" t="s">
        <v>32</v>
      </c>
      <c r="F623" s="3" t="s">
        <v>696</v>
      </c>
      <c r="G623" s="3">
        <v>2025</v>
      </c>
      <c r="H623" s="3" t="str">
        <f>CONCATENATE("54240504412")</f>
        <v>54240504412</v>
      </c>
      <c r="I623" s="3" t="s">
        <v>34</v>
      </c>
      <c r="J623" s="3" t="s">
        <v>35</v>
      </c>
      <c r="K623" s="3"/>
      <c r="L623" s="3" t="s">
        <v>36</v>
      </c>
      <c r="M623" s="3" t="str">
        <f>CONCATENATE("CLNPLA48S51A044Z")</f>
        <v>CLNPLA48S51A044Z</v>
      </c>
      <c r="N623" s="3" t="s">
        <v>743</v>
      </c>
      <c r="O623" s="3" t="s">
        <v>38</v>
      </c>
      <c r="P623" s="3"/>
      <c r="Q623" s="4">
        <v>45944</v>
      </c>
      <c r="R623" s="3" t="s">
        <v>39</v>
      </c>
      <c r="S623" s="3" t="s">
        <v>38</v>
      </c>
      <c r="T623" s="3" t="s">
        <v>43</v>
      </c>
      <c r="U623" s="3"/>
      <c r="V623" s="3" t="s">
        <v>41</v>
      </c>
      <c r="W623" s="3">
        <v>634.75</v>
      </c>
      <c r="X623" s="3">
        <v>634.75</v>
      </c>
      <c r="Y623" s="3">
        <v>0</v>
      </c>
      <c r="Z623" s="3">
        <v>0</v>
      </c>
      <c r="AA623" s="3">
        <v>0</v>
      </c>
    </row>
    <row r="624" spans="1:27" ht="60.75" x14ac:dyDescent="0.25">
      <c r="A624" s="3" t="s">
        <v>28</v>
      </c>
      <c r="B624" s="3" t="s">
        <v>29</v>
      </c>
      <c r="C624" s="3" t="s">
        <v>30</v>
      </c>
      <c r="D624" s="3" t="s">
        <v>49</v>
      </c>
      <c r="E624" s="3" t="s">
        <v>46</v>
      </c>
      <c r="F624" s="3" t="s">
        <v>140</v>
      </c>
      <c r="G624" s="3">
        <v>2025</v>
      </c>
      <c r="H624" s="3" t="str">
        <f>CONCATENATE("54240504388")</f>
        <v>54240504388</v>
      </c>
      <c r="I624" s="3" t="s">
        <v>34</v>
      </c>
      <c r="J624" s="3" t="s">
        <v>35</v>
      </c>
      <c r="K624" s="3"/>
      <c r="L624" s="3" t="s">
        <v>36</v>
      </c>
      <c r="M624" s="3" t="str">
        <f>CONCATENATE("BRBFBA76E01B474C")</f>
        <v>BRBFBA76E01B474C</v>
      </c>
      <c r="N624" s="3" t="s">
        <v>744</v>
      </c>
      <c r="O624" s="3" t="s">
        <v>38</v>
      </c>
      <c r="P624" s="3"/>
      <c r="Q624" s="4">
        <v>45944</v>
      </c>
      <c r="R624" s="3" t="s">
        <v>39</v>
      </c>
      <c r="S624" s="3" t="s">
        <v>38</v>
      </c>
      <c r="T624" s="3" t="s">
        <v>43</v>
      </c>
      <c r="U624" s="3"/>
      <c r="V624" s="3" t="s">
        <v>41</v>
      </c>
      <c r="W624" s="5">
        <v>19409.189999999999</v>
      </c>
      <c r="X624" s="5">
        <v>19409.189999999999</v>
      </c>
      <c r="Y624" s="3">
        <v>0</v>
      </c>
      <c r="Z624" s="3">
        <v>0</v>
      </c>
      <c r="AA624" s="3">
        <v>0</v>
      </c>
    </row>
    <row r="625" spans="1:27" ht="60.75" x14ac:dyDescent="0.25">
      <c r="A625" s="3" t="s">
        <v>28</v>
      </c>
      <c r="B625" s="3" t="s">
        <v>29</v>
      </c>
      <c r="C625" s="3" t="s">
        <v>30</v>
      </c>
      <c r="D625" s="3" t="s">
        <v>63</v>
      </c>
      <c r="E625" s="3" t="s">
        <v>53</v>
      </c>
      <c r="F625" s="3" t="s">
        <v>678</v>
      </c>
      <c r="G625" s="3">
        <v>2025</v>
      </c>
      <c r="H625" s="3" t="str">
        <f>CONCATENATE("54240504370")</f>
        <v>54240504370</v>
      </c>
      <c r="I625" s="3" t="s">
        <v>149</v>
      </c>
      <c r="J625" s="3" t="s">
        <v>35</v>
      </c>
      <c r="K625" s="3"/>
      <c r="L625" s="3" t="s">
        <v>36</v>
      </c>
      <c r="M625" s="3" t="str">
        <f>CONCATENATE("CTCSRA77P04D542M")</f>
        <v>CTCSRA77P04D542M</v>
      </c>
      <c r="N625" s="3" t="s">
        <v>745</v>
      </c>
      <c r="O625" s="3" t="s">
        <v>38</v>
      </c>
      <c r="P625" s="3"/>
      <c r="Q625" s="4">
        <v>45944</v>
      </c>
      <c r="R625" s="3" t="s">
        <v>39</v>
      </c>
      <c r="S625" s="3" t="s">
        <v>38</v>
      </c>
      <c r="T625" s="3" t="s">
        <v>43</v>
      </c>
      <c r="U625" s="3"/>
      <c r="V625" s="3" t="s">
        <v>41</v>
      </c>
      <c r="W625" s="5">
        <v>4787.21</v>
      </c>
      <c r="X625" s="5">
        <v>4787.21</v>
      </c>
      <c r="Y625" s="3">
        <v>0</v>
      </c>
      <c r="Z625" s="3">
        <v>0</v>
      </c>
      <c r="AA625" s="3">
        <v>0</v>
      </c>
    </row>
    <row r="626" spans="1:27" ht="36.75" x14ac:dyDescent="0.25">
      <c r="A626" s="3" t="s">
        <v>28</v>
      </c>
      <c r="B626" s="3" t="s">
        <v>29</v>
      </c>
      <c r="C626" s="3" t="s">
        <v>30</v>
      </c>
      <c r="D626" s="3" t="s">
        <v>49</v>
      </c>
      <c r="E626" s="3" t="s">
        <v>32</v>
      </c>
      <c r="F626" s="3" t="s">
        <v>71</v>
      </c>
      <c r="G626" s="3">
        <v>2025</v>
      </c>
      <c r="H626" s="3" t="str">
        <f>CONCATENATE("54240504669")</f>
        <v>54240504669</v>
      </c>
      <c r="I626" s="3" t="s">
        <v>34</v>
      </c>
      <c r="J626" s="3" t="s">
        <v>35</v>
      </c>
      <c r="K626" s="3"/>
      <c r="L626" s="3" t="s">
        <v>36</v>
      </c>
      <c r="M626" s="3" t="str">
        <f>CONCATENATE("00789910437")</f>
        <v>00789910437</v>
      </c>
      <c r="N626" s="3" t="s">
        <v>746</v>
      </c>
      <c r="O626" s="3" t="s">
        <v>38</v>
      </c>
      <c r="P626" s="3"/>
      <c r="Q626" s="4">
        <v>45944</v>
      </c>
      <c r="R626" s="3" t="s">
        <v>39</v>
      </c>
      <c r="S626" s="3" t="s">
        <v>38</v>
      </c>
      <c r="T626" s="3" t="s">
        <v>43</v>
      </c>
      <c r="U626" s="3"/>
      <c r="V626" s="3" t="s">
        <v>41</v>
      </c>
      <c r="W626" s="5">
        <v>3571.88</v>
      </c>
      <c r="X626" s="5">
        <v>3571.88</v>
      </c>
      <c r="Y626" s="3">
        <v>0</v>
      </c>
      <c r="Z626" s="3">
        <v>0</v>
      </c>
      <c r="AA626" s="3">
        <v>0</v>
      </c>
    </row>
    <row r="627" spans="1:27" ht="36.75" x14ac:dyDescent="0.25">
      <c r="A627" s="3" t="s">
        <v>28</v>
      </c>
      <c r="B627" s="3" t="s">
        <v>29</v>
      </c>
      <c r="C627" s="3" t="s">
        <v>30</v>
      </c>
      <c r="D627" s="3" t="s">
        <v>49</v>
      </c>
      <c r="E627" s="3" t="s">
        <v>46</v>
      </c>
      <c r="F627" s="3" t="s">
        <v>131</v>
      </c>
      <c r="G627" s="3">
        <v>2025</v>
      </c>
      <c r="H627" s="3" t="str">
        <f>CONCATENATE("54240504487")</f>
        <v>54240504487</v>
      </c>
      <c r="I627" s="3" t="s">
        <v>34</v>
      </c>
      <c r="J627" s="3" t="s">
        <v>35</v>
      </c>
      <c r="K627" s="3"/>
      <c r="L627" s="3" t="s">
        <v>36</v>
      </c>
      <c r="M627" s="3" t="str">
        <f>CONCATENATE("01493390437")</f>
        <v>01493390437</v>
      </c>
      <c r="N627" s="3" t="s">
        <v>747</v>
      </c>
      <c r="O627" s="3" t="s">
        <v>38</v>
      </c>
      <c r="P627" s="3"/>
      <c r="Q627" s="4">
        <v>45944</v>
      </c>
      <c r="R627" s="3" t="s">
        <v>39</v>
      </c>
      <c r="S627" s="3" t="s">
        <v>38</v>
      </c>
      <c r="T627" s="3" t="s">
        <v>43</v>
      </c>
      <c r="U627" s="3"/>
      <c r="V627" s="3" t="s">
        <v>41</v>
      </c>
      <c r="W627" s="5">
        <v>8490.9599999999991</v>
      </c>
      <c r="X627" s="5">
        <v>8490.9599999999991</v>
      </c>
      <c r="Y627" s="3">
        <v>0</v>
      </c>
      <c r="Z627" s="3">
        <v>0</v>
      </c>
      <c r="AA627" s="3">
        <v>0</v>
      </c>
    </row>
    <row r="628" spans="1:27" ht="60.75" x14ac:dyDescent="0.25">
      <c r="A628" s="3" t="s">
        <v>28</v>
      </c>
      <c r="B628" s="3" t="s">
        <v>29</v>
      </c>
      <c r="C628" s="3" t="s">
        <v>30</v>
      </c>
      <c r="D628" s="3" t="s">
        <v>49</v>
      </c>
      <c r="E628" s="3" t="s">
        <v>46</v>
      </c>
      <c r="F628" s="3" t="s">
        <v>131</v>
      </c>
      <c r="G628" s="3">
        <v>2025</v>
      </c>
      <c r="H628" s="3" t="str">
        <f>CONCATENATE("54240504529")</f>
        <v>54240504529</v>
      </c>
      <c r="I628" s="3" t="s">
        <v>34</v>
      </c>
      <c r="J628" s="3" t="s">
        <v>35</v>
      </c>
      <c r="K628" s="3"/>
      <c r="L628" s="3" t="s">
        <v>36</v>
      </c>
      <c r="M628" s="3" t="str">
        <f>CONCATENATE("FLRNAA59T53Z505P")</f>
        <v>FLRNAA59T53Z505P</v>
      </c>
      <c r="N628" s="3" t="s">
        <v>748</v>
      </c>
      <c r="O628" s="3" t="s">
        <v>38</v>
      </c>
      <c r="P628" s="3"/>
      <c r="Q628" s="4">
        <v>45944</v>
      </c>
      <c r="R628" s="3" t="s">
        <v>39</v>
      </c>
      <c r="S628" s="3" t="s">
        <v>38</v>
      </c>
      <c r="T628" s="3" t="s">
        <v>43</v>
      </c>
      <c r="U628" s="3"/>
      <c r="V628" s="3" t="s">
        <v>41</v>
      </c>
      <c r="W628" s="3">
        <v>843.08</v>
      </c>
      <c r="X628" s="3">
        <v>843.08</v>
      </c>
      <c r="Y628" s="3">
        <v>0</v>
      </c>
      <c r="Z628" s="3">
        <v>0</v>
      </c>
      <c r="AA628" s="3">
        <v>0</v>
      </c>
    </row>
    <row r="629" spans="1:27" ht="36.75" x14ac:dyDescent="0.25">
      <c r="A629" s="3" t="s">
        <v>28</v>
      </c>
      <c r="B629" s="3" t="s">
        <v>29</v>
      </c>
      <c r="C629" s="3" t="s">
        <v>30</v>
      </c>
      <c r="D629" s="3" t="s">
        <v>49</v>
      </c>
      <c r="E629" s="3" t="s">
        <v>46</v>
      </c>
      <c r="F629" s="3" t="s">
        <v>131</v>
      </c>
      <c r="G629" s="3">
        <v>2025</v>
      </c>
      <c r="H629" s="3" t="str">
        <f>CONCATENATE("54240504578")</f>
        <v>54240504578</v>
      </c>
      <c r="I629" s="3" t="s">
        <v>34</v>
      </c>
      <c r="J629" s="3" t="s">
        <v>35</v>
      </c>
      <c r="K629" s="3"/>
      <c r="L629" s="3" t="s">
        <v>36</v>
      </c>
      <c r="M629" s="3" t="str">
        <f>CONCATENATE("02055770438")</f>
        <v>02055770438</v>
      </c>
      <c r="N629" s="3" t="s">
        <v>749</v>
      </c>
      <c r="O629" s="3" t="s">
        <v>38</v>
      </c>
      <c r="P629" s="3"/>
      <c r="Q629" s="4">
        <v>45944</v>
      </c>
      <c r="R629" s="3" t="s">
        <v>39</v>
      </c>
      <c r="S629" s="3" t="s">
        <v>38</v>
      </c>
      <c r="T629" s="3" t="s">
        <v>43</v>
      </c>
      <c r="U629" s="3"/>
      <c r="V629" s="3" t="s">
        <v>41</v>
      </c>
      <c r="W629" s="5">
        <v>6835.5</v>
      </c>
      <c r="X629" s="5">
        <v>6835.5</v>
      </c>
      <c r="Y629" s="3">
        <v>0</v>
      </c>
      <c r="Z629" s="3">
        <v>0</v>
      </c>
      <c r="AA629" s="3">
        <v>0</v>
      </c>
    </row>
    <row r="630" spans="1:27" ht="72.75" x14ac:dyDescent="0.25">
      <c r="A630" s="3" t="s">
        <v>28</v>
      </c>
      <c r="B630" s="3" t="s">
        <v>29</v>
      </c>
      <c r="C630" s="3" t="s">
        <v>30</v>
      </c>
      <c r="D630" s="3" t="s">
        <v>58</v>
      </c>
      <c r="E630" s="3" t="s">
        <v>32</v>
      </c>
      <c r="F630" s="3" t="s">
        <v>96</v>
      </c>
      <c r="G630" s="3">
        <v>2025</v>
      </c>
      <c r="H630" s="3" t="str">
        <f>CONCATENATE("54240504651")</f>
        <v>54240504651</v>
      </c>
      <c r="I630" s="3" t="s">
        <v>34</v>
      </c>
      <c r="J630" s="3" t="s">
        <v>35</v>
      </c>
      <c r="K630" s="3"/>
      <c r="L630" s="3" t="s">
        <v>36</v>
      </c>
      <c r="M630" s="3" t="str">
        <f>CONCATENATE("BLDMRA48R15D451Q")</f>
        <v>BLDMRA48R15D451Q</v>
      </c>
      <c r="N630" s="3" t="s">
        <v>750</v>
      </c>
      <c r="O630" s="3" t="s">
        <v>38</v>
      </c>
      <c r="P630" s="3"/>
      <c r="Q630" s="4">
        <v>45944</v>
      </c>
      <c r="R630" s="3" t="s">
        <v>39</v>
      </c>
      <c r="S630" s="3" t="s">
        <v>38</v>
      </c>
      <c r="T630" s="3" t="s">
        <v>43</v>
      </c>
      <c r="U630" s="3"/>
      <c r="V630" s="3" t="s">
        <v>41</v>
      </c>
      <c r="W630" s="5">
        <v>2182.4299999999998</v>
      </c>
      <c r="X630" s="5">
        <v>2182.4299999999998</v>
      </c>
      <c r="Y630" s="3">
        <v>0</v>
      </c>
      <c r="Z630" s="3">
        <v>0</v>
      </c>
      <c r="AA630" s="3">
        <v>0</v>
      </c>
    </row>
    <row r="631" spans="1:27" ht="36.75" x14ac:dyDescent="0.25">
      <c r="A631" s="3" t="s">
        <v>28</v>
      </c>
      <c r="B631" s="3" t="s">
        <v>29</v>
      </c>
      <c r="C631" s="3" t="s">
        <v>30</v>
      </c>
      <c r="D631" s="3" t="s">
        <v>63</v>
      </c>
      <c r="E631" s="3" t="s">
        <v>32</v>
      </c>
      <c r="F631" s="3" t="s">
        <v>142</v>
      </c>
      <c r="G631" s="3">
        <v>2025</v>
      </c>
      <c r="H631" s="3" t="str">
        <f>CONCATENATE("54240505245")</f>
        <v>54240505245</v>
      </c>
      <c r="I631" s="3" t="s">
        <v>34</v>
      </c>
      <c r="J631" s="3" t="s">
        <v>35</v>
      </c>
      <c r="K631" s="3"/>
      <c r="L631" s="3" t="s">
        <v>36</v>
      </c>
      <c r="M631" s="3" t="str">
        <f>CONCATENATE("02272310448")</f>
        <v>02272310448</v>
      </c>
      <c r="N631" s="3" t="s">
        <v>751</v>
      </c>
      <c r="O631" s="3" t="s">
        <v>38</v>
      </c>
      <c r="P631" s="3"/>
      <c r="Q631" s="4">
        <v>45944</v>
      </c>
      <c r="R631" s="3" t="s">
        <v>39</v>
      </c>
      <c r="S631" s="3" t="s">
        <v>38</v>
      </c>
      <c r="T631" s="3" t="s">
        <v>43</v>
      </c>
      <c r="U631" s="3"/>
      <c r="V631" s="3" t="s">
        <v>41</v>
      </c>
      <c r="W631" s="5">
        <v>1364.6</v>
      </c>
      <c r="X631" s="5">
        <v>1364.6</v>
      </c>
      <c r="Y631" s="3">
        <v>0</v>
      </c>
      <c r="Z631" s="3">
        <v>0</v>
      </c>
      <c r="AA631" s="3">
        <v>0</v>
      </c>
    </row>
    <row r="632" spans="1:27" ht="60.75" x14ac:dyDescent="0.25">
      <c r="A632" s="3" t="s">
        <v>28</v>
      </c>
      <c r="B632" s="3" t="s">
        <v>29</v>
      </c>
      <c r="C632" s="3" t="s">
        <v>30</v>
      </c>
      <c r="D632" s="3" t="s">
        <v>31</v>
      </c>
      <c r="E632" s="3" t="s">
        <v>32</v>
      </c>
      <c r="F632" s="3" t="s">
        <v>178</v>
      </c>
      <c r="G632" s="3">
        <v>2025</v>
      </c>
      <c r="H632" s="3" t="str">
        <f>CONCATENATE("54240589256")</f>
        <v>54240589256</v>
      </c>
      <c r="I632" s="3" t="s">
        <v>34</v>
      </c>
      <c r="J632" s="3" t="s">
        <v>35</v>
      </c>
      <c r="K632" s="3"/>
      <c r="L632" s="3" t="s">
        <v>36</v>
      </c>
      <c r="M632" s="3" t="str">
        <f>CONCATENATE("SRFGZZ53A29F589B")</f>
        <v>SRFGZZ53A29F589B</v>
      </c>
      <c r="N632" s="3" t="s">
        <v>752</v>
      </c>
      <c r="O632" s="3" t="s">
        <v>38</v>
      </c>
      <c r="P632" s="3"/>
      <c r="Q632" s="4">
        <v>45944</v>
      </c>
      <c r="R632" s="3" t="s">
        <v>39</v>
      </c>
      <c r="S632" s="3" t="s">
        <v>38</v>
      </c>
      <c r="T632" s="3" t="s">
        <v>43</v>
      </c>
      <c r="U632" s="3"/>
      <c r="V632" s="3" t="s">
        <v>41</v>
      </c>
      <c r="W632" s="5">
        <v>2160.0500000000002</v>
      </c>
      <c r="X632" s="5">
        <v>2160.0500000000002</v>
      </c>
      <c r="Y632" s="3">
        <v>0</v>
      </c>
      <c r="Z632" s="3">
        <v>0</v>
      </c>
      <c r="AA632" s="3">
        <v>0</v>
      </c>
    </row>
    <row r="633" spans="1:27" ht="60.75" x14ac:dyDescent="0.25">
      <c r="A633" s="3" t="s">
        <v>28</v>
      </c>
      <c r="B633" s="3" t="s">
        <v>29</v>
      </c>
      <c r="C633" s="3" t="s">
        <v>30</v>
      </c>
      <c r="D633" s="3" t="s">
        <v>49</v>
      </c>
      <c r="E633" s="3" t="s">
        <v>32</v>
      </c>
      <c r="F633" s="3" t="s">
        <v>69</v>
      </c>
      <c r="G633" s="3">
        <v>2025</v>
      </c>
      <c r="H633" s="3" t="str">
        <f>CONCATENATE("54240504867")</f>
        <v>54240504867</v>
      </c>
      <c r="I633" s="3" t="s">
        <v>34</v>
      </c>
      <c r="J633" s="3" t="s">
        <v>35</v>
      </c>
      <c r="K633" s="3"/>
      <c r="L633" s="3" t="s">
        <v>36</v>
      </c>
      <c r="M633" s="3" t="str">
        <f>CONCATENATE("FRPPLA61S14I651O")</f>
        <v>FRPPLA61S14I651O</v>
      </c>
      <c r="N633" s="3" t="s">
        <v>753</v>
      </c>
      <c r="O633" s="3" t="s">
        <v>38</v>
      </c>
      <c r="P633" s="3"/>
      <c r="Q633" s="4">
        <v>45944</v>
      </c>
      <c r="R633" s="3" t="s">
        <v>39</v>
      </c>
      <c r="S633" s="3" t="s">
        <v>38</v>
      </c>
      <c r="T633" s="3" t="s">
        <v>43</v>
      </c>
      <c r="U633" s="3"/>
      <c r="V633" s="3" t="s">
        <v>41</v>
      </c>
      <c r="W633" s="5">
        <v>2679.2</v>
      </c>
      <c r="X633" s="5">
        <v>2679.2</v>
      </c>
      <c r="Y633" s="3">
        <v>0</v>
      </c>
      <c r="Z633" s="3">
        <v>0</v>
      </c>
      <c r="AA633" s="3">
        <v>0</v>
      </c>
    </row>
    <row r="634" spans="1:27" ht="60.75" x14ac:dyDescent="0.25">
      <c r="A634" s="3" t="s">
        <v>28</v>
      </c>
      <c r="B634" s="3" t="s">
        <v>29</v>
      </c>
      <c r="C634" s="3" t="s">
        <v>30</v>
      </c>
      <c r="D634" s="3" t="s">
        <v>31</v>
      </c>
      <c r="E634" s="3" t="s">
        <v>46</v>
      </c>
      <c r="F634" s="3" t="s">
        <v>108</v>
      </c>
      <c r="G634" s="3">
        <v>2025</v>
      </c>
      <c r="H634" s="3" t="str">
        <f>CONCATENATE("54240504776")</f>
        <v>54240504776</v>
      </c>
      <c r="I634" s="3" t="s">
        <v>34</v>
      </c>
      <c r="J634" s="3" t="s">
        <v>35</v>
      </c>
      <c r="K634" s="3"/>
      <c r="L634" s="3" t="s">
        <v>36</v>
      </c>
      <c r="M634" s="3" t="str">
        <f>CONCATENATE("PRFTMS58H27F347W")</f>
        <v>PRFTMS58H27F347W</v>
      </c>
      <c r="N634" s="3" t="s">
        <v>754</v>
      </c>
      <c r="O634" s="3" t="s">
        <v>38</v>
      </c>
      <c r="P634" s="3"/>
      <c r="Q634" s="4">
        <v>45944</v>
      </c>
      <c r="R634" s="3" t="s">
        <v>39</v>
      </c>
      <c r="S634" s="3" t="s">
        <v>38</v>
      </c>
      <c r="T634" s="3" t="s">
        <v>43</v>
      </c>
      <c r="U634" s="3"/>
      <c r="V634" s="3" t="s">
        <v>41</v>
      </c>
      <c r="W634" s="5">
        <v>7054.58</v>
      </c>
      <c r="X634" s="5">
        <v>7054.58</v>
      </c>
      <c r="Y634" s="3">
        <v>0</v>
      </c>
      <c r="Z634" s="3">
        <v>0</v>
      </c>
      <c r="AA634" s="3">
        <v>0</v>
      </c>
    </row>
    <row r="635" spans="1:27" ht="60.75" x14ac:dyDescent="0.25">
      <c r="A635" s="3" t="s">
        <v>28</v>
      </c>
      <c r="B635" s="3" t="s">
        <v>29</v>
      </c>
      <c r="C635" s="3" t="s">
        <v>30</v>
      </c>
      <c r="D635" s="3" t="s">
        <v>49</v>
      </c>
      <c r="E635" s="3" t="s">
        <v>64</v>
      </c>
      <c r="F635" s="3" t="s">
        <v>65</v>
      </c>
      <c r="G635" s="3">
        <v>2025</v>
      </c>
      <c r="H635" s="3" t="str">
        <f>CONCATENATE("54240641172")</f>
        <v>54240641172</v>
      </c>
      <c r="I635" s="3" t="s">
        <v>34</v>
      </c>
      <c r="J635" s="3" t="s">
        <v>35</v>
      </c>
      <c r="K635" s="3"/>
      <c r="L635" s="3" t="s">
        <v>36</v>
      </c>
      <c r="M635" s="3" t="str">
        <f>CONCATENATE("VLRGPP65D05E783Z")</f>
        <v>VLRGPP65D05E783Z</v>
      </c>
      <c r="N635" s="3" t="s">
        <v>755</v>
      </c>
      <c r="O635" s="3" t="s">
        <v>38</v>
      </c>
      <c r="P635" s="3"/>
      <c r="Q635" s="4">
        <v>45944</v>
      </c>
      <c r="R635" s="3" t="s">
        <v>39</v>
      </c>
      <c r="S635" s="3" t="s">
        <v>38</v>
      </c>
      <c r="T635" s="3" t="s">
        <v>43</v>
      </c>
      <c r="U635" s="3"/>
      <c r="V635" s="3" t="s">
        <v>41</v>
      </c>
      <c r="W635" s="5">
        <v>1331.46</v>
      </c>
      <c r="X635" s="5">
        <v>1331.46</v>
      </c>
      <c r="Y635" s="3">
        <v>0</v>
      </c>
      <c r="Z635" s="3">
        <v>0</v>
      </c>
      <c r="AA635" s="3">
        <v>0</v>
      </c>
    </row>
    <row r="636" spans="1:27" ht="60.75" x14ac:dyDescent="0.25">
      <c r="A636" s="3" t="s">
        <v>28</v>
      </c>
      <c r="B636" s="3" t="s">
        <v>29</v>
      </c>
      <c r="C636" s="3" t="s">
        <v>30</v>
      </c>
      <c r="D636" s="3" t="s">
        <v>31</v>
      </c>
      <c r="E636" s="3" t="s">
        <v>46</v>
      </c>
      <c r="F636" s="3" t="s">
        <v>108</v>
      </c>
      <c r="G636" s="3">
        <v>2025</v>
      </c>
      <c r="H636" s="3" t="str">
        <f>CONCATENATE("54240504982")</f>
        <v>54240504982</v>
      </c>
      <c r="I636" s="3" t="s">
        <v>34</v>
      </c>
      <c r="J636" s="3" t="s">
        <v>35</v>
      </c>
      <c r="K636" s="3"/>
      <c r="L636" s="3" t="s">
        <v>36</v>
      </c>
      <c r="M636" s="3" t="str">
        <f>CONCATENATE("BTTSRN90H46I459Q")</f>
        <v>BTTSRN90H46I459Q</v>
      </c>
      <c r="N636" s="3" t="s">
        <v>756</v>
      </c>
      <c r="O636" s="3" t="s">
        <v>38</v>
      </c>
      <c r="P636" s="3"/>
      <c r="Q636" s="4">
        <v>45944</v>
      </c>
      <c r="R636" s="3" t="s">
        <v>39</v>
      </c>
      <c r="S636" s="3" t="s">
        <v>38</v>
      </c>
      <c r="T636" s="3" t="s">
        <v>43</v>
      </c>
      <c r="U636" s="3"/>
      <c r="V636" s="3" t="s">
        <v>41</v>
      </c>
      <c r="W636" s="5">
        <v>12407.15</v>
      </c>
      <c r="X636" s="5">
        <v>12407.15</v>
      </c>
      <c r="Y636" s="3">
        <v>0</v>
      </c>
      <c r="Z636" s="3">
        <v>0</v>
      </c>
      <c r="AA636" s="3">
        <v>0</v>
      </c>
    </row>
    <row r="637" spans="1:27" ht="60.75" x14ac:dyDescent="0.25">
      <c r="A637" s="3" t="s">
        <v>28</v>
      </c>
      <c r="B637" s="3" t="s">
        <v>29</v>
      </c>
      <c r="C637" s="3" t="s">
        <v>30</v>
      </c>
      <c r="D637" s="3" t="s">
        <v>49</v>
      </c>
      <c r="E637" s="3" t="s">
        <v>74</v>
      </c>
      <c r="F637" s="3" t="s">
        <v>217</v>
      </c>
      <c r="G637" s="3">
        <v>2025</v>
      </c>
      <c r="H637" s="3" t="str">
        <f>CONCATENATE("54240505039")</f>
        <v>54240505039</v>
      </c>
      <c r="I637" s="3" t="s">
        <v>34</v>
      </c>
      <c r="J637" s="3" t="s">
        <v>35</v>
      </c>
      <c r="K637" s="3"/>
      <c r="L637" s="3" t="s">
        <v>36</v>
      </c>
      <c r="M637" s="3" t="str">
        <f>CONCATENATE("CCCDVD90A18B474S")</f>
        <v>CCCDVD90A18B474S</v>
      </c>
      <c r="N637" s="3" t="s">
        <v>757</v>
      </c>
      <c r="O637" s="3" t="s">
        <v>38</v>
      </c>
      <c r="P637" s="3"/>
      <c r="Q637" s="4">
        <v>45944</v>
      </c>
      <c r="R637" s="3" t="s">
        <v>39</v>
      </c>
      <c r="S637" s="3" t="s">
        <v>38</v>
      </c>
      <c r="T637" s="3" t="s">
        <v>43</v>
      </c>
      <c r="U637" s="3"/>
      <c r="V637" s="3" t="s">
        <v>41</v>
      </c>
      <c r="W637" s="5">
        <v>8452.57</v>
      </c>
      <c r="X637" s="5">
        <v>8452.57</v>
      </c>
      <c r="Y637" s="3">
        <v>0</v>
      </c>
      <c r="Z637" s="3">
        <v>0</v>
      </c>
      <c r="AA637" s="3">
        <v>0</v>
      </c>
    </row>
    <row r="638" spans="1:27" ht="60.75" x14ac:dyDescent="0.25">
      <c r="A638" s="3" t="s">
        <v>28</v>
      </c>
      <c r="B638" s="3" t="s">
        <v>29</v>
      </c>
      <c r="C638" s="3" t="s">
        <v>30</v>
      </c>
      <c r="D638" s="3" t="s">
        <v>31</v>
      </c>
      <c r="E638" s="3" t="s">
        <v>46</v>
      </c>
      <c r="F638" s="3" t="s">
        <v>108</v>
      </c>
      <c r="G638" s="3">
        <v>2025</v>
      </c>
      <c r="H638" s="3" t="str">
        <f>CONCATENATE("54240505088")</f>
        <v>54240505088</v>
      </c>
      <c r="I638" s="3" t="s">
        <v>34</v>
      </c>
      <c r="J638" s="3" t="s">
        <v>35</v>
      </c>
      <c r="K638" s="3"/>
      <c r="L638" s="3" t="s">
        <v>36</v>
      </c>
      <c r="M638" s="3" t="str">
        <f>CONCATENATE("BRCTZN61P58C830P")</f>
        <v>BRCTZN61P58C830P</v>
      </c>
      <c r="N638" s="3" t="s">
        <v>758</v>
      </c>
      <c r="O638" s="3" t="s">
        <v>38</v>
      </c>
      <c r="P638" s="3"/>
      <c r="Q638" s="4">
        <v>45944</v>
      </c>
      <c r="R638" s="3" t="s">
        <v>39</v>
      </c>
      <c r="S638" s="3" t="s">
        <v>38</v>
      </c>
      <c r="T638" s="3" t="s">
        <v>43</v>
      </c>
      <c r="U638" s="3"/>
      <c r="V638" s="3" t="s">
        <v>41</v>
      </c>
      <c r="W638" s="5">
        <v>7897.21</v>
      </c>
      <c r="X638" s="5">
        <v>7897.21</v>
      </c>
      <c r="Y638" s="3">
        <v>0</v>
      </c>
      <c r="Z638" s="3">
        <v>0</v>
      </c>
      <c r="AA638" s="3">
        <v>0</v>
      </c>
    </row>
    <row r="639" spans="1:27" ht="36.75" x14ac:dyDescent="0.25">
      <c r="A639" s="3" t="s">
        <v>28</v>
      </c>
      <c r="B639" s="3" t="s">
        <v>29</v>
      </c>
      <c r="C639" s="3" t="s">
        <v>30</v>
      </c>
      <c r="D639" s="3" t="s">
        <v>31</v>
      </c>
      <c r="E639" s="3" t="s">
        <v>46</v>
      </c>
      <c r="F639" s="3" t="s">
        <v>108</v>
      </c>
      <c r="G639" s="3">
        <v>2025</v>
      </c>
      <c r="H639" s="3" t="str">
        <f>CONCATENATE("54240505062")</f>
        <v>54240505062</v>
      </c>
      <c r="I639" s="3" t="s">
        <v>34</v>
      </c>
      <c r="J639" s="3" t="s">
        <v>35</v>
      </c>
      <c r="K639" s="3"/>
      <c r="L639" s="3" t="s">
        <v>36</v>
      </c>
      <c r="M639" s="3" t="str">
        <f>CONCATENATE("01476740418")</f>
        <v>01476740418</v>
      </c>
      <c r="N639" s="3" t="s">
        <v>759</v>
      </c>
      <c r="O639" s="3" t="s">
        <v>38</v>
      </c>
      <c r="P639" s="3"/>
      <c r="Q639" s="4">
        <v>45944</v>
      </c>
      <c r="R639" s="3" t="s">
        <v>39</v>
      </c>
      <c r="S639" s="3" t="s">
        <v>38</v>
      </c>
      <c r="T639" s="3" t="s">
        <v>43</v>
      </c>
      <c r="U639" s="3"/>
      <c r="V639" s="3" t="s">
        <v>41</v>
      </c>
      <c r="W639" s="5">
        <v>1375.6</v>
      </c>
      <c r="X639" s="5">
        <v>1375.6</v>
      </c>
      <c r="Y639" s="3">
        <v>0</v>
      </c>
      <c r="Z639" s="3">
        <v>0</v>
      </c>
      <c r="AA639" s="3">
        <v>0</v>
      </c>
    </row>
    <row r="640" spans="1:27" ht="60.75" x14ac:dyDescent="0.25">
      <c r="A640" s="3" t="s">
        <v>28</v>
      </c>
      <c r="B640" s="3" t="s">
        <v>29</v>
      </c>
      <c r="C640" s="3" t="s">
        <v>30</v>
      </c>
      <c r="D640" s="3" t="s">
        <v>31</v>
      </c>
      <c r="E640" s="3" t="s">
        <v>145</v>
      </c>
      <c r="F640" s="3" t="s">
        <v>485</v>
      </c>
      <c r="G640" s="3">
        <v>2025</v>
      </c>
      <c r="H640" s="3" t="str">
        <f>CONCATENATE("54240505229")</f>
        <v>54240505229</v>
      </c>
      <c r="I640" s="3" t="s">
        <v>34</v>
      </c>
      <c r="J640" s="3" t="s">
        <v>35</v>
      </c>
      <c r="K640" s="3"/>
      <c r="L640" s="3" t="s">
        <v>36</v>
      </c>
      <c r="M640" s="3" t="str">
        <f>CONCATENATE("BRSMRC76H15I608R")</f>
        <v>BRSMRC76H15I608R</v>
      </c>
      <c r="N640" s="3" t="s">
        <v>760</v>
      </c>
      <c r="O640" s="3" t="s">
        <v>38</v>
      </c>
      <c r="P640" s="3"/>
      <c r="Q640" s="4">
        <v>45944</v>
      </c>
      <c r="R640" s="3" t="s">
        <v>39</v>
      </c>
      <c r="S640" s="3" t="s">
        <v>38</v>
      </c>
      <c r="T640" s="3" t="s">
        <v>43</v>
      </c>
      <c r="U640" s="3"/>
      <c r="V640" s="3" t="s">
        <v>41</v>
      </c>
      <c r="W640" s="5">
        <v>1200.9100000000001</v>
      </c>
      <c r="X640" s="5">
        <v>1200.9100000000001</v>
      </c>
      <c r="Y640" s="3">
        <v>0</v>
      </c>
      <c r="Z640" s="3">
        <v>0</v>
      </c>
      <c r="AA640" s="3">
        <v>0</v>
      </c>
    </row>
    <row r="641" spans="1:27" ht="60.75" x14ac:dyDescent="0.25">
      <c r="A641" s="3" t="s">
        <v>28</v>
      </c>
      <c r="B641" s="3" t="s">
        <v>29</v>
      </c>
      <c r="C641" s="3" t="s">
        <v>30</v>
      </c>
      <c r="D641" s="3" t="s">
        <v>58</v>
      </c>
      <c r="E641" s="3" t="s">
        <v>32</v>
      </c>
      <c r="F641" s="3" t="s">
        <v>239</v>
      </c>
      <c r="G641" s="3">
        <v>2025</v>
      </c>
      <c r="H641" s="3" t="str">
        <f>CONCATENATE("54240505120")</f>
        <v>54240505120</v>
      </c>
      <c r="I641" s="3" t="s">
        <v>34</v>
      </c>
      <c r="J641" s="3" t="s">
        <v>35</v>
      </c>
      <c r="K641" s="3"/>
      <c r="L641" s="3" t="s">
        <v>36</v>
      </c>
      <c r="M641" s="3" t="str">
        <f>CONCATENATE("LLGMSF64E62H501O")</f>
        <v>LLGMSF64E62H501O</v>
      </c>
      <c r="N641" s="3" t="s">
        <v>761</v>
      </c>
      <c r="O641" s="3" t="s">
        <v>38</v>
      </c>
      <c r="P641" s="3"/>
      <c r="Q641" s="4">
        <v>45944</v>
      </c>
      <c r="R641" s="3" t="s">
        <v>39</v>
      </c>
      <c r="S641" s="3" t="s">
        <v>38</v>
      </c>
      <c r="T641" s="3" t="s">
        <v>43</v>
      </c>
      <c r="U641" s="3"/>
      <c r="V641" s="3" t="s">
        <v>41</v>
      </c>
      <c r="W641" s="5">
        <v>2079.14</v>
      </c>
      <c r="X641" s="5">
        <v>2079.14</v>
      </c>
      <c r="Y641" s="3">
        <v>0</v>
      </c>
      <c r="Z641" s="3">
        <v>0</v>
      </c>
      <c r="AA641" s="3">
        <v>0</v>
      </c>
    </row>
    <row r="642" spans="1:27" ht="60.75" x14ac:dyDescent="0.25">
      <c r="A642" s="3" t="s">
        <v>28</v>
      </c>
      <c r="B642" s="3" t="s">
        <v>29</v>
      </c>
      <c r="C642" s="3" t="s">
        <v>30</v>
      </c>
      <c r="D642" s="3" t="s">
        <v>58</v>
      </c>
      <c r="E642" s="3" t="s">
        <v>32</v>
      </c>
      <c r="F642" s="3" t="s">
        <v>239</v>
      </c>
      <c r="G642" s="3">
        <v>2025</v>
      </c>
      <c r="H642" s="3" t="str">
        <f>CONCATENATE("54240505450")</f>
        <v>54240505450</v>
      </c>
      <c r="I642" s="3" t="s">
        <v>34</v>
      </c>
      <c r="J642" s="3" t="s">
        <v>35</v>
      </c>
      <c r="K642" s="3"/>
      <c r="L642" s="3" t="s">
        <v>36</v>
      </c>
      <c r="M642" s="3" t="str">
        <f>CONCATENATE("BBRLBR55S07I608W")</f>
        <v>BBRLBR55S07I608W</v>
      </c>
      <c r="N642" s="3" t="s">
        <v>762</v>
      </c>
      <c r="O642" s="3" t="s">
        <v>38</v>
      </c>
      <c r="P642" s="3"/>
      <c r="Q642" s="4">
        <v>45944</v>
      </c>
      <c r="R642" s="3" t="s">
        <v>39</v>
      </c>
      <c r="S642" s="3" t="s">
        <v>38</v>
      </c>
      <c r="T642" s="3" t="s">
        <v>43</v>
      </c>
      <c r="U642" s="3"/>
      <c r="V642" s="3" t="s">
        <v>41</v>
      </c>
      <c r="W642" s="5">
        <v>2809.81</v>
      </c>
      <c r="X642" s="5">
        <v>2809.81</v>
      </c>
      <c r="Y642" s="3">
        <v>0</v>
      </c>
      <c r="Z642" s="3">
        <v>0</v>
      </c>
      <c r="AA642" s="3">
        <v>0</v>
      </c>
    </row>
    <row r="643" spans="1:27" ht="60.75" x14ac:dyDescent="0.25">
      <c r="A643" s="3" t="s">
        <v>28</v>
      </c>
      <c r="B643" s="3" t="s">
        <v>29</v>
      </c>
      <c r="C643" s="3" t="s">
        <v>30</v>
      </c>
      <c r="D643" s="3" t="s">
        <v>49</v>
      </c>
      <c r="E643" s="3" t="s">
        <v>46</v>
      </c>
      <c r="F643" s="3" t="s">
        <v>129</v>
      </c>
      <c r="G643" s="3">
        <v>2025</v>
      </c>
      <c r="H643" s="3" t="str">
        <f>CONCATENATE("54240505328")</f>
        <v>54240505328</v>
      </c>
      <c r="I643" s="3" t="s">
        <v>34</v>
      </c>
      <c r="J643" s="3" t="s">
        <v>35</v>
      </c>
      <c r="K643" s="3"/>
      <c r="L643" s="3" t="s">
        <v>36</v>
      </c>
      <c r="M643" s="3" t="str">
        <f>CONCATENATE("VNZNLS76C67Z126S")</f>
        <v>VNZNLS76C67Z126S</v>
      </c>
      <c r="N643" s="3" t="s">
        <v>763</v>
      </c>
      <c r="O643" s="3" t="s">
        <v>38</v>
      </c>
      <c r="P643" s="3"/>
      <c r="Q643" s="4">
        <v>45944</v>
      </c>
      <c r="R643" s="3" t="s">
        <v>39</v>
      </c>
      <c r="S643" s="3" t="s">
        <v>38</v>
      </c>
      <c r="T643" s="3" t="s">
        <v>43</v>
      </c>
      <c r="U643" s="3"/>
      <c r="V643" s="3" t="s">
        <v>41</v>
      </c>
      <c r="W643" s="5">
        <v>1791.8</v>
      </c>
      <c r="X643" s="5">
        <v>1791.8</v>
      </c>
      <c r="Y643" s="3">
        <v>0</v>
      </c>
      <c r="Z643" s="3">
        <v>0</v>
      </c>
      <c r="AA643" s="3">
        <v>0</v>
      </c>
    </row>
    <row r="644" spans="1:27" ht="36.75" x14ac:dyDescent="0.25">
      <c r="A644" s="3" t="s">
        <v>28</v>
      </c>
      <c r="B644" s="3" t="s">
        <v>29</v>
      </c>
      <c r="C644" s="3" t="s">
        <v>30</v>
      </c>
      <c r="D644" s="3" t="s">
        <v>58</v>
      </c>
      <c r="E644" s="3" t="s">
        <v>46</v>
      </c>
      <c r="F644" s="3" t="s">
        <v>129</v>
      </c>
      <c r="G644" s="3">
        <v>2025</v>
      </c>
      <c r="H644" s="3" t="str">
        <f>CONCATENATE("54240505369")</f>
        <v>54240505369</v>
      </c>
      <c r="I644" s="3" t="s">
        <v>34</v>
      </c>
      <c r="J644" s="3" t="s">
        <v>35</v>
      </c>
      <c r="K644" s="3"/>
      <c r="L644" s="3" t="s">
        <v>36</v>
      </c>
      <c r="M644" s="3" t="str">
        <f>CONCATENATE("02903400428")</f>
        <v>02903400428</v>
      </c>
      <c r="N644" s="3" t="s">
        <v>764</v>
      </c>
      <c r="O644" s="3" t="s">
        <v>38</v>
      </c>
      <c r="P644" s="3"/>
      <c r="Q644" s="4">
        <v>45944</v>
      </c>
      <c r="R644" s="3" t="s">
        <v>39</v>
      </c>
      <c r="S644" s="3" t="s">
        <v>38</v>
      </c>
      <c r="T644" s="3" t="s">
        <v>43</v>
      </c>
      <c r="U644" s="3"/>
      <c r="V644" s="3" t="s">
        <v>41</v>
      </c>
      <c r="W644" s="5">
        <v>1946.13</v>
      </c>
      <c r="X644" s="5">
        <v>1946.13</v>
      </c>
      <c r="Y644" s="3">
        <v>0</v>
      </c>
      <c r="Z644" s="3">
        <v>0</v>
      </c>
      <c r="AA644" s="3">
        <v>0</v>
      </c>
    </row>
    <row r="645" spans="1:27" ht="60.75" x14ac:dyDescent="0.25">
      <c r="A645" s="3" t="s">
        <v>28</v>
      </c>
      <c r="B645" s="3" t="s">
        <v>29</v>
      </c>
      <c r="C645" s="3" t="s">
        <v>30</v>
      </c>
      <c r="D645" s="3" t="s">
        <v>31</v>
      </c>
      <c r="E645" s="3" t="s">
        <v>32</v>
      </c>
      <c r="F645" s="3" t="s">
        <v>153</v>
      </c>
      <c r="G645" s="3">
        <v>2025</v>
      </c>
      <c r="H645" s="3" t="str">
        <f>CONCATENATE("54240505575")</f>
        <v>54240505575</v>
      </c>
      <c r="I645" s="3" t="s">
        <v>34</v>
      </c>
      <c r="J645" s="3" t="s">
        <v>35</v>
      </c>
      <c r="K645" s="3"/>
      <c r="L645" s="3" t="s">
        <v>36</v>
      </c>
      <c r="M645" s="3" t="str">
        <f>CONCATENATE("BNCFNC76L11D749O")</f>
        <v>BNCFNC76L11D749O</v>
      </c>
      <c r="N645" s="3" t="s">
        <v>765</v>
      </c>
      <c r="O645" s="3" t="s">
        <v>38</v>
      </c>
      <c r="P645" s="3"/>
      <c r="Q645" s="4">
        <v>45944</v>
      </c>
      <c r="R645" s="3" t="s">
        <v>39</v>
      </c>
      <c r="S645" s="3" t="s">
        <v>38</v>
      </c>
      <c r="T645" s="3" t="s">
        <v>43</v>
      </c>
      <c r="U645" s="3"/>
      <c r="V645" s="3" t="s">
        <v>41</v>
      </c>
      <c r="W645" s="5">
        <v>1596.61</v>
      </c>
      <c r="X645" s="5">
        <v>1596.61</v>
      </c>
      <c r="Y645" s="3">
        <v>0</v>
      </c>
      <c r="Z645" s="3">
        <v>0</v>
      </c>
      <c r="AA645" s="3">
        <v>0</v>
      </c>
    </row>
    <row r="646" spans="1:27" ht="60.75" x14ac:dyDescent="0.25">
      <c r="A646" s="3" t="s">
        <v>28</v>
      </c>
      <c r="B646" s="3" t="s">
        <v>29</v>
      </c>
      <c r="C646" s="3" t="s">
        <v>30</v>
      </c>
      <c r="D646" s="3" t="s">
        <v>58</v>
      </c>
      <c r="E646" s="3" t="s">
        <v>53</v>
      </c>
      <c r="F646" s="3" t="s">
        <v>123</v>
      </c>
      <c r="G646" s="3">
        <v>2025</v>
      </c>
      <c r="H646" s="3" t="str">
        <f>CONCATENATE("54240505658")</f>
        <v>54240505658</v>
      </c>
      <c r="I646" s="3" t="s">
        <v>34</v>
      </c>
      <c r="J646" s="3" t="s">
        <v>35</v>
      </c>
      <c r="K646" s="3"/>
      <c r="L646" s="3" t="s">
        <v>36</v>
      </c>
      <c r="M646" s="3" t="str">
        <f>CONCATENATE("GSTTZN90D23E388V")</f>
        <v>GSTTZN90D23E388V</v>
      </c>
      <c r="N646" s="3" t="s">
        <v>766</v>
      </c>
      <c r="O646" s="3" t="s">
        <v>38</v>
      </c>
      <c r="P646" s="3"/>
      <c r="Q646" s="4">
        <v>45944</v>
      </c>
      <c r="R646" s="3" t="s">
        <v>39</v>
      </c>
      <c r="S646" s="3" t="s">
        <v>38</v>
      </c>
      <c r="T646" s="3" t="s">
        <v>43</v>
      </c>
      <c r="U646" s="3"/>
      <c r="V646" s="3" t="s">
        <v>41</v>
      </c>
      <c r="W646" s="3">
        <v>834.16</v>
      </c>
      <c r="X646" s="3">
        <v>834.16</v>
      </c>
      <c r="Y646" s="3">
        <v>0</v>
      </c>
      <c r="Z646" s="3">
        <v>0</v>
      </c>
      <c r="AA646" s="3">
        <v>0</v>
      </c>
    </row>
    <row r="647" spans="1:27" ht="36.75" x14ac:dyDescent="0.25">
      <c r="A647" s="3" t="s">
        <v>28</v>
      </c>
      <c r="B647" s="3" t="s">
        <v>29</v>
      </c>
      <c r="C647" s="3" t="s">
        <v>30</v>
      </c>
      <c r="D647" s="3" t="s">
        <v>31</v>
      </c>
      <c r="E647" s="3" t="s">
        <v>145</v>
      </c>
      <c r="F647" s="3" t="s">
        <v>485</v>
      </c>
      <c r="G647" s="3">
        <v>2025</v>
      </c>
      <c r="H647" s="3" t="str">
        <f>CONCATENATE("54240505716")</f>
        <v>54240505716</v>
      </c>
      <c r="I647" s="3" t="s">
        <v>34</v>
      </c>
      <c r="J647" s="3" t="s">
        <v>35</v>
      </c>
      <c r="K647" s="3"/>
      <c r="L647" s="3" t="s">
        <v>36</v>
      </c>
      <c r="M647" s="3" t="str">
        <f>CONCATENATE("02810750410")</f>
        <v>02810750410</v>
      </c>
      <c r="N647" s="3" t="s">
        <v>767</v>
      </c>
      <c r="O647" s="3" t="s">
        <v>38</v>
      </c>
      <c r="P647" s="3"/>
      <c r="Q647" s="4">
        <v>45944</v>
      </c>
      <c r="R647" s="3" t="s">
        <v>39</v>
      </c>
      <c r="S647" s="3" t="s">
        <v>38</v>
      </c>
      <c r="T647" s="3" t="s">
        <v>43</v>
      </c>
      <c r="U647" s="3"/>
      <c r="V647" s="3" t="s">
        <v>41</v>
      </c>
      <c r="W647" s="5">
        <v>6709.66</v>
      </c>
      <c r="X647" s="5">
        <v>6709.66</v>
      </c>
      <c r="Y647" s="3">
        <v>0</v>
      </c>
      <c r="Z647" s="3">
        <v>0</v>
      </c>
      <c r="AA647" s="3">
        <v>0</v>
      </c>
    </row>
    <row r="648" spans="1:27" ht="36.75" x14ac:dyDescent="0.25">
      <c r="A648" s="3" t="s">
        <v>28</v>
      </c>
      <c r="B648" s="3" t="s">
        <v>29</v>
      </c>
      <c r="C648" s="3" t="s">
        <v>30</v>
      </c>
      <c r="D648" s="3" t="s">
        <v>31</v>
      </c>
      <c r="E648" s="3" t="s">
        <v>145</v>
      </c>
      <c r="F648" s="3" t="s">
        <v>485</v>
      </c>
      <c r="G648" s="3">
        <v>2025</v>
      </c>
      <c r="H648" s="3" t="str">
        <f>CONCATENATE("54240505807")</f>
        <v>54240505807</v>
      </c>
      <c r="I648" s="3" t="s">
        <v>34</v>
      </c>
      <c r="J648" s="3" t="s">
        <v>35</v>
      </c>
      <c r="K648" s="3"/>
      <c r="L648" s="3" t="s">
        <v>36</v>
      </c>
      <c r="M648" s="3" t="str">
        <f>CONCATENATE("02571050422")</f>
        <v>02571050422</v>
      </c>
      <c r="N648" s="3" t="s">
        <v>768</v>
      </c>
      <c r="O648" s="3" t="s">
        <v>38</v>
      </c>
      <c r="P648" s="3"/>
      <c r="Q648" s="4">
        <v>45944</v>
      </c>
      <c r="R648" s="3" t="s">
        <v>39</v>
      </c>
      <c r="S648" s="3" t="s">
        <v>38</v>
      </c>
      <c r="T648" s="3" t="s">
        <v>43</v>
      </c>
      <c r="U648" s="3"/>
      <c r="V648" s="3" t="s">
        <v>41</v>
      </c>
      <c r="W648" s="5">
        <v>11860.66</v>
      </c>
      <c r="X648" s="5">
        <v>11860.66</v>
      </c>
      <c r="Y648" s="3">
        <v>0</v>
      </c>
      <c r="Z648" s="3">
        <v>0</v>
      </c>
      <c r="AA648" s="3">
        <v>0</v>
      </c>
    </row>
    <row r="649" spans="1:27" ht="72.75" x14ac:dyDescent="0.25">
      <c r="A649" s="3" t="s">
        <v>28</v>
      </c>
      <c r="B649" s="3" t="s">
        <v>29</v>
      </c>
      <c r="C649" s="3" t="s">
        <v>30</v>
      </c>
      <c r="D649" s="3" t="s">
        <v>31</v>
      </c>
      <c r="E649" s="3" t="s">
        <v>32</v>
      </c>
      <c r="F649" s="3" t="s">
        <v>153</v>
      </c>
      <c r="G649" s="3">
        <v>2025</v>
      </c>
      <c r="H649" s="3" t="str">
        <f>CONCATENATE("54240505823")</f>
        <v>54240505823</v>
      </c>
      <c r="I649" s="3" t="s">
        <v>34</v>
      </c>
      <c r="J649" s="3" t="s">
        <v>35</v>
      </c>
      <c r="K649" s="3"/>
      <c r="L649" s="3" t="s">
        <v>36</v>
      </c>
      <c r="M649" s="3" t="str">
        <f>CONCATENATE("DLLMRN75P55D488H")</f>
        <v>DLLMRN75P55D488H</v>
      </c>
      <c r="N649" s="3" t="s">
        <v>769</v>
      </c>
      <c r="O649" s="3" t="s">
        <v>38</v>
      </c>
      <c r="P649" s="3"/>
      <c r="Q649" s="4">
        <v>45944</v>
      </c>
      <c r="R649" s="3" t="s">
        <v>39</v>
      </c>
      <c r="S649" s="3" t="s">
        <v>38</v>
      </c>
      <c r="T649" s="3" t="s">
        <v>43</v>
      </c>
      <c r="U649" s="3"/>
      <c r="V649" s="3" t="s">
        <v>41</v>
      </c>
      <c r="W649" s="5">
        <v>3530.57</v>
      </c>
      <c r="X649" s="5">
        <v>3530.57</v>
      </c>
      <c r="Y649" s="3">
        <v>0</v>
      </c>
      <c r="Z649" s="3">
        <v>0</v>
      </c>
      <c r="AA649" s="3">
        <v>0</v>
      </c>
    </row>
    <row r="650" spans="1:27" ht="36.75" x14ac:dyDescent="0.25">
      <c r="A650" s="3" t="s">
        <v>28</v>
      </c>
      <c r="B650" s="3" t="s">
        <v>29</v>
      </c>
      <c r="C650" s="3" t="s">
        <v>30</v>
      </c>
      <c r="D650" s="3" t="s">
        <v>63</v>
      </c>
      <c r="E650" s="3" t="s">
        <v>32</v>
      </c>
      <c r="F650" s="3" t="s">
        <v>696</v>
      </c>
      <c r="G650" s="3">
        <v>2025</v>
      </c>
      <c r="H650" s="3" t="str">
        <f>CONCATENATE("54240505864")</f>
        <v>54240505864</v>
      </c>
      <c r="I650" s="3" t="s">
        <v>34</v>
      </c>
      <c r="J650" s="3" t="s">
        <v>35</v>
      </c>
      <c r="K650" s="3"/>
      <c r="L650" s="3" t="s">
        <v>36</v>
      </c>
      <c r="M650" s="3" t="str">
        <f>CONCATENATE("01838100442")</f>
        <v>01838100442</v>
      </c>
      <c r="N650" s="3" t="s">
        <v>770</v>
      </c>
      <c r="O650" s="3" t="s">
        <v>38</v>
      </c>
      <c r="P650" s="3"/>
      <c r="Q650" s="4">
        <v>45944</v>
      </c>
      <c r="R650" s="3" t="s">
        <v>39</v>
      </c>
      <c r="S650" s="3" t="s">
        <v>38</v>
      </c>
      <c r="T650" s="3" t="s">
        <v>43</v>
      </c>
      <c r="U650" s="3"/>
      <c r="V650" s="3" t="s">
        <v>41</v>
      </c>
      <c r="W650" s="5">
        <v>2684.78</v>
      </c>
      <c r="X650" s="5">
        <v>2684.78</v>
      </c>
      <c r="Y650" s="3">
        <v>0</v>
      </c>
      <c r="Z650" s="3">
        <v>0</v>
      </c>
      <c r="AA650" s="3">
        <v>0</v>
      </c>
    </row>
    <row r="651" spans="1:27" ht="60.75" x14ac:dyDescent="0.25">
      <c r="A651" s="3" t="s">
        <v>28</v>
      </c>
      <c r="B651" s="3" t="s">
        <v>29</v>
      </c>
      <c r="C651" s="3" t="s">
        <v>30</v>
      </c>
      <c r="D651" s="3" t="s">
        <v>31</v>
      </c>
      <c r="E651" s="3" t="s">
        <v>32</v>
      </c>
      <c r="F651" s="3" t="s">
        <v>153</v>
      </c>
      <c r="G651" s="3">
        <v>2025</v>
      </c>
      <c r="H651" s="3" t="str">
        <f>CONCATENATE("54240506854")</f>
        <v>54240506854</v>
      </c>
      <c r="I651" s="3" t="s">
        <v>34</v>
      </c>
      <c r="J651" s="3" t="s">
        <v>35</v>
      </c>
      <c r="K651" s="3"/>
      <c r="L651" s="3" t="s">
        <v>36</v>
      </c>
      <c r="M651" s="3" t="str">
        <f>CONCATENATE("FRRRLB69L68L500I")</f>
        <v>FRRRLB69L68L500I</v>
      </c>
      <c r="N651" s="3" t="s">
        <v>771</v>
      </c>
      <c r="O651" s="3" t="s">
        <v>38</v>
      </c>
      <c r="P651" s="3"/>
      <c r="Q651" s="4">
        <v>45944</v>
      </c>
      <c r="R651" s="3" t="s">
        <v>39</v>
      </c>
      <c r="S651" s="3" t="s">
        <v>38</v>
      </c>
      <c r="T651" s="3" t="s">
        <v>43</v>
      </c>
      <c r="U651" s="3"/>
      <c r="V651" s="3" t="s">
        <v>41</v>
      </c>
      <c r="W651" s="5">
        <v>4180.8599999999997</v>
      </c>
      <c r="X651" s="5">
        <v>4180.8599999999997</v>
      </c>
      <c r="Y651" s="3">
        <v>0</v>
      </c>
      <c r="Z651" s="3">
        <v>0</v>
      </c>
      <c r="AA651" s="3">
        <v>0</v>
      </c>
    </row>
    <row r="652" spans="1:27" ht="60.75" x14ac:dyDescent="0.25">
      <c r="A652" s="3" t="s">
        <v>28</v>
      </c>
      <c r="B652" s="3" t="s">
        <v>29</v>
      </c>
      <c r="C652" s="3" t="s">
        <v>30</v>
      </c>
      <c r="D652" s="3" t="s">
        <v>49</v>
      </c>
      <c r="E652" s="3" t="s">
        <v>32</v>
      </c>
      <c r="F652" s="3" t="s">
        <v>78</v>
      </c>
      <c r="G652" s="3">
        <v>2025</v>
      </c>
      <c r="H652" s="3" t="str">
        <f>CONCATENATE("54240506458")</f>
        <v>54240506458</v>
      </c>
      <c r="I652" s="3" t="s">
        <v>34</v>
      </c>
      <c r="J652" s="3" t="s">
        <v>35</v>
      </c>
      <c r="K652" s="3"/>
      <c r="L652" s="3" t="s">
        <v>36</v>
      </c>
      <c r="M652" s="3" t="str">
        <f>CONCATENATE("MCABTL65C04H501X")</f>
        <v>MCABTL65C04H501X</v>
      </c>
      <c r="N652" s="3" t="s">
        <v>772</v>
      </c>
      <c r="O652" s="3" t="s">
        <v>38</v>
      </c>
      <c r="P652" s="3"/>
      <c r="Q652" s="4">
        <v>45944</v>
      </c>
      <c r="R652" s="3" t="s">
        <v>39</v>
      </c>
      <c r="S652" s="3" t="s">
        <v>38</v>
      </c>
      <c r="T652" s="3" t="s">
        <v>43</v>
      </c>
      <c r="U652" s="3"/>
      <c r="V652" s="3" t="s">
        <v>41</v>
      </c>
      <c r="W652" s="5">
        <v>15100.13</v>
      </c>
      <c r="X652" s="5">
        <v>15100.13</v>
      </c>
      <c r="Y652" s="3">
        <v>0</v>
      </c>
      <c r="Z652" s="3">
        <v>0</v>
      </c>
      <c r="AA652" s="3">
        <v>0</v>
      </c>
    </row>
    <row r="653" spans="1:27" ht="60.75" x14ac:dyDescent="0.25">
      <c r="A653" s="3" t="s">
        <v>28</v>
      </c>
      <c r="B653" s="3" t="s">
        <v>29</v>
      </c>
      <c r="C653" s="3" t="s">
        <v>30</v>
      </c>
      <c r="D653" s="3" t="s">
        <v>58</v>
      </c>
      <c r="E653" s="3" t="s">
        <v>53</v>
      </c>
      <c r="F653" s="3" t="s">
        <v>123</v>
      </c>
      <c r="G653" s="3">
        <v>2025</v>
      </c>
      <c r="H653" s="3" t="str">
        <f>CONCATENATE("54240577665")</f>
        <v>54240577665</v>
      </c>
      <c r="I653" s="3" t="s">
        <v>34</v>
      </c>
      <c r="J653" s="3" t="s">
        <v>35</v>
      </c>
      <c r="K653" s="3"/>
      <c r="L653" s="3" t="s">
        <v>36</v>
      </c>
      <c r="M653" s="3" t="str">
        <f>CONCATENATE("PTRPRZ53T51H501D")</f>
        <v>PTRPRZ53T51H501D</v>
      </c>
      <c r="N653" s="3" t="s">
        <v>773</v>
      </c>
      <c r="O653" s="3" t="s">
        <v>38</v>
      </c>
      <c r="P653" s="3"/>
      <c r="Q653" s="4">
        <v>45944</v>
      </c>
      <c r="R653" s="3" t="s">
        <v>39</v>
      </c>
      <c r="S653" s="3" t="s">
        <v>38</v>
      </c>
      <c r="T653" s="3" t="s">
        <v>43</v>
      </c>
      <c r="U653" s="3"/>
      <c r="V653" s="3" t="s">
        <v>41</v>
      </c>
      <c r="W653" s="3">
        <v>466.28</v>
      </c>
      <c r="X653" s="3">
        <v>466.28</v>
      </c>
      <c r="Y653" s="3">
        <v>0</v>
      </c>
      <c r="Z653" s="3">
        <v>0</v>
      </c>
      <c r="AA653" s="3">
        <v>0</v>
      </c>
    </row>
    <row r="654" spans="1:27" ht="60.75" x14ac:dyDescent="0.25">
      <c r="A654" s="3" t="s">
        <v>28</v>
      </c>
      <c r="B654" s="3" t="s">
        <v>29</v>
      </c>
      <c r="C654" s="3" t="s">
        <v>30</v>
      </c>
      <c r="D654" s="3" t="s">
        <v>63</v>
      </c>
      <c r="E654" s="3" t="s">
        <v>91</v>
      </c>
      <c r="F654" s="3" t="s">
        <v>94</v>
      </c>
      <c r="G654" s="3">
        <v>2025</v>
      </c>
      <c r="H654" s="3" t="str">
        <f>CONCATENATE("54240506342")</f>
        <v>54240506342</v>
      </c>
      <c r="I654" s="3" t="s">
        <v>34</v>
      </c>
      <c r="J654" s="3" t="s">
        <v>35</v>
      </c>
      <c r="K654" s="3"/>
      <c r="L654" s="3" t="s">
        <v>36</v>
      </c>
      <c r="M654" s="3" t="str">
        <f>CONCATENATE("MYRDDP91S14Z112U")</f>
        <v>MYRDDP91S14Z112U</v>
      </c>
      <c r="N654" s="3" t="s">
        <v>774</v>
      </c>
      <c r="O654" s="3" t="s">
        <v>38</v>
      </c>
      <c r="P654" s="3"/>
      <c r="Q654" s="4">
        <v>45944</v>
      </c>
      <c r="R654" s="3" t="s">
        <v>39</v>
      </c>
      <c r="S654" s="3" t="s">
        <v>38</v>
      </c>
      <c r="T654" s="3" t="s">
        <v>43</v>
      </c>
      <c r="U654" s="3"/>
      <c r="V654" s="3" t="s">
        <v>41</v>
      </c>
      <c r="W654" s="5">
        <v>1351.42</v>
      </c>
      <c r="X654" s="5">
        <v>1351.42</v>
      </c>
      <c r="Y654" s="3">
        <v>0</v>
      </c>
      <c r="Z654" s="3">
        <v>0</v>
      </c>
      <c r="AA654" s="3">
        <v>0</v>
      </c>
    </row>
    <row r="655" spans="1:27" ht="36.75" x14ac:dyDescent="0.25">
      <c r="A655" s="3" t="s">
        <v>28</v>
      </c>
      <c r="B655" s="3" t="s">
        <v>29</v>
      </c>
      <c r="C655" s="3" t="s">
        <v>30</v>
      </c>
      <c r="D655" s="3" t="s">
        <v>31</v>
      </c>
      <c r="E655" s="3" t="s">
        <v>91</v>
      </c>
      <c r="F655" s="3" t="s">
        <v>111</v>
      </c>
      <c r="G655" s="3">
        <v>2025</v>
      </c>
      <c r="H655" s="3" t="str">
        <f>CONCATENATE("54240636917")</f>
        <v>54240636917</v>
      </c>
      <c r="I655" s="3" t="s">
        <v>34</v>
      </c>
      <c r="J655" s="3" t="s">
        <v>35</v>
      </c>
      <c r="K655" s="3"/>
      <c r="L655" s="3" t="s">
        <v>36</v>
      </c>
      <c r="M655" s="3" t="str">
        <f>CONCATENATE("02663350417")</f>
        <v>02663350417</v>
      </c>
      <c r="N655" s="3" t="s">
        <v>775</v>
      </c>
      <c r="O655" s="3" t="s">
        <v>38</v>
      </c>
      <c r="P655" s="3"/>
      <c r="Q655" s="4">
        <v>45944</v>
      </c>
      <c r="R655" s="3" t="s">
        <v>39</v>
      </c>
      <c r="S655" s="3" t="s">
        <v>38</v>
      </c>
      <c r="T655" s="3" t="s">
        <v>40</v>
      </c>
      <c r="U655" s="3"/>
      <c r="V655" s="3" t="s">
        <v>41</v>
      </c>
      <c r="W655" s="5">
        <v>1259.99</v>
      </c>
      <c r="X655" s="3">
        <v>944.99</v>
      </c>
      <c r="Y655" s="3">
        <v>220.5</v>
      </c>
      <c r="Z655" s="3">
        <v>94.5</v>
      </c>
      <c r="AA655" s="3">
        <v>0</v>
      </c>
    </row>
    <row r="656" spans="1:27" ht="36.75" x14ac:dyDescent="0.25">
      <c r="A656" s="3" t="s">
        <v>28</v>
      </c>
      <c r="B656" s="3" t="s">
        <v>29</v>
      </c>
      <c r="C656" s="3" t="s">
        <v>30</v>
      </c>
      <c r="D656" s="3" t="s">
        <v>49</v>
      </c>
      <c r="E656" s="3" t="s">
        <v>46</v>
      </c>
      <c r="F656" s="3" t="s">
        <v>129</v>
      </c>
      <c r="G656" s="3">
        <v>2025</v>
      </c>
      <c r="H656" s="3" t="str">
        <f>CONCATENATE("54240641511")</f>
        <v>54240641511</v>
      </c>
      <c r="I656" s="3" t="s">
        <v>34</v>
      </c>
      <c r="J656" s="3" t="s">
        <v>35</v>
      </c>
      <c r="K656" s="3"/>
      <c r="L656" s="3" t="s">
        <v>36</v>
      </c>
      <c r="M656" s="3" t="str">
        <f>CONCATENATE("01112570435")</f>
        <v>01112570435</v>
      </c>
      <c r="N656" s="3" t="s">
        <v>776</v>
      </c>
      <c r="O656" s="3" t="s">
        <v>38</v>
      </c>
      <c r="P656" s="3"/>
      <c r="Q656" s="4">
        <v>45944</v>
      </c>
      <c r="R656" s="3" t="s">
        <v>39</v>
      </c>
      <c r="S656" s="3" t="s">
        <v>38</v>
      </c>
      <c r="T656" s="3" t="s">
        <v>40</v>
      </c>
      <c r="U656" s="3"/>
      <c r="V656" s="3" t="s">
        <v>41</v>
      </c>
      <c r="W656" s="5">
        <v>14764.05</v>
      </c>
      <c r="X656" s="5">
        <v>11073.04</v>
      </c>
      <c r="Y656" s="5">
        <v>2583.71</v>
      </c>
      <c r="Z656" s="5">
        <v>1107.3</v>
      </c>
      <c r="AA656" s="3">
        <v>0</v>
      </c>
    </row>
    <row r="657" spans="1:27" ht="72.75" x14ac:dyDescent="0.25">
      <c r="A657" s="3" t="s">
        <v>28</v>
      </c>
      <c r="B657" s="3" t="s">
        <v>29</v>
      </c>
      <c r="C657" s="3" t="s">
        <v>30</v>
      </c>
      <c r="D657" s="3" t="s">
        <v>49</v>
      </c>
      <c r="E657" s="3" t="s">
        <v>46</v>
      </c>
      <c r="F657" s="3" t="s">
        <v>131</v>
      </c>
      <c r="G657" s="3">
        <v>2025</v>
      </c>
      <c r="H657" s="3" t="str">
        <f>CONCATENATE("54240638673")</f>
        <v>54240638673</v>
      </c>
      <c r="I657" s="3" t="s">
        <v>34</v>
      </c>
      <c r="J657" s="3" t="s">
        <v>35</v>
      </c>
      <c r="K657" s="3"/>
      <c r="L657" s="3" t="s">
        <v>36</v>
      </c>
      <c r="M657" s="3" t="str">
        <f>CONCATENATE("MRCSMN82D03B474U")</f>
        <v>MRCSMN82D03B474U</v>
      </c>
      <c r="N657" s="3" t="s">
        <v>777</v>
      </c>
      <c r="O657" s="3" t="s">
        <v>38</v>
      </c>
      <c r="P657" s="3"/>
      <c r="Q657" s="4">
        <v>45944</v>
      </c>
      <c r="R657" s="3" t="s">
        <v>39</v>
      </c>
      <c r="S657" s="3" t="s">
        <v>38</v>
      </c>
      <c r="T657" s="3" t="s">
        <v>40</v>
      </c>
      <c r="U657" s="3"/>
      <c r="V657" s="3" t="s">
        <v>41</v>
      </c>
      <c r="W657" s="5">
        <v>10872.76</v>
      </c>
      <c r="X657" s="5">
        <v>8154.57</v>
      </c>
      <c r="Y657" s="5">
        <v>1902.73</v>
      </c>
      <c r="Z657" s="3">
        <v>815.46</v>
      </c>
      <c r="AA657" s="3">
        <v>0</v>
      </c>
    </row>
    <row r="658" spans="1:27" ht="72.75" x14ac:dyDescent="0.25">
      <c r="A658" s="3" t="s">
        <v>28</v>
      </c>
      <c r="B658" s="3" t="s">
        <v>29</v>
      </c>
      <c r="C658" s="3" t="s">
        <v>30</v>
      </c>
      <c r="D658" s="3" t="s">
        <v>58</v>
      </c>
      <c r="E658" s="3" t="s">
        <v>53</v>
      </c>
      <c r="F658" s="3" t="s">
        <v>59</v>
      </c>
      <c r="G658" s="3">
        <v>2025</v>
      </c>
      <c r="H658" s="3" t="str">
        <f>CONCATENATE("54240638780")</f>
        <v>54240638780</v>
      </c>
      <c r="I658" s="3" t="s">
        <v>34</v>
      </c>
      <c r="J658" s="3" t="s">
        <v>35</v>
      </c>
      <c r="K658" s="3"/>
      <c r="L658" s="3" t="s">
        <v>36</v>
      </c>
      <c r="M658" s="3" t="str">
        <f>CONCATENATE("GSTSDR65H17A271A")</f>
        <v>GSTSDR65H17A271A</v>
      </c>
      <c r="N658" s="3" t="s">
        <v>778</v>
      </c>
      <c r="O658" s="3" t="s">
        <v>38</v>
      </c>
      <c r="P658" s="3"/>
      <c r="Q658" s="4">
        <v>45944</v>
      </c>
      <c r="R658" s="3" t="s">
        <v>39</v>
      </c>
      <c r="S658" s="3" t="s">
        <v>38</v>
      </c>
      <c r="T658" s="3" t="s">
        <v>40</v>
      </c>
      <c r="U658" s="3"/>
      <c r="V658" s="3" t="s">
        <v>41</v>
      </c>
      <c r="W658" s="3">
        <v>503.34</v>
      </c>
      <c r="X658" s="3">
        <v>377.51</v>
      </c>
      <c r="Y658" s="3">
        <v>88.08</v>
      </c>
      <c r="Z658" s="3">
        <v>37.75</v>
      </c>
      <c r="AA658" s="3">
        <v>0</v>
      </c>
    </row>
    <row r="659" spans="1:27" ht="60.75" x14ac:dyDescent="0.25">
      <c r="A659" s="3" t="s">
        <v>28</v>
      </c>
      <c r="B659" s="3" t="s">
        <v>29</v>
      </c>
      <c r="C659" s="3" t="s">
        <v>30</v>
      </c>
      <c r="D659" s="3" t="s">
        <v>49</v>
      </c>
      <c r="E659" s="3" t="s">
        <v>32</v>
      </c>
      <c r="F659" s="3" t="s">
        <v>78</v>
      </c>
      <c r="G659" s="3">
        <v>2025</v>
      </c>
      <c r="H659" s="3" t="str">
        <f>CONCATENATE("54240640133")</f>
        <v>54240640133</v>
      </c>
      <c r="I659" s="3" t="s">
        <v>34</v>
      </c>
      <c r="J659" s="3" t="s">
        <v>35</v>
      </c>
      <c r="K659" s="3"/>
      <c r="L659" s="3" t="s">
        <v>36</v>
      </c>
      <c r="M659" s="3" t="str">
        <f>CONCATENATE("SPEMNL95C17B474Y")</f>
        <v>SPEMNL95C17B474Y</v>
      </c>
      <c r="N659" s="3" t="s">
        <v>779</v>
      </c>
      <c r="O659" s="3" t="s">
        <v>38</v>
      </c>
      <c r="P659" s="3"/>
      <c r="Q659" s="4">
        <v>45944</v>
      </c>
      <c r="R659" s="3" t="s">
        <v>39</v>
      </c>
      <c r="S659" s="3" t="s">
        <v>38</v>
      </c>
      <c r="T659" s="3" t="s">
        <v>40</v>
      </c>
      <c r="U659" s="3"/>
      <c r="V659" s="3" t="s">
        <v>41</v>
      </c>
      <c r="W659" s="5">
        <v>9856.76</v>
      </c>
      <c r="X659" s="5">
        <v>7392.57</v>
      </c>
      <c r="Y659" s="5">
        <v>1724.93</v>
      </c>
      <c r="Z659" s="3">
        <v>739.26</v>
      </c>
      <c r="AA659" s="3">
        <v>0</v>
      </c>
    </row>
    <row r="660" spans="1:27" ht="60.75" x14ac:dyDescent="0.25">
      <c r="A660" s="3" t="s">
        <v>28</v>
      </c>
      <c r="B660" s="3" t="s">
        <v>29</v>
      </c>
      <c r="C660" s="3" t="s">
        <v>30</v>
      </c>
      <c r="D660" s="3" t="s">
        <v>49</v>
      </c>
      <c r="E660" s="3" t="s">
        <v>145</v>
      </c>
      <c r="F660" s="3" t="s">
        <v>780</v>
      </c>
      <c r="G660" s="3">
        <v>2025</v>
      </c>
      <c r="H660" s="3" t="str">
        <f>CONCATENATE("54240645785")</f>
        <v>54240645785</v>
      </c>
      <c r="I660" s="3" t="s">
        <v>34</v>
      </c>
      <c r="J660" s="3" t="s">
        <v>35</v>
      </c>
      <c r="K660" s="3"/>
      <c r="L660" s="3" t="s">
        <v>36</v>
      </c>
      <c r="M660" s="3" t="str">
        <f>CONCATENATE("TRCLNZ91C13C615C")</f>
        <v>TRCLNZ91C13C615C</v>
      </c>
      <c r="N660" s="3" t="s">
        <v>781</v>
      </c>
      <c r="O660" s="3" t="s">
        <v>38</v>
      </c>
      <c r="P660" s="3"/>
      <c r="Q660" s="4">
        <v>45944</v>
      </c>
      <c r="R660" s="3" t="s">
        <v>39</v>
      </c>
      <c r="S660" s="3" t="s">
        <v>38</v>
      </c>
      <c r="T660" s="3" t="s">
        <v>40</v>
      </c>
      <c r="U660" s="3"/>
      <c r="V660" s="3" t="s">
        <v>41</v>
      </c>
      <c r="W660" s="5">
        <v>2812.02</v>
      </c>
      <c r="X660" s="5">
        <v>2109.02</v>
      </c>
      <c r="Y660" s="3">
        <v>492.1</v>
      </c>
      <c r="Z660" s="3">
        <v>210.9</v>
      </c>
      <c r="AA660" s="3">
        <v>0</v>
      </c>
    </row>
    <row r="661" spans="1:27" ht="36.75" x14ac:dyDescent="0.25">
      <c r="A661" s="3" t="s">
        <v>28</v>
      </c>
      <c r="B661" s="3" t="s">
        <v>29</v>
      </c>
      <c r="C661" s="3" t="s">
        <v>30</v>
      </c>
      <c r="D661" s="3" t="s">
        <v>49</v>
      </c>
      <c r="E661" s="3" t="s">
        <v>46</v>
      </c>
      <c r="F661" s="3" t="s">
        <v>129</v>
      </c>
      <c r="G661" s="3">
        <v>2025</v>
      </c>
      <c r="H661" s="3" t="str">
        <f>CONCATENATE("54240649001")</f>
        <v>54240649001</v>
      </c>
      <c r="I661" s="3" t="s">
        <v>34</v>
      </c>
      <c r="J661" s="3" t="s">
        <v>35</v>
      </c>
      <c r="K661" s="3"/>
      <c r="L661" s="3" t="s">
        <v>36</v>
      </c>
      <c r="M661" s="3" t="str">
        <f>CONCATENATE("01844660439")</f>
        <v>01844660439</v>
      </c>
      <c r="N661" s="3" t="s">
        <v>782</v>
      </c>
      <c r="O661" s="3" t="s">
        <v>38</v>
      </c>
      <c r="P661" s="3"/>
      <c r="Q661" s="4">
        <v>45944</v>
      </c>
      <c r="R661" s="3" t="s">
        <v>39</v>
      </c>
      <c r="S661" s="3" t="s">
        <v>38</v>
      </c>
      <c r="T661" s="3" t="s">
        <v>40</v>
      </c>
      <c r="U661" s="3"/>
      <c r="V661" s="3" t="s">
        <v>41</v>
      </c>
      <c r="W661" s="5">
        <v>8464.8700000000008</v>
      </c>
      <c r="X661" s="5">
        <v>6348.65</v>
      </c>
      <c r="Y661" s="5">
        <v>1481.35</v>
      </c>
      <c r="Z661" s="3">
        <v>634.87</v>
      </c>
      <c r="AA661" s="3">
        <v>0</v>
      </c>
    </row>
    <row r="662" spans="1:27" ht="60.75" x14ac:dyDescent="0.25">
      <c r="A662" s="3" t="s">
        <v>28</v>
      </c>
      <c r="B662" s="3" t="s">
        <v>29</v>
      </c>
      <c r="C662" s="3" t="s">
        <v>30</v>
      </c>
      <c r="D662" s="3" t="s">
        <v>58</v>
      </c>
      <c r="E662" s="3" t="s">
        <v>46</v>
      </c>
      <c r="F662" s="3" t="s">
        <v>126</v>
      </c>
      <c r="G662" s="3">
        <v>2025</v>
      </c>
      <c r="H662" s="3" t="str">
        <f>CONCATENATE("54240641792")</f>
        <v>54240641792</v>
      </c>
      <c r="I662" s="3" t="s">
        <v>34</v>
      </c>
      <c r="J662" s="3" t="s">
        <v>35</v>
      </c>
      <c r="K662" s="3"/>
      <c r="L662" s="3" t="s">
        <v>36</v>
      </c>
      <c r="M662" s="3" t="str">
        <f>CONCATENATE("DLLLRT47A19D451M")</f>
        <v>DLLLRT47A19D451M</v>
      </c>
      <c r="N662" s="3" t="s">
        <v>783</v>
      </c>
      <c r="O662" s="3" t="s">
        <v>38</v>
      </c>
      <c r="P662" s="3"/>
      <c r="Q662" s="4">
        <v>45944</v>
      </c>
      <c r="R662" s="3" t="s">
        <v>39</v>
      </c>
      <c r="S662" s="3" t="s">
        <v>38</v>
      </c>
      <c r="T662" s="3" t="s">
        <v>40</v>
      </c>
      <c r="U662" s="3"/>
      <c r="V662" s="3" t="s">
        <v>41</v>
      </c>
      <c r="W662" s="5">
        <v>4484.53</v>
      </c>
      <c r="X662" s="5">
        <v>3363.4</v>
      </c>
      <c r="Y662" s="3">
        <v>784.79</v>
      </c>
      <c r="Z662" s="3">
        <v>336.34</v>
      </c>
      <c r="AA662" s="3">
        <v>0</v>
      </c>
    </row>
    <row r="663" spans="1:27" ht="60.75" x14ac:dyDescent="0.25">
      <c r="A663" s="3" t="s">
        <v>28</v>
      </c>
      <c r="B663" s="3" t="s">
        <v>29</v>
      </c>
      <c r="C663" s="3" t="s">
        <v>30</v>
      </c>
      <c r="D663" s="3" t="s">
        <v>63</v>
      </c>
      <c r="E663" s="3" t="s">
        <v>145</v>
      </c>
      <c r="F663" s="3" t="s">
        <v>146</v>
      </c>
      <c r="G663" s="3">
        <v>2025</v>
      </c>
      <c r="H663" s="3" t="str">
        <f>CONCATENATE("54240642170")</f>
        <v>54240642170</v>
      </c>
      <c r="I663" s="3" t="s">
        <v>34</v>
      </c>
      <c r="J663" s="3" t="s">
        <v>35</v>
      </c>
      <c r="K663" s="3"/>
      <c r="L663" s="3" t="s">
        <v>36</v>
      </c>
      <c r="M663" s="3" t="str">
        <f>CONCATENATE("CMPRME62R30G005E")</f>
        <v>CMPRME62R30G005E</v>
      </c>
      <c r="N663" s="3" t="s">
        <v>784</v>
      </c>
      <c r="O663" s="3" t="s">
        <v>38</v>
      </c>
      <c r="P663" s="3"/>
      <c r="Q663" s="4">
        <v>45944</v>
      </c>
      <c r="R663" s="3" t="s">
        <v>39</v>
      </c>
      <c r="S663" s="3" t="s">
        <v>38</v>
      </c>
      <c r="T663" s="3" t="s">
        <v>40</v>
      </c>
      <c r="U663" s="3"/>
      <c r="V663" s="3" t="s">
        <v>41</v>
      </c>
      <c r="W663" s="5">
        <v>3160.19</v>
      </c>
      <c r="X663" s="5">
        <v>2370.14</v>
      </c>
      <c r="Y663" s="3">
        <v>553.03</v>
      </c>
      <c r="Z663" s="3">
        <v>237.02</v>
      </c>
      <c r="AA663" s="3">
        <v>0</v>
      </c>
    </row>
    <row r="664" spans="1:27" ht="60.75" x14ac:dyDescent="0.25">
      <c r="A664" s="3" t="s">
        <v>28</v>
      </c>
      <c r="B664" s="3" t="s">
        <v>29</v>
      </c>
      <c r="C664" s="3" t="s">
        <v>30</v>
      </c>
      <c r="D664" s="3" t="s">
        <v>49</v>
      </c>
      <c r="E664" s="3" t="s">
        <v>46</v>
      </c>
      <c r="F664" s="3" t="s">
        <v>126</v>
      </c>
      <c r="G664" s="3">
        <v>2025</v>
      </c>
      <c r="H664" s="3" t="str">
        <f>CONCATENATE("54240642642")</f>
        <v>54240642642</v>
      </c>
      <c r="I664" s="3" t="s">
        <v>34</v>
      </c>
      <c r="J664" s="3" t="s">
        <v>35</v>
      </c>
      <c r="K664" s="3"/>
      <c r="L664" s="3" t="s">
        <v>36</v>
      </c>
      <c r="M664" s="3" t="str">
        <f>CONCATENATE("MRTDVD79E09I156T")</f>
        <v>MRTDVD79E09I156T</v>
      </c>
      <c r="N664" s="3" t="s">
        <v>785</v>
      </c>
      <c r="O664" s="3" t="s">
        <v>38</v>
      </c>
      <c r="P664" s="3"/>
      <c r="Q664" s="4">
        <v>45944</v>
      </c>
      <c r="R664" s="3" t="s">
        <v>39</v>
      </c>
      <c r="S664" s="3" t="s">
        <v>38</v>
      </c>
      <c r="T664" s="3" t="s">
        <v>40</v>
      </c>
      <c r="U664" s="3"/>
      <c r="V664" s="3" t="s">
        <v>41</v>
      </c>
      <c r="W664" s="3">
        <v>449.28</v>
      </c>
      <c r="X664" s="3">
        <v>336.96</v>
      </c>
      <c r="Y664" s="3">
        <v>78.62</v>
      </c>
      <c r="Z664" s="3">
        <v>33.700000000000003</v>
      </c>
      <c r="AA664" s="3">
        <v>0</v>
      </c>
    </row>
    <row r="665" spans="1:27" ht="72.75" x14ac:dyDescent="0.25">
      <c r="A665" s="3" t="s">
        <v>28</v>
      </c>
      <c r="B665" s="3" t="s">
        <v>29</v>
      </c>
      <c r="C665" s="3" t="s">
        <v>30</v>
      </c>
      <c r="D665" s="3" t="s">
        <v>63</v>
      </c>
      <c r="E665" s="3" t="s">
        <v>145</v>
      </c>
      <c r="F665" s="3" t="s">
        <v>146</v>
      </c>
      <c r="G665" s="3">
        <v>2025</v>
      </c>
      <c r="H665" s="3" t="str">
        <f>CONCATENATE("54240642477")</f>
        <v>54240642477</v>
      </c>
      <c r="I665" s="3" t="s">
        <v>34</v>
      </c>
      <c r="J665" s="3" t="s">
        <v>35</v>
      </c>
      <c r="K665" s="3"/>
      <c r="L665" s="3" t="s">
        <v>36</v>
      </c>
      <c r="M665" s="3" t="str">
        <f>CONCATENATE("CRRNTN85H28H769B")</f>
        <v>CRRNTN85H28H769B</v>
      </c>
      <c r="N665" s="3" t="s">
        <v>786</v>
      </c>
      <c r="O665" s="3" t="s">
        <v>38</v>
      </c>
      <c r="P665" s="3"/>
      <c r="Q665" s="4">
        <v>45944</v>
      </c>
      <c r="R665" s="3" t="s">
        <v>39</v>
      </c>
      <c r="S665" s="3" t="s">
        <v>38</v>
      </c>
      <c r="T665" s="3" t="s">
        <v>40</v>
      </c>
      <c r="U665" s="3"/>
      <c r="V665" s="3" t="s">
        <v>41</v>
      </c>
      <c r="W665" s="5">
        <v>2624.21</v>
      </c>
      <c r="X665" s="5">
        <v>1968.16</v>
      </c>
      <c r="Y665" s="3">
        <v>459.24</v>
      </c>
      <c r="Z665" s="3">
        <v>196.81</v>
      </c>
      <c r="AA665" s="3">
        <v>0</v>
      </c>
    </row>
    <row r="666" spans="1:27" ht="60.75" x14ac:dyDescent="0.25">
      <c r="A666" s="3" t="s">
        <v>28</v>
      </c>
      <c r="B666" s="3" t="s">
        <v>29</v>
      </c>
      <c r="C666" s="3" t="s">
        <v>30</v>
      </c>
      <c r="D666" s="3" t="s">
        <v>49</v>
      </c>
      <c r="E666" s="3" t="s">
        <v>32</v>
      </c>
      <c r="F666" s="3" t="s">
        <v>69</v>
      </c>
      <c r="G666" s="3">
        <v>2025</v>
      </c>
      <c r="H666" s="3" t="str">
        <f>CONCATENATE("54240512217")</f>
        <v>54240512217</v>
      </c>
      <c r="I666" s="3" t="s">
        <v>34</v>
      </c>
      <c r="J666" s="3" t="s">
        <v>35</v>
      </c>
      <c r="K666" s="3"/>
      <c r="L666" s="3" t="s">
        <v>36</v>
      </c>
      <c r="M666" s="3" t="str">
        <f>CONCATENATE("MNTCLD52R09I436D")</f>
        <v>MNTCLD52R09I436D</v>
      </c>
      <c r="N666" s="3" t="s">
        <v>787</v>
      </c>
      <c r="O666" s="3" t="s">
        <v>38</v>
      </c>
      <c r="P666" s="3"/>
      <c r="Q666" s="4">
        <v>45944</v>
      </c>
      <c r="R666" s="3" t="s">
        <v>39</v>
      </c>
      <c r="S666" s="3" t="s">
        <v>38</v>
      </c>
      <c r="T666" s="3" t="s">
        <v>40</v>
      </c>
      <c r="U666" s="3"/>
      <c r="V666" s="3" t="s">
        <v>41</v>
      </c>
      <c r="W666" s="5">
        <v>7639.04</v>
      </c>
      <c r="X666" s="5">
        <v>5729.28</v>
      </c>
      <c r="Y666" s="5">
        <v>1336.83</v>
      </c>
      <c r="Z666" s="3">
        <v>572.92999999999995</v>
      </c>
      <c r="AA666" s="3">
        <v>0</v>
      </c>
    </row>
    <row r="667" spans="1:27" ht="60.75" x14ac:dyDescent="0.25">
      <c r="A667" s="3" t="s">
        <v>28</v>
      </c>
      <c r="B667" s="3" t="s">
        <v>29</v>
      </c>
      <c r="C667" s="3" t="s">
        <v>30</v>
      </c>
      <c r="D667" s="3" t="s">
        <v>31</v>
      </c>
      <c r="E667" s="3" t="s">
        <v>53</v>
      </c>
      <c r="F667" s="3" t="s">
        <v>306</v>
      </c>
      <c r="G667" s="3">
        <v>2025</v>
      </c>
      <c r="H667" s="3" t="str">
        <f>CONCATENATE("54240552684")</f>
        <v>54240552684</v>
      </c>
      <c r="I667" s="3" t="s">
        <v>34</v>
      </c>
      <c r="J667" s="3" t="s">
        <v>35</v>
      </c>
      <c r="K667" s="3"/>
      <c r="L667" s="3" t="s">
        <v>36</v>
      </c>
      <c r="M667" s="3" t="str">
        <f>CONCATENATE("MRNMTT94E30L500H")</f>
        <v>MRNMTT94E30L500H</v>
      </c>
      <c r="N667" s="3" t="s">
        <v>788</v>
      </c>
      <c r="O667" s="3" t="s">
        <v>38</v>
      </c>
      <c r="P667" s="3"/>
      <c r="Q667" s="4">
        <v>45944</v>
      </c>
      <c r="R667" s="3" t="s">
        <v>39</v>
      </c>
      <c r="S667" s="3" t="s">
        <v>38</v>
      </c>
      <c r="T667" s="3" t="s">
        <v>40</v>
      </c>
      <c r="U667" s="3"/>
      <c r="V667" s="3" t="s">
        <v>41</v>
      </c>
      <c r="W667" s="5">
        <v>5586.51</v>
      </c>
      <c r="X667" s="5">
        <v>4189.88</v>
      </c>
      <c r="Y667" s="3">
        <v>977.64</v>
      </c>
      <c r="Z667" s="3">
        <v>418.99</v>
      </c>
      <c r="AA667" s="3">
        <v>0</v>
      </c>
    </row>
    <row r="668" spans="1:27" ht="60.75" x14ac:dyDescent="0.25">
      <c r="A668" s="3" t="s">
        <v>28</v>
      </c>
      <c r="B668" s="3" t="s">
        <v>29</v>
      </c>
      <c r="C668" s="3" t="s">
        <v>30</v>
      </c>
      <c r="D668" s="3" t="s">
        <v>58</v>
      </c>
      <c r="E668" s="3" t="s">
        <v>53</v>
      </c>
      <c r="F668" s="3" t="s">
        <v>426</v>
      </c>
      <c r="G668" s="3">
        <v>2025</v>
      </c>
      <c r="H668" s="3" t="str">
        <f>CONCATENATE("54240527272")</f>
        <v>54240527272</v>
      </c>
      <c r="I668" s="3" t="s">
        <v>34</v>
      </c>
      <c r="J668" s="3" t="s">
        <v>35</v>
      </c>
      <c r="K668" s="3"/>
      <c r="L668" s="3" t="s">
        <v>36</v>
      </c>
      <c r="M668" s="3" t="str">
        <f>CONCATENATE("MRNMTT84P19C623S")</f>
        <v>MRNMTT84P19C623S</v>
      </c>
      <c r="N668" s="3" t="s">
        <v>789</v>
      </c>
      <c r="O668" s="3" t="s">
        <v>38</v>
      </c>
      <c r="P668" s="3"/>
      <c r="Q668" s="4">
        <v>45944</v>
      </c>
      <c r="R668" s="3" t="s">
        <v>39</v>
      </c>
      <c r="S668" s="3" t="s">
        <v>38</v>
      </c>
      <c r="T668" s="3" t="s">
        <v>40</v>
      </c>
      <c r="U668" s="3"/>
      <c r="V668" s="3" t="s">
        <v>41</v>
      </c>
      <c r="W668" s="3">
        <v>527.38</v>
      </c>
      <c r="X668" s="3">
        <v>395.54</v>
      </c>
      <c r="Y668" s="3">
        <v>92.29</v>
      </c>
      <c r="Z668" s="3">
        <v>39.549999999999997</v>
      </c>
      <c r="AA668" s="3">
        <v>0</v>
      </c>
    </row>
    <row r="669" spans="1:27" ht="36.75" x14ac:dyDescent="0.25">
      <c r="A669" s="3" t="s">
        <v>28</v>
      </c>
      <c r="B669" s="3" t="s">
        <v>29</v>
      </c>
      <c r="C669" s="3" t="s">
        <v>30</v>
      </c>
      <c r="D669" s="3" t="s">
        <v>63</v>
      </c>
      <c r="E669" s="3" t="s">
        <v>91</v>
      </c>
      <c r="F669" s="3" t="s">
        <v>94</v>
      </c>
      <c r="G669" s="3">
        <v>2025</v>
      </c>
      <c r="H669" s="3" t="str">
        <f>CONCATENATE("54240511300")</f>
        <v>54240511300</v>
      </c>
      <c r="I669" s="3" t="s">
        <v>34</v>
      </c>
      <c r="J669" s="3" t="s">
        <v>35</v>
      </c>
      <c r="K669" s="3"/>
      <c r="L669" s="3" t="s">
        <v>36</v>
      </c>
      <c r="M669" s="3" t="str">
        <f>CONCATENATE("90000030446")</f>
        <v>90000030446</v>
      </c>
      <c r="N669" s="3" t="s">
        <v>790</v>
      </c>
      <c r="O669" s="3" t="s">
        <v>38</v>
      </c>
      <c r="P669" s="3"/>
      <c r="Q669" s="4">
        <v>45944</v>
      </c>
      <c r="R669" s="3" t="s">
        <v>39</v>
      </c>
      <c r="S669" s="3" t="s">
        <v>38</v>
      </c>
      <c r="T669" s="3" t="s">
        <v>40</v>
      </c>
      <c r="U669" s="3"/>
      <c r="V669" s="3" t="s">
        <v>41</v>
      </c>
      <c r="W669" s="5">
        <v>5321.02</v>
      </c>
      <c r="X669" s="5">
        <v>3990.77</v>
      </c>
      <c r="Y669" s="3">
        <v>931.18</v>
      </c>
      <c r="Z669" s="3">
        <v>399.07</v>
      </c>
      <c r="AA669" s="3">
        <v>0</v>
      </c>
    </row>
    <row r="670" spans="1:27" ht="60.75" x14ac:dyDescent="0.25">
      <c r="A670" s="3" t="s">
        <v>28</v>
      </c>
      <c r="B670" s="3" t="s">
        <v>29</v>
      </c>
      <c r="C670" s="3" t="s">
        <v>30</v>
      </c>
      <c r="D670" s="3" t="s">
        <v>49</v>
      </c>
      <c r="E670" s="3" t="s">
        <v>32</v>
      </c>
      <c r="F670" s="3" t="s">
        <v>69</v>
      </c>
      <c r="G670" s="3">
        <v>2025</v>
      </c>
      <c r="H670" s="3" t="str">
        <f>CONCATENATE("54240548104")</f>
        <v>54240548104</v>
      </c>
      <c r="I670" s="3" t="s">
        <v>34</v>
      </c>
      <c r="J670" s="3" t="s">
        <v>35</v>
      </c>
      <c r="K670" s="3"/>
      <c r="L670" s="3" t="s">
        <v>36</v>
      </c>
      <c r="M670" s="3" t="str">
        <f>CONCATENATE("MRADNL66E05C886B")</f>
        <v>MRADNL66E05C886B</v>
      </c>
      <c r="N670" s="3" t="s">
        <v>791</v>
      </c>
      <c r="O670" s="3" t="s">
        <v>38</v>
      </c>
      <c r="P670" s="3"/>
      <c r="Q670" s="4">
        <v>45944</v>
      </c>
      <c r="R670" s="3" t="s">
        <v>39</v>
      </c>
      <c r="S670" s="3" t="s">
        <v>38</v>
      </c>
      <c r="T670" s="3" t="s">
        <v>40</v>
      </c>
      <c r="U670" s="3"/>
      <c r="V670" s="3" t="s">
        <v>41</v>
      </c>
      <c r="W670" s="5">
        <v>2404.11</v>
      </c>
      <c r="X670" s="5">
        <v>1803.08</v>
      </c>
      <c r="Y670" s="3">
        <v>420.72</v>
      </c>
      <c r="Z670" s="3">
        <v>180.31</v>
      </c>
      <c r="AA670" s="3">
        <v>0</v>
      </c>
    </row>
    <row r="671" spans="1:27" ht="60.75" x14ac:dyDescent="0.25">
      <c r="A671" s="3" t="s">
        <v>28</v>
      </c>
      <c r="B671" s="3" t="s">
        <v>29</v>
      </c>
      <c r="C671" s="3" t="s">
        <v>30</v>
      </c>
      <c r="D671" s="3" t="s">
        <v>49</v>
      </c>
      <c r="E671" s="3" t="s">
        <v>32</v>
      </c>
      <c r="F671" s="3" t="s">
        <v>283</v>
      </c>
      <c r="G671" s="3">
        <v>2025</v>
      </c>
      <c r="H671" s="3" t="str">
        <f>CONCATENATE("54240572674")</f>
        <v>54240572674</v>
      </c>
      <c r="I671" s="3" t="s">
        <v>34</v>
      </c>
      <c r="J671" s="3" t="s">
        <v>35</v>
      </c>
      <c r="K671" s="3"/>
      <c r="L671" s="3" t="s">
        <v>36</v>
      </c>
      <c r="M671" s="3" t="str">
        <f>CONCATENATE("VRDDVD42D16D042T")</f>
        <v>VRDDVD42D16D042T</v>
      </c>
      <c r="N671" s="3" t="s">
        <v>792</v>
      </c>
      <c r="O671" s="3" t="s">
        <v>38</v>
      </c>
      <c r="P671" s="3"/>
      <c r="Q671" s="4">
        <v>45944</v>
      </c>
      <c r="R671" s="3" t="s">
        <v>39</v>
      </c>
      <c r="S671" s="3" t="s">
        <v>38</v>
      </c>
      <c r="T671" s="3" t="s">
        <v>40</v>
      </c>
      <c r="U671" s="3"/>
      <c r="V671" s="3" t="s">
        <v>41</v>
      </c>
      <c r="W671" s="5">
        <v>3668.27</v>
      </c>
      <c r="X671" s="5">
        <v>2751.2</v>
      </c>
      <c r="Y671" s="3">
        <v>641.95000000000005</v>
      </c>
      <c r="Z671" s="3">
        <v>275.12</v>
      </c>
      <c r="AA671" s="3">
        <v>0</v>
      </c>
    </row>
    <row r="672" spans="1:27" ht="36.75" x14ac:dyDescent="0.25">
      <c r="A672" s="3" t="s">
        <v>28</v>
      </c>
      <c r="B672" s="3" t="s">
        <v>29</v>
      </c>
      <c r="C672" s="3" t="s">
        <v>30</v>
      </c>
      <c r="D672" s="3" t="s">
        <v>63</v>
      </c>
      <c r="E672" s="3" t="s">
        <v>53</v>
      </c>
      <c r="F672" s="3" t="s">
        <v>478</v>
      </c>
      <c r="G672" s="3">
        <v>2025</v>
      </c>
      <c r="H672" s="3" t="str">
        <f>CONCATENATE("54240607066")</f>
        <v>54240607066</v>
      </c>
      <c r="I672" s="3" t="s">
        <v>34</v>
      </c>
      <c r="J672" s="3" t="s">
        <v>35</v>
      </c>
      <c r="K672" s="3"/>
      <c r="L672" s="3" t="s">
        <v>36</v>
      </c>
      <c r="M672" s="3" t="str">
        <f>CONCATENATE("01435160443")</f>
        <v>01435160443</v>
      </c>
      <c r="N672" s="3" t="s">
        <v>793</v>
      </c>
      <c r="O672" s="3" t="s">
        <v>38</v>
      </c>
      <c r="P672" s="3"/>
      <c r="Q672" s="4">
        <v>45944</v>
      </c>
      <c r="R672" s="3" t="s">
        <v>39</v>
      </c>
      <c r="S672" s="3" t="s">
        <v>38</v>
      </c>
      <c r="T672" s="3" t="s">
        <v>40</v>
      </c>
      <c r="U672" s="3"/>
      <c r="V672" s="3" t="s">
        <v>41</v>
      </c>
      <c r="W672" s="5">
        <v>3409.89</v>
      </c>
      <c r="X672" s="5">
        <v>2557.42</v>
      </c>
      <c r="Y672" s="3">
        <v>596.73</v>
      </c>
      <c r="Z672" s="3">
        <v>255.74</v>
      </c>
      <c r="AA672" s="3">
        <v>0</v>
      </c>
    </row>
    <row r="673" spans="1:27" ht="36.75" x14ac:dyDescent="0.25">
      <c r="A673" s="3" t="s">
        <v>28</v>
      </c>
      <c r="B673" s="3" t="s">
        <v>29</v>
      </c>
      <c r="C673" s="3" t="s">
        <v>30</v>
      </c>
      <c r="D673" s="3" t="s">
        <v>58</v>
      </c>
      <c r="E673" s="3" t="s">
        <v>32</v>
      </c>
      <c r="F673" s="3" t="s">
        <v>78</v>
      </c>
      <c r="G673" s="3">
        <v>2025</v>
      </c>
      <c r="H673" s="3" t="str">
        <f>CONCATENATE("54240558111")</f>
        <v>54240558111</v>
      </c>
      <c r="I673" s="3" t="s">
        <v>34</v>
      </c>
      <c r="J673" s="3" t="s">
        <v>35</v>
      </c>
      <c r="K673" s="3"/>
      <c r="L673" s="3" t="s">
        <v>36</v>
      </c>
      <c r="M673" s="3" t="str">
        <f>CONCATENATE("02107370435")</f>
        <v>02107370435</v>
      </c>
      <c r="N673" s="3" t="s">
        <v>794</v>
      </c>
      <c r="O673" s="3" t="s">
        <v>38</v>
      </c>
      <c r="P673" s="3"/>
      <c r="Q673" s="4">
        <v>45944</v>
      </c>
      <c r="R673" s="3" t="s">
        <v>39</v>
      </c>
      <c r="S673" s="3" t="s">
        <v>38</v>
      </c>
      <c r="T673" s="3" t="s">
        <v>40</v>
      </c>
      <c r="U673" s="3"/>
      <c r="V673" s="3" t="s">
        <v>41</v>
      </c>
      <c r="W673" s="5">
        <v>4812.59</v>
      </c>
      <c r="X673" s="5">
        <v>3609.44</v>
      </c>
      <c r="Y673" s="3">
        <v>842.2</v>
      </c>
      <c r="Z673" s="3">
        <v>360.95</v>
      </c>
      <c r="AA673" s="3">
        <v>0</v>
      </c>
    </row>
    <row r="674" spans="1:27" ht="60.75" x14ac:dyDescent="0.25">
      <c r="A674" s="3" t="s">
        <v>28</v>
      </c>
      <c r="B674" s="3" t="s">
        <v>29</v>
      </c>
      <c r="C674" s="3" t="s">
        <v>30</v>
      </c>
      <c r="D674" s="3" t="s">
        <v>31</v>
      </c>
      <c r="E674" s="3" t="s">
        <v>32</v>
      </c>
      <c r="F674" s="3" t="s">
        <v>115</v>
      </c>
      <c r="G674" s="3">
        <v>2025</v>
      </c>
      <c r="H674" s="3" t="str">
        <f>CONCATENATE("54240568045")</f>
        <v>54240568045</v>
      </c>
      <c r="I674" s="3" t="s">
        <v>34</v>
      </c>
      <c r="J674" s="3" t="s">
        <v>35</v>
      </c>
      <c r="K674" s="3"/>
      <c r="L674" s="3" t="s">
        <v>36</v>
      </c>
      <c r="M674" s="3" t="str">
        <f>CONCATENATE("PRNLCN38P65G479T")</f>
        <v>PRNLCN38P65G479T</v>
      </c>
      <c r="N674" s="3" t="s">
        <v>795</v>
      </c>
      <c r="O674" s="3" t="s">
        <v>38</v>
      </c>
      <c r="P674" s="3"/>
      <c r="Q674" s="4">
        <v>45944</v>
      </c>
      <c r="R674" s="3" t="s">
        <v>39</v>
      </c>
      <c r="S674" s="3" t="s">
        <v>38</v>
      </c>
      <c r="T674" s="3" t="s">
        <v>40</v>
      </c>
      <c r="U674" s="3"/>
      <c r="V674" s="3" t="s">
        <v>41</v>
      </c>
      <c r="W674" s="5">
        <v>19131.09</v>
      </c>
      <c r="X674" s="5">
        <v>14348.32</v>
      </c>
      <c r="Y674" s="5">
        <v>3347.94</v>
      </c>
      <c r="Z674" s="5">
        <v>1434.83</v>
      </c>
      <c r="AA674" s="3">
        <v>0</v>
      </c>
    </row>
    <row r="675" spans="1:27" ht="60.75" x14ac:dyDescent="0.25">
      <c r="A675" s="3" t="s">
        <v>28</v>
      </c>
      <c r="B675" s="3" t="s">
        <v>29</v>
      </c>
      <c r="C675" s="3" t="s">
        <v>30</v>
      </c>
      <c r="D675" s="3" t="s">
        <v>31</v>
      </c>
      <c r="E675" s="3" t="s">
        <v>32</v>
      </c>
      <c r="F675" s="3" t="s">
        <v>153</v>
      </c>
      <c r="G675" s="3">
        <v>2025</v>
      </c>
      <c r="H675" s="3" t="str">
        <f>CONCATENATE("54240577038")</f>
        <v>54240577038</v>
      </c>
      <c r="I675" s="3" t="s">
        <v>34</v>
      </c>
      <c r="J675" s="3" t="s">
        <v>35</v>
      </c>
      <c r="K675" s="3"/>
      <c r="L675" s="3" t="s">
        <v>36</v>
      </c>
      <c r="M675" s="3" t="str">
        <f>CONCATENATE("FLGLVN86T68D488U")</f>
        <v>FLGLVN86T68D488U</v>
      </c>
      <c r="N675" s="3" t="s">
        <v>796</v>
      </c>
      <c r="O675" s="3" t="s">
        <v>38</v>
      </c>
      <c r="P675" s="3"/>
      <c r="Q675" s="4">
        <v>45944</v>
      </c>
      <c r="R675" s="3" t="s">
        <v>39</v>
      </c>
      <c r="S675" s="3" t="s">
        <v>38</v>
      </c>
      <c r="T675" s="3" t="s">
        <v>40</v>
      </c>
      <c r="U675" s="3"/>
      <c r="V675" s="3" t="s">
        <v>41</v>
      </c>
      <c r="W675" s="5">
        <v>2859.66</v>
      </c>
      <c r="X675" s="5">
        <v>2144.75</v>
      </c>
      <c r="Y675" s="3">
        <v>500.44</v>
      </c>
      <c r="Z675" s="3">
        <v>214.47</v>
      </c>
      <c r="AA675" s="3">
        <v>0</v>
      </c>
    </row>
    <row r="676" spans="1:27" ht="36.75" x14ac:dyDescent="0.25">
      <c r="A676" s="3" t="s">
        <v>28</v>
      </c>
      <c r="B676" s="3" t="s">
        <v>29</v>
      </c>
      <c r="C676" s="3" t="s">
        <v>30</v>
      </c>
      <c r="D676" s="3" t="s">
        <v>63</v>
      </c>
      <c r="E676" s="3" t="s">
        <v>91</v>
      </c>
      <c r="F676" s="3" t="s">
        <v>94</v>
      </c>
      <c r="G676" s="3">
        <v>2025</v>
      </c>
      <c r="H676" s="3" t="str">
        <f>CONCATENATE("54240585759")</f>
        <v>54240585759</v>
      </c>
      <c r="I676" s="3" t="s">
        <v>34</v>
      </c>
      <c r="J676" s="3" t="s">
        <v>35</v>
      </c>
      <c r="K676" s="3"/>
      <c r="L676" s="3" t="s">
        <v>36</v>
      </c>
      <c r="M676" s="3" t="str">
        <f>CONCATENATE("02290320445")</f>
        <v>02290320445</v>
      </c>
      <c r="N676" s="3" t="s">
        <v>797</v>
      </c>
      <c r="O676" s="3" t="s">
        <v>38</v>
      </c>
      <c r="P676" s="3"/>
      <c r="Q676" s="4">
        <v>45944</v>
      </c>
      <c r="R676" s="3" t="s">
        <v>39</v>
      </c>
      <c r="S676" s="3" t="s">
        <v>38</v>
      </c>
      <c r="T676" s="3" t="s">
        <v>40</v>
      </c>
      <c r="U676" s="3"/>
      <c r="V676" s="3" t="s">
        <v>41</v>
      </c>
      <c r="W676" s="5">
        <v>10209.66</v>
      </c>
      <c r="X676" s="5">
        <v>7657.25</v>
      </c>
      <c r="Y676" s="5">
        <v>1786.69</v>
      </c>
      <c r="Z676" s="3">
        <v>765.72</v>
      </c>
      <c r="AA676" s="3">
        <v>0</v>
      </c>
    </row>
    <row r="677" spans="1:27" ht="36.75" x14ac:dyDescent="0.25">
      <c r="A677" s="3" t="s">
        <v>28</v>
      </c>
      <c r="B677" s="3" t="s">
        <v>29</v>
      </c>
      <c r="C677" s="3" t="s">
        <v>30</v>
      </c>
      <c r="D677" s="3" t="s">
        <v>49</v>
      </c>
      <c r="E677" s="3" t="s">
        <v>91</v>
      </c>
      <c r="F677" s="3" t="s">
        <v>92</v>
      </c>
      <c r="G677" s="3">
        <v>2025</v>
      </c>
      <c r="H677" s="3" t="str">
        <f>CONCATENATE("54240600517")</f>
        <v>54240600517</v>
      </c>
      <c r="I677" s="3" t="s">
        <v>34</v>
      </c>
      <c r="J677" s="3" t="s">
        <v>35</v>
      </c>
      <c r="K677" s="3"/>
      <c r="L677" s="3" t="s">
        <v>36</v>
      </c>
      <c r="M677" s="3" t="str">
        <f>CONCATENATE("01735640433")</f>
        <v>01735640433</v>
      </c>
      <c r="N677" s="3" t="s">
        <v>798</v>
      </c>
      <c r="O677" s="3" t="s">
        <v>38</v>
      </c>
      <c r="P677" s="3"/>
      <c r="Q677" s="4">
        <v>45944</v>
      </c>
      <c r="R677" s="3" t="s">
        <v>39</v>
      </c>
      <c r="S677" s="3" t="s">
        <v>38</v>
      </c>
      <c r="T677" s="3" t="s">
        <v>40</v>
      </c>
      <c r="U677" s="3"/>
      <c r="V677" s="3" t="s">
        <v>41</v>
      </c>
      <c r="W677" s="5">
        <v>1108.82</v>
      </c>
      <c r="X677" s="3">
        <v>831.62</v>
      </c>
      <c r="Y677" s="3">
        <v>194.04</v>
      </c>
      <c r="Z677" s="3">
        <v>83.16</v>
      </c>
      <c r="AA677" s="3">
        <v>0</v>
      </c>
    </row>
    <row r="678" spans="1:27" ht="60.75" x14ac:dyDescent="0.25">
      <c r="A678" s="3" t="s">
        <v>28</v>
      </c>
      <c r="B678" s="3" t="s">
        <v>29</v>
      </c>
      <c r="C678" s="3" t="s">
        <v>30</v>
      </c>
      <c r="D678" s="3" t="s">
        <v>49</v>
      </c>
      <c r="E678" s="3" t="s">
        <v>32</v>
      </c>
      <c r="F678" s="3" t="s">
        <v>78</v>
      </c>
      <c r="G678" s="3">
        <v>2025</v>
      </c>
      <c r="H678" s="3" t="str">
        <f>CONCATENATE("54240506664")</f>
        <v>54240506664</v>
      </c>
      <c r="I678" s="3" t="s">
        <v>34</v>
      </c>
      <c r="J678" s="3" t="s">
        <v>35</v>
      </c>
      <c r="K678" s="3"/>
      <c r="L678" s="3" t="s">
        <v>36</v>
      </c>
      <c r="M678" s="3" t="str">
        <f>CONCATENATE("DLCFNC50E11F051G")</f>
        <v>DLCFNC50E11F051G</v>
      </c>
      <c r="N678" s="3" t="s">
        <v>799</v>
      </c>
      <c r="O678" s="3" t="s">
        <v>38</v>
      </c>
      <c r="P678" s="3"/>
      <c r="Q678" s="4">
        <v>45944</v>
      </c>
      <c r="R678" s="3" t="s">
        <v>39</v>
      </c>
      <c r="S678" s="3" t="s">
        <v>38</v>
      </c>
      <c r="T678" s="3" t="s">
        <v>40</v>
      </c>
      <c r="U678" s="3"/>
      <c r="V678" s="3" t="s">
        <v>41</v>
      </c>
      <c r="W678" s="5">
        <v>3018.96</v>
      </c>
      <c r="X678" s="5">
        <v>2264.2199999999998</v>
      </c>
      <c r="Y678" s="3">
        <v>528.32000000000005</v>
      </c>
      <c r="Z678" s="3">
        <v>226.42</v>
      </c>
      <c r="AA678" s="3">
        <v>0</v>
      </c>
    </row>
    <row r="679" spans="1:27" ht="36.75" x14ac:dyDescent="0.25">
      <c r="A679" s="3" t="s">
        <v>28</v>
      </c>
      <c r="B679" s="3" t="s">
        <v>29</v>
      </c>
      <c r="C679" s="3" t="s">
        <v>30</v>
      </c>
      <c r="D679" s="3" t="s">
        <v>31</v>
      </c>
      <c r="E679" s="3" t="s">
        <v>32</v>
      </c>
      <c r="F679" s="3" t="s">
        <v>44</v>
      </c>
      <c r="G679" s="3">
        <v>2025</v>
      </c>
      <c r="H679" s="3" t="str">
        <f>CONCATENATE("54240587482")</f>
        <v>54240587482</v>
      </c>
      <c r="I679" s="3" t="s">
        <v>34</v>
      </c>
      <c r="J679" s="3" t="s">
        <v>35</v>
      </c>
      <c r="K679" s="3"/>
      <c r="L679" s="3" t="s">
        <v>36</v>
      </c>
      <c r="M679" s="3" t="str">
        <f>CONCATENATE("01449850419")</f>
        <v>01449850419</v>
      </c>
      <c r="N679" s="3" t="s">
        <v>800</v>
      </c>
      <c r="O679" s="3" t="s">
        <v>38</v>
      </c>
      <c r="P679" s="3"/>
      <c r="Q679" s="4">
        <v>45944</v>
      </c>
      <c r="R679" s="3" t="s">
        <v>39</v>
      </c>
      <c r="S679" s="3" t="s">
        <v>38</v>
      </c>
      <c r="T679" s="3" t="s">
        <v>40</v>
      </c>
      <c r="U679" s="3"/>
      <c r="V679" s="3" t="s">
        <v>41</v>
      </c>
      <c r="W679" s="5">
        <v>5030.75</v>
      </c>
      <c r="X679" s="5">
        <v>3773.06</v>
      </c>
      <c r="Y679" s="3">
        <v>880.38</v>
      </c>
      <c r="Z679" s="3">
        <v>377.31</v>
      </c>
      <c r="AA679" s="3">
        <v>0</v>
      </c>
    </row>
    <row r="680" spans="1:27" ht="60.75" x14ac:dyDescent="0.25">
      <c r="A680" s="3" t="s">
        <v>28</v>
      </c>
      <c r="B680" s="3" t="s">
        <v>29</v>
      </c>
      <c r="C680" s="3" t="s">
        <v>30</v>
      </c>
      <c r="D680" s="3" t="s">
        <v>31</v>
      </c>
      <c r="E680" s="3" t="s">
        <v>32</v>
      </c>
      <c r="F680" s="3" t="s">
        <v>33</v>
      </c>
      <c r="G680" s="3">
        <v>2025</v>
      </c>
      <c r="H680" s="3" t="str">
        <f>CONCATENATE("54240643012")</f>
        <v>54240643012</v>
      </c>
      <c r="I680" s="3" t="s">
        <v>34</v>
      </c>
      <c r="J680" s="3" t="s">
        <v>35</v>
      </c>
      <c r="K680" s="3"/>
      <c r="L680" s="3" t="s">
        <v>36</v>
      </c>
      <c r="M680" s="3" t="str">
        <f>CONCATENATE("GMPLRS90B08I459U")</f>
        <v>GMPLRS90B08I459U</v>
      </c>
      <c r="N680" s="3" t="s">
        <v>801</v>
      </c>
      <c r="O680" s="3" t="s">
        <v>38</v>
      </c>
      <c r="P680" s="3"/>
      <c r="Q680" s="4">
        <v>45944</v>
      </c>
      <c r="R680" s="3" t="s">
        <v>39</v>
      </c>
      <c r="S680" s="3" t="s">
        <v>38</v>
      </c>
      <c r="T680" s="3" t="s">
        <v>40</v>
      </c>
      <c r="U680" s="3"/>
      <c r="V680" s="3" t="s">
        <v>41</v>
      </c>
      <c r="W680" s="5">
        <v>2419.0500000000002</v>
      </c>
      <c r="X680" s="5">
        <v>1814.29</v>
      </c>
      <c r="Y680" s="3">
        <v>423.33</v>
      </c>
      <c r="Z680" s="3">
        <v>181.43</v>
      </c>
      <c r="AA680" s="3">
        <v>0</v>
      </c>
    </row>
    <row r="681" spans="1:27" ht="72.75" x14ac:dyDescent="0.25">
      <c r="A681" s="3" t="s">
        <v>28</v>
      </c>
      <c r="B681" s="3" t="s">
        <v>29</v>
      </c>
      <c r="C681" s="3" t="s">
        <v>30</v>
      </c>
      <c r="D681" s="3" t="s">
        <v>63</v>
      </c>
      <c r="E681" s="3" t="s">
        <v>32</v>
      </c>
      <c r="F681" s="3" t="s">
        <v>269</v>
      </c>
      <c r="G681" s="3">
        <v>2025</v>
      </c>
      <c r="H681" s="3" t="str">
        <f>CONCATENATE("54240643541")</f>
        <v>54240643541</v>
      </c>
      <c r="I681" s="3" t="s">
        <v>34</v>
      </c>
      <c r="J681" s="3" t="s">
        <v>35</v>
      </c>
      <c r="K681" s="3"/>
      <c r="L681" s="3" t="s">
        <v>36</v>
      </c>
      <c r="M681" s="3" t="str">
        <f>CONCATENATE("GDNFNC52D03D477A")</f>
        <v>GDNFNC52D03D477A</v>
      </c>
      <c r="N681" s="3" t="s">
        <v>802</v>
      </c>
      <c r="O681" s="3" t="s">
        <v>38</v>
      </c>
      <c r="P681" s="3"/>
      <c r="Q681" s="4">
        <v>45944</v>
      </c>
      <c r="R681" s="3" t="s">
        <v>39</v>
      </c>
      <c r="S681" s="3" t="s">
        <v>38</v>
      </c>
      <c r="T681" s="3" t="s">
        <v>40</v>
      </c>
      <c r="U681" s="3"/>
      <c r="V681" s="3" t="s">
        <v>41</v>
      </c>
      <c r="W681" s="3">
        <v>740.26</v>
      </c>
      <c r="X681" s="3">
        <v>555.20000000000005</v>
      </c>
      <c r="Y681" s="3">
        <v>129.55000000000001</v>
      </c>
      <c r="Z681" s="3">
        <v>55.51</v>
      </c>
      <c r="AA681" s="3">
        <v>0</v>
      </c>
    </row>
    <row r="682" spans="1:27" ht="72.75" x14ac:dyDescent="0.25">
      <c r="A682" s="3" t="s">
        <v>28</v>
      </c>
      <c r="B682" s="3" t="s">
        <v>29</v>
      </c>
      <c r="C682" s="3" t="s">
        <v>30</v>
      </c>
      <c r="D682" s="3" t="s">
        <v>31</v>
      </c>
      <c r="E682" s="3" t="s">
        <v>32</v>
      </c>
      <c r="F682" s="3" t="s">
        <v>33</v>
      </c>
      <c r="G682" s="3">
        <v>2025</v>
      </c>
      <c r="H682" s="3" t="str">
        <f>CONCATENATE("54240643525")</f>
        <v>54240643525</v>
      </c>
      <c r="I682" s="3" t="s">
        <v>34</v>
      </c>
      <c r="J682" s="3" t="s">
        <v>35</v>
      </c>
      <c r="K682" s="3"/>
      <c r="L682" s="3" t="s">
        <v>36</v>
      </c>
      <c r="M682" s="3" t="str">
        <f>CONCATENATE("MRNGNN67D03L498W")</f>
        <v>MRNGNN67D03L498W</v>
      </c>
      <c r="N682" s="3" t="s">
        <v>803</v>
      </c>
      <c r="O682" s="3" t="s">
        <v>38</v>
      </c>
      <c r="P682" s="3"/>
      <c r="Q682" s="4">
        <v>45944</v>
      </c>
      <c r="R682" s="3" t="s">
        <v>39</v>
      </c>
      <c r="S682" s="3" t="s">
        <v>38</v>
      </c>
      <c r="T682" s="3" t="s">
        <v>40</v>
      </c>
      <c r="U682" s="3"/>
      <c r="V682" s="3" t="s">
        <v>41</v>
      </c>
      <c r="W682" s="5">
        <v>3287.01</v>
      </c>
      <c r="X682" s="5">
        <v>2465.2600000000002</v>
      </c>
      <c r="Y682" s="3">
        <v>575.23</v>
      </c>
      <c r="Z682" s="3">
        <v>246.52</v>
      </c>
      <c r="AA682" s="3">
        <v>0</v>
      </c>
    </row>
    <row r="683" spans="1:27" ht="60.75" x14ac:dyDescent="0.25">
      <c r="A683" s="3" t="s">
        <v>28</v>
      </c>
      <c r="B683" s="3" t="s">
        <v>29</v>
      </c>
      <c r="C683" s="3" t="s">
        <v>30</v>
      </c>
      <c r="D683" s="3" t="s">
        <v>63</v>
      </c>
      <c r="E683" s="3" t="s">
        <v>32</v>
      </c>
      <c r="F683" s="3" t="s">
        <v>269</v>
      </c>
      <c r="G683" s="3">
        <v>2025</v>
      </c>
      <c r="H683" s="3" t="str">
        <f>CONCATENATE("54240644804")</f>
        <v>54240644804</v>
      </c>
      <c r="I683" s="3" t="s">
        <v>34</v>
      </c>
      <c r="J683" s="3" t="s">
        <v>35</v>
      </c>
      <c r="K683" s="3"/>
      <c r="L683" s="3" t="s">
        <v>36</v>
      </c>
      <c r="M683" s="3" t="str">
        <f>CONCATENATE("MRSSFN63E07D542E")</f>
        <v>MRSSFN63E07D542E</v>
      </c>
      <c r="N683" s="3" t="s">
        <v>804</v>
      </c>
      <c r="O683" s="3" t="s">
        <v>38</v>
      </c>
      <c r="P683" s="3"/>
      <c r="Q683" s="4">
        <v>45944</v>
      </c>
      <c r="R683" s="3" t="s">
        <v>39</v>
      </c>
      <c r="S683" s="3" t="s">
        <v>38</v>
      </c>
      <c r="T683" s="3" t="s">
        <v>40</v>
      </c>
      <c r="U683" s="3"/>
      <c r="V683" s="3" t="s">
        <v>41</v>
      </c>
      <c r="W683" s="5">
        <v>7995.13</v>
      </c>
      <c r="X683" s="5">
        <v>5996.35</v>
      </c>
      <c r="Y683" s="5">
        <v>1399.15</v>
      </c>
      <c r="Z683" s="3">
        <v>599.63</v>
      </c>
      <c r="AA683" s="3">
        <v>0</v>
      </c>
    </row>
    <row r="684" spans="1:27" ht="60.75" x14ac:dyDescent="0.25">
      <c r="A684" s="3" t="s">
        <v>28</v>
      </c>
      <c r="B684" s="3" t="s">
        <v>29</v>
      </c>
      <c r="C684" s="3" t="s">
        <v>30</v>
      </c>
      <c r="D684" s="3" t="s">
        <v>58</v>
      </c>
      <c r="E684" s="3" t="s">
        <v>32</v>
      </c>
      <c r="F684" s="3" t="s">
        <v>471</v>
      </c>
      <c r="G684" s="3">
        <v>2025</v>
      </c>
      <c r="H684" s="3" t="str">
        <f>CONCATENATE("54240643848")</f>
        <v>54240643848</v>
      </c>
      <c r="I684" s="3" t="s">
        <v>34</v>
      </c>
      <c r="J684" s="3" t="s">
        <v>35</v>
      </c>
      <c r="K684" s="3"/>
      <c r="L684" s="3" t="s">
        <v>36</v>
      </c>
      <c r="M684" s="3" t="str">
        <f>CONCATENATE("SLVSML94S12D451K")</f>
        <v>SLVSML94S12D451K</v>
      </c>
      <c r="N684" s="3" t="s">
        <v>805</v>
      </c>
      <c r="O684" s="3" t="s">
        <v>38</v>
      </c>
      <c r="P684" s="3"/>
      <c r="Q684" s="4">
        <v>45944</v>
      </c>
      <c r="R684" s="3" t="s">
        <v>39</v>
      </c>
      <c r="S684" s="3" t="s">
        <v>38</v>
      </c>
      <c r="T684" s="3" t="s">
        <v>40</v>
      </c>
      <c r="U684" s="3"/>
      <c r="V684" s="3" t="s">
        <v>41</v>
      </c>
      <c r="W684" s="3">
        <v>596.79</v>
      </c>
      <c r="X684" s="3">
        <v>447.59</v>
      </c>
      <c r="Y684" s="3">
        <v>104.44</v>
      </c>
      <c r="Z684" s="3">
        <v>44.76</v>
      </c>
      <c r="AA684" s="3">
        <v>0</v>
      </c>
    </row>
    <row r="685" spans="1:27" ht="60.75" x14ac:dyDescent="0.25">
      <c r="A685" s="3" t="s">
        <v>28</v>
      </c>
      <c r="B685" s="3" t="s">
        <v>29</v>
      </c>
      <c r="C685" s="3" t="s">
        <v>30</v>
      </c>
      <c r="D685" s="3" t="s">
        <v>58</v>
      </c>
      <c r="E685" s="3" t="s">
        <v>32</v>
      </c>
      <c r="F685" s="3" t="s">
        <v>96</v>
      </c>
      <c r="G685" s="3">
        <v>2025</v>
      </c>
      <c r="H685" s="3" t="str">
        <f>CONCATENATE("54240644481")</f>
        <v>54240644481</v>
      </c>
      <c r="I685" s="3" t="s">
        <v>34</v>
      </c>
      <c r="J685" s="3" t="s">
        <v>35</v>
      </c>
      <c r="K685" s="3"/>
      <c r="L685" s="3" t="s">
        <v>36</v>
      </c>
      <c r="M685" s="3" t="str">
        <f>CONCATENATE("TMPFNC60P18D451H")</f>
        <v>TMPFNC60P18D451H</v>
      </c>
      <c r="N685" s="3" t="s">
        <v>806</v>
      </c>
      <c r="O685" s="3" t="s">
        <v>38</v>
      </c>
      <c r="P685" s="3"/>
      <c r="Q685" s="4">
        <v>45944</v>
      </c>
      <c r="R685" s="3" t="s">
        <v>39</v>
      </c>
      <c r="S685" s="3" t="s">
        <v>38</v>
      </c>
      <c r="T685" s="3" t="s">
        <v>40</v>
      </c>
      <c r="U685" s="3"/>
      <c r="V685" s="3" t="s">
        <v>41</v>
      </c>
      <c r="W685" s="3">
        <v>614.94000000000005</v>
      </c>
      <c r="X685" s="3">
        <v>461.21</v>
      </c>
      <c r="Y685" s="3">
        <v>107.61</v>
      </c>
      <c r="Z685" s="3">
        <v>46.12</v>
      </c>
      <c r="AA685" s="3">
        <v>0</v>
      </c>
    </row>
    <row r="686" spans="1:27" ht="72.75" x14ac:dyDescent="0.25">
      <c r="A686" s="3" t="s">
        <v>28</v>
      </c>
      <c r="B686" s="3" t="s">
        <v>29</v>
      </c>
      <c r="C686" s="3" t="s">
        <v>30</v>
      </c>
      <c r="D686" s="3" t="s">
        <v>31</v>
      </c>
      <c r="E686" s="3" t="s">
        <v>32</v>
      </c>
      <c r="F686" s="3" t="s">
        <v>33</v>
      </c>
      <c r="G686" s="3">
        <v>2025</v>
      </c>
      <c r="H686" s="3" t="str">
        <f>CONCATENATE("54240644424")</f>
        <v>54240644424</v>
      </c>
      <c r="I686" s="3" t="s">
        <v>34</v>
      </c>
      <c r="J686" s="3" t="s">
        <v>35</v>
      </c>
      <c r="K686" s="3"/>
      <c r="L686" s="3" t="s">
        <v>36</v>
      </c>
      <c r="M686" s="3" t="str">
        <f>CONCATENATE("LZUWLM92R07Z602U")</f>
        <v>LZUWLM92R07Z602U</v>
      </c>
      <c r="N686" s="3" t="s">
        <v>807</v>
      </c>
      <c r="O686" s="3" t="s">
        <v>38</v>
      </c>
      <c r="P686" s="3"/>
      <c r="Q686" s="4">
        <v>45944</v>
      </c>
      <c r="R686" s="3" t="s">
        <v>39</v>
      </c>
      <c r="S686" s="3" t="s">
        <v>38</v>
      </c>
      <c r="T686" s="3" t="s">
        <v>40</v>
      </c>
      <c r="U686" s="3"/>
      <c r="V686" s="3" t="s">
        <v>41</v>
      </c>
      <c r="W686" s="3">
        <v>746.05</v>
      </c>
      <c r="X686" s="3">
        <v>559.54</v>
      </c>
      <c r="Y686" s="3">
        <v>130.56</v>
      </c>
      <c r="Z686" s="3">
        <v>55.95</v>
      </c>
      <c r="AA686" s="3">
        <v>0</v>
      </c>
    </row>
    <row r="687" spans="1:27" ht="60.75" x14ac:dyDescent="0.25">
      <c r="A687" s="3" t="s">
        <v>28</v>
      </c>
      <c r="B687" s="3" t="s">
        <v>29</v>
      </c>
      <c r="C687" s="3" t="s">
        <v>30</v>
      </c>
      <c r="D687" s="3" t="s">
        <v>31</v>
      </c>
      <c r="E687" s="3" t="s">
        <v>32</v>
      </c>
      <c r="F687" s="3" t="s">
        <v>153</v>
      </c>
      <c r="G687" s="3">
        <v>2025</v>
      </c>
      <c r="H687" s="3" t="str">
        <f>CONCATENATE("54240644457")</f>
        <v>54240644457</v>
      </c>
      <c r="I687" s="3" t="s">
        <v>34</v>
      </c>
      <c r="J687" s="3" t="s">
        <v>35</v>
      </c>
      <c r="K687" s="3"/>
      <c r="L687" s="3" t="s">
        <v>36</v>
      </c>
      <c r="M687" s="3" t="str">
        <f>CONCATENATE("CCCSML03L09L500J")</f>
        <v>CCCSML03L09L500J</v>
      </c>
      <c r="N687" s="3" t="s">
        <v>808</v>
      </c>
      <c r="O687" s="3" t="s">
        <v>38</v>
      </c>
      <c r="P687" s="3"/>
      <c r="Q687" s="4">
        <v>45944</v>
      </c>
      <c r="R687" s="3" t="s">
        <v>39</v>
      </c>
      <c r="S687" s="3" t="s">
        <v>38</v>
      </c>
      <c r="T687" s="3" t="s">
        <v>40</v>
      </c>
      <c r="U687" s="3"/>
      <c r="V687" s="3" t="s">
        <v>41</v>
      </c>
      <c r="W687" s="5">
        <v>8174.22</v>
      </c>
      <c r="X687" s="5">
        <v>6130.67</v>
      </c>
      <c r="Y687" s="5">
        <v>1430.49</v>
      </c>
      <c r="Z687" s="3">
        <v>613.05999999999995</v>
      </c>
      <c r="AA687" s="3">
        <v>0</v>
      </c>
    </row>
    <row r="688" spans="1:27" ht="36.75" x14ac:dyDescent="0.25">
      <c r="A688" s="3" t="s">
        <v>28</v>
      </c>
      <c r="B688" s="3" t="s">
        <v>29</v>
      </c>
      <c r="C688" s="3" t="s">
        <v>30</v>
      </c>
      <c r="D688" s="3" t="s">
        <v>63</v>
      </c>
      <c r="E688" s="3" t="s">
        <v>32</v>
      </c>
      <c r="F688" s="3" t="s">
        <v>269</v>
      </c>
      <c r="G688" s="3">
        <v>2025</v>
      </c>
      <c r="H688" s="3" t="str">
        <f>CONCATENATE("54240645207")</f>
        <v>54240645207</v>
      </c>
      <c r="I688" s="3" t="s">
        <v>34</v>
      </c>
      <c r="J688" s="3" t="s">
        <v>35</v>
      </c>
      <c r="K688" s="3"/>
      <c r="L688" s="3" t="s">
        <v>36</v>
      </c>
      <c r="M688" s="3" t="str">
        <f>CONCATENATE("00470250440")</f>
        <v>00470250440</v>
      </c>
      <c r="N688" s="3" t="s">
        <v>809</v>
      </c>
      <c r="O688" s="3" t="s">
        <v>38</v>
      </c>
      <c r="P688" s="3"/>
      <c r="Q688" s="4">
        <v>45944</v>
      </c>
      <c r="R688" s="3" t="s">
        <v>39</v>
      </c>
      <c r="S688" s="3" t="s">
        <v>38</v>
      </c>
      <c r="T688" s="3" t="s">
        <v>40</v>
      </c>
      <c r="U688" s="3"/>
      <c r="V688" s="3" t="s">
        <v>41</v>
      </c>
      <c r="W688" s="5">
        <v>2976.26</v>
      </c>
      <c r="X688" s="5">
        <v>2232.1999999999998</v>
      </c>
      <c r="Y688" s="3">
        <v>520.85</v>
      </c>
      <c r="Z688" s="3">
        <v>223.21</v>
      </c>
      <c r="AA688" s="3">
        <v>0</v>
      </c>
    </row>
    <row r="689" spans="1:27" ht="72.75" x14ac:dyDescent="0.25">
      <c r="A689" s="3" t="s">
        <v>28</v>
      </c>
      <c r="B689" s="3" t="s">
        <v>29</v>
      </c>
      <c r="C689" s="3" t="s">
        <v>30</v>
      </c>
      <c r="D689" s="3" t="s">
        <v>31</v>
      </c>
      <c r="E689" s="3" t="s">
        <v>91</v>
      </c>
      <c r="F689" s="3" t="s">
        <v>111</v>
      </c>
      <c r="G689" s="3">
        <v>2025</v>
      </c>
      <c r="H689" s="3" t="str">
        <f>CONCATENATE("54240644911")</f>
        <v>54240644911</v>
      </c>
      <c r="I689" s="3" t="s">
        <v>34</v>
      </c>
      <c r="J689" s="3" t="s">
        <v>35</v>
      </c>
      <c r="K689" s="3"/>
      <c r="L689" s="3" t="s">
        <v>36</v>
      </c>
      <c r="M689" s="3" t="str">
        <f>CONCATENATE("MGHBRC43D67F347X")</f>
        <v>MGHBRC43D67F347X</v>
      </c>
      <c r="N689" s="3" t="s">
        <v>810</v>
      </c>
      <c r="O689" s="3" t="s">
        <v>38</v>
      </c>
      <c r="P689" s="3"/>
      <c r="Q689" s="4">
        <v>45944</v>
      </c>
      <c r="R689" s="3" t="s">
        <v>39</v>
      </c>
      <c r="S689" s="3" t="s">
        <v>38</v>
      </c>
      <c r="T689" s="3" t="s">
        <v>40</v>
      </c>
      <c r="U689" s="3"/>
      <c r="V689" s="3" t="s">
        <v>41</v>
      </c>
      <c r="W689" s="5">
        <v>3769.66</v>
      </c>
      <c r="X689" s="5">
        <v>2827.25</v>
      </c>
      <c r="Y689" s="3">
        <v>659.69</v>
      </c>
      <c r="Z689" s="3">
        <v>282.72000000000003</v>
      </c>
      <c r="AA689" s="3">
        <v>0</v>
      </c>
    </row>
    <row r="690" spans="1:27" ht="36.75" x14ac:dyDescent="0.25">
      <c r="A690" s="3" t="s">
        <v>28</v>
      </c>
      <c r="B690" s="3" t="s">
        <v>29</v>
      </c>
      <c r="C690" s="3" t="s">
        <v>30</v>
      </c>
      <c r="D690" s="3" t="s">
        <v>49</v>
      </c>
      <c r="E690" s="3" t="s">
        <v>32</v>
      </c>
      <c r="F690" s="3" t="s">
        <v>78</v>
      </c>
      <c r="G690" s="3">
        <v>2025</v>
      </c>
      <c r="H690" s="3" t="str">
        <f>CONCATENATE("54240645033")</f>
        <v>54240645033</v>
      </c>
      <c r="I690" s="3" t="s">
        <v>34</v>
      </c>
      <c r="J690" s="3" t="s">
        <v>35</v>
      </c>
      <c r="K690" s="3"/>
      <c r="L690" s="3" t="s">
        <v>36</v>
      </c>
      <c r="M690" s="3" t="str">
        <f>CONCATENATE("01936560430")</f>
        <v>01936560430</v>
      </c>
      <c r="N690" s="3" t="s">
        <v>811</v>
      </c>
      <c r="O690" s="3" t="s">
        <v>38</v>
      </c>
      <c r="P690" s="3"/>
      <c r="Q690" s="4">
        <v>45944</v>
      </c>
      <c r="R690" s="3" t="s">
        <v>39</v>
      </c>
      <c r="S690" s="3" t="s">
        <v>38</v>
      </c>
      <c r="T690" s="3" t="s">
        <v>40</v>
      </c>
      <c r="U690" s="3"/>
      <c r="V690" s="3" t="s">
        <v>41</v>
      </c>
      <c r="W690" s="5">
        <v>16253.24</v>
      </c>
      <c r="X690" s="5">
        <v>12189.93</v>
      </c>
      <c r="Y690" s="5">
        <v>2844.32</v>
      </c>
      <c r="Z690" s="5">
        <v>1218.99</v>
      </c>
      <c r="AA690" s="3">
        <v>0</v>
      </c>
    </row>
    <row r="691" spans="1:27" ht="36.75" x14ac:dyDescent="0.25">
      <c r="A691" s="3" t="s">
        <v>28</v>
      </c>
      <c r="B691" s="3" t="s">
        <v>29</v>
      </c>
      <c r="C691" s="3" t="s">
        <v>30</v>
      </c>
      <c r="D691" s="3" t="s">
        <v>63</v>
      </c>
      <c r="E691" s="3" t="s">
        <v>32</v>
      </c>
      <c r="F691" s="3" t="s">
        <v>269</v>
      </c>
      <c r="G691" s="3">
        <v>2025</v>
      </c>
      <c r="H691" s="3" t="str">
        <f>CONCATENATE("54240645181")</f>
        <v>54240645181</v>
      </c>
      <c r="I691" s="3" t="s">
        <v>34</v>
      </c>
      <c r="J691" s="3" t="s">
        <v>35</v>
      </c>
      <c r="K691" s="3"/>
      <c r="L691" s="3" t="s">
        <v>36</v>
      </c>
      <c r="M691" s="3" t="str">
        <f>CONCATENATE("01987450440")</f>
        <v>01987450440</v>
      </c>
      <c r="N691" s="3" t="s">
        <v>812</v>
      </c>
      <c r="O691" s="3" t="s">
        <v>38</v>
      </c>
      <c r="P691" s="3"/>
      <c r="Q691" s="4">
        <v>45944</v>
      </c>
      <c r="R691" s="3" t="s">
        <v>39</v>
      </c>
      <c r="S691" s="3" t="s">
        <v>38</v>
      </c>
      <c r="T691" s="3" t="s">
        <v>40</v>
      </c>
      <c r="U691" s="3"/>
      <c r="V691" s="3" t="s">
        <v>41</v>
      </c>
      <c r="W691" s="3">
        <v>499</v>
      </c>
      <c r="X691" s="3">
        <v>374.25</v>
      </c>
      <c r="Y691" s="3">
        <v>87.33</v>
      </c>
      <c r="Z691" s="3">
        <v>37.42</v>
      </c>
      <c r="AA691" s="3">
        <v>0</v>
      </c>
    </row>
    <row r="692" spans="1:27" ht="60.75" x14ac:dyDescent="0.25">
      <c r="A692" s="3" t="s">
        <v>28</v>
      </c>
      <c r="B692" s="3" t="s">
        <v>29</v>
      </c>
      <c r="C692" s="3" t="s">
        <v>30</v>
      </c>
      <c r="D692" s="3" t="s">
        <v>63</v>
      </c>
      <c r="E692" s="3" t="s">
        <v>53</v>
      </c>
      <c r="F692" s="3" t="s">
        <v>478</v>
      </c>
      <c r="G692" s="3">
        <v>2025</v>
      </c>
      <c r="H692" s="3" t="str">
        <f>CONCATENATE("54240645173")</f>
        <v>54240645173</v>
      </c>
      <c r="I692" s="3" t="s">
        <v>34</v>
      </c>
      <c r="J692" s="3" t="s">
        <v>35</v>
      </c>
      <c r="K692" s="3"/>
      <c r="L692" s="3" t="s">
        <v>36</v>
      </c>
      <c r="M692" s="3" t="str">
        <f>CONCATENATE("TTVGCM54T11F509H")</f>
        <v>TTVGCM54T11F509H</v>
      </c>
      <c r="N692" s="3" t="s">
        <v>813</v>
      </c>
      <c r="O692" s="3" t="s">
        <v>38</v>
      </c>
      <c r="P692" s="3"/>
      <c r="Q692" s="4">
        <v>45944</v>
      </c>
      <c r="R692" s="3" t="s">
        <v>39</v>
      </c>
      <c r="S692" s="3" t="s">
        <v>38</v>
      </c>
      <c r="T692" s="3" t="s">
        <v>40</v>
      </c>
      <c r="U692" s="3"/>
      <c r="V692" s="3" t="s">
        <v>41</v>
      </c>
      <c r="W692" s="5">
        <v>2971.15</v>
      </c>
      <c r="X692" s="5">
        <v>2228.36</v>
      </c>
      <c r="Y692" s="3">
        <v>519.95000000000005</v>
      </c>
      <c r="Z692" s="3">
        <v>222.84</v>
      </c>
      <c r="AA692" s="3">
        <v>0</v>
      </c>
    </row>
    <row r="693" spans="1:27" ht="60.75" x14ac:dyDescent="0.25">
      <c r="A693" s="3" t="s">
        <v>28</v>
      </c>
      <c r="B693" s="3" t="s">
        <v>29</v>
      </c>
      <c r="C693" s="3" t="s">
        <v>30</v>
      </c>
      <c r="D693" s="3" t="s">
        <v>63</v>
      </c>
      <c r="E693" s="3" t="s">
        <v>64</v>
      </c>
      <c r="F693" s="3" t="s">
        <v>65</v>
      </c>
      <c r="G693" s="3">
        <v>2025</v>
      </c>
      <c r="H693" s="3" t="str">
        <f>CONCATENATE("54240645215")</f>
        <v>54240645215</v>
      </c>
      <c r="I693" s="3" t="s">
        <v>34</v>
      </c>
      <c r="J693" s="3" t="s">
        <v>35</v>
      </c>
      <c r="K693" s="3"/>
      <c r="L693" s="3" t="s">
        <v>36</v>
      </c>
      <c r="M693" s="3" t="str">
        <f>CONCATENATE("VLNRCL59B22A462T")</f>
        <v>VLNRCL59B22A462T</v>
      </c>
      <c r="N693" s="3" t="s">
        <v>814</v>
      </c>
      <c r="O693" s="3" t="s">
        <v>38</v>
      </c>
      <c r="P693" s="3"/>
      <c r="Q693" s="4">
        <v>45944</v>
      </c>
      <c r="R693" s="3" t="s">
        <v>39</v>
      </c>
      <c r="S693" s="3" t="s">
        <v>38</v>
      </c>
      <c r="T693" s="3" t="s">
        <v>40</v>
      </c>
      <c r="U693" s="3"/>
      <c r="V693" s="3" t="s">
        <v>41</v>
      </c>
      <c r="W693" s="5">
        <v>1624.49</v>
      </c>
      <c r="X693" s="5">
        <v>1218.3699999999999</v>
      </c>
      <c r="Y693" s="3">
        <v>284.29000000000002</v>
      </c>
      <c r="Z693" s="3">
        <v>121.83</v>
      </c>
      <c r="AA693" s="3">
        <v>0</v>
      </c>
    </row>
    <row r="694" spans="1:27" ht="72.75" x14ac:dyDescent="0.25">
      <c r="A694" s="3" t="s">
        <v>28</v>
      </c>
      <c r="B694" s="3" t="s">
        <v>29</v>
      </c>
      <c r="C694" s="3" t="s">
        <v>30</v>
      </c>
      <c r="D694" s="3" t="s">
        <v>31</v>
      </c>
      <c r="E694" s="3" t="s">
        <v>32</v>
      </c>
      <c r="F694" s="3" t="s">
        <v>44</v>
      </c>
      <c r="G694" s="3">
        <v>2025</v>
      </c>
      <c r="H694" s="3" t="str">
        <f>CONCATENATE("54240646171")</f>
        <v>54240646171</v>
      </c>
      <c r="I694" s="3" t="s">
        <v>34</v>
      </c>
      <c r="J694" s="3" t="s">
        <v>35</v>
      </c>
      <c r="K694" s="3"/>
      <c r="L694" s="3" t="s">
        <v>36</v>
      </c>
      <c r="M694" s="3" t="str">
        <f>CONCATENATE("BRCPNG56R25A327B")</f>
        <v>BRCPNG56R25A327B</v>
      </c>
      <c r="N694" s="3" t="s">
        <v>815</v>
      </c>
      <c r="O694" s="3" t="s">
        <v>38</v>
      </c>
      <c r="P694" s="3"/>
      <c r="Q694" s="4">
        <v>45944</v>
      </c>
      <c r="R694" s="3" t="s">
        <v>39</v>
      </c>
      <c r="S694" s="3" t="s">
        <v>38</v>
      </c>
      <c r="T694" s="3" t="s">
        <v>40</v>
      </c>
      <c r="U694" s="3"/>
      <c r="V694" s="3" t="s">
        <v>41</v>
      </c>
      <c r="W694" s="5">
        <v>2083.2399999999998</v>
      </c>
      <c r="X694" s="5">
        <v>1562.43</v>
      </c>
      <c r="Y694" s="3">
        <v>364.57</v>
      </c>
      <c r="Z694" s="3">
        <v>156.24</v>
      </c>
      <c r="AA694" s="3">
        <v>0</v>
      </c>
    </row>
    <row r="695" spans="1:27" ht="72.75" x14ac:dyDescent="0.25">
      <c r="A695" s="3" t="s">
        <v>28</v>
      </c>
      <c r="B695" s="3" t="s">
        <v>29</v>
      </c>
      <c r="C695" s="3" t="s">
        <v>30</v>
      </c>
      <c r="D695" s="3" t="s">
        <v>31</v>
      </c>
      <c r="E695" s="3" t="s">
        <v>145</v>
      </c>
      <c r="F695" s="3" t="s">
        <v>485</v>
      </c>
      <c r="G695" s="3">
        <v>2025</v>
      </c>
      <c r="H695" s="3" t="str">
        <f>CONCATENATE("54240645835")</f>
        <v>54240645835</v>
      </c>
      <c r="I695" s="3" t="s">
        <v>34</v>
      </c>
      <c r="J695" s="3" t="s">
        <v>35</v>
      </c>
      <c r="K695" s="3"/>
      <c r="L695" s="3" t="s">
        <v>36</v>
      </c>
      <c r="M695" s="3" t="str">
        <f>CONCATENATE("BNZGPT63B19G479R")</f>
        <v>BNZGPT63B19G479R</v>
      </c>
      <c r="N695" s="3" t="s">
        <v>816</v>
      </c>
      <c r="O695" s="3" t="s">
        <v>38</v>
      </c>
      <c r="P695" s="3"/>
      <c r="Q695" s="4">
        <v>45944</v>
      </c>
      <c r="R695" s="3" t="s">
        <v>39</v>
      </c>
      <c r="S695" s="3" t="s">
        <v>38</v>
      </c>
      <c r="T695" s="3" t="s">
        <v>40</v>
      </c>
      <c r="U695" s="3"/>
      <c r="V695" s="3" t="s">
        <v>41</v>
      </c>
      <c r="W695" s="5">
        <v>2030.22</v>
      </c>
      <c r="X695" s="5">
        <v>1522.67</v>
      </c>
      <c r="Y695" s="3">
        <v>355.29</v>
      </c>
      <c r="Z695" s="3">
        <v>152.26</v>
      </c>
      <c r="AA695" s="3">
        <v>0</v>
      </c>
    </row>
    <row r="696" spans="1:27" ht="36.75" x14ac:dyDescent="0.25">
      <c r="A696" s="3" t="s">
        <v>28</v>
      </c>
      <c r="B696" s="3" t="s">
        <v>29</v>
      </c>
      <c r="C696" s="3" t="s">
        <v>30</v>
      </c>
      <c r="D696" s="3" t="s">
        <v>31</v>
      </c>
      <c r="E696" s="3" t="s">
        <v>32</v>
      </c>
      <c r="F696" s="3" t="s">
        <v>33</v>
      </c>
      <c r="G696" s="3">
        <v>2025</v>
      </c>
      <c r="H696" s="3" t="str">
        <f>CONCATENATE("54240645660")</f>
        <v>54240645660</v>
      </c>
      <c r="I696" s="3" t="s">
        <v>34</v>
      </c>
      <c r="J696" s="3" t="s">
        <v>35</v>
      </c>
      <c r="K696" s="3"/>
      <c r="L696" s="3" t="s">
        <v>36</v>
      </c>
      <c r="M696" s="3" t="str">
        <f>CONCATENATE("02408390413")</f>
        <v>02408390413</v>
      </c>
      <c r="N696" s="3" t="s">
        <v>817</v>
      </c>
      <c r="O696" s="3" t="s">
        <v>38</v>
      </c>
      <c r="P696" s="3"/>
      <c r="Q696" s="4">
        <v>45944</v>
      </c>
      <c r="R696" s="3" t="s">
        <v>39</v>
      </c>
      <c r="S696" s="3" t="s">
        <v>38</v>
      </c>
      <c r="T696" s="3" t="s">
        <v>40</v>
      </c>
      <c r="U696" s="3"/>
      <c r="V696" s="3" t="s">
        <v>41</v>
      </c>
      <c r="W696" s="5">
        <v>2228.96</v>
      </c>
      <c r="X696" s="5">
        <v>1671.72</v>
      </c>
      <c r="Y696" s="3">
        <v>390.07</v>
      </c>
      <c r="Z696" s="3">
        <v>167.17</v>
      </c>
      <c r="AA696" s="3">
        <v>0</v>
      </c>
    </row>
    <row r="697" spans="1:27" ht="36.75" x14ac:dyDescent="0.25">
      <c r="A697" s="3" t="s">
        <v>28</v>
      </c>
      <c r="B697" s="3" t="s">
        <v>29</v>
      </c>
      <c r="C697" s="3" t="s">
        <v>30</v>
      </c>
      <c r="D697" s="3" t="s">
        <v>31</v>
      </c>
      <c r="E697" s="3" t="s">
        <v>32</v>
      </c>
      <c r="F697" s="3" t="s">
        <v>33</v>
      </c>
      <c r="G697" s="3">
        <v>2025</v>
      </c>
      <c r="H697" s="3" t="str">
        <f>CONCATENATE("54240653961")</f>
        <v>54240653961</v>
      </c>
      <c r="I697" s="3" t="s">
        <v>34</v>
      </c>
      <c r="J697" s="3" t="s">
        <v>35</v>
      </c>
      <c r="K697" s="3"/>
      <c r="L697" s="3" t="s">
        <v>36</v>
      </c>
      <c r="M697" s="3" t="str">
        <f>CONCATENATE("01068070414")</f>
        <v>01068070414</v>
      </c>
      <c r="N697" s="3" t="s">
        <v>818</v>
      </c>
      <c r="O697" s="3" t="s">
        <v>38</v>
      </c>
      <c r="P697" s="3"/>
      <c r="Q697" s="4">
        <v>45944</v>
      </c>
      <c r="R697" s="3" t="s">
        <v>39</v>
      </c>
      <c r="S697" s="3" t="s">
        <v>38</v>
      </c>
      <c r="T697" s="3" t="s">
        <v>40</v>
      </c>
      <c r="U697" s="3"/>
      <c r="V697" s="3" t="s">
        <v>41</v>
      </c>
      <c r="W697" s="5">
        <v>1648.5</v>
      </c>
      <c r="X697" s="5">
        <v>1236.3800000000001</v>
      </c>
      <c r="Y697" s="3">
        <v>288.49</v>
      </c>
      <c r="Z697" s="3">
        <v>123.63</v>
      </c>
      <c r="AA697" s="3">
        <v>0</v>
      </c>
    </row>
    <row r="698" spans="1:27" ht="60.75" x14ac:dyDescent="0.25">
      <c r="A698" s="3" t="s">
        <v>28</v>
      </c>
      <c r="B698" s="3" t="s">
        <v>29</v>
      </c>
      <c r="C698" s="3" t="s">
        <v>30</v>
      </c>
      <c r="D698" s="3" t="s">
        <v>31</v>
      </c>
      <c r="E698" s="3" t="s">
        <v>145</v>
      </c>
      <c r="F698" s="3" t="s">
        <v>485</v>
      </c>
      <c r="G698" s="3">
        <v>2025</v>
      </c>
      <c r="H698" s="3" t="str">
        <f>CONCATENATE("54240646080")</f>
        <v>54240646080</v>
      </c>
      <c r="I698" s="3" t="s">
        <v>34</v>
      </c>
      <c r="J698" s="3" t="s">
        <v>35</v>
      </c>
      <c r="K698" s="3"/>
      <c r="L698" s="3" t="s">
        <v>36</v>
      </c>
      <c r="M698" s="3" t="str">
        <f>CONCATENATE("PNSMRC54M23E122B")</f>
        <v>PNSMRC54M23E122B</v>
      </c>
      <c r="N698" s="3" t="s">
        <v>819</v>
      </c>
      <c r="O698" s="3" t="s">
        <v>38</v>
      </c>
      <c r="P698" s="3"/>
      <c r="Q698" s="4">
        <v>45944</v>
      </c>
      <c r="R698" s="3" t="s">
        <v>39</v>
      </c>
      <c r="S698" s="3" t="s">
        <v>38</v>
      </c>
      <c r="T698" s="3" t="s">
        <v>40</v>
      </c>
      <c r="U698" s="3"/>
      <c r="V698" s="3" t="s">
        <v>41</v>
      </c>
      <c r="W698" s="5">
        <v>1567.68</v>
      </c>
      <c r="X698" s="5">
        <v>1175.76</v>
      </c>
      <c r="Y698" s="3">
        <v>274.33999999999997</v>
      </c>
      <c r="Z698" s="3">
        <v>117.58</v>
      </c>
      <c r="AA698" s="3">
        <v>0</v>
      </c>
    </row>
    <row r="699" spans="1:27" ht="60.75" x14ac:dyDescent="0.25">
      <c r="A699" s="3" t="s">
        <v>28</v>
      </c>
      <c r="B699" s="3" t="s">
        <v>29</v>
      </c>
      <c r="C699" s="3" t="s">
        <v>30</v>
      </c>
      <c r="D699" s="3" t="s">
        <v>31</v>
      </c>
      <c r="E699" s="3" t="s">
        <v>145</v>
      </c>
      <c r="F699" s="3" t="s">
        <v>485</v>
      </c>
      <c r="G699" s="3">
        <v>2025</v>
      </c>
      <c r="H699" s="3" t="str">
        <f>CONCATENATE("54240645934")</f>
        <v>54240645934</v>
      </c>
      <c r="I699" s="3" t="s">
        <v>149</v>
      </c>
      <c r="J699" s="3" t="s">
        <v>35</v>
      </c>
      <c r="K699" s="3"/>
      <c r="L699" s="3" t="s">
        <v>36</v>
      </c>
      <c r="M699" s="3" t="str">
        <f>CONCATENATE("GSPLRS78C27L500R")</f>
        <v>GSPLRS78C27L500R</v>
      </c>
      <c r="N699" s="3" t="s">
        <v>820</v>
      </c>
      <c r="O699" s="3" t="s">
        <v>38</v>
      </c>
      <c r="P699" s="3"/>
      <c r="Q699" s="4">
        <v>45944</v>
      </c>
      <c r="R699" s="3" t="s">
        <v>39</v>
      </c>
      <c r="S699" s="3" t="s">
        <v>38</v>
      </c>
      <c r="T699" s="3" t="s">
        <v>40</v>
      </c>
      <c r="U699" s="3"/>
      <c r="V699" s="3" t="s">
        <v>41</v>
      </c>
      <c r="W699" s="5">
        <v>9448.01</v>
      </c>
      <c r="X699" s="5">
        <v>7086.01</v>
      </c>
      <c r="Y699" s="5">
        <v>1653.4</v>
      </c>
      <c r="Z699" s="3">
        <v>708.6</v>
      </c>
      <c r="AA699" s="3">
        <v>0</v>
      </c>
    </row>
    <row r="700" spans="1:27" ht="60.75" x14ac:dyDescent="0.25">
      <c r="A700" s="3" t="s">
        <v>28</v>
      </c>
      <c r="B700" s="3" t="s">
        <v>29</v>
      </c>
      <c r="C700" s="3" t="s">
        <v>30</v>
      </c>
      <c r="D700" s="3" t="s">
        <v>58</v>
      </c>
      <c r="E700" s="3" t="s">
        <v>32</v>
      </c>
      <c r="F700" s="3" t="s">
        <v>98</v>
      </c>
      <c r="G700" s="3">
        <v>2025</v>
      </c>
      <c r="H700" s="3" t="str">
        <f>CONCATENATE("54240646023")</f>
        <v>54240646023</v>
      </c>
      <c r="I700" s="3" t="s">
        <v>34</v>
      </c>
      <c r="J700" s="3" t="s">
        <v>35</v>
      </c>
      <c r="K700" s="3"/>
      <c r="L700" s="3" t="s">
        <v>36</v>
      </c>
      <c r="M700" s="3" t="str">
        <f>CONCATENATE("SPNNDR82E14E690X")</f>
        <v>SPNNDR82E14E690X</v>
      </c>
      <c r="N700" s="3" t="s">
        <v>821</v>
      </c>
      <c r="O700" s="3" t="s">
        <v>38</v>
      </c>
      <c r="P700" s="3"/>
      <c r="Q700" s="4">
        <v>45944</v>
      </c>
      <c r="R700" s="3" t="s">
        <v>39</v>
      </c>
      <c r="S700" s="3" t="s">
        <v>38</v>
      </c>
      <c r="T700" s="3" t="s">
        <v>40</v>
      </c>
      <c r="U700" s="3"/>
      <c r="V700" s="3" t="s">
        <v>41</v>
      </c>
      <c r="W700" s="3">
        <v>735.09</v>
      </c>
      <c r="X700" s="3">
        <v>551.32000000000005</v>
      </c>
      <c r="Y700" s="3">
        <v>128.63999999999999</v>
      </c>
      <c r="Z700" s="3">
        <v>55.13</v>
      </c>
      <c r="AA700" s="3">
        <v>0</v>
      </c>
    </row>
    <row r="701" spans="1:27" ht="72.75" x14ac:dyDescent="0.25">
      <c r="A701" s="3" t="s">
        <v>28</v>
      </c>
      <c r="B701" s="3" t="s">
        <v>29</v>
      </c>
      <c r="C701" s="3" t="s">
        <v>30</v>
      </c>
      <c r="D701" s="3" t="s">
        <v>31</v>
      </c>
      <c r="E701" s="3" t="s">
        <v>32</v>
      </c>
      <c r="F701" s="3" t="s">
        <v>33</v>
      </c>
      <c r="G701" s="3">
        <v>2025</v>
      </c>
      <c r="H701" s="3" t="str">
        <f>CONCATENATE("54240646320")</f>
        <v>54240646320</v>
      </c>
      <c r="I701" s="3" t="s">
        <v>34</v>
      </c>
      <c r="J701" s="3" t="s">
        <v>35</v>
      </c>
      <c r="K701" s="3"/>
      <c r="L701" s="3" t="s">
        <v>36</v>
      </c>
      <c r="M701" s="3" t="str">
        <f>CONCATENATE("SRRPTR57B16G147Q")</f>
        <v>SRRPTR57B16G147Q</v>
      </c>
      <c r="N701" s="3" t="s">
        <v>822</v>
      </c>
      <c r="O701" s="3" t="s">
        <v>38</v>
      </c>
      <c r="P701" s="3"/>
      <c r="Q701" s="4">
        <v>45944</v>
      </c>
      <c r="R701" s="3" t="s">
        <v>39</v>
      </c>
      <c r="S701" s="3" t="s">
        <v>38</v>
      </c>
      <c r="T701" s="3" t="s">
        <v>40</v>
      </c>
      <c r="U701" s="3"/>
      <c r="V701" s="3" t="s">
        <v>41</v>
      </c>
      <c r="W701" s="5">
        <v>1918.01</v>
      </c>
      <c r="X701" s="5">
        <v>1438.51</v>
      </c>
      <c r="Y701" s="3">
        <v>335.65</v>
      </c>
      <c r="Z701" s="3">
        <v>143.85</v>
      </c>
      <c r="AA701" s="3">
        <v>0</v>
      </c>
    </row>
    <row r="702" spans="1:27" ht="60.75" x14ac:dyDescent="0.25">
      <c r="A702" s="3" t="s">
        <v>28</v>
      </c>
      <c r="B702" s="3" t="s">
        <v>29</v>
      </c>
      <c r="C702" s="3" t="s">
        <v>30</v>
      </c>
      <c r="D702" s="3" t="s">
        <v>58</v>
      </c>
      <c r="E702" s="3" t="s">
        <v>32</v>
      </c>
      <c r="F702" s="3" t="s">
        <v>100</v>
      </c>
      <c r="G702" s="3">
        <v>2025</v>
      </c>
      <c r="H702" s="3" t="str">
        <f>CONCATENATE("54240503463")</f>
        <v>54240503463</v>
      </c>
      <c r="I702" s="3" t="s">
        <v>34</v>
      </c>
      <c r="J702" s="3" t="s">
        <v>35</v>
      </c>
      <c r="K702" s="3"/>
      <c r="L702" s="3" t="s">
        <v>36</v>
      </c>
      <c r="M702" s="3" t="str">
        <f>CONCATENATE("RFFMRC69C07E388C")</f>
        <v>RFFMRC69C07E388C</v>
      </c>
      <c r="N702" s="3" t="s">
        <v>823</v>
      </c>
      <c r="O702" s="3" t="s">
        <v>38</v>
      </c>
      <c r="P702" s="3"/>
      <c r="Q702" s="4">
        <v>45944</v>
      </c>
      <c r="R702" s="3" t="s">
        <v>39</v>
      </c>
      <c r="S702" s="3" t="s">
        <v>38</v>
      </c>
      <c r="T702" s="3" t="s">
        <v>43</v>
      </c>
      <c r="U702" s="3"/>
      <c r="V702" s="3" t="s">
        <v>41</v>
      </c>
      <c r="W702" s="5">
        <v>1338.89</v>
      </c>
      <c r="X702" s="5">
        <v>1338.89</v>
      </c>
      <c r="Y702" s="3">
        <v>0</v>
      </c>
      <c r="Z702" s="3">
        <v>0</v>
      </c>
      <c r="AA702" s="3">
        <v>0</v>
      </c>
    </row>
    <row r="703" spans="1:27" ht="60.75" x14ac:dyDescent="0.25">
      <c r="A703" s="3" t="s">
        <v>28</v>
      </c>
      <c r="B703" s="3" t="s">
        <v>29</v>
      </c>
      <c r="C703" s="3" t="s">
        <v>30</v>
      </c>
      <c r="D703" s="3" t="s">
        <v>63</v>
      </c>
      <c r="E703" s="3" t="s">
        <v>32</v>
      </c>
      <c r="F703" s="3" t="s">
        <v>142</v>
      </c>
      <c r="G703" s="3">
        <v>2025</v>
      </c>
      <c r="H703" s="3" t="str">
        <f>CONCATENATE("54240503448")</f>
        <v>54240503448</v>
      </c>
      <c r="I703" s="3" t="s">
        <v>34</v>
      </c>
      <c r="J703" s="3" t="s">
        <v>35</v>
      </c>
      <c r="K703" s="3"/>
      <c r="L703" s="3" t="s">
        <v>36</v>
      </c>
      <c r="M703" s="3" t="str">
        <f>CONCATENATE("CRLGPP63S04H769K")</f>
        <v>CRLGPP63S04H769K</v>
      </c>
      <c r="N703" s="3" t="s">
        <v>824</v>
      </c>
      <c r="O703" s="3" t="s">
        <v>38</v>
      </c>
      <c r="P703" s="3"/>
      <c r="Q703" s="4">
        <v>45944</v>
      </c>
      <c r="R703" s="3" t="s">
        <v>39</v>
      </c>
      <c r="S703" s="3" t="s">
        <v>38</v>
      </c>
      <c r="T703" s="3" t="s">
        <v>43</v>
      </c>
      <c r="U703" s="3"/>
      <c r="V703" s="3" t="s">
        <v>41</v>
      </c>
      <c r="W703" s="5">
        <v>3971.6</v>
      </c>
      <c r="X703" s="5">
        <v>3971.6</v>
      </c>
      <c r="Y703" s="3">
        <v>0</v>
      </c>
      <c r="Z703" s="3">
        <v>0</v>
      </c>
      <c r="AA703" s="3">
        <v>0</v>
      </c>
    </row>
    <row r="704" spans="1:27" ht="60.75" x14ac:dyDescent="0.25">
      <c r="A704" s="3" t="s">
        <v>28</v>
      </c>
      <c r="B704" s="3" t="s">
        <v>29</v>
      </c>
      <c r="C704" s="3" t="s">
        <v>30</v>
      </c>
      <c r="D704" s="3" t="s">
        <v>49</v>
      </c>
      <c r="E704" s="3" t="s">
        <v>46</v>
      </c>
      <c r="F704" s="3" t="s">
        <v>129</v>
      </c>
      <c r="G704" s="3">
        <v>2025</v>
      </c>
      <c r="H704" s="3" t="str">
        <f>CONCATENATE("54240503489")</f>
        <v>54240503489</v>
      </c>
      <c r="I704" s="3" t="s">
        <v>34</v>
      </c>
      <c r="J704" s="3" t="s">
        <v>35</v>
      </c>
      <c r="K704" s="3"/>
      <c r="L704" s="3" t="s">
        <v>36</v>
      </c>
      <c r="M704" s="3" t="str">
        <f>CONCATENATE("QLALSN41D07L366X")</f>
        <v>QLALSN41D07L366X</v>
      </c>
      <c r="N704" s="3" t="s">
        <v>825</v>
      </c>
      <c r="O704" s="3" t="s">
        <v>38</v>
      </c>
      <c r="P704" s="3"/>
      <c r="Q704" s="4">
        <v>45944</v>
      </c>
      <c r="R704" s="3" t="s">
        <v>39</v>
      </c>
      <c r="S704" s="3" t="s">
        <v>38</v>
      </c>
      <c r="T704" s="3" t="s">
        <v>43</v>
      </c>
      <c r="U704" s="3"/>
      <c r="V704" s="3" t="s">
        <v>41</v>
      </c>
      <c r="W704" s="5">
        <v>2695.02</v>
      </c>
      <c r="X704" s="5">
        <v>2695.02</v>
      </c>
      <c r="Y704" s="3">
        <v>0</v>
      </c>
      <c r="Z704" s="3">
        <v>0</v>
      </c>
      <c r="AA704" s="3">
        <v>0</v>
      </c>
    </row>
    <row r="705" spans="1:27" ht="36.75" x14ac:dyDescent="0.25">
      <c r="A705" s="3" t="s">
        <v>28</v>
      </c>
      <c r="B705" s="3" t="s">
        <v>29</v>
      </c>
      <c r="C705" s="3" t="s">
        <v>30</v>
      </c>
      <c r="D705" s="3" t="s">
        <v>49</v>
      </c>
      <c r="E705" s="3" t="s">
        <v>46</v>
      </c>
      <c r="F705" s="3" t="s">
        <v>140</v>
      </c>
      <c r="G705" s="3">
        <v>2025</v>
      </c>
      <c r="H705" s="3" t="str">
        <f>CONCATENATE("54240503539")</f>
        <v>54240503539</v>
      </c>
      <c r="I705" s="3" t="s">
        <v>34</v>
      </c>
      <c r="J705" s="3" t="s">
        <v>35</v>
      </c>
      <c r="K705" s="3"/>
      <c r="L705" s="3" t="s">
        <v>36</v>
      </c>
      <c r="M705" s="3" t="str">
        <f>CONCATENATE("01882060435")</f>
        <v>01882060435</v>
      </c>
      <c r="N705" s="3" t="s">
        <v>826</v>
      </c>
      <c r="O705" s="3" t="s">
        <v>38</v>
      </c>
      <c r="P705" s="3"/>
      <c r="Q705" s="4">
        <v>45944</v>
      </c>
      <c r="R705" s="3" t="s">
        <v>39</v>
      </c>
      <c r="S705" s="3" t="s">
        <v>38</v>
      </c>
      <c r="T705" s="3" t="s">
        <v>43</v>
      </c>
      <c r="U705" s="3"/>
      <c r="V705" s="3" t="s">
        <v>41</v>
      </c>
      <c r="W705" s="5">
        <v>6118.41</v>
      </c>
      <c r="X705" s="5">
        <v>6118.41</v>
      </c>
      <c r="Y705" s="3">
        <v>0</v>
      </c>
      <c r="Z705" s="3">
        <v>0</v>
      </c>
      <c r="AA705" s="3">
        <v>0</v>
      </c>
    </row>
    <row r="706" spans="1:27" ht="60.75" x14ac:dyDescent="0.25">
      <c r="A706" s="3" t="s">
        <v>28</v>
      </c>
      <c r="B706" s="3" t="s">
        <v>29</v>
      </c>
      <c r="C706" s="3" t="s">
        <v>30</v>
      </c>
      <c r="D706" s="3" t="s">
        <v>49</v>
      </c>
      <c r="E706" s="3" t="s">
        <v>46</v>
      </c>
      <c r="F706" s="3" t="s">
        <v>126</v>
      </c>
      <c r="G706" s="3">
        <v>2025</v>
      </c>
      <c r="H706" s="3" t="str">
        <f>CONCATENATE("54240505534")</f>
        <v>54240505534</v>
      </c>
      <c r="I706" s="3" t="s">
        <v>34</v>
      </c>
      <c r="J706" s="3" t="s">
        <v>35</v>
      </c>
      <c r="K706" s="3"/>
      <c r="L706" s="3" t="s">
        <v>36</v>
      </c>
      <c r="M706" s="3" t="str">
        <f>CONCATENATE("VLRNCL97R20I156V")</f>
        <v>VLRNCL97R20I156V</v>
      </c>
      <c r="N706" s="3" t="s">
        <v>827</v>
      </c>
      <c r="O706" s="3" t="s">
        <v>38</v>
      </c>
      <c r="P706" s="3"/>
      <c r="Q706" s="4">
        <v>45944</v>
      </c>
      <c r="R706" s="3" t="s">
        <v>39</v>
      </c>
      <c r="S706" s="3" t="s">
        <v>38</v>
      </c>
      <c r="T706" s="3" t="s">
        <v>43</v>
      </c>
      <c r="U706" s="3"/>
      <c r="V706" s="3" t="s">
        <v>41</v>
      </c>
      <c r="W706" s="3">
        <v>616.04</v>
      </c>
      <c r="X706" s="3">
        <v>616.04</v>
      </c>
      <c r="Y706" s="3">
        <v>0</v>
      </c>
      <c r="Z706" s="3">
        <v>0</v>
      </c>
      <c r="AA706" s="3">
        <v>0</v>
      </c>
    </row>
    <row r="707" spans="1:27" ht="60.75" x14ac:dyDescent="0.25">
      <c r="A707" s="3" t="s">
        <v>28</v>
      </c>
      <c r="B707" s="3" t="s">
        <v>29</v>
      </c>
      <c r="C707" s="3" t="s">
        <v>30</v>
      </c>
      <c r="D707" s="3" t="s">
        <v>58</v>
      </c>
      <c r="E707" s="3" t="s">
        <v>32</v>
      </c>
      <c r="F707" s="3" t="s">
        <v>102</v>
      </c>
      <c r="G707" s="3">
        <v>2025</v>
      </c>
      <c r="H707" s="3" t="str">
        <f>CONCATENATE("54240579273")</f>
        <v>54240579273</v>
      </c>
      <c r="I707" s="3" t="s">
        <v>34</v>
      </c>
      <c r="J707" s="3" t="s">
        <v>35</v>
      </c>
      <c r="K707" s="3"/>
      <c r="L707" s="3" t="s">
        <v>36</v>
      </c>
      <c r="M707" s="3" t="str">
        <f>CONCATENATE("PNDMTT03T21E388W")</f>
        <v>PNDMTT03T21E388W</v>
      </c>
      <c r="N707" s="3" t="s">
        <v>828</v>
      </c>
      <c r="O707" s="3" t="s">
        <v>38</v>
      </c>
      <c r="P707" s="3"/>
      <c r="Q707" s="4">
        <v>45944</v>
      </c>
      <c r="R707" s="3" t="s">
        <v>39</v>
      </c>
      <c r="S707" s="3" t="s">
        <v>38</v>
      </c>
      <c r="T707" s="3" t="s">
        <v>43</v>
      </c>
      <c r="U707" s="3"/>
      <c r="V707" s="3" t="s">
        <v>41</v>
      </c>
      <c r="W707" s="5">
        <v>5094.6099999999997</v>
      </c>
      <c r="X707" s="5">
        <v>5094.6099999999997</v>
      </c>
      <c r="Y707" s="3">
        <v>0</v>
      </c>
      <c r="Z707" s="3">
        <v>0</v>
      </c>
      <c r="AA707" s="3">
        <v>0</v>
      </c>
    </row>
    <row r="708" spans="1:27" ht="60.75" x14ac:dyDescent="0.25">
      <c r="A708" s="3" t="s">
        <v>28</v>
      </c>
      <c r="B708" s="3" t="s">
        <v>29</v>
      </c>
      <c r="C708" s="3" t="s">
        <v>30</v>
      </c>
      <c r="D708" s="3" t="s">
        <v>63</v>
      </c>
      <c r="E708" s="3" t="s">
        <v>32</v>
      </c>
      <c r="F708" s="3" t="s">
        <v>142</v>
      </c>
      <c r="G708" s="3">
        <v>2025</v>
      </c>
      <c r="H708" s="3" t="str">
        <f>CONCATENATE("54240503679")</f>
        <v>54240503679</v>
      </c>
      <c r="I708" s="3" t="s">
        <v>34</v>
      </c>
      <c r="J708" s="3" t="s">
        <v>35</v>
      </c>
      <c r="K708" s="3"/>
      <c r="L708" s="3" t="s">
        <v>36</v>
      </c>
      <c r="M708" s="3" t="str">
        <f>CONCATENATE("FLNMCR97D56D542C")</f>
        <v>FLNMCR97D56D542C</v>
      </c>
      <c r="N708" s="3" t="s">
        <v>829</v>
      </c>
      <c r="O708" s="3" t="s">
        <v>38</v>
      </c>
      <c r="P708" s="3"/>
      <c r="Q708" s="4">
        <v>45944</v>
      </c>
      <c r="R708" s="3" t="s">
        <v>39</v>
      </c>
      <c r="S708" s="3" t="s">
        <v>38</v>
      </c>
      <c r="T708" s="3" t="s">
        <v>43</v>
      </c>
      <c r="U708" s="3"/>
      <c r="V708" s="3" t="s">
        <v>41</v>
      </c>
      <c r="W708" s="5">
        <v>3371.64</v>
      </c>
      <c r="X708" s="5">
        <v>3371.64</v>
      </c>
      <c r="Y708" s="3">
        <v>0</v>
      </c>
      <c r="Z708" s="3">
        <v>0</v>
      </c>
      <c r="AA708" s="3">
        <v>0</v>
      </c>
    </row>
    <row r="709" spans="1:27" ht="60.75" x14ac:dyDescent="0.25">
      <c r="A709" s="3" t="s">
        <v>28</v>
      </c>
      <c r="B709" s="3" t="s">
        <v>29</v>
      </c>
      <c r="C709" s="3" t="s">
        <v>30</v>
      </c>
      <c r="D709" s="3" t="s">
        <v>58</v>
      </c>
      <c r="E709" s="3" t="s">
        <v>32</v>
      </c>
      <c r="F709" s="3" t="s">
        <v>239</v>
      </c>
      <c r="G709" s="3">
        <v>2025</v>
      </c>
      <c r="H709" s="3" t="str">
        <f>CONCATENATE("54240503695")</f>
        <v>54240503695</v>
      </c>
      <c r="I709" s="3" t="s">
        <v>149</v>
      </c>
      <c r="J709" s="3" t="s">
        <v>35</v>
      </c>
      <c r="K709" s="3"/>
      <c r="L709" s="3" t="s">
        <v>36</v>
      </c>
      <c r="M709" s="3" t="str">
        <f>CONCATENATE("PPLLCU70A22F581F")</f>
        <v>PPLLCU70A22F581F</v>
      </c>
      <c r="N709" s="3" t="s">
        <v>830</v>
      </c>
      <c r="O709" s="3" t="s">
        <v>38</v>
      </c>
      <c r="P709" s="3"/>
      <c r="Q709" s="4">
        <v>45944</v>
      </c>
      <c r="R709" s="3" t="s">
        <v>39</v>
      </c>
      <c r="S709" s="3" t="s">
        <v>38</v>
      </c>
      <c r="T709" s="3" t="s">
        <v>43</v>
      </c>
      <c r="U709" s="3"/>
      <c r="V709" s="3" t="s">
        <v>41</v>
      </c>
      <c r="W709" s="5">
        <v>1896.55</v>
      </c>
      <c r="X709" s="5">
        <v>1896.55</v>
      </c>
      <c r="Y709" s="3">
        <v>0</v>
      </c>
      <c r="Z709" s="3">
        <v>0</v>
      </c>
      <c r="AA709" s="3">
        <v>0</v>
      </c>
    </row>
    <row r="710" spans="1:27" ht="60.75" x14ac:dyDescent="0.25">
      <c r="A710" s="3" t="s">
        <v>28</v>
      </c>
      <c r="B710" s="3" t="s">
        <v>29</v>
      </c>
      <c r="C710" s="3" t="s">
        <v>30</v>
      </c>
      <c r="D710" s="3" t="s">
        <v>58</v>
      </c>
      <c r="E710" s="3" t="s">
        <v>32</v>
      </c>
      <c r="F710" s="3" t="s">
        <v>239</v>
      </c>
      <c r="G710" s="3">
        <v>2025</v>
      </c>
      <c r="H710" s="3" t="str">
        <f>CONCATENATE("54240504149")</f>
        <v>54240504149</v>
      </c>
      <c r="I710" s="3" t="s">
        <v>34</v>
      </c>
      <c r="J710" s="3" t="s">
        <v>35</v>
      </c>
      <c r="K710" s="3"/>
      <c r="L710" s="3" t="s">
        <v>36</v>
      </c>
      <c r="M710" s="3" t="str">
        <f>CONCATENATE("MCCGBR57R07D007K")</f>
        <v>MCCGBR57R07D007K</v>
      </c>
      <c r="N710" s="3" t="s">
        <v>831</v>
      </c>
      <c r="O710" s="3" t="s">
        <v>38</v>
      </c>
      <c r="P710" s="3"/>
      <c r="Q710" s="4">
        <v>45944</v>
      </c>
      <c r="R710" s="3" t="s">
        <v>39</v>
      </c>
      <c r="S710" s="3" t="s">
        <v>38</v>
      </c>
      <c r="T710" s="3" t="s">
        <v>43</v>
      </c>
      <c r="U710" s="3"/>
      <c r="V710" s="3" t="s">
        <v>41</v>
      </c>
      <c r="W710" s="5">
        <v>5244.71</v>
      </c>
      <c r="X710" s="5">
        <v>5244.71</v>
      </c>
      <c r="Y710" s="3">
        <v>0</v>
      </c>
      <c r="Z710" s="3">
        <v>0</v>
      </c>
      <c r="AA710" s="3">
        <v>0</v>
      </c>
    </row>
    <row r="711" spans="1:27" ht="60.75" x14ac:dyDescent="0.25">
      <c r="A711" s="3" t="s">
        <v>28</v>
      </c>
      <c r="B711" s="3" t="s">
        <v>29</v>
      </c>
      <c r="C711" s="3" t="s">
        <v>30</v>
      </c>
      <c r="D711" s="3" t="s">
        <v>49</v>
      </c>
      <c r="E711" s="3" t="s">
        <v>32</v>
      </c>
      <c r="F711" s="3" t="s">
        <v>69</v>
      </c>
      <c r="G711" s="3">
        <v>2025</v>
      </c>
      <c r="H711" s="3" t="str">
        <f>CONCATENATE("54240503976")</f>
        <v>54240503976</v>
      </c>
      <c r="I711" s="3" t="s">
        <v>34</v>
      </c>
      <c r="J711" s="3" t="s">
        <v>35</v>
      </c>
      <c r="K711" s="3"/>
      <c r="L711" s="3" t="s">
        <v>36</v>
      </c>
      <c r="M711" s="3" t="str">
        <f>CONCATENATE("FLCLNE55S50A739L")</f>
        <v>FLCLNE55S50A739L</v>
      </c>
      <c r="N711" s="3" t="s">
        <v>832</v>
      </c>
      <c r="O711" s="3" t="s">
        <v>38</v>
      </c>
      <c r="P711" s="3"/>
      <c r="Q711" s="4">
        <v>45944</v>
      </c>
      <c r="R711" s="3" t="s">
        <v>39</v>
      </c>
      <c r="S711" s="3" t="s">
        <v>38</v>
      </c>
      <c r="T711" s="3" t="s">
        <v>43</v>
      </c>
      <c r="U711" s="3"/>
      <c r="V711" s="3" t="s">
        <v>41</v>
      </c>
      <c r="W711" s="5">
        <v>3723.86</v>
      </c>
      <c r="X711" s="5">
        <v>3723.86</v>
      </c>
      <c r="Y711" s="3">
        <v>0</v>
      </c>
      <c r="Z711" s="3">
        <v>0</v>
      </c>
      <c r="AA711" s="3">
        <v>0</v>
      </c>
    </row>
    <row r="712" spans="1:27" ht="36.75" x14ac:dyDescent="0.25">
      <c r="A712" s="3" t="s">
        <v>28</v>
      </c>
      <c r="B712" s="3" t="s">
        <v>29</v>
      </c>
      <c r="C712" s="3" t="s">
        <v>30</v>
      </c>
      <c r="D712" s="3" t="s">
        <v>31</v>
      </c>
      <c r="E712" s="3" t="s">
        <v>46</v>
      </c>
      <c r="F712" s="3" t="s">
        <v>47</v>
      </c>
      <c r="G712" s="3">
        <v>2025</v>
      </c>
      <c r="H712" s="3" t="str">
        <f>CONCATENATE("54240551777")</f>
        <v>54240551777</v>
      </c>
      <c r="I712" s="3" t="s">
        <v>34</v>
      </c>
      <c r="J712" s="3" t="s">
        <v>35</v>
      </c>
      <c r="K712" s="3"/>
      <c r="L712" s="3" t="s">
        <v>36</v>
      </c>
      <c r="M712" s="3" t="str">
        <f>CONCATENATE("02247380419")</f>
        <v>02247380419</v>
      </c>
      <c r="N712" s="3" t="s">
        <v>833</v>
      </c>
      <c r="O712" s="3" t="s">
        <v>38</v>
      </c>
      <c r="P712" s="3"/>
      <c r="Q712" s="4">
        <v>45944</v>
      </c>
      <c r="R712" s="3" t="s">
        <v>39</v>
      </c>
      <c r="S712" s="3" t="s">
        <v>38</v>
      </c>
      <c r="T712" s="3" t="s">
        <v>43</v>
      </c>
      <c r="U712" s="3"/>
      <c r="V712" s="3" t="s">
        <v>41</v>
      </c>
      <c r="W712" s="5">
        <v>3116.47</v>
      </c>
      <c r="X712" s="5">
        <v>3116.47</v>
      </c>
      <c r="Y712" s="3">
        <v>0</v>
      </c>
      <c r="Z712" s="3">
        <v>0</v>
      </c>
      <c r="AA712" s="3">
        <v>0</v>
      </c>
    </row>
    <row r="713" spans="1:27" ht="60.75" x14ac:dyDescent="0.25">
      <c r="A713" s="3" t="s">
        <v>28</v>
      </c>
      <c r="B713" s="3" t="s">
        <v>29</v>
      </c>
      <c r="C713" s="3" t="s">
        <v>30</v>
      </c>
      <c r="D713" s="3" t="s">
        <v>31</v>
      </c>
      <c r="E713" s="3" t="s">
        <v>46</v>
      </c>
      <c r="F713" s="3" t="s">
        <v>108</v>
      </c>
      <c r="G713" s="3">
        <v>2025</v>
      </c>
      <c r="H713" s="3" t="str">
        <f>CONCATENATE("54240504271")</f>
        <v>54240504271</v>
      </c>
      <c r="I713" s="3" t="s">
        <v>34</v>
      </c>
      <c r="J713" s="3" t="s">
        <v>35</v>
      </c>
      <c r="K713" s="3"/>
      <c r="L713" s="3" t="s">
        <v>36</v>
      </c>
      <c r="M713" s="3" t="str">
        <f>CONCATENATE("BTTGPR54T10L500N")</f>
        <v>BTTGPR54T10L500N</v>
      </c>
      <c r="N713" s="3" t="s">
        <v>834</v>
      </c>
      <c r="O713" s="3" t="s">
        <v>38</v>
      </c>
      <c r="P713" s="3"/>
      <c r="Q713" s="4">
        <v>45944</v>
      </c>
      <c r="R713" s="3" t="s">
        <v>39</v>
      </c>
      <c r="S713" s="3" t="s">
        <v>38</v>
      </c>
      <c r="T713" s="3" t="s">
        <v>43</v>
      </c>
      <c r="U713" s="3"/>
      <c r="V713" s="3" t="s">
        <v>41</v>
      </c>
      <c r="W713" s="5">
        <v>2595.48</v>
      </c>
      <c r="X713" s="5">
        <v>2595.48</v>
      </c>
      <c r="Y713" s="3">
        <v>0</v>
      </c>
      <c r="Z713" s="3">
        <v>0</v>
      </c>
      <c r="AA713" s="3">
        <v>0</v>
      </c>
    </row>
    <row r="714" spans="1:27" ht="72.75" x14ac:dyDescent="0.25">
      <c r="A714" s="3" t="s">
        <v>28</v>
      </c>
      <c r="B714" s="3" t="s">
        <v>29</v>
      </c>
      <c r="C714" s="3" t="s">
        <v>30</v>
      </c>
      <c r="D714" s="3" t="s">
        <v>58</v>
      </c>
      <c r="E714" s="3" t="s">
        <v>53</v>
      </c>
      <c r="F714" s="3" t="s">
        <v>123</v>
      </c>
      <c r="G714" s="3">
        <v>2025</v>
      </c>
      <c r="H714" s="3" t="str">
        <f>CONCATENATE("54240504206")</f>
        <v>54240504206</v>
      </c>
      <c r="I714" s="3" t="s">
        <v>34</v>
      </c>
      <c r="J714" s="3" t="s">
        <v>35</v>
      </c>
      <c r="K714" s="3"/>
      <c r="L714" s="3" t="s">
        <v>36</v>
      </c>
      <c r="M714" s="3" t="str">
        <f>CONCATENATE("MSSNDR65H23A271N")</f>
        <v>MSSNDR65H23A271N</v>
      </c>
      <c r="N714" s="3" t="s">
        <v>835</v>
      </c>
      <c r="O714" s="3" t="s">
        <v>38</v>
      </c>
      <c r="P714" s="3"/>
      <c r="Q714" s="4">
        <v>45944</v>
      </c>
      <c r="R714" s="3" t="s">
        <v>39</v>
      </c>
      <c r="S714" s="3" t="s">
        <v>38</v>
      </c>
      <c r="T714" s="3" t="s">
        <v>43</v>
      </c>
      <c r="U714" s="3"/>
      <c r="V714" s="3" t="s">
        <v>41</v>
      </c>
      <c r="W714" s="3">
        <v>830.47</v>
      </c>
      <c r="X714" s="3">
        <v>830.47</v>
      </c>
      <c r="Y714" s="3">
        <v>0</v>
      </c>
      <c r="Z714" s="3">
        <v>0</v>
      </c>
      <c r="AA714" s="3">
        <v>0</v>
      </c>
    </row>
    <row r="715" spans="1:27" ht="36.75" x14ac:dyDescent="0.25">
      <c r="A715" s="3" t="s">
        <v>28</v>
      </c>
      <c r="B715" s="3" t="s">
        <v>29</v>
      </c>
      <c r="C715" s="3" t="s">
        <v>30</v>
      </c>
      <c r="D715" s="3" t="s">
        <v>58</v>
      </c>
      <c r="E715" s="3" t="s">
        <v>32</v>
      </c>
      <c r="F715" s="3" t="s">
        <v>98</v>
      </c>
      <c r="G715" s="3">
        <v>2025</v>
      </c>
      <c r="H715" s="3" t="str">
        <f>CONCATENATE("54240504305")</f>
        <v>54240504305</v>
      </c>
      <c r="I715" s="3" t="s">
        <v>34</v>
      </c>
      <c r="J715" s="3" t="s">
        <v>35</v>
      </c>
      <c r="K715" s="3"/>
      <c r="L715" s="3" t="s">
        <v>36</v>
      </c>
      <c r="M715" s="3" t="str">
        <f>CONCATENATE("00971470422")</f>
        <v>00971470422</v>
      </c>
      <c r="N715" s="3" t="s">
        <v>836</v>
      </c>
      <c r="O715" s="3" t="s">
        <v>38</v>
      </c>
      <c r="P715" s="3"/>
      <c r="Q715" s="4">
        <v>45944</v>
      </c>
      <c r="R715" s="3" t="s">
        <v>39</v>
      </c>
      <c r="S715" s="3" t="s">
        <v>38</v>
      </c>
      <c r="T715" s="3" t="s">
        <v>43</v>
      </c>
      <c r="U715" s="3"/>
      <c r="V715" s="3" t="s">
        <v>41</v>
      </c>
      <c r="W715" s="5">
        <v>3214.93</v>
      </c>
      <c r="X715" s="5">
        <v>3214.93</v>
      </c>
      <c r="Y715" s="3">
        <v>0</v>
      </c>
      <c r="Z715" s="3">
        <v>0</v>
      </c>
      <c r="AA715" s="3">
        <v>0</v>
      </c>
    </row>
    <row r="716" spans="1:27" ht="60.75" x14ac:dyDescent="0.25">
      <c r="A716" s="3" t="s">
        <v>28</v>
      </c>
      <c r="B716" s="3" t="s">
        <v>29</v>
      </c>
      <c r="C716" s="3" t="s">
        <v>30</v>
      </c>
      <c r="D716" s="3" t="s">
        <v>58</v>
      </c>
      <c r="E716" s="3" t="s">
        <v>32</v>
      </c>
      <c r="F716" s="3" t="s">
        <v>96</v>
      </c>
      <c r="G716" s="3">
        <v>2025</v>
      </c>
      <c r="H716" s="3" t="str">
        <f>CONCATENATE("54240589249")</f>
        <v>54240589249</v>
      </c>
      <c r="I716" s="3" t="s">
        <v>34</v>
      </c>
      <c r="J716" s="3" t="s">
        <v>35</v>
      </c>
      <c r="K716" s="3"/>
      <c r="L716" s="3" t="s">
        <v>36</v>
      </c>
      <c r="M716" s="3" t="str">
        <f>CONCATENATE("NMBMLL50E51D451Z")</f>
        <v>NMBMLL50E51D451Z</v>
      </c>
      <c r="N716" s="3" t="s">
        <v>837</v>
      </c>
      <c r="O716" s="3" t="s">
        <v>38</v>
      </c>
      <c r="P716" s="3"/>
      <c r="Q716" s="4">
        <v>45944</v>
      </c>
      <c r="R716" s="3" t="s">
        <v>39</v>
      </c>
      <c r="S716" s="3" t="s">
        <v>38</v>
      </c>
      <c r="T716" s="3" t="s">
        <v>43</v>
      </c>
      <c r="U716" s="3"/>
      <c r="V716" s="3" t="s">
        <v>41</v>
      </c>
      <c r="W716" s="5">
        <v>1116.25</v>
      </c>
      <c r="X716" s="5">
        <v>1116.25</v>
      </c>
      <c r="Y716" s="3">
        <v>0</v>
      </c>
      <c r="Z716" s="3">
        <v>0</v>
      </c>
      <c r="AA716" s="3">
        <v>0</v>
      </c>
    </row>
    <row r="717" spans="1:27" ht="60.75" x14ac:dyDescent="0.25">
      <c r="A717" s="3" t="s">
        <v>28</v>
      </c>
      <c r="B717" s="3" t="s">
        <v>29</v>
      </c>
      <c r="C717" s="3" t="s">
        <v>30</v>
      </c>
      <c r="D717" s="3" t="s">
        <v>58</v>
      </c>
      <c r="E717" s="3" t="s">
        <v>32</v>
      </c>
      <c r="F717" s="3" t="s">
        <v>96</v>
      </c>
      <c r="G717" s="3">
        <v>2025</v>
      </c>
      <c r="H717" s="3" t="str">
        <f>CONCATENATE("54240590700")</f>
        <v>54240590700</v>
      </c>
      <c r="I717" s="3" t="s">
        <v>34</v>
      </c>
      <c r="J717" s="3" t="s">
        <v>35</v>
      </c>
      <c r="K717" s="3"/>
      <c r="L717" s="3" t="s">
        <v>36</v>
      </c>
      <c r="M717" s="3" t="str">
        <f>CONCATENATE("GLMMRA73C43D451N")</f>
        <v>GLMMRA73C43D451N</v>
      </c>
      <c r="N717" s="3" t="s">
        <v>838</v>
      </c>
      <c r="O717" s="3" t="s">
        <v>38</v>
      </c>
      <c r="P717" s="3"/>
      <c r="Q717" s="4">
        <v>45944</v>
      </c>
      <c r="R717" s="3" t="s">
        <v>39</v>
      </c>
      <c r="S717" s="3" t="s">
        <v>38</v>
      </c>
      <c r="T717" s="3" t="s">
        <v>43</v>
      </c>
      <c r="U717" s="3"/>
      <c r="V717" s="3" t="s">
        <v>41</v>
      </c>
      <c r="W717" s="5">
        <v>1135.77</v>
      </c>
      <c r="X717" s="5">
        <v>1135.77</v>
      </c>
      <c r="Y717" s="3">
        <v>0</v>
      </c>
      <c r="Z717" s="3">
        <v>0</v>
      </c>
      <c r="AA717" s="3">
        <v>0</v>
      </c>
    </row>
    <row r="718" spans="1:27" ht="36.75" x14ac:dyDescent="0.25">
      <c r="A718" s="3" t="s">
        <v>28</v>
      </c>
      <c r="B718" s="3" t="s">
        <v>29</v>
      </c>
      <c r="C718" s="3" t="s">
        <v>30</v>
      </c>
      <c r="D718" s="3" t="s">
        <v>63</v>
      </c>
      <c r="E718" s="3" t="s">
        <v>91</v>
      </c>
      <c r="F718" s="3" t="s">
        <v>94</v>
      </c>
      <c r="G718" s="3">
        <v>2025</v>
      </c>
      <c r="H718" s="3" t="str">
        <f>CONCATENATE("54240507860")</f>
        <v>54240507860</v>
      </c>
      <c r="I718" s="3" t="s">
        <v>149</v>
      </c>
      <c r="J718" s="3" t="s">
        <v>35</v>
      </c>
      <c r="K718" s="3"/>
      <c r="L718" s="3" t="s">
        <v>36</v>
      </c>
      <c r="M718" s="3" t="str">
        <f>CONCATENATE("02345800441")</f>
        <v>02345800441</v>
      </c>
      <c r="N718" s="3" t="s">
        <v>839</v>
      </c>
      <c r="O718" s="3" t="s">
        <v>38</v>
      </c>
      <c r="P718" s="3"/>
      <c r="Q718" s="4">
        <v>45944</v>
      </c>
      <c r="R718" s="3" t="s">
        <v>39</v>
      </c>
      <c r="S718" s="3" t="s">
        <v>38</v>
      </c>
      <c r="T718" s="3" t="s">
        <v>40</v>
      </c>
      <c r="U718" s="3"/>
      <c r="V718" s="3" t="s">
        <v>41</v>
      </c>
      <c r="W718" s="5">
        <v>5415.86</v>
      </c>
      <c r="X718" s="5">
        <v>4061.9</v>
      </c>
      <c r="Y718" s="3">
        <v>947.78</v>
      </c>
      <c r="Z718" s="3">
        <v>406.18</v>
      </c>
      <c r="AA718" s="3">
        <v>0</v>
      </c>
    </row>
    <row r="719" spans="1:27" ht="60.75" x14ac:dyDescent="0.25">
      <c r="A719" s="3" t="s">
        <v>28</v>
      </c>
      <c r="B719" s="3" t="s">
        <v>29</v>
      </c>
      <c r="C719" s="3" t="s">
        <v>30</v>
      </c>
      <c r="D719" s="3" t="s">
        <v>63</v>
      </c>
      <c r="E719" s="3" t="s">
        <v>91</v>
      </c>
      <c r="F719" s="3" t="s">
        <v>94</v>
      </c>
      <c r="G719" s="3">
        <v>2025</v>
      </c>
      <c r="H719" s="3" t="str">
        <f>CONCATENATE("54240507878")</f>
        <v>54240507878</v>
      </c>
      <c r="I719" s="3" t="s">
        <v>34</v>
      </c>
      <c r="J719" s="3" t="s">
        <v>35</v>
      </c>
      <c r="K719" s="3"/>
      <c r="L719" s="3" t="s">
        <v>36</v>
      </c>
      <c r="M719" s="3" t="str">
        <f>CONCATENATE("TRNGPP40T63B474H")</f>
        <v>TRNGPP40T63B474H</v>
      </c>
      <c r="N719" s="3" t="s">
        <v>840</v>
      </c>
      <c r="O719" s="3" t="s">
        <v>38</v>
      </c>
      <c r="P719" s="3"/>
      <c r="Q719" s="4">
        <v>45944</v>
      </c>
      <c r="R719" s="3" t="s">
        <v>39</v>
      </c>
      <c r="S719" s="3" t="s">
        <v>38</v>
      </c>
      <c r="T719" s="3" t="s">
        <v>40</v>
      </c>
      <c r="U719" s="3"/>
      <c r="V719" s="3" t="s">
        <v>41</v>
      </c>
      <c r="W719" s="5">
        <v>1661.17</v>
      </c>
      <c r="X719" s="5">
        <v>1245.8800000000001</v>
      </c>
      <c r="Y719" s="3">
        <v>290.7</v>
      </c>
      <c r="Z719" s="3">
        <v>124.59</v>
      </c>
      <c r="AA719" s="3">
        <v>0</v>
      </c>
    </row>
    <row r="720" spans="1:27" ht="60.75" x14ac:dyDescent="0.25">
      <c r="A720" s="3" t="s">
        <v>28</v>
      </c>
      <c r="B720" s="3" t="s">
        <v>29</v>
      </c>
      <c r="C720" s="3" t="s">
        <v>30</v>
      </c>
      <c r="D720" s="3" t="s">
        <v>63</v>
      </c>
      <c r="E720" s="3" t="s">
        <v>91</v>
      </c>
      <c r="F720" s="3" t="s">
        <v>94</v>
      </c>
      <c r="G720" s="3">
        <v>2025</v>
      </c>
      <c r="H720" s="3" t="str">
        <f>CONCATENATE("54240507779")</f>
        <v>54240507779</v>
      </c>
      <c r="I720" s="3" t="s">
        <v>34</v>
      </c>
      <c r="J720" s="3" t="s">
        <v>35</v>
      </c>
      <c r="K720" s="3"/>
      <c r="L720" s="3" t="s">
        <v>36</v>
      </c>
      <c r="M720" s="3" t="str">
        <f>CONCATENATE("FTTLCU47M60L781D")</f>
        <v>FTTLCU47M60L781D</v>
      </c>
      <c r="N720" s="3" t="s">
        <v>841</v>
      </c>
      <c r="O720" s="3" t="s">
        <v>38</v>
      </c>
      <c r="P720" s="3"/>
      <c r="Q720" s="4">
        <v>45944</v>
      </c>
      <c r="R720" s="3" t="s">
        <v>39</v>
      </c>
      <c r="S720" s="3" t="s">
        <v>38</v>
      </c>
      <c r="T720" s="3" t="s">
        <v>40</v>
      </c>
      <c r="U720" s="3"/>
      <c r="V720" s="3" t="s">
        <v>41</v>
      </c>
      <c r="W720" s="3">
        <v>566.08000000000004</v>
      </c>
      <c r="X720" s="3">
        <v>424.56</v>
      </c>
      <c r="Y720" s="3">
        <v>99.06</v>
      </c>
      <c r="Z720" s="3">
        <v>42.46</v>
      </c>
      <c r="AA720" s="3">
        <v>0</v>
      </c>
    </row>
    <row r="721" spans="1:27" ht="60.75" x14ac:dyDescent="0.25">
      <c r="A721" s="3" t="s">
        <v>28</v>
      </c>
      <c r="B721" s="3" t="s">
        <v>29</v>
      </c>
      <c r="C721" s="3" t="s">
        <v>30</v>
      </c>
      <c r="D721" s="3" t="s">
        <v>49</v>
      </c>
      <c r="E721" s="3" t="s">
        <v>46</v>
      </c>
      <c r="F721" s="3" t="s">
        <v>131</v>
      </c>
      <c r="G721" s="3">
        <v>2025</v>
      </c>
      <c r="H721" s="3" t="str">
        <f>CONCATENATE("54240508066")</f>
        <v>54240508066</v>
      </c>
      <c r="I721" s="3" t="s">
        <v>34</v>
      </c>
      <c r="J721" s="3" t="s">
        <v>35</v>
      </c>
      <c r="K721" s="3"/>
      <c r="L721" s="3" t="s">
        <v>36</v>
      </c>
      <c r="M721" s="3" t="str">
        <f>CONCATENATE("MGLMCL73L22E783T")</f>
        <v>MGLMCL73L22E783T</v>
      </c>
      <c r="N721" s="3" t="s">
        <v>842</v>
      </c>
      <c r="O721" s="3" t="s">
        <v>38</v>
      </c>
      <c r="P721" s="3"/>
      <c r="Q721" s="4">
        <v>45944</v>
      </c>
      <c r="R721" s="3" t="s">
        <v>39</v>
      </c>
      <c r="S721" s="3" t="s">
        <v>38</v>
      </c>
      <c r="T721" s="3" t="s">
        <v>40</v>
      </c>
      <c r="U721" s="3"/>
      <c r="V721" s="3" t="s">
        <v>41</v>
      </c>
      <c r="W721" s="5">
        <v>8788.68</v>
      </c>
      <c r="X721" s="5">
        <v>6591.51</v>
      </c>
      <c r="Y721" s="5">
        <v>1538.02</v>
      </c>
      <c r="Z721" s="3">
        <v>659.15</v>
      </c>
      <c r="AA721" s="3">
        <v>0</v>
      </c>
    </row>
    <row r="722" spans="1:27" ht="72.75" x14ac:dyDescent="0.25">
      <c r="A722" s="3" t="s">
        <v>28</v>
      </c>
      <c r="B722" s="3" t="s">
        <v>29</v>
      </c>
      <c r="C722" s="3" t="s">
        <v>30</v>
      </c>
      <c r="D722" s="3" t="s">
        <v>58</v>
      </c>
      <c r="E722" s="3" t="s">
        <v>145</v>
      </c>
      <c r="F722" s="3" t="s">
        <v>780</v>
      </c>
      <c r="G722" s="3">
        <v>2025</v>
      </c>
      <c r="H722" s="3" t="str">
        <f>CONCATENATE("54240610730")</f>
        <v>54240610730</v>
      </c>
      <c r="I722" s="3" t="s">
        <v>34</v>
      </c>
      <c r="J722" s="3" t="s">
        <v>35</v>
      </c>
      <c r="K722" s="3"/>
      <c r="L722" s="3" t="s">
        <v>36</v>
      </c>
      <c r="M722" s="3" t="str">
        <f>CONCATENATE("MNNFNC75D50D007E")</f>
        <v>MNNFNC75D50D007E</v>
      </c>
      <c r="N722" s="3" t="s">
        <v>843</v>
      </c>
      <c r="O722" s="3" t="s">
        <v>38</v>
      </c>
      <c r="P722" s="3"/>
      <c r="Q722" s="4">
        <v>45944</v>
      </c>
      <c r="R722" s="3" t="s">
        <v>39</v>
      </c>
      <c r="S722" s="3" t="s">
        <v>38</v>
      </c>
      <c r="T722" s="3" t="s">
        <v>40</v>
      </c>
      <c r="U722" s="3"/>
      <c r="V722" s="3" t="s">
        <v>41</v>
      </c>
      <c r="W722" s="5">
        <v>1197.6400000000001</v>
      </c>
      <c r="X722" s="3">
        <v>898.23</v>
      </c>
      <c r="Y722" s="3">
        <v>209.59</v>
      </c>
      <c r="Z722" s="3">
        <v>89.82</v>
      </c>
      <c r="AA722" s="3">
        <v>0</v>
      </c>
    </row>
    <row r="723" spans="1:27" ht="60.75" x14ac:dyDescent="0.25">
      <c r="A723" s="3" t="s">
        <v>28</v>
      </c>
      <c r="B723" s="3" t="s">
        <v>29</v>
      </c>
      <c r="C723" s="3" t="s">
        <v>30</v>
      </c>
      <c r="D723" s="3" t="s">
        <v>63</v>
      </c>
      <c r="E723" s="3" t="s">
        <v>53</v>
      </c>
      <c r="F723" s="3" t="s">
        <v>678</v>
      </c>
      <c r="G723" s="3">
        <v>2025</v>
      </c>
      <c r="H723" s="3" t="str">
        <f>CONCATENATE("54240508249")</f>
        <v>54240508249</v>
      </c>
      <c r="I723" s="3" t="s">
        <v>34</v>
      </c>
      <c r="J723" s="3" t="s">
        <v>35</v>
      </c>
      <c r="K723" s="3"/>
      <c r="L723" s="3" t="s">
        <v>36</v>
      </c>
      <c r="M723" s="3" t="str">
        <f>CONCATENATE("NBBRRT88L56H769L")</f>
        <v>NBBRRT88L56H769L</v>
      </c>
      <c r="N723" s="3" t="s">
        <v>844</v>
      </c>
      <c r="O723" s="3" t="s">
        <v>38</v>
      </c>
      <c r="P723" s="3"/>
      <c r="Q723" s="4">
        <v>45944</v>
      </c>
      <c r="R723" s="3" t="s">
        <v>39</v>
      </c>
      <c r="S723" s="3" t="s">
        <v>38</v>
      </c>
      <c r="T723" s="3" t="s">
        <v>40</v>
      </c>
      <c r="U723" s="3"/>
      <c r="V723" s="3" t="s">
        <v>41</v>
      </c>
      <c r="W723" s="5">
        <v>3016.81</v>
      </c>
      <c r="X723" s="5">
        <v>2262.61</v>
      </c>
      <c r="Y723" s="3">
        <v>527.94000000000005</v>
      </c>
      <c r="Z723" s="3">
        <v>226.26</v>
      </c>
      <c r="AA723" s="3">
        <v>0</v>
      </c>
    </row>
    <row r="724" spans="1:27" ht="60.75" x14ac:dyDescent="0.25">
      <c r="A724" s="3" t="s">
        <v>28</v>
      </c>
      <c r="B724" s="3" t="s">
        <v>29</v>
      </c>
      <c r="C724" s="3" t="s">
        <v>30</v>
      </c>
      <c r="D724" s="3" t="s">
        <v>31</v>
      </c>
      <c r="E724" s="3" t="s">
        <v>91</v>
      </c>
      <c r="F724" s="3" t="s">
        <v>111</v>
      </c>
      <c r="G724" s="3">
        <v>2025</v>
      </c>
      <c r="H724" s="3" t="str">
        <f>CONCATENATE("54240628948")</f>
        <v>54240628948</v>
      </c>
      <c r="I724" s="3" t="s">
        <v>34</v>
      </c>
      <c r="J724" s="3" t="s">
        <v>35</v>
      </c>
      <c r="K724" s="3"/>
      <c r="L724" s="3" t="s">
        <v>36</v>
      </c>
      <c r="M724" s="3" t="str">
        <f>CONCATENATE("FRLSFN76R28G479R")</f>
        <v>FRLSFN76R28G479R</v>
      </c>
      <c r="N724" s="3" t="s">
        <v>845</v>
      </c>
      <c r="O724" s="3" t="s">
        <v>38</v>
      </c>
      <c r="P724" s="3"/>
      <c r="Q724" s="4">
        <v>45944</v>
      </c>
      <c r="R724" s="3" t="s">
        <v>39</v>
      </c>
      <c r="S724" s="3" t="s">
        <v>38</v>
      </c>
      <c r="T724" s="3" t="s">
        <v>40</v>
      </c>
      <c r="U724" s="3"/>
      <c r="V724" s="3" t="s">
        <v>41</v>
      </c>
      <c r="W724" s="5">
        <v>6882.67</v>
      </c>
      <c r="X724" s="5">
        <v>5162</v>
      </c>
      <c r="Y724" s="5">
        <v>1204.47</v>
      </c>
      <c r="Z724" s="3">
        <v>516.20000000000005</v>
      </c>
      <c r="AA724" s="3">
        <v>0</v>
      </c>
    </row>
    <row r="725" spans="1:27" ht="72.75" x14ac:dyDescent="0.25">
      <c r="A725" s="3" t="s">
        <v>28</v>
      </c>
      <c r="B725" s="3" t="s">
        <v>29</v>
      </c>
      <c r="C725" s="3" t="s">
        <v>30</v>
      </c>
      <c r="D725" s="3" t="s">
        <v>31</v>
      </c>
      <c r="E725" s="3" t="s">
        <v>53</v>
      </c>
      <c r="F725" s="3" t="s">
        <v>172</v>
      </c>
      <c r="G725" s="3">
        <v>2025</v>
      </c>
      <c r="H725" s="3" t="str">
        <f>CONCATENATE("54240629276")</f>
        <v>54240629276</v>
      </c>
      <c r="I725" s="3" t="s">
        <v>34</v>
      </c>
      <c r="J725" s="3" t="s">
        <v>35</v>
      </c>
      <c r="K725" s="3"/>
      <c r="L725" s="3" t="s">
        <v>36</v>
      </c>
      <c r="M725" s="3" t="str">
        <f>CONCATENATE("CRDMNL97M21G916H")</f>
        <v>CRDMNL97M21G916H</v>
      </c>
      <c r="N725" s="3" t="s">
        <v>846</v>
      </c>
      <c r="O725" s="3" t="s">
        <v>38</v>
      </c>
      <c r="P725" s="3"/>
      <c r="Q725" s="4">
        <v>45944</v>
      </c>
      <c r="R725" s="3" t="s">
        <v>39</v>
      </c>
      <c r="S725" s="3" t="s">
        <v>38</v>
      </c>
      <c r="T725" s="3" t="s">
        <v>40</v>
      </c>
      <c r="U725" s="3"/>
      <c r="V725" s="3" t="s">
        <v>41</v>
      </c>
      <c r="W725" s="5">
        <v>14558.67</v>
      </c>
      <c r="X725" s="5">
        <v>10919</v>
      </c>
      <c r="Y725" s="5">
        <v>2547.77</v>
      </c>
      <c r="Z725" s="5">
        <v>1091.9000000000001</v>
      </c>
      <c r="AA725" s="3">
        <v>0</v>
      </c>
    </row>
    <row r="726" spans="1:27" ht="72.75" x14ac:dyDescent="0.25">
      <c r="A726" s="3" t="s">
        <v>28</v>
      </c>
      <c r="B726" s="3" t="s">
        <v>29</v>
      </c>
      <c r="C726" s="3" t="s">
        <v>30</v>
      </c>
      <c r="D726" s="3" t="s">
        <v>49</v>
      </c>
      <c r="E726" s="3" t="s">
        <v>32</v>
      </c>
      <c r="F726" s="3" t="s">
        <v>283</v>
      </c>
      <c r="G726" s="3">
        <v>2025</v>
      </c>
      <c r="H726" s="3" t="str">
        <f>CONCATENATE("54240629086")</f>
        <v>54240629086</v>
      </c>
      <c r="I726" s="3" t="s">
        <v>34</v>
      </c>
      <c r="J726" s="3" t="s">
        <v>35</v>
      </c>
      <c r="K726" s="3"/>
      <c r="L726" s="3" t="s">
        <v>36</v>
      </c>
      <c r="M726" s="3" t="str">
        <f>CONCATENATE("FRSMSM76L29H211L")</f>
        <v>FRSMSM76L29H211L</v>
      </c>
      <c r="N726" s="3" t="s">
        <v>847</v>
      </c>
      <c r="O726" s="3" t="s">
        <v>38</v>
      </c>
      <c r="P726" s="3"/>
      <c r="Q726" s="4">
        <v>45944</v>
      </c>
      <c r="R726" s="3" t="s">
        <v>39</v>
      </c>
      <c r="S726" s="3" t="s">
        <v>38</v>
      </c>
      <c r="T726" s="3" t="s">
        <v>40</v>
      </c>
      <c r="U726" s="3"/>
      <c r="V726" s="3" t="s">
        <v>41</v>
      </c>
      <c r="W726" s="5">
        <v>1675.16</v>
      </c>
      <c r="X726" s="5">
        <v>1256.3699999999999</v>
      </c>
      <c r="Y726" s="3">
        <v>293.14999999999998</v>
      </c>
      <c r="Z726" s="3">
        <v>125.64</v>
      </c>
      <c r="AA726" s="3">
        <v>0</v>
      </c>
    </row>
    <row r="727" spans="1:27" ht="36.75" x14ac:dyDescent="0.25">
      <c r="A727" s="3" t="s">
        <v>28</v>
      </c>
      <c r="B727" s="3" t="s">
        <v>29</v>
      </c>
      <c r="C727" s="3" t="s">
        <v>30</v>
      </c>
      <c r="D727" s="3" t="s">
        <v>58</v>
      </c>
      <c r="E727" s="3" t="s">
        <v>32</v>
      </c>
      <c r="F727" s="3" t="s">
        <v>471</v>
      </c>
      <c r="G727" s="3">
        <v>2025</v>
      </c>
      <c r="H727" s="3" t="str">
        <f>CONCATENATE("54240629409")</f>
        <v>54240629409</v>
      </c>
      <c r="I727" s="3" t="s">
        <v>34</v>
      </c>
      <c r="J727" s="3" t="s">
        <v>35</v>
      </c>
      <c r="K727" s="3"/>
      <c r="L727" s="3" t="s">
        <v>36</v>
      </c>
      <c r="M727" s="3" t="str">
        <f>CONCATENATE("03003220427")</f>
        <v>03003220427</v>
      </c>
      <c r="N727" s="3" t="s">
        <v>848</v>
      </c>
      <c r="O727" s="3" t="s">
        <v>38</v>
      </c>
      <c r="P727" s="3"/>
      <c r="Q727" s="4">
        <v>45944</v>
      </c>
      <c r="R727" s="3" t="s">
        <v>39</v>
      </c>
      <c r="S727" s="3" t="s">
        <v>38</v>
      </c>
      <c r="T727" s="3" t="s">
        <v>40</v>
      </c>
      <c r="U727" s="3"/>
      <c r="V727" s="3" t="s">
        <v>41</v>
      </c>
      <c r="W727" s="5">
        <v>3275.27</v>
      </c>
      <c r="X727" s="5">
        <v>2456.4499999999998</v>
      </c>
      <c r="Y727" s="3">
        <v>573.16999999999996</v>
      </c>
      <c r="Z727" s="3">
        <v>245.65</v>
      </c>
      <c r="AA727" s="3">
        <v>0</v>
      </c>
    </row>
    <row r="728" spans="1:27" ht="36.75" x14ac:dyDescent="0.25">
      <c r="A728" s="3" t="s">
        <v>28</v>
      </c>
      <c r="B728" s="3" t="s">
        <v>29</v>
      </c>
      <c r="C728" s="3" t="s">
        <v>30</v>
      </c>
      <c r="D728" s="3" t="s">
        <v>58</v>
      </c>
      <c r="E728" s="3" t="s">
        <v>32</v>
      </c>
      <c r="F728" s="3" t="s">
        <v>471</v>
      </c>
      <c r="G728" s="3">
        <v>2025</v>
      </c>
      <c r="H728" s="3" t="str">
        <f>CONCATENATE("54240629557")</f>
        <v>54240629557</v>
      </c>
      <c r="I728" s="3" t="s">
        <v>34</v>
      </c>
      <c r="J728" s="3" t="s">
        <v>35</v>
      </c>
      <c r="K728" s="3"/>
      <c r="L728" s="3" t="s">
        <v>36</v>
      </c>
      <c r="M728" s="3" t="str">
        <f>CONCATENATE("02999940428")</f>
        <v>02999940428</v>
      </c>
      <c r="N728" s="3" t="s">
        <v>849</v>
      </c>
      <c r="O728" s="3" t="s">
        <v>38</v>
      </c>
      <c r="P728" s="3"/>
      <c r="Q728" s="4">
        <v>45944</v>
      </c>
      <c r="R728" s="3" t="s">
        <v>39</v>
      </c>
      <c r="S728" s="3" t="s">
        <v>38</v>
      </c>
      <c r="T728" s="3" t="s">
        <v>40</v>
      </c>
      <c r="U728" s="3"/>
      <c r="V728" s="3" t="s">
        <v>41</v>
      </c>
      <c r="W728" s="5">
        <v>6083.66</v>
      </c>
      <c r="X728" s="5">
        <v>4562.75</v>
      </c>
      <c r="Y728" s="5">
        <v>1064.6400000000001</v>
      </c>
      <c r="Z728" s="3">
        <v>456.27</v>
      </c>
      <c r="AA728" s="3">
        <v>0</v>
      </c>
    </row>
    <row r="729" spans="1:27" ht="60.75" x14ac:dyDescent="0.25">
      <c r="A729" s="3" t="s">
        <v>28</v>
      </c>
      <c r="B729" s="3" t="s">
        <v>29</v>
      </c>
      <c r="C729" s="3" t="s">
        <v>30</v>
      </c>
      <c r="D729" s="3" t="s">
        <v>63</v>
      </c>
      <c r="E729" s="3" t="s">
        <v>91</v>
      </c>
      <c r="F729" s="3" t="s">
        <v>94</v>
      </c>
      <c r="G729" s="3">
        <v>2025</v>
      </c>
      <c r="H729" s="3" t="str">
        <f>CONCATENATE("54240629698")</f>
        <v>54240629698</v>
      </c>
      <c r="I729" s="3" t="s">
        <v>34</v>
      </c>
      <c r="J729" s="3" t="s">
        <v>35</v>
      </c>
      <c r="K729" s="3"/>
      <c r="L729" s="3" t="s">
        <v>36</v>
      </c>
      <c r="M729" s="3" t="str">
        <f>CONCATENATE("DLLDVD85L29C933S")</f>
        <v>DLLDVD85L29C933S</v>
      </c>
      <c r="N729" s="3" t="s">
        <v>850</v>
      </c>
      <c r="O729" s="3" t="s">
        <v>38</v>
      </c>
      <c r="P729" s="3"/>
      <c r="Q729" s="4">
        <v>45944</v>
      </c>
      <c r="R729" s="3" t="s">
        <v>39</v>
      </c>
      <c r="S729" s="3" t="s">
        <v>38</v>
      </c>
      <c r="T729" s="3" t="s">
        <v>40</v>
      </c>
      <c r="U729" s="3"/>
      <c r="V729" s="3" t="s">
        <v>41</v>
      </c>
      <c r="W729" s="5">
        <v>2959.6</v>
      </c>
      <c r="X729" s="5">
        <v>2219.6999999999998</v>
      </c>
      <c r="Y729" s="3">
        <v>517.92999999999995</v>
      </c>
      <c r="Z729" s="3">
        <v>221.97</v>
      </c>
      <c r="AA729" s="3">
        <v>0</v>
      </c>
    </row>
    <row r="730" spans="1:27" ht="60.75" x14ac:dyDescent="0.25">
      <c r="A730" s="3" t="s">
        <v>28</v>
      </c>
      <c r="B730" s="3" t="s">
        <v>29</v>
      </c>
      <c r="C730" s="3" t="s">
        <v>30</v>
      </c>
      <c r="D730" s="3" t="s">
        <v>63</v>
      </c>
      <c r="E730" s="3" t="s">
        <v>53</v>
      </c>
      <c r="F730" s="3" t="s">
        <v>478</v>
      </c>
      <c r="G730" s="3">
        <v>2025</v>
      </c>
      <c r="H730" s="3" t="str">
        <f>CONCATENATE("54240629763")</f>
        <v>54240629763</v>
      </c>
      <c r="I730" s="3" t="s">
        <v>34</v>
      </c>
      <c r="J730" s="3" t="s">
        <v>35</v>
      </c>
      <c r="K730" s="3"/>
      <c r="L730" s="3" t="s">
        <v>36</v>
      </c>
      <c r="M730" s="3" t="str">
        <f>CONCATENATE("VTTFNC90T29A252N")</f>
        <v>VTTFNC90T29A252N</v>
      </c>
      <c r="N730" s="3" t="s">
        <v>851</v>
      </c>
      <c r="O730" s="3" t="s">
        <v>38</v>
      </c>
      <c r="P730" s="3"/>
      <c r="Q730" s="4">
        <v>45944</v>
      </c>
      <c r="R730" s="3" t="s">
        <v>39</v>
      </c>
      <c r="S730" s="3" t="s">
        <v>38</v>
      </c>
      <c r="T730" s="3" t="s">
        <v>40</v>
      </c>
      <c r="U730" s="3"/>
      <c r="V730" s="3" t="s">
        <v>41</v>
      </c>
      <c r="W730" s="5">
        <v>1961.9</v>
      </c>
      <c r="X730" s="5">
        <v>1471.43</v>
      </c>
      <c r="Y730" s="3">
        <v>343.33</v>
      </c>
      <c r="Z730" s="3">
        <v>147.13999999999999</v>
      </c>
      <c r="AA730" s="3">
        <v>0</v>
      </c>
    </row>
    <row r="731" spans="1:27" ht="60.75" x14ac:dyDescent="0.25">
      <c r="A731" s="3" t="s">
        <v>28</v>
      </c>
      <c r="B731" s="3" t="s">
        <v>29</v>
      </c>
      <c r="C731" s="3" t="s">
        <v>30</v>
      </c>
      <c r="D731" s="3" t="s">
        <v>49</v>
      </c>
      <c r="E731" s="3" t="s">
        <v>46</v>
      </c>
      <c r="F731" s="3" t="s">
        <v>131</v>
      </c>
      <c r="G731" s="3">
        <v>2025</v>
      </c>
      <c r="H731" s="3" t="str">
        <f>CONCATENATE("54240508512")</f>
        <v>54240508512</v>
      </c>
      <c r="I731" s="3" t="s">
        <v>34</v>
      </c>
      <c r="J731" s="3" t="s">
        <v>35</v>
      </c>
      <c r="K731" s="3"/>
      <c r="L731" s="3" t="s">
        <v>36</v>
      </c>
      <c r="M731" s="3" t="str">
        <f>CONCATENATE("RTNGNN54E24E694E")</f>
        <v>RTNGNN54E24E694E</v>
      </c>
      <c r="N731" s="3" t="s">
        <v>852</v>
      </c>
      <c r="O731" s="3" t="s">
        <v>38</v>
      </c>
      <c r="P731" s="3"/>
      <c r="Q731" s="4">
        <v>45944</v>
      </c>
      <c r="R731" s="3" t="s">
        <v>39</v>
      </c>
      <c r="S731" s="3" t="s">
        <v>38</v>
      </c>
      <c r="T731" s="3" t="s">
        <v>40</v>
      </c>
      <c r="U731" s="3"/>
      <c r="V731" s="3" t="s">
        <v>41</v>
      </c>
      <c r="W731" s="3">
        <v>821.06</v>
      </c>
      <c r="X731" s="3">
        <v>615.79999999999995</v>
      </c>
      <c r="Y731" s="3">
        <v>143.69</v>
      </c>
      <c r="Z731" s="3">
        <v>61.57</v>
      </c>
      <c r="AA731" s="3">
        <v>0</v>
      </c>
    </row>
    <row r="732" spans="1:27" ht="60.75" x14ac:dyDescent="0.25">
      <c r="A732" s="3" t="s">
        <v>28</v>
      </c>
      <c r="B732" s="3" t="s">
        <v>29</v>
      </c>
      <c r="C732" s="3" t="s">
        <v>30</v>
      </c>
      <c r="D732" s="3" t="s">
        <v>49</v>
      </c>
      <c r="E732" s="3" t="s">
        <v>46</v>
      </c>
      <c r="F732" s="3" t="s">
        <v>131</v>
      </c>
      <c r="G732" s="3">
        <v>2025</v>
      </c>
      <c r="H732" s="3" t="str">
        <f>CONCATENATE("54240508439")</f>
        <v>54240508439</v>
      </c>
      <c r="I732" s="3" t="s">
        <v>34</v>
      </c>
      <c r="J732" s="3" t="s">
        <v>35</v>
      </c>
      <c r="K732" s="3"/>
      <c r="L732" s="3" t="s">
        <v>36</v>
      </c>
      <c r="M732" s="3" t="str">
        <f>CONCATENATE("PRNFNC76R08L191H")</f>
        <v>PRNFNC76R08L191H</v>
      </c>
      <c r="N732" s="3" t="s">
        <v>853</v>
      </c>
      <c r="O732" s="3" t="s">
        <v>38</v>
      </c>
      <c r="P732" s="3"/>
      <c r="Q732" s="4">
        <v>45944</v>
      </c>
      <c r="R732" s="3" t="s">
        <v>39</v>
      </c>
      <c r="S732" s="3" t="s">
        <v>38</v>
      </c>
      <c r="T732" s="3" t="s">
        <v>40</v>
      </c>
      <c r="U732" s="3"/>
      <c r="V732" s="3" t="s">
        <v>41</v>
      </c>
      <c r="W732" s="5">
        <v>4381.68</v>
      </c>
      <c r="X732" s="5">
        <v>3286.26</v>
      </c>
      <c r="Y732" s="3">
        <v>766.79</v>
      </c>
      <c r="Z732" s="3">
        <v>328.63</v>
      </c>
      <c r="AA732" s="3">
        <v>0</v>
      </c>
    </row>
    <row r="733" spans="1:27" ht="60.75" x14ac:dyDescent="0.25">
      <c r="A733" s="3" t="s">
        <v>28</v>
      </c>
      <c r="B733" s="3" t="s">
        <v>29</v>
      </c>
      <c r="C733" s="3" t="s">
        <v>30</v>
      </c>
      <c r="D733" s="3" t="s">
        <v>49</v>
      </c>
      <c r="E733" s="3" t="s">
        <v>46</v>
      </c>
      <c r="F733" s="3" t="s">
        <v>131</v>
      </c>
      <c r="G733" s="3">
        <v>2025</v>
      </c>
      <c r="H733" s="3" t="str">
        <f>CONCATENATE("54240508462")</f>
        <v>54240508462</v>
      </c>
      <c r="I733" s="3" t="s">
        <v>34</v>
      </c>
      <c r="J733" s="3" t="s">
        <v>35</v>
      </c>
      <c r="K733" s="3"/>
      <c r="L733" s="3" t="s">
        <v>36</v>
      </c>
      <c r="M733" s="3" t="str">
        <f>CONCATENATE("PNTGRL69A06I156T")</f>
        <v>PNTGRL69A06I156T</v>
      </c>
      <c r="N733" s="3" t="s">
        <v>854</v>
      </c>
      <c r="O733" s="3" t="s">
        <v>38</v>
      </c>
      <c r="P733" s="3"/>
      <c r="Q733" s="4">
        <v>45944</v>
      </c>
      <c r="R733" s="3" t="s">
        <v>39</v>
      </c>
      <c r="S733" s="3" t="s">
        <v>38</v>
      </c>
      <c r="T733" s="3" t="s">
        <v>40</v>
      </c>
      <c r="U733" s="3"/>
      <c r="V733" s="3" t="s">
        <v>41</v>
      </c>
      <c r="W733" s="5">
        <v>12926.99</v>
      </c>
      <c r="X733" s="5">
        <v>9695.24</v>
      </c>
      <c r="Y733" s="5">
        <v>2262.2199999999998</v>
      </c>
      <c r="Z733" s="3">
        <v>969.53</v>
      </c>
      <c r="AA733" s="3">
        <v>0</v>
      </c>
    </row>
    <row r="734" spans="1:27" ht="60.75" x14ac:dyDescent="0.25">
      <c r="A734" s="3" t="s">
        <v>28</v>
      </c>
      <c r="B734" s="3" t="s">
        <v>29</v>
      </c>
      <c r="C734" s="3" t="s">
        <v>30</v>
      </c>
      <c r="D734" s="3" t="s">
        <v>63</v>
      </c>
      <c r="E734" s="3" t="s">
        <v>53</v>
      </c>
      <c r="F734" s="3" t="s">
        <v>678</v>
      </c>
      <c r="G734" s="3">
        <v>2025</v>
      </c>
      <c r="H734" s="3" t="str">
        <f>CONCATENATE("54240508520")</f>
        <v>54240508520</v>
      </c>
      <c r="I734" s="3" t="s">
        <v>34</v>
      </c>
      <c r="J734" s="3" t="s">
        <v>35</v>
      </c>
      <c r="K734" s="3"/>
      <c r="L734" s="3" t="s">
        <v>36</v>
      </c>
      <c r="M734" s="3" t="str">
        <f>CONCATENATE("FNRMNL83T05D542V")</f>
        <v>FNRMNL83T05D542V</v>
      </c>
      <c r="N734" s="3" t="s">
        <v>855</v>
      </c>
      <c r="O734" s="3" t="s">
        <v>38</v>
      </c>
      <c r="P734" s="3"/>
      <c r="Q734" s="4">
        <v>45944</v>
      </c>
      <c r="R734" s="3" t="s">
        <v>39</v>
      </c>
      <c r="S734" s="3" t="s">
        <v>38</v>
      </c>
      <c r="T734" s="3" t="s">
        <v>40</v>
      </c>
      <c r="U734" s="3"/>
      <c r="V734" s="3" t="s">
        <v>41</v>
      </c>
      <c r="W734" s="5">
        <v>1400.91</v>
      </c>
      <c r="X734" s="5">
        <v>1050.68</v>
      </c>
      <c r="Y734" s="3">
        <v>245.16</v>
      </c>
      <c r="Z734" s="3">
        <v>105.07</v>
      </c>
      <c r="AA734" s="3">
        <v>0</v>
      </c>
    </row>
    <row r="735" spans="1:27" ht="60.75" x14ac:dyDescent="0.25">
      <c r="A735" s="3" t="s">
        <v>28</v>
      </c>
      <c r="B735" s="3" t="s">
        <v>29</v>
      </c>
      <c r="C735" s="3" t="s">
        <v>30</v>
      </c>
      <c r="D735" s="3" t="s">
        <v>49</v>
      </c>
      <c r="E735" s="3" t="s">
        <v>91</v>
      </c>
      <c r="F735" s="3" t="s">
        <v>92</v>
      </c>
      <c r="G735" s="3">
        <v>2025</v>
      </c>
      <c r="H735" s="3" t="str">
        <f>CONCATENATE("54240508975")</f>
        <v>54240508975</v>
      </c>
      <c r="I735" s="3" t="s">
        <v>34</v>
      </c>
      <c r="J735" s="3" t="s">
        <v>35</v>
      </c>
      <c r="K735" s="3"/>
      <c r="L735" s="3" t="s">
        <v>36</v>
      </c>
      <c r="M735" s="3" t="str">
        <f>CONCATENATE("NSTPRZ68L46A271C")</f>
        <v>NSTPRZ68L46A271C</v>
      </c>
      <c r="N735" s="3" t="s">
        <v>856</v>
      </c>
      <c r="O735" s="3" t="s">
        <v>38</v>
      </c>
      <c r="P735" s="3"/>
      <c r="Q735" s="4">
        <v>45944</v>
      </c>
      <c r="R735" s="3" t="s">
        <v>39</v>
      </c>
      <c r="S735" s="3" t="s">
        <v>38</v>
      </c>
      <c r="T735" s="3" t="s">
        <v>40</v>
      </c>
      <c r="U735" s="3"/>
      <c r="V735" s="3" t="s">
        <v>41</v>
      </c>
      <c r="W735" s="5">
        <v>2132.3000000000002</v>
      </c>
      <c r="X735" s="5">
        <v>1599.23</v>
      </c>
      <c r="Y735" s="3">
        <v>373.15</v>
      </c>
      <c r="Z735" s="3">
        <v>159.91999999999999</v>
      </c>
      <c r="AA735" s="3">
        <v>0</v>
      </c>
    </row>
    <row r="736" spans="1:27" ht="36.75" x14ac:dyDescent="0.25">
      <c r="A736" s="3" t="s">
        <v>28</v>
      </c>
      <c r="B736" s="3" t="s">
        <v>29</v>
      </c>
      <c r="C736" s="3" t="s">
        <v>30</v>
      </c>
      <c r="D736" s="3" t="s">
        <v>58</v>
      </c>
      <c r="E736" s="3" t="s">
        <v>32</v>
      </c>
      <c r="F736" s="3" t="s">
        <v>100</v>
      </c>
      <c r="G736" s="3">
        <v>2025</v>
      </c>
      <c r="H736" s="3" t="str">
        <f>CONCATENATE("54240508942")</f>
        <v>54240508942</v>
      </c>
      <c r="I736" s="3" t="s">
        <v>34</v>
      </c>
      <c r="J736" s="3" t="s">
        <v>35</v>
      </c>
      <c r="K736" s="3"/>
      <c r="L736" s="3" t="s">
        <v>36</v>
      </c>
      <c r="M736" s="3" t="str">
        <f>CONCATENATE("02590970428")</f>
        <v>02590970428</v>
      </c>
      <c r="N736" s="3" t="s">
        <v>857</v>
      </c>
      <c r="O736" s="3" t="s">
        <v>38</v>
      </c>
      <c r="P736" s="3"/>
      <c r="Q736" s="4">
        <v>45944</v>
      </c>
      <c r="R736" s="3" t="s">
        <v>39</v>
      </c>
      <c r="S736" s="3" t="s">
        <v>38</v>
      </c>
      <c r="T736" s="3" t="s">
        <v>40</v>
      </c>
      <c r="U736" s="3"/>
      <c r="V736" s="3" t="s">
        <v>41</v>
      </c>
      <c r="W736" s="5">
        <v>16036.55</v>
      </c>
      <c r="X736" s="5">
        <v>12027.41</v>
      </c>
      <c r="Y736" s="5">
        <v>2806.4</v>
      </c>
      <c r="Z736" s="5">
        <v>1202.74</v>
      </c>
      <c r="AA736" s="3">
        <v>0</v>
      </c>
    </row>
    <row r="737" spans="1:27" ht="60.75" x14ac:dyDescent="0.25">
      <c r="A737" s="3" t="s">
        <v>28</v>
      </c>
      <c r="B737" s="3" t="s">
        <v>29</v>
      </c>
      <c r="C737" s="3" t="s">
        <v>30</v>
      </c>
      <c r="D737" s="3" t="s">
        <v>49</v>
      </c>
      <c r="E737" s="3" t="s">
        <v>46</v>
      </c>
      <c r="F737" s="3" t="s">
        <v>205</v>
      </c>
      <c r="G737" s="3">
        <v>2025</v>
      </c>
      <c r="H737" s="3" t="str">
        <f>CONCATENATE("54240509155")</f>
        <v>54240509155</v>
      </c>
      <c r="I737" s="3" t="s">
        <v>34</v>
      </c>
      <c r="J737" s="3" t="s">
        <v>35</v>
      </c>
      <c r="K737" s="3"/>
      <c r="L737" s="3" t="s">
        <v>36</v>
      </c>
      <c r="M737" s="3" t="str">
        <f>CONCATENATE("PRGPPL74E24I436K")</f>
        <v>PRGPPL74E24I436K</v>
      </c>
      <c r="N737" s="3" t="s">
        <v>858</v>
      </c>
      <c r="O737" s="3" t="s">
        <v>38</v>
      </c>
      <c r="P737" s="3"/>
      <c r="Q737" s="4">
        <v>45944</v>
      </c>
      <c r="R737" s="3" t="s">
        <v>39</v>
      </c>
      <c r="S737" s="3" t="s">
        <v>38</v>
      </c>
      <c r="T737" s="3" t="s">
        <v>40</v>
      </c>
      <c r="U737" s="3"/>
      <c r="V737" s="3" t="s">
        <v>41</v>
      </c>
      <c r="W737" s="5">
        <v>4027.07</v>
      </c>
      <c r="X737" s="5">
        <v>3020.3</v>
      </c>
      <c r="Y737" s="3">
        <v>704.74</v>
      </c>
      <c r="Z737" s="3">
        <v>302.02999999999997</v>
      </c>
      <c r="AA737" s="3">
        <v>0</v>
      </c>
    </row>
    <row r="738" spans="1:27" ht="60.75" x14ac:dyDescent="0.25">
      <c r="A738" s="3" t="s">
        <v>28</v>
      </c>
      <c r="B738" s="3" t="s">
        <v>29</v>
      </c>
      <c r="C738" s="3" t="s">
        <v>30</v>
      </c>
      <c r="D738" s="3" t="s">
        <v>58</v>
      </c>
      <c r="E738" s="3" t="s">
        <v>53</v>
      </c>
      <c r="F738" s="3" t="s">
        <v>59</v>
      </c>
      <c r="G738" s="3">
        <v>2025</v>
      </c>
      <c r="H738" s="3" t="str">
        <f>CONCATENATE("54240509221")</f>
        <v>54240509221</v>
      </c>
      <c r="I738" s="3" t="s">
        <v>34</v>
      </c>
      <c r="J738" s="3" t="s">
        <v>35</v>
      </c>
      <c r="K738" s="3"/>
      <c r="L738" s="3" t="s">
        <v>36</v>
      </c>
      <c r="M738" s="3" t="str">
        <f>CONCATENATE("BRNDLE40A15D451L")</f>
        <v>BRNDLE40A15D451L</v>
      </c>
      <c r="N738" s="3" t="s">
        <v>859</v>
      </c>
      <c r="O738" s="3" t="s">
        <v>38</v>
      </c>
      <c r="P738" s="3"/>
      <c r="Q738" s="4">
        <v>45944</v>
      </c>
      <c r="R738" s="3" t="s">
        <v>39</v>
      </c>
      <c r="S738" s="3" t="s">
        <v>38</v>
      </c>
      <c r="T738" s="3" t="s">
        <v>40</v>
      </c>
      <c r="U738" s="3"/>
      <c r="V738" s="3" t="s">
        <v>41</v>
      </c>
      <c r="W738" s="5">
        <v>3271.39</v>
      </c>
      <c r="X738" s="5">
        <v>2453.54</v>
      </c>
      <c r="Y738" s="3">
        <v>572.49</v>
      </c>
      <c r="Z738" s="3">
        <v>245.36</v>
      </c>
      <c r="AA738" s="3">
        <v>0</v>
      </c>
    </row>
    <row r="739" spans="1:27" ht="36.75" x14ac:dyDescent="0.25">
      <c r="A739" s="3" t="s">
        <v>28</v>
      </c>
      <c r="B739" s="3" t="s">
        <v>29</v>
      </c>
      <c r="C739" s="3" t="s">
        <v>30</v>
      </c>
      <c r="D739" s="3" t="s">
        <v>31</v>
      </c>
      <c r="E739" s="3" t="s">
        <v>32</v>
      </c>
      <c r="F739" s="3" t="s">
        <v>115</v>
      </c>
      <c r="G739" s="3">
        <v>2025</v>
      </c>
      <c r="H739" s="3" t="str">
        <f>CONCATENATE("54240509213")</f>
        <v>54240509213</v>
      </c>
      <c r="I739" s="3" t="s">
        <v>149</v>
      </c>
      <c r="J739" s="3" t="s">
        <v>35</v>
      </c>
      <c r="K739" s="3"/>
      <c r="L739" s="3" t="s">
        <v>36</v>
      </c>
      <c r="M739" s="3" t="str">
        <f>CONCATENATE("01395000415")</f>
        <v>01395000415</v>
      </c>
      <c r="N739" s="3" t="s">
        <v>860</v>
      </c>
      <c r="O739" s="3" t="s">
        <v>38</v>
      </c>
      <c r="P739" s="3"/>
      <c r="Q739" s="4">
        <v>45944</v>
      </c>
      <c r="R739" s="3" t="s">
        <v>39</v>
      </c>
      <c r="S739" s="3" t="s">
        <v>38</v>
      </c>
      <c r="T739" s="3" t="s">
        <v>40</v>
      </c>
      <c r="U739" s="3"/>
      <c r="V739" s="3" t="s">
        <v>41</v>
      </c>
      <c r="W739" s="5">
        <v>11581.17</v>
      </c>
      <c r="X739" s="5">
        <v>8685.8799999999992</v>
      </c>
      <c r="Y739" s="5">
        <v>2026.7</v>
      </c>
      <c r="Z739" s="3">
        <v>868.59</v>
      </c>
      <c r="AA739" s="3">
        <v>0</v>
      </c>
    </row>
    <row r="740" spans="1:27" ht="60.75" x14ac:dyDescent="0.25">
      <c r="A740" s="3" t="s">
        <v>28</v>
      </c>
      <c r="B740" s="3" t="s">
        <v>29</v>
      </c>
      <c r="C740" s="3" t="s">
        <v>30</v>
      </c>
      <c r="D740" s="3" t="s">
        <v>49</v>
      </c>
      <c r="E740" s="3" t="s">
        <v>74</v>
      </c>
      <c r="F740" s="3" t="s">
        <v>217</v>
      </c>
      <c r="G740" s="3">
        <v>2025</v>
      </c>
      <c r="H740" s="3" t="str">
        <f>CONCATENATE("54240515160")</f>
        <v>54240515160</v>
      </c>
      <c r="I740" s="3" t="s">
        <v>34</v>
      </c>
      <c r="J740" s="3" t="s">
        <v>35</v>
      </c>
      <c r="K740" s="3"/>
      <c r="L740" s="3" t="s">
        <v>36</v>
      </c>
      <c r="M740" s="3" t="str">
        <f>CONCATENATE("BLDSMN83E01H211H")</f>
        <v>BLDSMN83E01H211H</v>
      </c>
      <c r="N740" s="3" t="s">
        <v>861</v>
      </c>
      <c r="O740" s="3" t="s">
        <v>38</v>
      </c>
      <c r="P740" s="3"/>
      <c r="Q740" s="4">
        <v>45944</v>
      </c>
      <c r="R740" s="3" t="s">
        <v>39</v>
      </c>
      <c r="S740" s="3" t="s">
        <v>38</v>
      </c>
      <c r="T740" s="3" t="s">
        <v>40</v>
      </c>
      <c r="U740" s="3"/>
      <c r="V740" s="3" t="s">
        <v>41</v>
      </c>
      <c r="W740" s="5">
        <v>2606.3000000000002</v>
      </c>
      <c r="X740" s="5">
        <v>1954.73</v>
      </c>
      <c r="Y740" s="3">
        <v>456.1</v>
      </c>
      <c r="Z740" s="3">
        <v>195.47</v>
      </c>
      <c r="AA740" s="3">
        <v>0</v>
      </c>
    </row>
    <row r="741" spans="1:27" ht="60.75" x14ac:dyDescent="0.25">
      <c r="A741" s="3" t="s">
        <v>28</v>
      </c>
      <c r="B741" s="3" t="s">
        <v>29</v>
      </c>
      <c r="C741" s="3" t="s">
        <v>30</v>
      </c>
      <c r="D741" s="3" t="s">
        <v>58</v>
      </c>
      <c r="E741" s="3" t="s">
        <v>53</v>
      </c>
      <c r="F741" s="3" t="s">
        <v>123</v>
      </c>
      <c r="G741" s="3">
        <v>2025</v>
      </c>
      <c r="H741" s="3" t="str">
        <f>CONCATENATE("54240509437")</f>
        <v>54240509437</v>
      </c>
      <c r="I741" s="3" t="s">
        <v>34</v>
      </c>
      <c r="J741" s="3" t="s">
        <v>35</v>
      </c>
      <c r="K741" s="3"/>
      <c r="L741" s="3" t="s">
        <v>36</v>
      </c>
      <c r="M741" s="3" t="str">
        <f>CONCATENATE("MCALCU72R66E388N")</f>
        <v>MCALCU72R66E388N</v>
      </c>
      <c r="N741" s="3" t="s">
        <v>862</v>
      </c>
      <c r="O741" s="3" t="s">
        <v>38</v>
      </c>
      <c r="P741" s="3"/>
      <c r="Q741" s="4">
        <v>45944</v>
      </c>
      <c r="R741" s="3" t="s">
        <v>39</v>
      </c>
      <c r="S741" s="3" t="s">
        <v>38</v>
      </c>
      <c r="T741" s="3" t="s">
        <v>40</v>
      </c>
      <c r="U741" s="3"/>
      <c r="V741" s="3" t="s">
        <v>41</v>
      </c>
      <c r="W741" s="5">
        <v>3147.82</v>
      </c>
      <c r="X741" s="5">
        <v>2360.87</v>
      </c>
      <c r="Y741" s="3">
        <v>550.87</v>
      </c>
      <c r="Z741" s="3">
        <v>236.08</v>
      </c>
      <c r="AA741" s="3">
        <v>0</v>
      </c>
    </row>
    <row r="742" spans="1:27" ht="60.75" x14ac:dyDescent="0.25">
      <c r="A742" s="3" t="s">
        <v>28</v>
      </c>
      <c r="B742" s="3" t="s">
        <v>29</v>
      </c>
      <c r="C742" s="3" t="s">
        <v>30</v>
      </c>
      <c r="D742" s="3" t="s">
        <v>49</v>
      </c>
      <c r="E742" s="3" t="s">
        <v>46</v>
      </c>
      <c r="F742" s="3" t="s">
        <v>126</v>
      </c>
      <c r="G742" s="3">
        <v>2025</v>
      </c>
      <c r="H742" s="3" t="str">
        <f>CONCATENATE("54240509429")</f>
        <v>54240509429</v>
      </c>
      <c r="I742" s="3" t="s">
        <v>34</v>
      </c>
      <c r="J742" s="3" t="s">
        <v>35</v>
      </c>
      <c r="K742" s="3"/>
      <c r="L742" s="3" t="s">
        <v>36</v>
      </c>
      <c r="M742" s="3" t="str">
        <f>CONCATENATE("BNNMNL80S10E783P")</f>
        <v>BNNMNL80S10E783P</v>
      </c>
      <c r="N742" s="3" t="s">
        <v>863</v>
      </c>
      <c r="O742" s="3" t="s">
        <v>38</v>
      </c>
      <c r="P742" s="3"/>
      <c r="Q742" s="4">
        <v>45944</v>
      </c>
      <c r="R742" s="3" t="s">
        <v>39</v>
      </c>
      <c r="S742" s="3" t="s">
        <v>38</v>
      </c>
      <c r="T742" s="3" t="s">
        <v>40</v>
      </c>
      <c r="U742" s="3"/>
      <c r="V742" s="3" t="s">
        <v>41</v>
      </c>
      <c r="W742" s="5">
        <v>2313.75</v>
      </c>
      <c r="X742" s="5">
        <v>1735.31</v>
      </c>
      <c r="Y742" s="3">
        <v>404.91</v>
      </c>
      <c r="Z742" s="3">
        <v>173.53</v>
      </c>
      <c r="AA742" s="3">
        <v>0</v>
      </c>
    </row>
    <row r="743" spans="1:27" ht="36.75" x14ac:dyDescent="0.25">
      <c r="A743" s="3" t="s">
        <v>28</v>
      </c>
      <c r="B743" s="3" t="s">
        <v>29</v>
      </c>
      <c r="C743" s="3" t="s">
        <v>30</v>
      </c>
      <c r="D743" s="3" t="s">
        <v>63</v>
      </c>
      <c r="E743" s="3" t="s">
        <v>91</v>
      </c>
      <c r="F743" s="3" t="s">
        <v>94</v>
      </c>
      <c r="G743" s="3">
        <v>2025</v>
      </c>
      <c r="H743" s="3" t="str">
        <f>CONCATENATE("54240509668")</f>
        <v>54240509668</v>
      </c>
      <c r="I743" s="3" t="s">
        <v>34</v>
      </c>
      <c r="J743" s="3" t="s">
        <v>35</v>
      </c>
      <c r="K743" s="3"/>
      <c r="L743" s="3" t="s">
        <v>36</v>
      </c>
      <c r="M743" s="3" t="str">
        <f>CONCATENATE("02058680444")</f>
        <v>02058680444</v>
      </c>
      <c r="N743" s="3" t="s">
        <v>864</v>
      </c>
      <c r="O743" s="3" t="s">
        <v>38</v>
      </c>
      <c r="P743" s="3"/>
      <c r="Q743" s="4">
        <v>45944</v>
      </c>
      <c r="R743" s="3" t="s">
        <v>39</v>
      </c>
      <c r="S743" s="3" t="s">
        <v>38</v>
      </c>
      <c r="T743" s="3" t="s">
        <v>40</v>
      </c>
      <c r="U743" s="3"/>
      <c r="V743" s="3" t="s">
        <v>41</v>
      </c>
      <c r="W743" s="5">
        <v>4717.3</v>
      </c>
      <c r="X743" s="5">
        <v>3537.98</v>
      </c>
      <c r="Y743" s="3">
        <v>825.53</v>
      </c>
      <c r="Z743" s="3">
        <v>353.79</v>
      </c>
      <c r="AA743" s="3">
        <v>0</v>
      </c>
    </row>
    <row r="744" spans="1:27" ht="60.75" x14ac:dyDescent="0.25">
      <c r="A744" s="3" t="s">
        <v>28</v>
      </c>
      <c r="B744" s="3" t="s">
        <v>29</v>
      </c>
      <c r="C744" s="3" t="s">
        <v>30</v>
      </c>
      <c r="D744" s="3" t="s">
        <v>49</v>
      </c>
      <c r="E744" s="3" t="s">
        <v>74</v>
      </c>
      <c r="F744" s="3" t="s">
        <v>217</v>
      </c>
      <c r="G744" s="3">
        <v>2025</v>
      </c>
      <c r="H744" s="3" t="str">
        <f>CONCATENATE("54240515699")</f>
        <v>54240515699</v>
      </c>
      <c r="I744" s="3" t="s">
        <v>34</v>
      </c>
      <c r="J744" s="3" t="s">
        <v>35</v>
      </c>
      <c r="K744" s="3"/>
      <c r="L744" s="3" t="s">
        <v>36</v>
      </c>
      <c r="M744" s="3" t="str">
        <f>CONCATENATE("SCRNRC04S04E783D")</f>
        <v>SCRNRC04S04E783D</v>
      </c>
      <c r="N744" s="3" t="s">
        <v>865</v>
      </c>
      <c r="O744" s="3" t="s">
        <v>38</v>
      </c>
      <c r="P744" s="3"/>
      <c r="Q744" s="4">
        <v>45944</v>
      </c>
      <c r="R744" s="3" t="s">
        <v>39</v>
      </c>
      <c r="S744" s="3" t="s">
        <v>38</v>
      </c>
      <c r="T744" s="3" t="s">
        <v>40</v>
      </c>
      <c r="U744" s="3"/>
      <c r="V744" s="3" t="s">
        <v>41</v>
      </c>
      <c r="W744" s="5">
        <v>4036.85</v>
      </c>
      <c r="X744" s="5">
        <v>3027.64</v>
      </c>
      <c r="Y744" s="3">
        <v>706.45</v>
      </c>
      <c r="Z744" s="3">
        <v>302.76</v>
      </c>
      <c r="AA744" s="3">
        <v>0</v>
      </c>
    </row>
    <row r="745" spans="1:27" ht="60.75" x14ac:dyDescent="0.25">
      <c r="A745" s="3" t="s">
        <v>28</v>
      </c>
      <c r="B745" s="3" t="s">
        <v>29</v>
      </c>
      <c r="C745" s="3" t="s">
        <v>30</v>
      </c>
      <c r="D745" s="3" t="s">
        <v>31</v>
      </c>
      <c r="E745" s="3" t="s">
        <v>32</v>
      </c>
      <c r="F745" s="3" t="s">
        <v>153</v>
      </c>
      <c r="G745" s="3">
        <v>2025</v>
      </c>
      <c r="H745" s="3" t="str">
        <f>CONCATENATE("54240510351")</f>
        <v>54240510351</v>
      </c>
      <c r="I745" s="3" t="s">
        <v>34</v>
      </c>
      <c r="J745" s="3" t="s">
        <v>35</v>
      </c>
      <c r="K745" s="3"/>
      <c r="L745" s="3" t="s">
        <v>36</v>
      </c>
      <c r="M745" s="3" t="str">
        <f>CONCATENATE("LBRLRT74R28D749Q")</f>
        <v>LBRLRT74R28D749Q</v>
      </c>
      <c r="N745" s="3" t="s">
        <v>866</v>
      </c>
      <c r="O745" s="3" t="s">
        <v>38</v>
      </c>
      <c r="P745" s="3"/>
      <c r="Q745" s="4">
        <v>45944</v>
      </c>
      <c r="R745" s="3" t="s">
        <v>39</v>
      </c>
      <c r="S745" s="3" t="s">
        <v>38</v>
      </c>
      <c r="T745" s="3" t="s">
        <v>40</v>
      </c>
      <c r="U745" s="3"/>
      <c r="V745" s="3" t="s">
        <v>41</v>
      </c>
      <c r="W745" s="5">
        <v>2043.15</v>
      </c>
      <c r="X745" s="5">
        <v>1532.36</v>
      </c>
      <c r="Y745" s="3">
        <v>357.55</v>
      </c>
      <c r="Z745" s="3">
        <v>153.24</v>
      </c>
      <c r="AA745" s="3">
        <v>0</v>
      </c>
    </row>
    <row r="746" spans="1:27" ht="60.75" x14ac:dyDescent="0.25">
      <c r="A746" s="3" t="s">
        <v>28</v>
      </c>
      <c r="B746" s="3" t="s">
        <v>29</v>
      </c>
      <c r="C746" s="3" t="s">
        <v>30</v>
      </c>
      <c r="D746" s="3" t="s">
        <v>63</v>
      </c>
      <c r="E746" s="3" t="s">
        <v>91</v>
      </c>
      <c r="F746" s="3" t="s">
        <v>94</v>
      </c>
      <c r="G746" s="3">
        <v>2025</v>
      </c>
      <c r="H746" s="3" t="str">
        <f>CONCATENATE("54240509809")</f>
        <v>54240509809</v>
      </c>
      <c r="I746" s="3" t="s">
        <v>34</v>
      </c>
      <c r="J746" s="3" t="s">
        <v>35</v>
      </c>
      <c r="K746" s="3"/>
      <c r="L746" s="3" t="s">
        <v>36</v>
      </c>
      <c r="M746" s="3" t="str">
        <f>CONCATENATE("RSNZEI68H25A044B")</f>
        <v>RSNZEI68H25A044B</v>
      </c>
      <c r="N746" s="3" t="s">
        <v>867</v>
      </c>
      <c r="O746" s="3" t="s">
        <v>38</v>
      </c>
      <c r="P746" s="3"/>
      <c r="Q746" s="4">
        <v>45944</v>
      </c>
      <c r="R746" s="3" t="s">
        <v>39</v>
      </c>
      <c r="S746" s="3" t="s">
        <v>38</v>
      </c>
      <c r="T746" s="3" t="s">
        <v>40</v>
      </c>
      <c r="U746" s="3"/>
      <c r="V746" s="3" t="s">
        <v>41</v>
      </c>
      <c r="W746" s="5">
        <v>1612.24</v>
      </c>
      <c r="X746" s="5">
        <v>1209.18</v>
      </c>
      <c r="Y746" s="3">
        <v>282.14</v>
      </c>
      <c r="Z746" s="3">
        <v>120.92</v>
      </c>
      <c r="AA746" s="3">
        <v>0</v>
      </c>
    </row>
    <row r="747" spans="1:27" ht="36.75" x14ac:dyDescent="0.25">
      <c r="A747" s="3" t="s">
        <v>28</v>
      </c>
      <c r="B747" s="3" t="s">
        <v>29</v>
      </c>
      <c r="C747" s="3" t="s">
        <v>30</v>
      </c>
      <c r="D747" s="3" t="s">
        <v>49</v>
      </c>
      <c r="E747" s="3" t="s">
        <v>32</v>
      </c>
      <c r="F747" s="3" t="s">
        <v>71</v>
      </c>
      <c r="G747" s="3">
        <v>2025</v>
      </c>
      <c r="H747" s="3" t="str">
        <f>CONCATENATE("54240577483")</f>
        <v>54240577483</v>
      </c>
      <c r="I747" s="3" t="s">
        <v>34</v>
      </c>
      <c r="J747" s="3" t="s">
        <v>35</v>
      </c>
      <c r="K747" s="3"/>
      <c r="L747" s="3" t="s">
        <v>36</v>
      </c>
      <c r="M747" s="3" t="str">
        <f>CONCATENATE("01797880430")</f>
        <v>01797880430</v>
      </c>
      <c r="N747" s="3" t="s">
        <v>868</v>
      </c>
      <c r="O747" s="3" t="s">
        <v>38</v>
      </c>
      <c r="P747" s="3"/>
      <c r="Q747" s="4">
        <v>45944</v>
      </c>
      <c r="R747" s="3" t="s">
        <v>39</v>
      </c>
      <c r="S747" s="3" t="s">
        <v>38</v>
      </c>
      <c r="T747" s="3" t="s">
        <v>40</v>
      </c>
      <c r="U747" s="3"/>
      <c r="V747" s="3" t="s">
        <v>41</v>
      </c>
      <c r="W747" s="5">
        <v>1200.8499999999999</v>
      </c>
      <c r="X747" s="3">
        <v>900.64</v>
      </c>
      <c r="Y747" s="3">
        <v>210.15</v>
      </c>
      <c r="Z747" s="3">
        <v>90.06</v>
      </c>
      <c r="AA747" s="3">
        <v>0</v>
      </c>
    </row>
    <row r="748" spans="1:27" ht="72.75" x14ac:dyDescent="0.25">
      <c r="A748" s="3" t="s">
        <v>28</v>
      </c>
      <c r="B748" s="3" t="s">
        <v>29</v>
      </c>
      <c r="C748" s="3" t="s">
        <v>30</v>
      </c>
      <c r="D748" s="3" t="s">
        <v>31</v>
      </c>
      <c r="E748" s="3" t="s">
        <v>32</v>
      </c>
      <c r="F748" s="3" t="s">
        <v>44</v>
      </c>
      <c r="G748" s="3">
        <v>2025</v>
      </c>
      <c r="H748" s="3" t="str">
        <f>CONCATENATE("54240509874")</f>
        <v>54240509874</v>
      </c>
      <c r="I748" s="3" t="s">
        <v>34</v>
      </c>
      <c r="J748" s="3" t="s">
        <v>35</v>
      </c>
      <c r="K748" s="3"/>
      <c r="L748" s="3" t="s">
        <v>36</v>
      </c>
      <c r="M748" s="3" t="str">
        <f>CONCATENATE("MNSPRZ75M28B352O")</f>
        <v>MNSPRZ75M28B352O</v>
      </c>
      <c r="N748" s="3" t="s">
        <v>869</v>
      </c>
      <c r="O748" s="3" t="s">
        <v>38</v>
      </c>
      <c r="P748" s="3"/>
      <c r="Q748" s="4">
        <v>45944</v>
      </c>
      <c r="R748" s="3" t="s">
        <v>39</v>
      </c>
      <c r="S748" s="3" t="s">
        <v>38</v>
      </c>
      <c r="T748" s="3" t="s">
        <v>40</v>
      </c>
      <c r="U748" s="3"/>
      <c r="V748" s="3" t="s">
        <v>41</v>
      </c>
      <c r="W748" s="5">
        <v>9339.35</v>
      </c>
      <c r="X748" s="5">
        <v>7004.51</v>
      </c>
      <c r="Y748" s="5">
        <v>1634.39</v>
      </c>
      <c r="Z748" s="3">
        <v>700.45</v>
      </c>
      <c r="AA748" s="3">
        <v>0</v>
      </c>
    </row>
    <row r="749" spans="1:27" ht="60.75" x14ac:dyDescent="0.25">
      <c r="A749" s="3" t="s">
        <v>28</v>
      </c>
      <c r="B749" s="3" t="s">
        <v>29</v>
      </c>
      <c r="C749" s="3" t="s">
        <v>30</v>
      </c>
      <c r="D749" s="3" t="s">
        <v>49</v>
      </c>
      <c r="E749" s="3" t="s">
        <v>53</v>
      </c>
      <c r="F749" s="3" t="s">
        <v>136</v>
      </c>
      <c r="G749" s="3">
        <v>2025</v>
      </c>
      <c r="H749" s="3" t="str">
        <f>CONCATENATE("54240510104")</f>
        <v>54240510104</v>
      </c>
      <c r="I749" s="3" t="s">
        <v>34</v>
      </c>
      <c r="J749" s="3" t="s">
        <v>35</v>
      </c>
      <c r="K749" s="3"/>
      <c r="L749" s="3" t="s">
        <v>36</v>
      </c>
      <c r="M749" s="3" t="str">
        <f>CONCATENATE("RCLSVN50A08L191E")</f>
        <v>RCLSVN50A08L191E</v>
      </c>
      <c r="N749" s="3" t="s">
        <v>870</v>
      </c>
      <c r="O749" s="3" t="s">
        <v>38</v>
      </c>
      <c r="P749" s="3"/>
      <c r="Q749" s="4">
        <v>45944</v>
      </c>
      <c r="R749" s="3" t="s">
        <v>39</v>
      </c>
      <c r="S749" s="3" t="s">
        <v>38</v>
      </c>
      <c r="T749" s="3" t="s">
        <v>40</v>
      </c>
      <c r="U749" s="3"/>
      <c r="V749" s="3" t="s">
        <v>41</v>
      </c>
      <c r="W749" s="5">
        <v>7567.27</v>
      </c>
      <c r="X749" s="5">
        <v>5675.45</v>
      </c>
      <c r="Y749" s="5">
        <v>1324.27</v>
      </c>
      <c r="Z749" s="3">
        <v>567.54999999999995</v>
      </c>
      <c r="AA749" s="3">
        <v>0</v>
      </c>
    </row>
    <row r="750" spans="1:27" ht="60.75" x14ac:dyDescent="0.25">
      <c r="A750" s="3" t="s">
        <v>28</v>
      </c>
      <c r="B750" s="3" t="s">
        <v>29</v>
      </c>
      <c r="C750" s="3" t="s">
        <v>30</v>
      </c>
      <c r="D750" s="3" t="s">
        <v>63</v>
      </c>
      <c r="E750" s="3" t="s">
        <v>91</v>
      </c>
      <c r="F750" s="3" t="s">
        <v>94</v>
      </c>
      <c r="G750" s="3">
        <v>2025</v>
      </c>
      <c r="H750" s="3" t="str">
        <f>CONCATENATE("54240509981")</f>
        <v>54240509981</v>
      </c>
      <c r="I750" s="3" t="s">
        <v>34</v>
      </c>
      <c r="J750" s="3" t="s">
        <v>35</v>
      </c>
      <c r="K750" s="3"/>
      <c r="L750" s="3" t="s">
        <v>36</v>
      </c>
      <c r="M750" s="3" t="str">
        <f>CONCATENATE("LRARDN58T03D542W")</f>
        <v>LRARDN58T03D542W</v>
      </c>
      <c r="N750" s="3" t="s">
        <v>871</v>
      </c>
      <c r="O750" s="3" t="s">
        <v>38</v>
      </c>
      <c r="P750" s="3"/>
      <c r="Q750" s="4">
        <v>45944</v>
      </c>
      <c r="R750" s="3" t="s">
        <v>39</v>
      </c>
      <c r="S750" s="3" t="s">
        <v>38</v>
      </c>
      <c r="T750" s="3" t="s">
        <v>40</v>
      </c>
      <c r="U750" s="3"/>
      <c r="V750" s="3" t="s">
        <v>41</v>
      </c>
      <c r="W750" s="3">
        <v>467.94</v>
      </c>
      <c r="X750" s="3">
        <v>350.96</v>
      </c>
      <c r="Y750" s="3">
        <v>81.89</v>
      </c>
      <c r="Z750" s="3">
        <v>35.090000000000003</v>
      </c>
      <c r="AA750" s="3">
        <v>0</v>
      </c>
    </row>
    <row r="751" spans="1:27" ht="60.75" x14ac:dyDescent="0.25">
      <c r="A751" s="3" t="s">
        <v>28</v>
      </c>
      <c r="B751" s="3" t="s">
        <v>29</v>
      </c>
      <c r="C751" s="3" t="s">
        <v>30</v>
      </c>
      <c r="D751" s="3" t="s">
        <v>58</v>
      </c>
      <c r="E751" s="3" t="s">
        <v>53</v>
      </c>
      <c r="F751" s="3" t="s">
        <v>123</v>
      </c>
      <c r="G751" s="3">
        <v>2025</v>
      </c>
      <c r="H751" s="3" t="str">
        <f>CONCATENATE("54240510385")</f>
        <v>54240510385</v>
      </c>
      <c r="I751" s="3" t="s">
        <v>34</v>
      </c>
      <c r="J751" s="3" t="s">
        <v>35</v>
      </c>
      <c r="K751" s="3"/>
      <c r="L751" s="3" t="s">
        <v>36</v>
      </c>
      <c r="M751" s="3" t="str">
        <f>CONCATENATE("FTTPLA53A70A271Y")</f>
        <v>FTTPLA53A70A271Y</v>
      </c>
      <c r="N751" s="3" t="s">
        <v>872</v>
      </c>
      <c r="O751" s="3" t="s">
        <v>38</v>
      </c>
      <c r="P751" s="3"/>
      <c r="Q751" s="4">
        <v>45944</v>
      </c>
      <c r="R751" s="3" t="s">
        <v>39</v>
      </c>
      <c r="S751" s="3" t="s">
        <v>38</v>
      </c>
      <c r="T751" s="3" t="s">
        <v>40</v>
      </c>
      <c r="U751" s="3"/>
      <c r="V751" s="3" t="s">
        <v>41</v>
      </c>
      <c r="W751" s="5">
        <v>3989.16</v>
      </c>
      <c r="X751" s="5">
        <v>2991.87</v>
      </c>
      <c r="Y751" s="3">
        <v>698.1</v>
      </c>
      <c r="Z751" s="3">
        <v>299.19</v>
      </c>
      <c r="AA751" s="3">
        <v>0</v>
      </c>
    </row>
    <row r="752" spans="1:27" ht="60.75" x14ac:dyDescent="0.25">
      <c r="A752" s="3" t="s">
        <v>28</v>
      </c>
      <c r="B752" s="3" t="s">
        <v>29</v>
      </c>
      <c r="C752" s="3" t="s">
        <v>30</v>
      </c>
      <c r="D752" s="3" t="s">
        <v>58</v>
      </c>
      <c r="E752" s="3" t="s">
        <v>53</v>
      </c>
      <c r="F752" s="3" t="s">
        <v>59</v>
      </c>
      <c r="G752" s="3">
        <v>2025</v>
      </c>
      <c r="H752" s="3" t="str">
        <f>CONCATENATE("54240510567")</f>
        <v>54240510567</v>
      </c>
      <c r="I752" s="3" t="s">
        <v>34</v>
      </c>
      <c r="J752" s="3" t="s">
        <v>35</v>
      </c>
      <c r="K752" s="3"/>
      <c r="L752" s="3" t="s">
        <v>36</v>
      </c>
      <c r="M752" s="3" t="str">
        <f>CONCATENATE("GZZPNC98E31I608B")</f>
        <v>GZZPNC98E31I608B</v>
      </c>
      <c r="N752" s="3" t="s">
        <v>873</v>
      </c>
      <c r="O752" s="3" t="s">
        <v>38</v>
      </c>
      <c r="P752" s="3"/>
      <c r="Q752" s="4">
        <v>45944</v>
      </c>
      <c r="R752" s="3" t="s">
        <v>39</v>
      </c>
      <c r="S752" s="3" t="s">
        <v>38</v>
      </c>
      <c r="T752" s="3" t="s">
        <v>40</v>
      </c>
      <c r="U752" s="3"/>
      <c r="V752" s="3" t="s">
        <v>41</v>
      </c>
      <c r="W752" s="5">
        <v>11557.43</v>
      </c>
      <c r="X752" s="5">
        <v>8668.07</v>
      </c>
      <c r="Y752" s="5">
        <v>2022.55</v>
      </c>
      <c r="Z752" s="3">
        <v>866.81</v>
      </c>
      <c r="AA752" s="3">
        <v>0</v>
      </c>
    </row>
    <row r="753" spans="1:27" ht="72.75" x14ac:dyDescent="0.25">
      <c r="A753" s="3" t="s">
        <v>28</v>
      </c>
      <c r="B753" s="3" t="s">
        <v>29</v>
      </c>
      <c r="C753" s="3" t="s">
        <v>30</v>
      </c>
      <c r="D753" s="3" t="s">
        <v>58</v>
      </c>
      <c r="E753" s="3" t="s">
        <v>53</v>
      </c>
      <c r="F753" s="3" t="s">
        <v>123</v>
      </c>
      <c r="G753" s="3">
        <v>2025</v>
      </c>
      <c r="H753" s="3" t="str">
        <f>CONCATENATE("54240510682")</f>
        <v>54240510682</v>
      </c>
      <c r="I753" s="3" t="s">
        <v>34</v>
      </c>
      <c r="J753" s="3" t="s">
        <v>35</v>
      </c>
      <c r="K753" s="3"/>
      <c r="L753" s="3" t="s">
        <v>36</v>
      </c>
      <c r="M753" s="3" t="str">
        <f>CONCATENATE("BNIRNT63M13G771G")</f>
        <v>BNIRNT63M13G771G</v>
      </c>
      <c r="N753" s="3" t="s">
        <v>874</v>
      </c>
      <c r="O753" s="3" t="s">
        <v>38</v>
      </c>
      <c r="P753" s="3"/>
      <c r="Q753" s="4">
        <v>45944</v>
      </c>
      <c r="R753" s="3" t="s">
        <v>39</v>
      </c>
      <c r="S753" s="3" t="s">
        <v>38</v>
      </c>
      <c r="T753" s="3" t="s">
        <v>40</v>
      </c>
      <c r="U753" s="3"/>
      <c r="V753" s="3" t="s">
        <v>41</v>
      </c>
      <c r="W753" s="5">
        <v>6150.37</v>
      </c>
      <c r="X753" s="5">
        <v>4612.78</v>
      </c>
      <c r="Y753" s="5">
        <v>1076.31</v>
      </c>
      <c r="Z753" s="3">
        <v>461.28</v>
      </c>
      <c r="AA753" s="3">
        <v>0</v>
      </c>
    </row>
    <row r="754" spans="1:27" ht="60.75" x14ac:dyDescent="0.25">
      <c r="A754" s="3" t="s">
        <v>28</v>
      </c>
      <c r="B754" s="3" t="s">
        <v>29</v>
      </c>
      <c r="C754" s="3" t="s">
        <v>30</v>
      </c>
      <c r="D754" s="3" t="s">
        <v>31</v>
      </c>
      <c r="E754" s="3" t="s">
        <v>53</v>
      </c>
      <c r="F754" s="3" t="s">
        <v>414</v>
      </c>
      <c r="G754" s="3">
        <v>2025</v>
      </c>
      <c r="H754" s="3" t="str">
        <f>CONCATENATE("54240511029")</f>
        <v>54240511029</v>
      </c>
      <c r="I754" s="3" t="s">
        <v>34</v>
      </c>
      <c r="J754" s="3" t="s">
        <v>35</v>
      </c>
      <c r="K754" s="3"/>
      <c r="L754" s="3" t="s">
        <v>36</v>
      </c>
      <c r="M754" s="3" t="str">
        <f>CONCATENATE("MNCBRN43C22G453F")</f>
        <v>MNCBRN43C22G453F</v>
      </c>
      <c r="N754" s="3" t="s">
        <v>875</v>
      </c>
      <c r="O754" s="3" t="s">
        <v>38</v>
      </c>
      <c r="P754" s="3"/>
      <c r="Q754" s="4">
        <v>45944</v>
      </c>
      <c r="R754" s="3" t="s">
        <v>39</v>
      </c>
      <c r="S754" s="3" t="s">
        <v>38</v>
      </c>
      <c r="T754" s="3" t="s">
        <v>40</v>
      </c>
      <c r="U754" s="3"/>
      <c r="V754" s="3" t="s">
        <v>41</v>
      </c>
      <c r="W754" s="5">
        <v>1520.65</v>
      </c>
      <c r="X754" s="5">
        <v>1140.49</v>
      </c>
      <c r="Y754" s="3">
        <v>266.11</v>
      </c>
      <c r="Z754" s="3">
        <v>114.05</v>
      </c>
      <c r="AA754" s="3">
        <v>0</v>
      </c>
    </row>
    <row r="755" spans="1:27" ht="60.75" x14ac:dyDescent="0.25">
      <c r="A755" s="3" t="s">
        <v>28</v>
      </c>
      <c r="B755" s="3" t="s">
        <v>29</v>
      </c>
      <c r="C755" s="3" t="s">
        <v>30</v>
      </c>
      <c r="D755" s="3" t="s">
        <v>31</v>
      </c>
      <c r="E755" s="3" t="s">
        <v>53</v>
      </c>
      <c r="F755" s="3" t="s">
        <v>414</v>
      </c>
      <c r="G755" s="3">
        <v>2025</v>
      </c>
      <c r="H755" s="3" t="str">
        <f>CONCATENATE("54240511086")</f>
        <v>54240511086</v>
      </c>
      <c r="I755" s="3" t="s">
        <v>34</v>
      </c>
      <c r="J755" s="3" t="s">
        <v>35</v>
      </c>
      <c r="K755" s="3"/>
      <c r="L755" s="3" t="s">
        <v>36</v>
      </c>
      <c r="M755" s="3" t="str">
        <f>CONCATENATE("MTTLCU81E12D488F")</f>
        <v>MTTLCU81E12D488F</v>
      </c>
      <c r="N755" s="3" t="s">
        <v>876</v>
      </c>
      <c r="O755" s="3" t="s">
        <v>38</v>
      </c>
      <c r="P755" s="3"/>
      <c r="Q755" s="4">
        <v>45944</v>
      </c>
      <c r="R755" s="3" t="s">
        <v>39</v>
      </c>
      <c r="S755" s="3" t="s">
        <v>38</v>
      </c>
      <c r="T755" s="3" t="s">
        <v>40</v>
      </c>
      <c r="U755" s="3"/>
      <c r="V755" s="3" t="s">
        <v>41</v>
      </c>
      <c r="W755" s="5">
        <v>1116.81</v>
      </c>
      <c r="X755" s="3">
        <v>837.61</v>
      </c>
      <c r="Y755" s="3">
        <v>195.44</v>
      </c>
      <c r="Z755" s="3">
        <v>83.76</v>
      </c>
      <c r="AA755" s="3">
        <v>0</v>
      </c>
    </row>
    <row r="756" spans="1:27" ht="72.75" x14ac:dyDescent="0.25">
      <c r="A756" s="3" t="s">
        <v>28</v>
      </c>
      <c r="B756" s="3" t="s">
        <v>29</v>
      </c>
      <c r="C756" s="3" t="s">
        <v>30</v>
      </c>
      <c r="D756" s="3" t="s">
        <v>49</v>
      </c>
      <c r="E756" s="3" t="s">
        <v>91</v>
      </c>
      <c r="F756" s="3" t="s">
        <v>92</v>
      </c>
      <c r="G756" s="3">
        <v>2025</v>
      </c>
      <c r="H756" s="3" t="str">
        <f>CONCATENATE("54240511524")</f>
        <v>54240511524</v>
      </c>
      <c r="I756" s="3" t="s">
        <v>34</v>
      </c>
      <c r="J756" s="3" t="s">
        <v>35</v>
      </c>
      <c r="K756" s="3"/>
      <c r="L756" s="3" t="s">
        <v>36</v>
      </c>
      <c r="M756" s="3" t="str">
        <f>CONCATENATE("DNGGLN36D55H501M")</f>
        <v>DNGGLN36D55H501M</v>
      </c>
      <c r="N756" s="3" t="s">
        <v>877</v>
      </c>
      <c r="O756" s="3" t="s">
        <v>38</v>
      </c>
      <c r="P756" s="3"/>
      <c r="Q756" s="4">
        <v>45944</v>
      </c>
      <c r="R756" s="3" t="s">
        <v>39</v>
      </c>
      <c r="S756" s="3" t="s">
        <v>38</v>
      </c>
      <c r="T756" s="3" t="s">
        <v>40</v>
      </c>
      <c r="U756" s="3"/>
      <c r="V756" s="3" t="s">
        <v>41</v>
      </c>
      <c r="W756" s="5">
        <v>8543</v>
      </c>
      <c r="X756" s="5">
        <v>6407.25</v>
      </c>
      <c r="Y756" s="5">
        <v>1495.03</v>
      </c>
      <c r="Z756" s="3">
        <v>640.72</v>
      </c>
      <c r="AA756" s="3">
        <v>0</v>
      </c>
    </row>
    <row r="757" spans="1:27" ht="60.75" x14ac:dyDescent="0.25">
      <c r="A757" s="3" t="s">
        <v>28</v>
      </c>
      <c r="B757" s="3" t="s">
        <v>29</v>
      </c>
      <c r="C757" s="3" t="s">
        <v>30</v>
      </c>
      <c r="D757" s="3" t="s">
        <v>31</v>
      </c>
      <c r="E757" s="3" t="s">
        <v>53</v>
      </c>
      <c r="F757" s="3" t="s">
        <v>54</v>
      </c>
      <c r="G757" s="3">
        <v>2025</v>
      </c>
      <c r="H757" s="3" t="str">
        <f>CONCATENATE("54240511565")</f>
        <v>54240511565</v>
      </c>
      <c r="I757" s="3" t="s">
        <v>34</v>
      </c>
      <c r="J757" s="3" t="s">
        <v>35</v>
      </c>
      <c r="K757" s="3"/>
      <c r="L757" s="3" t="s">
        <v>36</v>
      </c>
      <c r="M757" s="3" t="str">
        <f>CONCATENATE("GRRNNL64T30I459I")</f>
        <v>GRRNNL64T30I459I</v>
      </c>
      <c r="N757" s="3" t="s">
        <v>878</v>
      </c>
      <c r="O757" s="3" t="s">
        <v>38</v>
      </c>
      <c r="P757" s="3"/>
      <c r="Q757" s="4">
        <v>45944</v>
      </c>
      <c r="R757" s="3" t="s">
        <v>39</v>
      </c>
      <c r="S757" s="3" t="s">
        <v>38</v>
      </c>
      <c r="T757" s="3" t="s">
        <v>40</v>
      </c>
      <c r="U757" s="3"/>
      <c r="V757" s="3" t="s">
        <v>41</v>
      </c>
      <c r="W757" s="5">
        <v>3579.79</v>
      </c>
      <c r="X757" s="5">
        <v>2684.84</v>
      </c>
      <c r="Y757" s="3">
        <v>626.46</v>
      </c>
      <c r="Z757" s="3">
        <v>268.49</v>
      </c>
      <c r="AA757" s="3">
        <v>0</v>
      </c>
    </row>
    <row r="758" spans="1:27" ht="60.75" x14ac:dyDescent="0.25">
      <c r="A758" s="3" t="s">
        <v>28</v>
      </c>
      <c r="B758" s="3" t="s">
        <v>29</v>
      </c>
      <c r="C758" s="3" t="s">
        <v>30</v>
      </c>
      <c r="D758" s="3" t="s">
        <v>58</v>
      </c>
      <c r="E758" s="3" t="s">
        <v>32</v>
      </c>
      <c r="F758" s="3" t="s">
        <v>96</v>
      </c>
      <c r="G758" s="3">
        <v>2025</v>
      </c>
      <c r="H758" s="3" t="str">
        <f>CONCATENATE("54240511540")</f>
        <v>54240511540</v>
      </c>
      <c r="I758" s="3" t="s">
        <v>34</v>
      </c>
      <c r="J758" s="3" t="s">
        <v>35</v>
      </c>
      <c r="K758" s="3"/>
      <c r="L758" s="3" t="s">
        <v>36</v>
      </c>
      <c r="M758" s="3" t="str">
        <f>CONCATENATE("RCCSNT68L71F051N")</f>
        <v>RCCSNT68L71F051N</v>
      </c>
      <c r="N758" s="3" t="s">
        <v>879</v>
      </c>
      <c r="O758" s="3" t="s">
        <v>38</v>
      </c>
      <c r="P758" s="3"/>
      <c r="Q758" s="4">
        <v>45944</v>
      </c>
      <c r="R758" s="3" t="s">
        <v>39</v>
      </c>
      <c r="S758" s="3" t="s">
        <v>38</v>
      </c>
      <c r="T758" s="3" t="s">
        <v>40</v>
      </c>
      <c r="U758" s="3"/>
      <c r="V758" s="3" t="s">
        <v>41</v>
      </c>
      <c r="W758" s="5">
        <v>4034.98</v>
      </c>
      <c r="X758" s="5">
        <v>3026.24</v>
      </c>
      <c r="Y758" s="3">
        <v>706.12</v>
      </c>
      <c r="Z758" s="3">
        <v>302.62</v>
      </c>
      <c r="AA758" s="3">
        <v>0</v>
      </c>
    </row>
    <row r="759" spans="1:27" ht="60.75" x14ac:dyDescent="0.25">
      <c r="A759" s="3" t="s">
        <v>28</v>
      </c>
      <c r="B759" s="3" t="s">
        <v>29</v>
      </c>
      <c r="C759" s="3" t="s">
        <v>30</v>
      </c>
      <c r="D759" s="3" t="s">
        <v>31</v>
      </c>
      <c r="E759" s="3" t="s">
        <v>53</v>
      </c>
      <c r="F759" s="3" t="s">
        <v>54</v>
      </c>
      <c r="G759" s="3">
        <v>2025</v>
      </c>
      <c r="H759" s="3" t="str">
        <f>CONCATENATE("54240512241")</f>
        <v>54240512241</v>
      </c>
      <c r="I759" s="3" t="s">
        <v>34</v>
      </c>
      <c r="J759" s="3" t="s">
        <v>35</v>
      </c>
      <c r="K759" s="3"/>
      <c r="L759" s="3" t="s">
        <v>36</v>
      </c>
      <c r="M759" s="3" t="str">
        <f>CONCATENATE("CRSDNS91R09I459N")</f>
        <v>CRSDNS91R09I459N</v>
      </c>
      <c r="N759" s="3" t="s">
        <v>880</v>
      </c>
      <c r="O759" s="3" t="s">
        <v>38</v>
      </c>
      <c r="P759" s="3"/>
      <c r="Q759" s="4">
        <v>45944</v>
      </c>
      <c r="R759" s="3" t="s">
        <v>39</v>
      </c>
      <c r="S759" s="3" t="s">
        <v>38</v>
      </c>
      <c r="T759" s="3" t="s">
        <v>40</v>
      </c>
      <c r="U759" s="3"/>
      <c r="V759" s="3" t="s">
        <v>41</v>
      </c>
      <c r="W759" s="5">
        <v>2226.44</v>
      </c>
      <c r="X759" s="5">
        <v>1669.83</v>
      </c>
      <c r="Y759" s="3">
        <v>389.63</v>
      </c>
      <c r="Z759" s="3">
        <v>166.98</v>
      </c>
      <c r="AA759" s="3">
        <v>0</v>
      </c>
    </row>
    <row r="760" spans="1:27" ht="36.75" x14ac:dyDescent="0.25">
      <c r="A760" s="3" t="s">
        <v>28</v>
      </c>
      <c r="B760" s="3" t="s">
        <v>29</v>
      </c>
      <c r="C760" s="3" t="s">
        <v>30</v>
      </c>
      <c r="D760" s="3" t="s">
        <v>31</v>
      </c>
      <c r="E760" s="3" t="s">
        <v>46</v>
      </c>
      <c r="F760" s="3" t="s">
        <v>108</v>
      </c>
      <c r="G760" s="3">
        <v>2025</v>
      </c>
      <c r="H760" s="3" t="str">
        <f>CONCATENATE("54240512209")</f>
        <v>54240512209</v>
      </c>
      <c r="I760" s="3" t="s">
        <v>149</v>
      </c>
      <c r="J760" s="3" t="s">
        <v>35</v>
      </c>
      <c r="K760" s="3"/>
      <c r="L760" s="3" t="s">
        <v>36</v>
      </c>
      <c r="M760" s="3" t="str">
        <f>CONCATENATE("02168780415")</f>
        <v>02168780415</v>
      </c>
      <c r="N760" s="3" t="s">
        <v>881</v>
      </c>
      <c r="O760" s="3" t="s">
        <v>38</v>
      </c>
      <c r="P760" s="3"/>
      <c r="Q760" s="4">
        <v>45944</v>
      </c>
      <c r="R760" s="3" t="s">
        <v>39</v>
      </c>
      <c r="S760" s="3" t="s">
        <v>38</v>
      </c>
      <c r="T760" s="3" t="s">
        <v>40</v>
      </c>
      <c r="U760" s="3"/>
      <c r="V760" s="3" t="s">
        <v>41</v>
      </c>
      <c r="W760" s="5">
        <v>5008.0200000000004</v>
      </c>
      <c r="X760" s="5">
        <v>3756.02</v>
      </c>
      <c r="Y760" s="3">
        <v>876.4</v>
      </c>
      <c r="Z760" s="3">
        <v>375.6</v>
      </c>
      <c r="AA760" s="3">
        <v>0</v>
      </c>
    </row>
    <row r="761" spans="1:27" ht="60.75" x14ac:dyDescent="0.25">
      <c r="A761" s="3" t="s">
        <v>28</v>
      </c>
      <c r="B761" s="3" t="s">
        <v>29</v>
      </c>
      <c r="C761" s="3" t="s">
        <v>30</v>
      </c>
      <c r="D761" s="3" t="s">
        <v>49</v>
      </c>
      <c r="E761" s="3" t="s">
        <v>53</v>
      </c>
      <c r="F761" s="3" t="s">
        <v>478</v>
      </c>
      <c r="G761" s="3">
        <v>2025</v>
      </c>
      <c r="H761" s="3" t="str">
        <f>CONCATENATE("54240629789")</f>
        <v>54240629789</v>
      </c>
      <c r="I761" s="3" t="s">
        <v>34</v>
      </c>
      <c r="J761" s="3" t="s">
        <v>35</v>
      </c>
      <c r="K761" s="3"/>
      <c r="L761" s="3" t="s">
        <v>36</v>
      </c>
      <c r="M761" s="3" t="str">
        <f>CONCATENATE("VGLNTN60A01L736S")</f>
        <v>VGLNTN60A01L736S</v>
      </c>
      <c r="N761" s="3" t="s">
        <v>882</v>
      </c>
      <c r="O761" s="3" t="s">
        <v>38</v>
      </c>
      <c r="P761" s="3"/>
      <c r="Q761" s="4">
        <v>45944</v>
      </c>
      <c r="R761" s="3" t="s">
        <v>39</v>
      </c>
      <c r="S761" s="3" t="s">
        <v>38</v>
      </c>
      <c r="T761" s="3" t="s">
        <v>40</v>
      </c>
      <c r="U761" s="3"/>
      <c r="V761" s="3" t="s">
        <v>41</v>
      </c>
      <c r="W761" s="5">
        <v>1358.75</v>
      </c>
      <c r="X761" s="5">
        <v>1019.06</v>
      </c>
      <c r="Y761" s="3">
        <v>237.78</v>
      </c>
      <c r="Z761" s="3">
        <v>101.91</v>
      </c>
      <c r="AA761" s="3">
        <v>0</v>
      </c>
    </row>
    <row r="762" spans="1:27" ht="36.75" x14ac:dyDescent="0.25">
      <c r="A762" s="3" t="s">
        <v>28</v>
      </c>
      <c r="B762" s="3" t="s">
        <v>29</v>
      </c>
      <c r="C762" s="3" t="s">
        <v>30</v>
      </c>
      <c r="D762" s="3" t="s">
        <v>63</v>
      </c>
      <c r="E762" s="3" t="s">
        <v>53</v>
      </c>
      <c r="F762" s="3" t="s">
        <v>478</v>
      </c>
      <c r="G762" s="3">
        <v>2025</v>
      </c>
      <c r="H762" s="3" t="str">
        <f>CONCATENATE("54240629896")</f>
        <v>54240629896</v>
      </c>
      <c r="I762" s="3" t="s">
        <v>34</v>
      </c>
      <c r="J762" s="3" t="s">
        <v>35</v>
      </c>
      <c r="K762" s="3"/>
      <c r="L762" s="3" t="s">
        <v>36</v>
      </c>
      <c r="M762" s="3" t="str">
        <f>CONCATENATE("02312910447")</f>
        <v>02312910447</v>
      </c>
      <c r="N762" s="3" t="s">
        <v>883</v>
      </c>
      <c r="O762" s="3" t="s">
        <v>38</v>
      </c>
      <c r="P762" s="3"/>
      <c r="Q762" s="4">
        <v>45944</v>
      </c>
      <c r="R762" s="3" t="s">
        <v>39</v>
      </c>
      <c r="S762" s="3" t="s">
        <v>38</v>
      </c>
      <c r="T762" s="3" t="s">
        <v>40</v>
      </c>
      <c r="U762" s="3"/>
      <c r="V762" s="3" t="s">
        <v>41</v>
      </c>
      <c r="W762" s="5">
        <v>3969.58</v>
      </c>
      <c r="X762" s="5">
        <v>2977.19</v>
      </c>
      <c r="Y762" s="3">
        <v>694.68</v>
      </c>
      <c r="Z762" s="3">
        <v>297.70999999999998</v>
      </c>
      <c r="AA762" s="3">
        <v>0</v>
      </c>
    </row>
    <row r="763" spans="1:27" ht="60.75" x14ac:dyDescent="0.25">
      <c r="A763" s="3" t="s">
        <v>28</v>
      </c>
      <c r="B763" s="3" t="s">
        <v>29</v>
      </c>
      <c r="C763" s="3" t="s">
        <v>30</v>
      </c>
      <c r="D763" s="3" t="s">
        <v>63</v>
      </c>
      <c r="E763" s="3" t="s">
        <v>53</v>
      </c>
      <c r="F763" s="3" t="s">
        <v>478</v>
      </c>
      <c r="G763" s="3">
        <v>2025</v>
      </c>
      <c r="H763" s="3" t="str">
        <f>CONCATENATE("54240629904")</f>
        <v>54240629904</v>
      </c>
      <c r="I763" s="3" t="s">
        <v>34</v>
      </c>
      <c r="J763" s="3" t="s">
        <v>35</v>
      </c>
      <c r="K763" s="3"/>
      <c r="L763" s="3" t="s">
        <v>36</v>
      </c>
      <c r="M763" s="3" t="str">
        <f>CONCATENATE("TBRGNI37M08E228I")</f>
        <v>TBRGNI37M08E228I</v>
      </c>
      <c r="N763" s="3" t="s">
        <v>884</v>
      </c>
      <c r="O763" s="3" t="s">
        <v>38</v>
      </c>
      <c r="P763" s="3"/>
      <c r="Q763" s="4">
        <v>45944</v>
      </c>
      <c r="R763" s="3" t="s">
        <v>39</v>
      </c>
      <c r="S763" s="3" t="s">
        <v>38</v>
      </c>
      <c r="T763" s="3" t="s">
        <v>40</v>
      </c>
      <c r="U763" s="3"/>
      <c r="V763" s="3" t="s">
        <v>41</v>
      </c>
      <c r="W763" s="5">
        <v>3997.7</v>
      </c>
      <c r="X763" s="5">
        <v>2998.28</v>
      </c>
      <c r="Y763" s="3">
        <v>699.6</v>
      </c>
      <c r="Z763" s="3">
        <v>299.82</v>
      </c>
      <c r="AA763" s="3">
        <v>0</v>
      </c>
    </row>
    <row r="764" spans="1:27" ht="60.75" x14ac:dyDescent="0.25">
      <c r="A764" s="3" t="s">
        <v>28</v>
      </c>
      <c r="B764" s="3" t="s">
        <v>29</v>
      </c>
      <c r="C764" s="3" t="s">
        <v>30</v>
      </c>
      <c r="D764" s="3" t="s">
        <v>31</v>
      </c>
      <c r="E764" s="3" t="s">
        <v>53</v>
      </c>
      <c r="F764" s="3" t="s">
        <v>483</v>
      </c>
      <c r="G764" s="3">
        <v>2025</v>
      </c>
      <c r="H764" s="3" t="str">
        <f>CONCATENATE("54240631298")</f>
        <v>54240631298</v>
      </c>
      <c r="I764" s="3" t="s">
        <v>34</v>
      </c>
      <c r="J764" s="3" t="s">
        <v>35</v>
      </c>
      <c r="K764" s="3"/>
      <c r="L764" s="3" t="s">
        <v>36</v>
      </c>
      <c r="M764" s="3" t="str">
        <f>CONCATENATE("STRKST60P47Z112U")</f>
        <v>STRKST60P47Z112U</v>
      </c>
      <c r="N764" s="3" t="s">
        <v>885</v>
      </c>
      <c r="O764" s="3" t="s">
        <v>38</v>
      </c>
      <c r="P764" s="3"/>
      <c r="Q764" s="4">
        <v>45944</v>
      </c>
      <c r="R764" s="3" t="s">
        <v>39</v>
      </c>
      <c r="S764" s="3" t="s">
        <v>38</v>
      </c>
      <c r="T764" s="3" t="s">
        <v>40</v>
      </c>
      <c r="U764" s="3"/>
      <c r="V764" s="3" t="s">
        <v>41</v>
      </c>
      <c r="W764" s="5">
        <v>1917.21</v>
      </c>
      <c r="X764" s="5">
        <v>1437.91</v>
      </c>
      <c r="Y764" s="3">
        <v>335.51</v>
      </c>
      <c r="Z764" s="3">
        <v>143.79</v>
      </c>
      <c r="AA764" s="3">
        <v>0</v>
      </c>
    </row>
    <row r="765" spans="1:27" ht="60.75" x14ac:dyDescent="0.25">
      <c r="A765" s="3" t="s">
        <v>28</v>
      </c>
      <c r="B765" s="3" t="s">
        <v>29</v>
      </c>
      <c r="C765" s="3" t="s">
        <v>30</v>
      </c>
      <c r="D765" s="3" t="s">
        <v>31</v>
      </c>
      <c r="E765" s="3" t="s">
        <v>53</v>
      </c>
      <c r="F765" s="3" t="s">
        <v>483</v>
      </c>
      <c r="G765" s="3">
        <v>2025</v>
      </c>
      <c r="H765" s="3" t="str">
        <f>CONCATENATE("54240630712")</f>
        <v>54240630712</v>
      </c>
      <c r="I765" s="3" t="s">
        <v>34</v>
      </c>
      <c r="J765" s="3" t="s">
        <v>35</v>
      </c>
      <c r="K765" s="3"/>
      <c r="L765" s="3" t="s">
        <v>36</v>
      </c>
      <c r="M765" s="3" t="str">
        <f>CONCATENATE("CRMPLA63S27I608U")</f>
        <v>CRMPLA63S27I608U</v>
      </c>
      <c r="N765" s="3" t="s">
        <v>886</v>
      </c>
      <c r="O765" s="3" t="s">
        <v>38</v>
      </c>
      <c r="P765" s="3"/>
      <c r="Q765" s="4">
        <v>45944</v>
      </c>
      <c r="R765" s="3" t="s">
        <v>39</v>
      </c>
      <c r="S765" s="3" t="s">
        <v>38</v>
      </c>
      <c r="T765" s="3" t="s">
        <v>40</v>
      </c>
      <c r="U765" s="3"/>
      <c r="V765" s="3" t="s">
        <v>41</v>
      </c>
      <c r="W765" s="5">
        <v>1370.19</v>
      </c>
      <c r="X765" s="5">
        <v>1027.6400000000001</v>
      </c>
      <c r="Y765" s="3">
        <v>239.78</v>
      </c>
      <c r="Z765" s="3">
        <v>102.77</v>
      </c>
      <c r="AA765" s="3">
        <v>0</v>
      </c>
    </row>
    <row r="766" spans="1:27" ht="36.75" x14ac:dyDescent="0.25">
      <c r="A766" s="3" t="s">
        <v>28</v>
      </c>
      <c r="B766" s="3" t="s">
        <v>29</v>
      </c>
      <c r="C766" s="3" t="s">
        <v>30</v>
      </c>
      <c r="D766" s="3" t="s">
        <v>63</v>
      </c>
      <c r="E766" s="3" t="s">
        <v>32</v>
      </c>
      <c r="F766" s="3" t="s">
        <v>142</v>
      </c>
      <c r="G766" s="3">
        <v>2025</v>
      </c>
      <c r="H766" s="3" t="str">
        <f>CONCATENATE("54240632239")</f>
        <v>54240632239</v>
      </c>
      <c r="I766" s="3" t="s">
        <v>34</v>
      </c>
      <c r="J766" s="3" t="s">
        <v>35</v>
      </c>
      <c r="K766" s="3"/>
      <c r="L766" s="3" t="s">
        <v>36</v>
      </c>
      <c r="M766" s="3" t="str">
        <f>CONCATENATE("02154470443")</f>
        <v>02154470443</v>
      </c>
      <c r="N766" s="3" t="s">
        <v>887</v>
      </c>
      <c r="O766" s="3" t="s">
        <v>38</v>
      </c>
      <c r="P766" s="3"/>
      <c r="Q766" s="4">
        <v>45944</v>
      </c>
      <c r="R766" s="3" t="s">
        <v>39</v>
      </c>
      <c r="S766" s="3" t="s">
        <v>38</v>
      </c>
      <c r="T766" s="3" t="s">
        <v>40</v>
      </c>
      <c r="U766" s="3"/>
      <c r="V766" s="3" t="s">
        <v>41</v>
      </c>
      <c r="W766" s="5">
        <v>2989.77</v>
      </c>
      <c r="X766" s="5">
        <v>2242.33</v>
      </c>
      <c r="Y766" s="3">
        <v>523.21</v>
      </c>
      <c r="Z766" s="3">
        <v>224.23</v>
      </c>
      <c r="AA766" s="3">
        <v>0</v>
      </c>
    </row>
    <row r="767" spans="1:27" ht="60.75" x14ac:dyDescent="0.25">
      <c r="A767" s="3" t="s">
        <v>28</v>
      </c>
      <c r="B767" s="3" t="s">
        <v>29</v>
      </c>
      <c r="C767" s="3" t="s">
        <v>30</v>
      </c>
      <c r="D767" s="3" t="s">
        <v>58</v>
      </c>
      <c r="E767" s="3" t="s">
        <v>145</v>
      </c>
      <c r="F767" s="3" t="s">
        <v>780</v>
      </c>
      <c r="G767" s="3">
        <v>2025</v>
      </c>
      <c r="H767" s="3" t="str">
        <f>CONCATENATE("54240658630")</f>
        <v>54240658630</v>
      </c>
      <c r="I767" s="3" t="s">
        <v>34</v>
      </c>
      <c r="J767" s="3" t="s">
        <v>35</v>
      </c>
      <c r="K767" s="3"/>
      <c r="L767" s="3" t="s">
        <v>36</v>
      </c>
      <c r="M767" s="3" t="str">
        <f>CONCATENATE("MNTNGL73P25D007N")</f>
        <v>MNTNGL73P25D007N</v>
      </c>
      <c r="N767" s="3" t="s">
        <v>888</v>
      </c>
      <c r="O767" s="3" t="s">
        <v>38</v>
      </c>
      <c r="P767" s="3"/>
      <c r="Q767" s="4">
        <v>45944</v>
      </c>
      <c r="R767" s="3" t="s">
        <v>39</v>
      </c>
      <c r="S767" s="3" t="s">
        <v>38</v>
      </c>
      <c r="T767" s="3" t="s">
        <v>40</v>
      </c>
      <c r="U767" s="3"/>
      <c r="V767" s="3" t="s">
        <v>41</v>
      </c>
      <c r="W767" s="5">
        <v>1045.18</v>
      </c>
      <c r="X767" s="3">
        <v>783.89</v>
      </c>
      <c r="Y767" s="3">
        <v>182.91</v>
      </c>
      <c r="Z767" s="3">
        <v>78.38</v>
      </c>
      <c r="AA767" s="3">
        <v>0</v>
      </c>
    </row>
    <row r="768" spans="1:27" ht="36.75" x14ac:dyDescent="0.25">
      <c r="A768" s="3" t="s">
        <v>28</v>
      </c>
      <c r="B768" s="3" t="s">
        <v>29</v>
      </c>
      <c r="C768" s="3" t="s">
        <v>30</v>
      </c>
      <c r="D768" s="3" t="s">
        <v>63</v>
      </c>
      <c r="E768" s="3" t="s">
        <v>32</v>
      </c>
      <c r="F768" s="3" t="s">
        <v>243</v>
      </c>
      <c r="G768" s="3">
        <v>2025</v>
      </c>
      <c r="H768" s="3" t="str">
        <f>CONCATENATE("54240632270")</f>
        <v>54240632270</v>
      </c>
      <c r="I768" s="3" t="s">
        <v>34</v>
      </c>
      <c r="J768" s="3" t="s">
        <v>35</v>
      </c>
      <c r="K768" s="3"/>
      <c r="L768" s="3" t="s">
        <v>36</v>
      </c>
      <c r="M768" s="3" t="str">
        <f>CONCATENATE("01678860444")</f>
        <v>01678860444</v>
      </c>
      <c r="N768" s="3" t="s">
        <v>889</v>
      </c>
      <c r="O768" s="3" t="s">
        <v>38</v>
      </c>
      <c r="P768" s="3"/>
      <c r="Q768" s="4">
        <v>45944</v>
      </c>
      <c r="R768" s="3" t="s">
        <v>39</v>
      </c>
      <c r="S768" s="3" t="s">
        <v>38</v>
      </c>
      <c r="T768" s="3" t="s">
        <v>40</v>
      </c>
      <c r="U768" s="3"/>
      <c r="V768" s="3" t="s">
        <v>41</v>
      </c>
      <c r="W768" s="5">
        <v>15739.05</v>
      </c>
      <c r="X768" s="5">
        <v>11804.29</v>
      </c>
      <c r="Y768" s="5">
        <v>2754.33</v>
      </c>
      <c r="Z768" s="5">
        <v>1180.43</v>
      </c>
      <c r="AA768" s="3">
        <v>0</v>
      </c>
    </row>
    <row r="769" spans="1:27" ht="60.75" x14ac:dyDescent="0.25">
      <c r="A769" s="3" t="s">
        <v>28</v>
      </c>
      <c r="B769" s="3" t="s">
        <v>29</v>
      </c>
      <c r="C769" s="3" t="s">
        <v>30</v>
      </c>
      <c r="D769" s="3" t="s">
        <v>31</v>
      </c>
      <c r="E769" s="3" t="s">
        <v>32</v>
      </c>
      <c r="F769" s="3" t="s">
        <v>33</v>
      </c>
      <c r="G769" s="3">
        <v>2025</v>
      </c>
      <c r="H769" s="3" t="str">
        <f>CONCATENATE("54240632684")</f>
        <v>54240632684</v>
      </c>
      <c r="I769" s="3" t="s">
        <v>34</v>
      </c>
      <c r="J769" s="3" t="s">
        <v>35</v>
      </c>
      <c r="K769" s="3"/>
      <c r="L769" s="3" t="s">
        <v>36</v>
      </c>
      <c r="M769" s="3" t="str">
        <f>CONCATENATE("BNGLGU70E09I287D")</f>
        <v>BNGLGU70E09I287D</v>
      </c>
      <c r="N769" s="3" t="s">
        <v>890</v>
      </c>
      <c r="O769" s="3" t="s">
        <v>38</v>
      </c>
      <c r="P769" s="3"/>
      <c r="Q769" s="4">
        <v>45944</v>
      </c>
      <c r="R769" s="3" t="s">
        <v>39</v>
      </c>
      <c r="S769" s="3" t="s">
        <v>38</v>
      </c>
      <c r="T769" s="3" t="s">
        <v>40</v>
      </c>
      <c r="U769" s="3"/>
      <c r="V769" s="3" t="s">
        <v>41</v>
      </c>
      <c r="W769" s="5">
        <v>6778.21</v>
      </c>
      <c r="X769" s="5">
        <v>5083.66</v>
      </c>
      <c r="Y769" s="5">
        <v>1186.19</v>
      </c>
      <c r="Z769" s="3">
        <v>508.36</v>
      </c>
      <c r="AA769" s="3">
        <v>0</v>
      </c>
    </row>
    <row r="770" spans="1:27" ht="60.75" x14ac:dyDescent="0.25">
      <c r="A770" s="3" t="s">
        <v>28</v>
      </c>
      <c r="B770" s="3" t="s">
        <v>29</v>
      </c>
      <c r="C770" s="3" t="s">
        <v>30</v>
      </c>
      <c r="D770" s="3" t="s">
        <v>31</v>
      </c>
      <c r="E770" s="3" t="s">
        <v>32</v>
      </c>
      <c r="F770" s="3" t="s">
        <v>33</v>
      </c>
      <c r="G770" s="3">
        <v>2025</v>
      </c>
      <c r="H770" s="3" t="str">
        <f>CONCATENATE("54240632775")</f>
        <v>54240632775</v>
      </c>
      <c r="I770" s="3" t="s">
        <v>34</v>
      </c>
      <c r="J770" s="3" t="s">
        <v>35</v>
      </c>
      <c r="K770" s="3"/>
      <c r="L770" s="3" t="s">
        <v>36</v>
      </c>
      <c r="M770" s="3" t="str">
        <f>CONCATENATE("CPPRLA43H16L498H")</f>
        <v>CPPRLA43H16L498H</v>
      </c>
      <c r="N770" s="3" t="s">
        <v>891</v>
      </c>
      <c r="O770" s="3" t="s">
        <v>38</v>
      </c>
      <c r="P770" s="3"/>
      <c r="Q770" s="4">
        <v>45944</v>
      </c>
      <c r="R770" s="3" t="s">
        <v>39</v>
      </c>
      <c r="S770" s="3" t="s">
        <v>38</v>
      </c>
      <c r="T770" s="3" t="s">
        <v>40</v>
      </c>
      <c r="U770" s="3"/>
      <c r="V770" s="3" t="s">
        <v>41</v>
      </c>
      <c r="W770" s="5">
        <v>3036.67</v>
      </c>
      <c r="X770" s="5">
        <v>2277.5</v>
      </c>
      <c r="Y770" s="3">
        <v>531.41999999999996</v>
      </c>
      <c r="Z770" s="3">
        <v>227.75</v>
      </c>
      <c r="AA770" s="3">
        <v>0</v>
      </c>
    </row>
    <row r="771" spans="1:27" ht="60.75" x14ac:dyDescent="0.25">
      <c r="A771" s="3" t="s">
        <v>28</v>
      </c>
      <c r="B771" s="3" t="s">
        <v>29</v>
      </c>
      <c r="C771" s="3" t="s">
        <v>30</v>
      </c>
      <c r="D771" s="3" t="s">
        <v>49</v>
      </c>
      <c r="E771" s="3" t="s">
        <v>53</v>
      </c>
      <c r="F771" s="3" t="s">
        <v>892</v>
      </c>
      <c r="G771" s="3">
        <v>2025</v>
      </c>
      <c r="H771" s="3" t="str">
        <f>CONCATENATE("54240640430")</f>
        <v>54240640430</v>
      </c>
      <c r="I771" s="3" t="s">
        <v>34</v>
      </c>
      <c r="J771" s="3" t="s">
        <v>35</v>
      </c>
      <c r="K771" s="3"/>
      <c r="L771" s="3" t="s">
        <v>36</v>
      </c>
      <c r="M771" s="3" t="str">
        <f>CONCATENATE("LDDLNZ90L27D542J")</f>
        <v>LDDLNZ90L27D542J</v>
      </c>
      <c r="N771" s="3" t="s">
        <v>893</v>
      </c>
      <c r="O771" s="3" t="s">
        <v>38</v>
      </c>
      <c r="P771" s="3"/>
      <c r="Q771" s="4">
        <v>45944</v>
      </c>
      <c r="R771" s="3" t="s">
        <v>39</v>
      </c>
      <c r="S771" s="3" t="s">
        <v>38</v>
      </c>
      <c r="T771" s="3" t="s">
        <v>40</v>
      </c>
      <c r="U771" s="3"/>
      <c r="V771" s="3" t="s">
        <v>41</v>
      </c>
      <c r="W771" s="5">
        <v>1272.3699999999999</v>
      </c>
      <c r="X771" s="3">
        <v>954.28</v>
      </c>
      <c r="Y771" s="3">
        <v>222.66</v>
      </c>
      <c r="Z771" s="3">
        <v>95.43</v>
      </c>
      <c r="AA771" s="3">
        <v>0</v>
      </c>
    </row>
    <row r="772" spans="1:27" ht="60.75" x14ac:dyDescent="0.25">
      <c r="A772" s="3" t="s">
        <v>28</v>
      </c>
      <c r="B772" s="3" t="s">
        <v>29</v>
      </c>
      <c r="C772" s="3" t="s">
        <v>30</v>
      </c>
      <c r="D772" s="3" t="s">
        <v>63</v>
      </c>
      <c r="E772" s="3" t="s">
        <v>53</v>
      </c>
      <c r="F772" s="3" t="s">
        <v>478</v>
      </c>
      <c r="G772" s="3">
        <v>2025</v>
      </c>
      <c r="H772" s="3" t="str">
        <f>CONCATENATE("54240633591")</f>
        <v>54240633591</v>
      </c>
      <c r="I772" s="3" t="s">
        <v>34</v>
      </c>
      <c r="J772" s="3" t="s">
        <v>35</v>
      </c>
      <c r="K772" s="3"/>
      <c r="L772" s="3" t="s">
        <v>36</v>
      </c>
      <c r="M772" s="3" t="str">
        <f>CONCATENATE("MNAMRC82A16L949T")</f>
        <v>MNAMRC82A16L949T</v>
      </c>
      <c r="N772" s="3" t="s">
        <v>894</v>
      </c>
      <c r="O772" s="3" t="s">
        <v>38</v>
      </c>
      <c r="P772" s="3"/>
      <c r="Q772" s="4">
        <v>45944</v>
      </c>
      <c r="R772" s="3" t="s">
        <v>39</v>
      </c>
      <c r="S772" s="3" t="s">
        <v>38</v>
      </c>
      <c r="T772" s="3" t="s">
        <v>40</v>
      </c>
      <c r="U772" s="3"/>
      <c r="V772" s="3" t="s">
        <v>41</v>
      </c>
      <c r="W772" s="3">
        <v>844.42</v>
      </c>
      <c r="X772" s="3">
        <v>633.32000000000005</v>
      </c>
      <c r="Y772" s="3">
        <v>147.77000000000001</v>
      </c>
      <c r="Z772" s="3">
        <v>63.33</v>
      </c>
      <c r="AA772" s="3">
        <v>0</v>
      </c>
    </row>
    <row r="773" spans="1:27" ht="36.75" x14ac:dyDescent="0.25">
      <c r="A773" s="3" t="s">
        <v>28</v>
      </c>
      <c r="B773" s="3" t="s">
        <v>29</v>
      </c>
      <c r="C773" s="3" t="s">
        <v>30</v>
      </c>
      <c r="D773" s="3" t="s">
        <v>49</v>
      </c>
      <c r="E773" s="3" t="s">
        <v>91</v>
      </c>
      <c r="F773" s="3" t="s">
        <v>92</v>
      </c>
      <c r="G773" s="3">
        <v>2025</v>
      </c>
      <c r="H773" s="3" t="str">
        <f>CONCATENATE("54240633583")</f>
        <v>54240633583</v>
      </c>
      <c r="I773" s="3" t="s">
        <v>34</v>
      </c>
      <c r="J773" s="3" t="s">
        <v>35</v>
      </c>
      <c r="K773" s="3"/>
      <c r="L773" s="3" t="s">
        <v>36</v>
      </c>
      <c r="M773" s="3" t="str">
        <f>CONCATENATE("02038770448")</f>
        <v>02038770448</v>
      </c>
      <c r="N773" s="3" t="s">
        <v>895</v>
      </c>
      <c r="O773" s="3" t="s">
        <v>38</v>
      </c>
      <c r="P773" s="3"/>
      <c r="Q773" s="4">
        <v>45944</v>
      </c>
      <c r="R773" s="3" t="s">
        <v>39</v>
      </c>
      <c r="S773" s="3" t="s">
        <v>38</v>
      </c>
      <c r="T773" s="3" t="s">
        <v>40</v>
      </c>
      <c r="U773" s="3"/>
      <c r="V773" s="3" t="s">
        <v>41</v>
      </c>
      <c r="W773" s="5">
        <v>2107.7199999999998</v>
      </c>
      <c r="X773" s="5">
        <v>1580.79</v>
      </c>
      <c r="Y773" s="3">
        <v>368.85</v>
      </c>
      <c r="Z773" s="3">
        <v>158.08000000000001</v>
      </c>
      <c r="AA773" s="3">
        <v>0</v>
      </c>
    </row>
    <row r="774" spans="1:27" ht="60.75" x14ac:dyDescent="0.25">
      <c r="A774" s="3" t="s">
        <v>28</v>
      </c>
      <c r="B774" s="3" t="s">
        <v>29</v>
      </c>
      <c r="C774" s="3" t="s">
        <v>30</v>
      </c>
      <c r="D774" s="3" t="s">
        <v>31</v>
      </c>
      <c r="E774" s="3" t="s">
        <v>91</v>
      </c>
      <c r="F774" s="3" t="s">
        <v>111</v>
      </c>
      <c r="G774" s="3">
        <v>2025</v>
      </c>
      <c r="H774" s="3" t="str">
        <f>CONCATENATE("54240634045")</f>
        <v>54240634045</v>
      </c>
      <c r="I774" s="3" t="s">
        <v>34</v>
      </c>
      <c r="J774" s="3" t="s">
        <v>35</v>
      </c>
      <c r="K774" s="3"/>
      <c r="L774" s="3" t="s">
        <v>36</v>
      </c>
      <c r="M774" s="3" t="str">
        <f>CONCATENATE("GBRLLN52S51G453H")</f>
        <v>GBRLLN52S51G453H</v>
      </c>
      <c r="N774" s="3" t="s">
        <v>896</v>
      </c>
      <c r="O774" s="3" t="s">
        <v>38</v>
      </c>
      <c r="P774" s="3"/>
      <c r="Q774" s="4">
        <v>45944</v>
      </c>
      <c r="R774" s="3" t="s">
        <v>39</v>
      </c>
      <c r="S774" s="3" t="s">
        <v>38</v>
      </c>
      <c r="T774" s="3" t="s">
        <v>40</v>
      </c>
      <c r="U774" s="3"/>
      <c r="V774" s="3" t="s">
        <v>41</v>
      </c>
      <c r="W774" s="5">
        <v>4206.1000000000004</v>
      </c>
      <c r="X774" s="5">
        <v>3154.58</v>
      </c>
      <c r="Y774" s="3">
        <v>736.07</v>
      </c>
      <c r="Z774" s="3">
        <v>315.45</v>
      </c>
      <c r="AA774" s="3">
        <v>0</v>
      </c>
    </row>
    <row r="775" spans="1:27" ht="60.75" x14ac:dyDescent="0.25">
      <c r="A775" s="3" t="s">
        <v>28</v>
      </c>
      <c r="B775" s="3" t="s">
        <v>29</v>
      </c>
      <c r="C775" s="3" t="s">
        <v>30</v>
      </c>
      <c r="D775" s="3" t="s">
        <v>31</v>
      </c>
      <c r="E775" s="3" t="s">
        <v>91</v>
      </c>
      <c r="F775" s="3" t="s">
        <v>111</v>
      </c>
      <c r="G775" s="3">
        <v>2025</v>
      </c>
      <c r="H775" s="3" t="str">
        <f>CONCATENATE("54240634227")</f>
        <v>54240634227</v>
      </c>
      <c r="I775" s="3" t="s">
        <v>34</v>
      </c>
      <c r="J775" s="3" t="s">
        <v>35</v>
      </c>
      <c r="K775" s="3"/>
      <c r="L775" s="3" t="s">
        <v>36</v>
      </c>
      <c r="M775" s="3" t="str">
        <f>CONCATENATE("GDNVGN88C58C357S")</f>
        <v>GDNVGN88C58C357S</v>
      </c>
      <c r="N775" s="3" t="s">
        <v>897</v>
      </c>
      <c r="O775" s="3" t="s">
        <v>38</v>
      </c>
      <c r="P775" s="3"/>
      <c r="Q775" s="4">
        <v>45944</v>
      </c>
      <c r="R775" s="3" t="s">
        <v>39</v>
      </c>
      <c r="S775" s="3" t="s">
        <v>38</v>
      </c>
      <c r="T775" s="3" t="s">
        <v>40</v>
      </c>
      <c r="U775" s="3"/>
      <c r="V775" s="3" t="s">
        <v>41</v>
      </c>
      <c r="W775" s="5">
        <v>4118.6400000000003</v>
      </c>
      <c r="X775" s="5">
        <v>3088.98</v>
      </c>
      <c r="Y775" s="3">
        <v>720.76</v>
      </c>
      <c r="Z775" s="3">
        <v>308.89999999999998</v>
      </c>
      <c r="AA775" s="3">
        <v>0</v>
      </c>
    </row>
    <row r="776" spans="1:27" ht="72.75" x14ac:dyDescent="0.25">
      <c r="A776" s="3" t="s">
        <v>28</v>
      </c>
      <c r="B776" s="3" t="s">
        <v>29</v>
      </c>
      <c r="C776" s="3" t="s">
        <v>30</v>
      </c>
      <c r="D776" s="3" t="s">
        <v>63</v>
      </c>
      <c r="E776" s="3" t="s">
        <v>53</v>
      </c>
      <c r="F776" s="3" t="s">
        <v>180</v>
      </c>
      <c r="G776" s="3">
        <v>2025</v>
      </c>
      <c r="H776" s="3" t="str">
        <f>CONCATENATE("54240635026")</f>
        <v>54240635026</v>
      </c>
      <c r="I776" s="3" t="s">
        <v>34</v>
      </c>
      <c r="J776" s="3" t="s">
        <v>35</v>
      </c>
      <c r="K776" s="3"/>
      <c r="L776" s="3" t="s">
        <v>36</v>
      </c>
      <c r="M776" s="3" t="str">
        <f>CONCATENATE("RZZNMR00L57A462V")</f>
        <v>RZZNMR00L57A462V</v>
      </c>
      <c r="N776" s="3" t="s">
        <v>898</v>
      </c>
      <c r="O776" s="3" t="s">
        <v>38</v>
      </c>
      <c r="P776" s="3"/>
      <c r="Q776" s="4">
        <v>45944</v>
      </c>
      <c r="R776" s="3" t="s">
        <v>39</v>
      </c>
      <c r="S776" s="3" t="s">
        <v>38</v>
      </c>
      <c r="T776" s="3" t="s">
        <v>40</v>
      </c>
      <c r="U776" s="3"/>
      <c r="V776" s="3" t="s">
        <v>41</v>
      </c>
      <c r="W776" s="5">
        <v>4635.29</v>
      </c>
      <c r="X776" s="5">
        <v>3476.47</v>
      </c>
      <c r="Y776" s="3">
        <v>811.18</v>
      </c>
      <c r="Z776" s="3">
        <v>347.64</v>
      </c>
      <c r="AA776" s="3">
        <v>0</v>
      </c>
    </row>
    <row r="777" spans="1:27" ht="60.75" x14ac:dyDescent="0.25">
      <c r="A777" s="3" t="s">
        <v>28</v>
      </c>
      <c r="B777" s="3" t="s">
        <v>29</v>
      </c>
      <c r="C777" s="3" t="s">
        <v>30</v>
      </c>
      <c r="D777" s="3" t="s">
        <v>63</v>
      </c>
      <c r="E777" s="3" t="s">
        <v>53</v>
      </c>
      <c r="F777" s="3" t="s">
        <v>899</v>
      </c>
      <c r="G777" s="3">
        <v>2025</v>
      </c>
      <c r="H777" s="3" t="str">
        <f>CONCATENATE("54240635299")</f>
        <v>54240635299</v>
      </c>
      <c r="I777" s="3" t="s">
        <v>34</v>
      </c>
      <c r="J777" s="3" t="s">
        <v>35</v>
      </c>
      <c r="K777" s="3"/>
      <c r="L777" s="3" t="s">
        <v>36</v>
      </c>
      <c r="M777" s="3" t="str">
        <f>CONCATENATE("VNRTMY82R17Z103P")</f>
        <v>VNRTMY82R17Z103P</v>
      </c>
      <c r="N777" s="3" t="s">
        <v>900</v>
      </c>
      <c r="O777" s="3" t="s">
        <v>38</v>
      </c>
      <c r="P777" s="3"/>
      <c r="Q777" s="4">
        <v>45944</v>
      </c>
      <c r="R777" s="3" t="s">
        <v>39</v>
      </c>
      <c r="S777" s="3" t="s">
        <v>38</v>
      </c>
      <c r="T777" s="3" t="s">
        <v>40</v>
      </c>
      <c r="U777" s="3"/>
      <c r="V777" s="3" t="s">
        <v>41</v>
      </c>
      <c r="W777" s="3">
        <v>855</v>
      </c>
      <c r="X777" s="3">
        <v>641.25</v>
      </c>
      <c r="Y777" s="3">
        <v>149.63</v>
      </c>
      <c r="Z777" s="3">
        <v>64.12</v>
      </c>
      <c r="AA777" s="3">
        <v>0</v>
      </c>
    </row>
    <row r="778" spans="1:27" ht="36.75" x14ac:dyDescent="0.25">
      <c r="A778" s="3" t="s">
        <v>28</v>
      </c>
      <c r="B778" s="3" t="s">
        <v>29</v>
      </c>
      <c r="C778" s="3" t="s">
        <v>30</v>
      </c>
      <c r="D778" s="3" t="s">
        <v>58</v>
      </c>
      <c r="E778" s="3" t="s">
        <v>53</v>
      </c>
      <c r="F778" s="3" t="s">
        <v>123</v>
      </c>
      <c r="G778" s="3">
        <v>2025</v>
      </c>
      <c r="H778" s="3" t="str">
        <f>CONCATENATE("54240635745")</f>
        <v>54240635745</v>
      </c>
      <c r="I778" s="3" t="s">
        <v>34</v>
      </c>
      <c r="J778" s="3" t="s">
        <v>35</v>
      </c>
      <c r="K778" s="3"/>
      <c r="L778" s="3" t="s">
        <v>36</v>
      </c>
      <c r="M778" s="3" t="str">
        <f>CONCATENATE("02699870420")</f>
        <v>02699870420</v>
      </c>
      <c r="N778" s="3" t="s">
        <v>901</v>
      </c>
      <c r="O778" s="3" t="s">
        <v>38</v>
      </c>
      <c r="P778" s="3"/>
      <c r="Q778" s="4">
        <v>45944</v>
      </c>
      <c r="R778" s="3" t="s">
        <v>39</v>
      </c>
      <c r="S778" s="3" t="s">
        <v>38</v>
      </c>
      <c r="T778" s="3" t="s">
        <v>40</v>
      </c>
      <c r="U778" s="3"/>
      <c r="V778" s="3" t="s">
        <v>41</v>
      </c>
      <c r="W778" s="5">
        <v>1201.17</v>
      </c>
      <c r="X778" s="3">
        <v>900.88</v>
      </c>
      <c r="Y778" s="3">
        <v>210.2</v>
      </c>
      <c r="Z778" s="3">
        <v>90.09</v>
      </c>
      <c r="AA778" s="3">
        <v>0</v>
      </c>
    </row>
    <row r="779" spans="1:27" ht="60.75" x14ac:dyDescent="0.25">
      <c r="A779" s="3" t="s">
        <v>28</v>
      </c>
      <c r="B779" s="3" t="s">
        <v>29</v>
      </c>
      <c r="C779" s="3" t="s">
        <v>30</v>
      </c>
      <c r="D779" s="3" t="s">
        <v>31</v>
      </c>
      <c r="E779" s="3" t="s">
        <v>53</v>
      </c>
      <c r="F779" s="3" t="s">
        <v>483</v>
      </c>
      <c r="G779" s="3">
        <v>2025</v>
      </c>
      <c r="H779" s="3" t="str">
        <f>CONCATENATE("54240636305")</f>
        <v>54240636305</v>
      </c>
      <c r="I779" s="3" t="s">
        <v>34</v>
      </c>
      <c r="J779" s="3" t="s">
        <v>35</v>
      </c>
      <c r="K779" s="3"/>
      <c r="L779" s="3" t="s">
        <v>36</v>
      </c>
      <c r="M779" s="3" t="str">
        <f>CONCATENATE("RSNNDR75D11F347Q")</f>
        <v>RSNNDR75D11F347Q</v>
      </c>
      <c r="N779" s="3" t="s">
        <v>902</v>
      </c>
      <c r="O779" s="3" t="s">
        <v>38</v>
      </c>
      <c r="P779" s="3"/>
      <c r="Q779" s="4">
        <v>45944</v>
      </c>
      <c r="R779" s="3" t="s">
        <v>39</v>
      </c>
      <c r="S779" s="3" t="s">
        <v>38</v>
      </c>
      <c r="T779" s="3" t="s">
        <v>40</v>
      </c>
      <c r="U779" s="3"/>
      <c r="V779" s="3" t="s">
        <v>41</v>
      </c>
      <c r="W779" s="5">
        <v>5934.42</v>
      </c>
      <c r="X779" s="5">
        <v>4450.82</v>
      </c>
      <c r="Y779" s="5">
        <v>1038.52</v>
      </c>
      <c r="Z779" s="3">
        <v>445.08</v>
      </c>
      <c r="AA779" s="3">
        <v>0</v>
      </c>
    </row>
    <row r="780" spans="1:27" ht="72.75" x14ac:dyDescent="0.25">
      <c r="A780" s="3" t="s">
        <v>28</v>
      </c>
      <c r="B780" s="3" t="s">
        <v>29</v>
      </c>
      <c r="C780" s="3" t="s">
        <v>30</v>
      </c>
      <c r="D780" s="3" t="s">
        <v>58</v>
      </c>
      <c r="E780" s="3" t="s">
        <v>32</v>
      </c>
      <c r="F780" s="3" t="s">
        <v>98</v>
      </c>
      <c r="G780" s="3">
        <v>2025</v>
      </c>
      <c r="H780" s="3" t="str">
        <f>CONCATENATE("54240635661")</f>
        <v>54240635661</v>
      </c>
      <c r="I780" s="3" t="s">
        <v>34</v>
      </c>
      <c r="J780" s="3" t="s">
        <v>35</v>
      </c>
      <c r="K780" s="3"/>
      <c r="L780" s="3" t="s">
        <v>36</v>
      </c>
      <c r="M780" s="3" t="str">
        <f>CONCATENATE("BRBGPP86R69G230M")</f>
        <v>BRBGPP86R69G230M</v>
      </c>
      <c r="N780" s="3" t="s">
        <v>903</v>
      </c>
      <c r="O780" s="3" t="s">
        <v>38</v>
      </c>
      <c r="P780" s="3"/>
      <c r="Q780" s="4">
        <v>45944</v>
      </c>
      <c r="R780" s="3" t="s">
        <v>39</v>
      </c>
      <c r="S780" s="3" t="s">
        <v>38</v>
      </c>
      <c r="T780" s="3" t="s">
        <v>40</v>
      </c>
      <c r="U780" s="3"/>
      <c r="V780" s="3" t="s">
        <v>41</v>
      </c>
      <c r="W780" s="3">
        <v>564.07000000000005</v>
      </c>
      <c r="X780" s="3">
        <v>423.05</v>
      </c>
      <c r="Y780" s="3">
        <v>98.71</v>
      </c>
      <c r="Z780" s="3">
        <v>42.31</v>
      </c>
      <c r="AA780" s="3">
        <v>0</v>
      </c>
    </row>
    <row r="781" spans="1:27" ht="60.75" x14ac:dyDescent="0.25">
      <c r="A781" s="3" t="s">
        <v>28</v>
      </c>
      <c r="B781" s="3" t="s">
        <v>29</v>
      </c>
      <c r="C781" s="3" t="s">
        <v>30</v>
      </c>
      <c r="D781" s="3" t="s">
        <v>63</v>
      </c>
      <c r="E781" s="3" t="s">
        <v>53</v>
      </c>
      <c r="F781" s="3" t="s">
        <v>899</v>
      </c>
      <c r="G781" s="3">
        <v>2025</v>
      </c>
      <c r="H781" s="3" t="str">
        <f>CONCATENATE("54240635851")</f>
        <v>54240635851</v>
      </c>
      <c r="I781" s="3" t="s">
        <v>34</v>
      </c>
      <c r="J781" s="3" t="s">
        <v>35</v>
      </c>
      <c r="K781" s="3"/>
      <c r="L781" s="3" t="s">
        <v>36</v>
      </c>
      <c r="M781" s="3" t="str">
        <f>CONCATENATE("PLTPLA76B28D542M")</f>
        <v>PLTPLA76B28D542M</v>
      </c>
      <c r="N781" s="3" t="s">
        <v>904</v>
      </c>
      <c r="O781" s="3" t="s">
        <v>38</v>
      </c>
      <c r="P781" s="3"/>
      <c r="Q781" s="4">
        <v>45944</v>
      </c>
      <c r="R781" s="3" t="s">
        <v>39</v>
      </c>
      <c r="S781" s="3" t="s">
        <v>38</v>
      </c>
      <c r="T781" s="3" t="s">
        <v>40</v>
      </c>
      <c r="U781" s="3"/>
      <c r="V781" s="3" t="s">
        <v>41</v>
      </c>
      <c r="W781" s="5">
        <v>2400.4299999999998</v>
      </c>
      <c r="X781" s="5">
        <v>1800.32</v>
      </c>
      <c r="Y781" s="3">
        <v>420.08</v>
      </c>
      <c r="Z781" s="3">
        <v>180.03</v>
      </c>
      <c r="AA781" s="3">
        <v>0</v>
      </c>
    </row>
    <row r="782" spans="1:27" ht="60.75" x14ac:dyDescent="0.25">
      <c r="A782" s="3" t="s">
        <v>28</v>
      </c>
      <c r="B782" s="3" t="s">
        <v>29</v>
      </c>
      <c r="C782" s="3" t="s">
        <v>30</v>
      </c>
      <c r="D782" s="3" t="s">
        <v>58</v>
      </c>
      <c r="E782" s="3" t="s">
        <v>53</v>
      </c>
      <c r="F782" s="3" t="s">
        <v>59</v>
      </c>
      <c r="G782" s="3">
        <v>2025</v>
      </c>
      <c r="H782" s="3" t="str">
        <f>CONCATENATE("54240621190")</f>
        <v>54240621190</v>
      </c>
      <c r="I782" s="3" t="s">
        <v>34</v>
      </c>
      <c r="J782" s="3" t="s">
        <v>35</v>
      </c>
      <c r="K782" s="3"/>
      <c r="L782" s="3" t="s">
        <v>36</v>
      </c>
      <c r="M782" s="3" t="str">
        <f>CONCATENATE("PCCDNL82T29D451P")</f>
        <v>PCCDNL82T29D451P</v>
      </c>
      <c r="N782" s="3" t="s">
        <v>905</v>
      </c>
      <c r="O782" s="3" t="s">
        <v>38</v>
      </c>
      <c r="P782" s="3"/>
      <c r="Q782" s="4">
        <v>45944</v>
      </c>
      <c r="R782" s="3" t="s">
        <v>39</v>
      </c>
      <c r="S782" s="3" t="s">
        <v>38</v>
      </c>
      <c r="T782" s="3" t="s">
        <v>40</v>
      </c>
      <c r="U782" s="3"/>
      <c r="V782" s="3" t="s">
        <v>41</v>
      </c>
      <c r="W782" s="5">
        <v>13316.61</v>
      </c>
      <c r="X782" s="5">
        <v>9987.4599999999991</v>
      </c>
      <c r="Y782" s="5">
        <v>2330.41</v>
      </c>
      <c r="Z782" s="3">
        <v>998.74</v>
      </c>
      <c r="AA782" s="3">
        <v>0</v>
      </c>
    </row>
    <row r="783" spans="1:27" ht="72.75" x14ac:dyDescent="0.25">
      <c r="A783" s="3" t="s">
        <v>28</v>
      </c>
      <c r="B783" s="3" t="s">
        <v>29</v>
      </c>
      <c r="C783" s="3" t="s">
        <v>30</v>
      </c>
      <c r="D783" s="3" t="s">
        <v>31</v>
      </c>
      <c r="E783" s="3" t="s">
        <v>91</v>
      </c>
      <c r="F783" s="3" t="s">
        <v>111</v>
      </c>
      <c r="G783" s="3">
        <v>2025</v>
      </c>
      <c r="H783" s="3" t="str">
        <f>CONCATENATE("54240621406")</f>
        <v>54240621406</v>
      </c>
      <c r="I783" s="3" t="s">
        <v>34</v>
      </c>
      <c r="J783" s="3" t="s">
        <v>35</v>
      </c>
      <c r="K783" s="3"/>
      <c r="L783" s="3" t="s">
        <v>36</v>
      </c>
      <c r="M783" s="3" t="str">
        <f>CONCATENATE("VLNMRS40A63D791B")</f>
        <v>VLNMRS40A63D791B</v>
      </c>
      <c r="N783" s="3" t="s">
        <v>906</v>
      </c>
      <c r="O783" s="3" t="s">
        <v>38</v>
      </c>
      <c r="P783" s="3"/>
      <c r="Q783" s="4">
        <v>45944</v>
      </c>
      <c r="R783" s="3" t="s">
        <v>39</v>
      </c>
      <c r="S783" s="3" t="s">
        <v>38</v>
      </c>
      <c r="T783" s="3" t="s">
        <v>40</v>
      </c>
      <c r="U783" s="3"/>
      <c r="V783" s="3" t="s">
        <v>41</v>
      </c>
      <c r="W783" s="3">
        <v>518.36</v>
      </c>
      <c r="X783" s="3">
        <v>388.77</v>
      </c>
      <c r="Y783" s="3">
        <v>90.71</v>
      </c>
      <c r="Z783" s="3">
        <v>38.880000000000003</v>
      </c>
      <c r="AA783" s="3">
        <v>0</v>
      </c>
    </row>
    <row r="784" spans="1:27" ht="60.75" x14ac:dyDescent="0.25">
      <c r="A784" s="3" t="s">
        <v>28</v>
      </c>
      <c r="B784" s="3" t="s">
        <v>29</v>
      </c>
      <c r="C784" s="3" t="s">
        <v>30</v>
      </c>
      <c r="D784" s="3" t="s">
        <v>49</v>
      </c>
      <c r="E784" s="3" t="s">
        <v>46</v>
      </c>
      <c r="F784" s="3" t="s">
        <v>126</v>
      </c>
      <c r="G784" s="3">
        <v>2025</v>
      </c>
      <c r="H784" s="3" t="str">
        <f>CONCATENATE("54240631116")</f>
        <v>54240631116</v>
      </c>
      <c r="I784" s="3" t="s">
        <v>34</v>
      </c>
      <c r="J784" s="3" t="s">
        <v>35</v>
      </c>
      <c r="K784" s="3"/>
      <c r="L784" s="3" t="s">
        <v>36</v>
      </c>
      <c r="M784" s="3" t="str">
        <f>CONCATENATE("VNDJMN89T62Z103Z")</f>
        <v>VNDJMN89T62Z103Z</v>
      </c>
      <c r="N784" s="3" t="s">
        <v>907</v>
      </c>
      <c r="O784" s="3" t="s">
        <v>38</v>
      </c>
      <c r="P784" s="3"/>
      <c r="Q784" s="4">
        <v>45944</v>
      </c>
      <c r="R784" s="3" t="s">
        <v>39</v>
      </c>
      <c r="S784" s="3" t="s">
        <v>38</v>
      </c>
      <c r="T784" s="3" t="s">
        <v>40</v>
      </c>
      <c r="U784" s="3"/>
      <c r="V784" s="3" t="s">
        <v>41</v>
      </c>
      <c r="W784" s="3">
        <v>687.22</v>
      </c>
      <c r="X784" s="3">
        <v>515.41999999999996</v>
      </c>
      <c r="Y784" s="3">
        <v>120.26</v>
      </c>
      <c r="Z784" s="3">
        <v>51.54</v>
      </c>
      <c r="AA784" s="3">
        <v>0</v>
      </c>
    </row>
    <row r="785" spans="1:27" ht="36.75" x14ac:dyDescent="0.25">
      <c r="A785" s="3" t="s">
        <v>28</v>
      </c>
      <c r="B785" s="3" t="s">
        <v>29</v>
      </c>
      <c r="C785" s="3" t="s">
        <v>30</v>
      </c>
      <c r="D785" s="3" t="s">
        <v>49</v>
      </c>
      <c r="E785" s="3" t="s">
        <v>91</v>
      </c>
      <c r="F785" s="3" t="s">
        <v>92</v>
      </c>
      <c r="G785" s="3">
        <v>2025</v>
      </c>
      <c r="H785" s="3" t="str">
        <f>CONCATENATE("54240622180")</f>
        <v>54240622180</v>
      </c>
      <c r="I785" s="3" t="s">
        <v>34</v>
      </c>
      <c r="J785" s="3" t="s">
        <v>35</v>
      </c>
      <c r="K785" s="3"/>
      <c r="L785" s="3" t="s">
        <v>36</v>
      </c>
      <c r="M785" s="3" t="str">
        <f>CONCATENATE("02145800435")</f>
        <v>02145800435</v>
      </c>
      <c r="N785" s="3" t="s">
        <v>908</v>
      </c>
      <c r="O785" s="3" t="s">
        <v>38</v>
      </c>
      <c r="P785" s="3"/>
      <c r="Q785" s="4">
        <v>45944</v>
      </c>
      <c r="R785" s="3" t="s">
        <v>39</v>
      </c>
      <c r="S785" s="3" t="s">
        <v>38</v>
      </c>
      <c r="T785" s="3" t="s">
        <v>40</v>
      </c>
      <c r="U785" s="3"/>
      <c r="V785" s="3" t="s">
        <v>41</v>
      </c>
      <c r="W785" s="3">
        <v>691.73</v>
      </c>
      <c r="X785" s="3">
        <v>518.79999999999995</v>
      </c>
      <c r="Y785" s="3">
        <v>121.05</v>
      </c>
      <c r="Z785" s="3">
        <v>51.88</v>
      </c>
      <c r="AA785" s="3">
        <v>0</v>
      </c>
    </row>
    <row r="786" spans="1:27" ht="36.75" x14ac:dyDescent="0.25">
      <c r="A786" s="3" t="s">
        <v>28</v>
      </c>
      <c r="B786" s="3" t="s">
        <v>29</v>
      </c>
      <c r="C786" s="3" t="s">
        <v>30</v>
      </c>
      <c r="D786" s="3" t="s">
        <v>49</v>
      </c>
      <c r="E786" s="3" t="s">
        <v>32</v>
      </c>
      <c r="F786" s="3" t="s">
        <v>272</v>
      </c>
      <c r="G786" s="3">
        <v>2025</v>
      </c>
      <c r="H786" s="3" t="str">
        <f>CONCATENATE("54240622222")</f>
        <v>54240622222</v>
      </c>
      <c r="I786" s="3" t="s">
        <v>34</v>
      </c>
      <c r="J786" s="3" t="s">
        <v>35</v>
      </c>
      <c r="K786" s="3"/>
      <c r="L786" s="3" t="s">
        <v>36</v>
      </c>
      <c r="M786" s="3" t="str">
        <f>CONCATENATE("02050730437")</f>
        <v>02050730437</v>
      </c>
      <c r="N786" s="3" t="s">
        <v>909</v>
      </c>
      <c r="O786" s="3" t="s">
        <v>38</v>
      </c>
      <c r="P786" s="3"/>
      <c r="Q786" s="4">
        <v>45944</v>
      </c>
      <c r="R786" s="3" t="s">
        <v>39</v>
      </c>
      <c r="S786" s="3" t="s">
        <v>38</v>
      </c>
      <c r="T786" s="3" t="s">
        <v>40</v>
      </c>
      <c r="U786" s="3"/>
      <c r="V786" s="3" t="s">
        <v>41</v>
      </c>
      <c r="W786" s="5">
        <v>6152.19</v>
      </c>
      <c r="X786" s="5">
        <v>4614.1400000000003</v>
      </c>
      <c r="Y786" s="5">
        <v>1076.6300000000001</v>
      </c>
      <c r="Z786" s="3">
        <v>461.42</v>
      </c>
      <c r="AA786" s="3">
        <v>0</v>
      </c>
    </row>
    <row r="787" spans="1:27" ht="60.75" x14ac:dyDescent="0.25">
      <c r="A787" s="3" t="s">
        <v>28</v>
      </c>
      <c r="B787" s="3" t="s">
        <v>29</v>
      </c>
      <c r="C787" s="3" t="s">
        <v>30</v>
      </c>
      <c r="D787" s="3" t="s">
        <v>31</v>
      </c>
      <c r="E787" s="3" t="s">
        <v>53</v>
      </c>
      <c r="F787" s="3" t="s">
        <v>483</v>
      </c>
      <c r="G787" s="3">
        <v>2025</v>
      </c>
      <c r="H787" s="3" t="str">
        <f>CONCATENATE("54240627460")</f>
        <v>54240627460</v>
      </c>
      <c r="I787" s="3" t="s">
        <v>34</v>
      </c>
      <c r="J787" s="3" t="s">
        <v>35</v>
      </c>
      <c r="K787" s="3"/>
      <c r="L787" s="3" t="s">
        <v>36</v>
      </c>
      <c r="M787" s="3" t="str">
        <f>CONCATENATE("FNLCRL53B44E256F")</f>
        <v>FNLCRL53B44E256F</v>
      </c>
      <c r="N787" s="3" t="s">
        <v>910</v>
      </c>
      <c r="O787" s="3" t="s">
        <v>38</v>
      </c>
      <c r="P787" s="3"/>
      <c r="Q787" s="4">
        <v>45944</v>
      </c>
      <c r="R787" s="3" t="s">
        <v>39</v>
      </c>
      <c r="S787" s="3" t="s">
        <v>38</v>
      </c>
      <c r="T787" s="3" t="s">
        <v>40</v>
      </c>
      <c r="U787" s="3"/>
      <c r="V787" s="3" t="s">
        <v>41</v>
      </c>
      <c r="W787" s="5">
        <v>2908.04</v>
      </c>
      <c r="X787" s="5">
        <v>2181.0300000000002</v>
      </c>
      <c r="Y787" s="3">
        <v>508.91</v>
      </c>
      <c r="Z787" s="3">
        <v>218.1</v>
      </c>
      <c r="AA787" s="3">
        <v>0</v>
      </c>
    </row>
    <row r="788" spans="1:27" ht="60.75" x14ac:dyDescent="0.25">
      <c r="A788" s="3" t="s">
        <v>28</v>
      </c>
      <c r="B788" s="3" t="s">
        <v>29</v>
      </c>
      <c r="C788" s="3" t="s">
        <v>30</v>
      </c>
      <c r="D788" s="3" t="s">
        <v>31</v>
      </c>
      <c r="E788" s="3" t="s">
        <v>53</v>
      </c>
      <c r="F788" s="3" t="s">
        <v>233</v>
      </c>
      <c r="G788" s="3">
        <v>2025</v>
      </c>
      <c r="H788" s="3" t="str">
        <f>CONCATENATE("54240622495")</f>
        <v>54240622495</v>
      </c>
      <c r="I788" s="3" t="s">
        <v>34</v>
      </c>
      <c r="J788" s="3" t="s">
        <v>35</v>
      </c>
      <c r="K788" s="3"/>
      <c r="L788" s="3" t="s">
        <v>36</v>
      </c>
      <c r="M788" s="3" t="str">
        <f>CONCATENATE("RSSFNC71M06D488Z")</f>
        <v>RSSFNC71M06D488Z</v>
      </c>
      <c r="N788" s="3" t="s">
        <v>911</v>
      </c>
      <c r="O788" s="3" t="s">
        <v>38</v>
      </c>
      <c r="P788" s="3"/>
      <c r="Q788" s="4">
        <v>45944</v>
      </c>
      <c r="R788" s="3" t="s">
        <v>39</v>
      </c>
      <c r="S788" s="3" t="s">
        <v>38</v>
      </c>
      <c r="T788" s="3" t="s">
        <v>40</v>
      </c>
      <c r="U788" s="3"/>
      <c r="V788" s="3" t="s">
        <v>41</v>
      </c>
      <c r="W788" s="5">
        <v>11986.45</v>
      </c>
      <c r="X788" s="5">
        <v>8989.84</v>
      </c>
      <c r="Y788" s="5">
        <v>2097.63</v>
      </c>
      <c r="Z788" s="3">
        <v>898.98</v>
      </c>
      <c r="AA788" s="3">
        <v>0</v>
      </c>
    </row>
    <row r="789" spans="1:27" ht="60.75" x14ac:dyDescent="0.25">
      <c r="A789" s="3" t="s">
        <v>28</v>
      </c>
      <c r="B789" s="3" t="s">
        <v>29</v>
      </c>
      <c r="C789" s="3" t="s">
        <v>30</v>
      </c>
      <c r="D789" s="3" t="s">
        <v>58</v>
      </c>
      <c r="E789" s="3" t="s">
        <v>32</v>
      </c>
      <c r="F789" s="3" t="s">
        <v>96</v>
      </c>
      <c r="G789" s="3">
        <v>2025</v>
      </c>
      <c r="H789" s="3" t="str">
        <f>CONCATENATE("54240622685")</f>
        <v>54240622685</v>
      </c>
      <c r="I789" s="3" t="s">
        <v>34</v>
      </c>
      <c r="J789" s="3" t="s">
        <v>35</v>
      </c>
      <c r="K789" s="3"/>
      <c r="L789" s="3" t="s">
        <v>36</v>
      </c>
      <c r="M789" s="3" t="str">
        <f>CONCATENATE("RSSFSC63B60F356K")</f>
        <v>RSSFSC63B60F356K</v>
      </c>
      <c r="N789" s="3" t="s">
        <v>912</v>
      </c>
      <c r="O789" s="3" t="s">
        <v>38</v>
      </c>
      <c r="P789" s="3"/>
      <c r="Q789" s="4">
        <v>45944</v>
      </c>
      <c r="R789" s="3" t="s">
        <v>39</v>
      </c>
      <c r="S789" s="3" t="s">
        <v>38</v>
      </c>
      <c r="T789" s="3" t="s">
        <v>40</v>
      </c>
      <c r="U789" s="3"/>
      <c r="V789" s="3" t="s">
        <v>41</v>
      </c>
      <c r="W789" s="5">
        <v>5279.69</v>
      </c>
      <c r="X789" s="5">
        <v>3959.77</v>
      </c>
      <c r="Y789" s="3">
        <v>923.95</v>
      </c>
      <c r="Z789" s="3">
        <v>395.97</v>
      </c>
      <c r="AA789" s="3">
        <v>0</v>
      </c>
    </row>
    <row r="790" spans="1:27" ht="36.75" x14ac:dyDescent="0.25">
      <c r="A790" s="3" t="s">
        <v>28</v>
      </c>
      <c r="B790" s="3" t="s">
        <v>29</v>
      </c>
      <c r="C790" s="3" t="s">
        <v>30</v>
      </c>
      <c r="D790" s="3" t="s">
        <v>49</v>
      </c>
      <c r="E790" s="3" t="s">
        <v>32</v>
      </c>
      <c r="F790" s="3" t="s">
        <v>71</v>
      </c>
      <c r="G790" s="3">
        <v>2025</v>
      </c>
      <c r="H790" s="3" t="str">
        <f>CONCATENATE("54240622735")</f>
        <v>54240622735</v>
      </c>
      <c r="I790" s="3" t="s">
        <v>34</v>
      </c>
      <c r="J790" s="3" t="s">
        <v>35</v>
      </c>
      <c r="K790" s="3"/>
      <c r="L790" s="3" t="s">
        <v>36</v>
      </c>
      <c r="M790" s="3" t="str">
        <f>CONCATENATE("02059570438")</f>
        <v>02059570438</v>
      </c>
      <c r="N790" s="3" t="s">
        <v>913</v>
      </c>
      <c r="O790" s="3" t="s">
        <v>38</v>
      </c>
      <c r="P790" s="3"/>
      <c r="Q790" s="4">
        <v>45944</v>
      </c>
      <c r="R790" s="3" t="s">
        <v>39</v>
      </c>
      <c r="S790" s="3" t="s">
        <v>38</v>
      </c>
      <c r="T790" s="3" t="s">
        <v>40</v>
      </c>
      <c r="U790" s="3"/>
      <c r="V790" s="3" t="s">
        <v>41</v>
      </c>
      <c r="W790" s="5">
        <v>3748.48</v>
      </c>
      <c r="X790" s="5">
        <v>2811.36</v>
      </c>
      <c r="Y790" s="3">
        <v>655.98</v>
      </c>
      <c r="Z790" s="3">
        <v>281.14</v>
      </c>
      <c r="AA790" s="3">
        <v>0</v>
      </c>
    </row>
    <row r="791" spans="1:27" ht="72.75" x14ac:dyDescent="0.25">
      <c r="A791" s="3" t="s">
        <v>28</v>
      </c>
      <c r="B791" s="3" t="s">
        <v>29</v>
      </c>
      <c r="C791" s="3" t="s">
        <v>30</v>
      </c>
      <c r="D791" s="3" t="s">
        <v>31</v>
      </c>
      <c r="E791" s="3" t="s">
        <v>32</v>
      </c>
      <c r="F791" s="3" t="s">
        <v>56</v>
      </c>
      <c r="G791" s="3">
        <v>2025</v>
      </c>
      <c r="H791" s="3" t="str">
        <f>CONCATENATE("54240623584")</f>
        <v>54240623584</v>
      </c>
      <c r="I791" s="3" t="s">
        <v>34</v>
      </c>
      <c r="J791" s="3" t="s">
        <v>35</v>
      </c>
      <c r="K791" s="3"/>
      <c r="L791" s="3" t="s">
        <v>36</v>
      </c>
      <c r="M791" s="3" t="str">
        <f>CONCATENATE("CRBSMN73H62G479G")</f>
        <v>CRBSMN73H62G479G</v>
      </c>
      <c r="N791" s="3" t="s">
        <v>914</v>
      </c>
      <c r="O791" s="3" t="s">
        <v>38</v>
      </c>
      <c r="P791" s="3"/>
      <c r="Q791" s="4">
        <v>45944</v>
      </c>
      <c r="R791" s="3" t="s">
        <v>39</v>
      </c>
      <c r="S791" s="3" t="s">
        <v>38</v>
      </c>
      <c r="T791" s="3" t="s">
        <v>40</v>
      </c>
      <c r="U791" s="3"/>
      <c r="V791" s="3" t="s">
        <v>41</v>
      </c>
      <c r="W791" s="5">
        <v>4595.01</v>
      </c>
      <c r="X791" s="5">
        <v>3446.26</v>
      </c>
      <c r="Y791" s="3">
        <v>804.13</v>
      </c>
      <c r="Z791" s="3">
        <v>344.62</v>
      </c>
      <c r="AA791" s="3">
        <v>0</v>
      </c>
    </row>
    <row r="792" spans="1:27" ht="36.75" x14ac:dyDescent="0.25">
      <c r="A792" s="3" t="s">
        <v>28</v>
      </c>
      <c r="B792" s="3" t="s">
        <v>29</v>
      </c>
      <c r="C792" s="3" t="s">
        <v>30</v>
      </c>
      <c r="D792" s="3" t="s">
        <v>49</v>
      </c>
      <c r="E792" s="3" t="s">
        <v>46</v>
      </c>
      <c r="F792" s="3" t="s">
        <v>205</v>
      </c>
      <c r="G792" s="3">
        <v>2025</v>
      </c>
      <c r="H792" s="3" t="str">
        <f>CONCATENATE("54240623949")</f>
        <v>54240623949</v>
      </c>
      <c r="I792" s="3" t="s">
        <v>149</v>
      </c>
      <c r="J792" s="3" t="s">
        <v>35</v>
      </c>
      <c r="K792" s="3"/>
      <c r="L792" s="3" t="s">
        <v>36</v>
      </c>
      <c r="M792" s="3" t="str">
        <f>CONCATENATE("02042090437")</f>
        <v>02042090437</v>
      </c>
      <c r="N792" s="3" t="s">
        <v>915</v>
      </c>
      <c r="O792" s="3" t="s">
        <v>38</v>
      </c>
      <c r="P792" s="3"/>
      <c r="Q792" s="4">
        <v>45944</v>
      </c>
      <c r="R792" s="3" t="s">
        <v>39</v>
      </c>
      <c r="S792" s="3" t="s">
        <v>38</v>
      </c>
      <c r="T792" s="3" t="s">
        <v>40</v>
      </c>
      <c r="U792" s="3"/>
      <c r="V792" s="3" t="s">
        <v>41</v>
      </c>
      <c r="W792" s="5">
        <v>1086.9100000000001</v>
      </c>
      <c r="X792" s="3">
        <v>815.18</v>
      </c>
      <c r="Y792" s="3">
        <v>190.21</v>
      </c>
      <c r="Z792" s="3">
        <v>81.52</v>
      </c>
      <c r="AA792" s="3">
        <v>0</v>
      </c>
    </row>
    <row r="793" spans="1:27" ht="60.75" x14ac:dyDescent="0.25">
      <c r="A793" s="3" t="s">
        <v>28</v>
      </c>
      <c r="B793" s="3" t="s">
        <v>29</v>
      </c>
      <c r="C793" s="3" t="s">
        <v>30</v>
      </c>
      <c r="D793" s="3" t="s">
        <v>31</v>
      </c>
      <c r="E793" s="3" t="s">
        <v>53</v>
      </c>
      <c r="F793" s="3" t="s">
        <v>172</v>
      </c>
      <c r="G793" s="3">
        <v>2025</v>
      </c>
      <c r="H793" s="3" t="str">
        <f>CONCATENATE("54240624129")</f>
        <v>54240624129</v>
      </c>
      <c r="I793" s="3" t="s">
        <v>34</v>
      </c>
      <c r="J793" s="3" t="s">
        <v>35</v>
      </c>
      <c r="K793" s="3"/>
      <c r="L793" s="3" t="s">
        <v>36</v>
      </c>
      <c r="M793" s="3" t="str">
        <f>CONCATENATE("MLCLSS99B54D488C")</f>
        <v>MLCLSS99B54D488C</v>
      </c>
      <c r="N793" s="3" t="s">
        <v>916</v>
      </c>
      <c r="O793" s="3" t="s">
        <v>38</v>
      </c>
      <c r="P793" s="3"/>
      <c r="Q793" s="4">
        <v>45944</v>
      </c>
      <c r="R793" s="3" t="s">
        <v>39</v>
      </c>
      <c r="S793" s="3" t="s">
        <v>38</v>
      </c>
      <c r="T793" s="3" t="s">
        <v>40</v>
      </c>
      <c r="U793" s="3"/>
      <c r="V793" s="3" t="s">
        <v>41</v>
      </c>
      <c r="W793" s="5">
        <v>5481.4</v>
      </c>
      <c r="X793" s="5">
        <v>4111.05</v>
      </c>
      <c r="Y793" s="3">
        <v>959.25</v>
      </c>
      <c r="Z793" s="3">
        <v>411.1</v>
      </c>
      <c r="AA793" s="3">
        <v>0</v>
      </c>
    </row>
    <row r="794" spans="1:27" ht="36.75" x14ac:dyDescent="0.25">
      <c r="A794" s="3" t="s">
        <v>28</v>
      </c>
      <c r="B794" s="3" t="s">
        <v>29</v>
      </c>
      <c r="C794" s="3" t="s">
        <v>30</v>
      </c>
      <c r="D794" s="3" t="s">
        <v>49</v>
      </c>
      <c r="E794" s="3" t="s">
        <v>32</v>
      </c>
      <c r="F794" s="3" t="s">
        <v>272</v>
      </c>
      <c r="G794" s="3">
        <v>2025</v>
      </c>
      <c r="H794" s="3" t="str">
        <f>CONCATENATE("54240624103")</f>
        <v>54240624103</v>
      </c>
      <c r="I794" s="3" t="s">
        <v>34</v>
      </c>
      <c r="J794" s="3" t="s">
        <v>35</v>
      </c>
      <c r="K794" s="3"/>
      <c r="L794" s="3" t="s">
        <v>36</v>
      </c>
      <c r="M794" s="3" t="str">
        <f>CONCATENATE("01763810437")</f>
        <v>01763810437</v>
      </c>
      <c r="N794" s="3" t="s">
        <v>917</v>
      </c>
      <c r="O794" s="3" t="s">
        <v>38</v>
      </c>
      <c r="P794" s="3"/>
      <c r="Q794" s="4">
        <v>45944</v>
      </c>
      <c r="R794" s="3" t="s">
        <v>39</v>
      </c>
      <c r="S794" s="3" t="s">
        <v>38</v>
      </c>
      <c r="T794" s="3" t="s">
        <v>40</v>
      </c>
      <c r="U794" s="3"/>
      <c r="V794" s="3" t="s">
        <v>41</v>
      </c>
      <c r="W794" s="5">
        <v>2403.08</v>
      </c>
      <c r="X794" s="5">
        <v>1802.31</v>
      </c>
      <c r="Y794" s="3">
        <v>420.54</v>
      </c>
      <c r="Z794" s="3">
        <v>180.23</v>
      </c>
      <c r="AA794" s="3">
        <v>0</v>
      </c>
    </row>
    <row r="795" spans="1:27" ht="60.75" x14ac:dyDescent="0.25">
      <c r="A795" s="3" t="s">
        <v>28</v>
      </c>
      <c r="B795" s="3" t="s">
        <v>29</v>
      </c>
      <c r="C795" s="3" t="s">
        <v>30</v>
      </c>
      <c r="D795" s="3" t="s">
        <v>31</v>
      </c>
      <c r="E795" s="3" t="s">
        <v>32</v>
      </c>
      <c r="F795" s="3" t="s">
        <v>153</v>
      </c>
      <c r="G795" s="3">
        <v>2025</v>
      </c>
      <c r="H795" s="3" t="str">
        <f>CONCATENATE("54240624202")</f>
        <v>54240624202</v>
      </c>
      <c r="I795" s="3" t="s">
        <v>34</v>
      </c>
      <c r="J795" s="3" t="s">
        <v>35</v>
      </c>
      <c r="K795" s="3"/>
      <c r="L795" s="3" t="s">
        <v>36</v>
      </c>
      <c r="M795" s="3" t="str">
        <f>CONCATENATE("RMTPTR03A20D488X")</f>
        <v>RMTPTR03A20D488X</v>
      </c>
      <c r="N795" s="3" t="s">
        <v>918</v>
      </c>
      <c r="O795" s="3" t="s">
        <v>38</v>
      </c>
      <c r="P795" s="3"/>
      <c r="Q795" s="4">
        <v>45944</v>
      </c>
      <c r="R795" s="3" t="s">
        <v>39</v>
      </c>
      <c r="S795" s="3" t="s">
        <v>38</v>
      </c>
      <c r="T795" s="3" t="s">
        <v>40</v>
      </c>
      <c r="U795" s="3"/>
      <c r="V795" s="3" t="s">
        <v>41</v>
      </c>
      <c r="W795" s="5">
        <v>11608.58</v>
      </c>
      <c r="X795" s="5">
        <v>8706.44</v>
      </c>
      <c r="Y795" s="5">
        <v>2031.5</v>
      </c>
      <c r="Z795" s="3">
        <v>870.64</v>
      </c>
      <c r="AA795" s="3">
        <v>0</v>
      </c>
    </row>
    <row r="796" spans="1:27" ht="36.75" x14ac:dyDescent="0.25">
      <c r="A796" s="3" t="s">
        <v>28</v>
      </c>
      <c r="B796" s="3" t="s">
        <v>29</v>
      </c>
      <c r="C796" s="3" t="s">
        <v>30</v>
      </c>
      <c r="D796" s="3" t="s">
        <v>63</v>
      </c>
      <c r="E796" s="3" t="s">
        <v>145</v>
      </c>
      <c r="F796" s="3" t="s">
        <v>146</v>
      </c>
      <c r="G796" s="3">
        <v>2025</v>
      </c>
      <c r="H796" s="3" t="str">
        <f>CONCATENATE("54240625209")</f>
        <v>54240625209</v>
      </c>
      <c r="I796" s="3" t="s">
        <v>34</v>
      </c>
      <c r="J796" s="3" t="s">
        <v>35</v>
      </c>
      <c r="K796" s="3"/>
      <c r="L796" s="3" t="s">
        <v>36</v>
      </c>
      <c r="M796" s="3" t="str">
        <f>CONCATENATE("02271400448")</f>
        <v>02271400448</v>
      </c>
      <c r="N796" s="3" t="s">
        <v>919</v>
      </c>
      <c r="O796" s="3" t="s">
        <v>38</v>
      </c>
      <c r="P796" s="3"/>
      <c r="Q796" s="4">
        <v>45944</v>
      </c>
      <c r="R796" s="3" t="s">
        <v>39</v>
      </c>
      <c r="S796" s="3" t="s">
        <v>38</v>
      </c>
      <c r="T796" s="3" t="s">
        <v>40</v>
      </c>
      <c r="U796" s="3"/>
      <c r="V796" s="3" t="s">
        <v>41</v>
      </c>
      <c r="W796" s="5">
        <v>17361.73</v>
      </c>
      <c r="X796" s="5">
        <v>13021.3</v>
      </c>
      <c r="Y796" s="5">
        <v>3038.3</v>
      </c>
      <c r="Z796" s="5">
        <v>1302.1300000000001</v>
      </c>
      <c r="AA796" s="3">
        <v>0</v>
      </c>
    </row>
    <row r="797" spans="1:27" ht="60.75" x14ac:dyDescent="0.25">
      <c r="A797" s="3" t="s">
        <v>28</v>
      </c>
      <c r="B797" s="3" t="s">
        <v>29</v>
      </c>
      <c r="C797" s="3" t="s">
        <v>30</v>
      </c>
      <c r="D797" s="3" t="s">
        <v>49</v>
      </c>
      <c r="E797" s="3" t="s">
        <v>46</v>
      </c>
      <c r="F797" s="3" t="s">
        <v>131</v>
      </c>
      <c r="G797" s="3">
        <v>2025</v>
      </c>
      <c r="H797" s="3" t="str">
        <f>CONCATENATE("54240625571")</f>
        <v>54240625571</v>
      </c>
      <c r="I797" s="3" t="s">
        <v>34</v>
      </c>
      <c r="J797" s="3" t="s">
        <v>35</v>
      </c>
      <c r="K797" s="3"/>
      <c r="L797" s="3" t="s">
        <v>36</v>
      </c>
      <c r="M797" s="3" t="str">
        <f>CONCATENATE("BRTGDU85T19B474U")</f>
        <v>BRTGDU85T19B474U</v>
      </c>
      <c r="N797" s="3" t="s">
        <v>920</v>
      </c>
      <c r="O797" s="3" t="s">
        <v>38</v>
      </c>
      <c r="P797" s="3"/>
      <c r="Q797" s="4">
        <v>45944</v>
      </c>
      <c r="R797" s="3" t="s">
        <v>39</v>
      </c>
      <c r="S797" s="3" t="s">
        <v>38</v>
      </c>
      <c r="T797" s="3" t="s">
        <v>40</v>
      </c>
      <c r="U797" s="3"/>
      <c r="V797" s="3" t="s">
        <v>41</v>
      </c>
      <c r="W797" s="5">
        <v>14182.23</v>
      </c>
      <c r="X797" s="5">
        <v>10636.67</v>
      </c>
      <c r="Y797" s="5">
        <v>2481.89</v>
      </c>
      <c r="Z797" s="5">
        <v>1063.67</v>
      </c>
      <c r="AA797" s="3">
        <v>0</v>
      </c>
    </row>
    <row r="798" spans="1:27" ht="60.75" x14ac:dyDescent="0.25">
      <c r="A798" s="3" t="s">
        <v>28</v>
      </c>
      <c r="B798" s="3" t="s">
        <v>29</v>
      </c>
      <c r="C798" s="3" t="s">
        <v>30</v>
      </c>
      <c r="D798" s="3" t="s">
        <v>31</v>
      </c>
      <c r="E798" s="3" t="s">
        <v>53</v>
      </c>
      <c r="F798" s="3" t="s">
        <v>483</v>
      </c>
      <c r="G798" s="3">
        <v>2025</v>
      </c>
      <c r="H798" s="3" t="str">
        <f>CONCATENATE("54240626389")</f>
        <v>54240626389</v>
      </c>
      <c r="I798" s="3" t="s">
        <v>34</v>
      </c>
      <c r="J798" s="3" t="s">
        <v>35</v>
      </c>
      <c r="K798" s="3"/>
      <c r="L798" s="3" t="s">
        <v>36</v>
      </c>
      <c r="M798" s="3" t="str">
        <f>CONCATENATE("CHRTMS03T02D451L")</f>
        <v>CHRTMS03T02D451L</v>
      </c>
      <c r="N798" s="3" t="s">
        <v>921</v>
      </c>
      <c r="O798" s="3" t="s">
        <v>38</v>
      </c>
      <c r="P798" s="3"/>
      <c r="Q798" s="4">
        <v>45944</v>
      </c>
      <c r="R798" s="3" t="s">
        <v>39</v>
      </c>
      <c r="S798" s="3" t="s">
        <v>38</v>
      </c>
      <c r="T798" s="3" t="s">
        <v>40</v>
      </c>
      <c r="U798" s="3"/>
      <c r="V798" s="3" t="s">
        <v>41</v>
      </c>
      <c r="W798" s="5">
        <v>1676.14</v>
      </c>
      <c r="X798" s="5">
        <v>1257.1099999999999</v>
      </c>
      <c r="Y798" s="3">
        <v>293.32</v>
      </c>
      <c r="Z798" s="3">
        <v>125.71</v>
      </c>
      <c r="AA798" s="3">
        <v>0</v>
      </c>
    </row>
    <row r="799" spans="1:27" ht="60.75" x14ac:dyDescent="0.25">
      <c r="A799" s="3" t="s">
        <v>28</v>
      </c>
      <c r="B799" s="3" t="s">
        <v>29</v>
      </c>
      <c r="C799" s="3" t="s">
        <v>30</v>
      </c>
      <c r="D799" s="3" t="s">
        <v>31</v>
      </c>
      <c r="E799" s="3" t="s">
        <v>91</v>
      </c>
      <c r="F799" s="3" t="s">
        <v>111</v>
      </c>
      <c r="G799" s="3">
        <v>2025</v>
      </c>
      <c r="H799" s="3" t="str">
        <f>CONCATENATE("54240625720")</f>
        <v>54240625720</v>
      </c>
      <c r="I799" s="3" t="s">
        <v>34</v>
      </c>
      <c r="J799" s="3" t="s">
        <v>35</v>
      </c>
      <c r="K799" s="3"/>
      <c r="L799" s="3" t="s">
        <v>36</v>
      </c>
      <c r="M799" s="3" t="str">
        <f>CONCATENATE("NTMMHL55E17Z102Q")</f>
        <v>NTMMHL55E17Z102Q</v>
      </c>
      <c r="N799" s="3" t="s">
        <v>922</v>
      </c>
      <c r="O799" s="3" t="s">
        <v>38</v>
      </c>
      <c r="P799" s="3"/>
      <c r="Q799" s="4">
        <v>45944</v>
      </c>
      <c r="R799" s="3" t="s">
        <v>39</v>
      </c>
      <c r="S799" s="3" t="s">
        <v>38</v>
      </c>
      <c r="T799" s="3" t="s">
        <v>40</v>
      </c>
      <c r="U799" s="3"/>
      <c r="V799" s="3" t="s">
        <v>41</v>
      </c>
      <c r="W799" s="5">
        <v>2411.6799999999998</v>
      </c>
      <c r="X799" s="5">
        <v>1808.76</v>
      </c>
      <c r="Y799" s="3">
        <v>422.04</v>
      </c>
      <c r="Z799" s="3">
        <v>180.88</v>
      </c>
      <c r="AA799" s="3">
        <v>0</v>
      </c>
    </row>
    <row r="800" spans="1:27" ht="60.75" x14ac:dyDescent="0.25">
      <c r="A800" s="3" t="s">
        <v>28</v>
      </c>
      <c r="B800" s="3" t="s">
        <v>29</v>
      </c>
      <c r="C800" s="3" t="s">
        <v>30</v>
      </c>
      <c r="D800" s="3" t="s">
        <v>31</v>
      </c>
      <c r="E800" s="3" t="s">
        <v>53</v>
      </c>
      <c r="F800" s="3" t="s">
        <v>172</v>
      </c>
      <c r="G800" s="3">
        <v>2025</v>
      </c>
      <c r="H800" s="3" t="str">
        <f>CONCATENATE("54240626215")</f>
        <v>54240626215</v>
      </c>
      <c r="I800" s="3" t="s">
        <v>34</v>
      </c>
      <c r="J800" s="3" t="s">
        <v>35</v>
      </c>
      <c r="K800" s="3"/>
      <c r="L800" s="3" t="s">
        <v>36</v>
      </c>
      <c r="M800" s="3" t="str">
        <f>CONCATENATE("MCHJGN73D23A952L")</f>
        <v>MCHJGN73D23A952L</v>
      </c>
      <c r="N800" s="3" t="s">
        <v>923</v>
      </c>
      <c r="O800" s="3" t="s">
        <v>38</v>
      </c>
      <c r="P800" s="3"/>
      <c r="Q800" s="4">
        <v>45944</v>
      </c>
      <c r="R800" s="3" t="s">
        <v>39</v>
      </c>
      <c r="S800" s="3" t="s">
        <v>38</v>
      </c>
      <c r="T800" s="3" t="s">
        <v>40</v>
      </c>
      <c r="U800" s="3"/>
      <c r="V800" s="3" t="s">
        <v>41</v>
      </c>
      <c r="W800" s="5">
        <v>4201.79</v>
      </c>
      <c r="X800" s="5">
        <v>3151.34</v>
      </c>
      <c r="Y800" s="3">
        <v>735.31</v>
      </c>
      <c r="Z800" s="3">
        <v>315.14</v>
      </c>
      <c r="AA800" s="3">
        <v>0</v>
      </c>
    </row>
    <row r="801" spans="1:27" ht="36.75" x14ac:dyDescent="0.25">
      <c r="A801" s="3" t="s">
        <v>28</v>
      </c>
      <c r="B801" s="3" t="s">
        <v>29</v>
      </c>
      <c r="C801" s="3" t="s">
        <v>30</v>
      </c>
      <c r="D801" s="3" t="s">
        <v>63</v>
      </c>
      <c r="E801" s="3" t="s">
        <v>145</v>
      </c>
      <c r="F801" s="3" t="s">
        <v>146</v>
      </c>
      <c r="G801" s="3">
        <v>2025</v>
      </c>
      <c r="H801" s="3" t="str">
        <f>CONCATENATE("54240627114")</f>
        <v>54240627114</v>
      </c>
      <c r="I801" s="3" t="s">
        <v>34</v>
      </c>
      <c r="J801" s="3" t="s">
        <v>35</v>
      </c>
      <c r="K801" s="3"/>
      <c r="L801" s="3" t="s">
        <v>36</v>
      </c>
      <c r="M801" s="3" t="str">
        <f>CONCATENATE("02300960446")</f>
        <v>02300960446</v>
      </c>
      <c r="N801" s="3" t="s">
        <v>924</v>
      </c>
      <c r="O801" s="3" t="s">
        <v>38</v>
      </c>
      <c r="P801" s="3"/>
      <c r="Q801" s="4">
        <v>45944</v>
      </c>
      <c r="R801" s="3" t="s">
        <v>39</v>
      </c>
      <c r="S801" s="3" t="s">
        <v>38</v>
      </c>
      <c r="T801" s="3" t="s">
        <v>40</v>
      </c>
      <c r="U801" s="3"/>
      <c r="V801" s="3" t="s">
        <v>41</v>
      </c>
      <c r="W801" s="5">
        <v>14764.71</v>
      </c>
      <c r="X801" s="5">
        <v>11073.53</v>
      </c>
      <c r="Y801" s="5">
        <v>2583.8200000000002</v>
      </c>
      <c r="Z801" s="5">
        <v>1107.3599999999999</v>
      </c>
      <c r="AA801" s="3">
        <v>0</v>
      </c>
    </row>
    <row r="802" spans="1:27" ht="60.75" x14ac:dyDescent="0.25">
      <c r="A802" s="3" t="s">
        <v>28</v>
      </c>
      <c r="B802" s="3" t="s">
        <v>29</v>
      </c>
      <c r="C802" s="3" t="s">
        <v>30</v>
      </c>
      <c r="D802" s="3" t="s">
        <v>58</v>
      </c>
      <c r="E802" s="3" t="s">
        <v>32</v>
      </c>
      <c r="F802" s="3" t="s">
        <v>100</v>
      </c>
      <c r="G802" s="3">
        <v>2025</v>
      </c>
      <c r="H802" s="3" t="str">
        <f>CONCATENATE("54240627718")</f>
        <v>54240627718</v>
      </c>
      <c r="I802" s="3" t="s">
        <v>34</v>
      </c>
      <c r="J802" s="3" t="s">
        <v>35</v>
      </c>
      <c r="K802" s="3"/>
      <c r="L802" s="3" t="s">
        <v>36</v>
      </c>
      <c r="M802" s="3" t="str">
        <f>CONCATENATE("RNLLSE79P64A271E")</f>
        <v>RNLLSE79P64A271E</v>
      </c>
      <c r="N802" s="3" t="s">
        <v>925</v>
      </c>
      <c r="O802" s="3" t="s">
        <v>38</v>
      </c>
      <c r="P802" s="3"/>
      <c r="Q802" s="4">
        <v>45944</v>
      </c>
      <c r="R802" s="3" t="s">
        <v>39</v>
      </c>
      <c r="S802" s="3" t="s">
        <v>38</v>
      </c>
      <c r="T802" s="3" t="s">
        <v>40</v>
      </c>
      <c r="U802" s="3"/>
      <c r="V802" s="3" t="s">
        <v>41</v>
      </c>
      <c r="W802" s="5">
        <v>10260.06</v>
      </c>
      <c r="X802" s="5">
        <v>7695.05</v>
      </c>
      <c r="Y802" s="5">
        <v>1795.51</v>
      </c>
      <c r="Z802" s="3">
        <v>769.5</v>
      </c>
      <c r="AA802" s="3">
        <v>0</v>
      </c>
    </row>
    <row r="803" spans="1:27" ht="60.75" x14ac:dyDescent="0.25">
      <c r="A803" s="3" t="s">
        <v>28</v>
      </c>
      <c r="B803" s="3" t="s">
        <v>29</v>
      </c>
      <c r="C803" s="3" t="s">
        <v>30</v>
      </c>
      <c r="D803" s="3" t="s">
        <v>31</v>
      </c>
      <c r="E803" s="3" t="s">
        <v>53</v>
      </c>
      <c r="F803" s="3" t="s">
        <v>483</v>
      </c>
      <c r="G803" s="3">
        <v>2025</v>
      </c>
      <c r="H803" s="3" t="str">
        <f>CONCATENATE("54240629045")</f>
        <v>54240629045</v>
      </c>
      <c r="I803" s="3" t="s">
        <v>34</v>
      </c>
      <c r="J803" s="3" t="s">
        <v>35</v>
      </c>
      <c r="K803" s="3"/>
      <c r="L803" s="3" t="s">
        <v>36</v>
      </c>
      <c r="M803" s="3" t="str">
        <f>CONCATENATE("GDCFBL66H60G479X")</f>
        <v>GDCFBL66H60G479X</v>
      </c>
      <c r="N803" s="3" t="s">
        <v>926</v>
      </c>
      <c r="O803" s="3" t="s">
        <v>38</v>
      </c>
      <c r="P803" s="3"/>
      <c r="Q803" s="4">
        <v>45944</v>
      </c>
      <c r="R803" s="3" t="s">
        <v>39</v>
      </c>
      <c r="S803" s="3" t="s">
        <v>38</v>
      </c>
      <c r="T803" s="3" t="s">
        <v>40</v>
      </c>
      <c r="U803" s="3"/>
      <c r="V803" s="3" t="s">
        <v>41</v>
      </c>
      <c r="W803" s="3">
        <v>743.73</v>
      </c>
      <c r="X803" s="3">
        <v>557.79999999999995</v>
      </c>
      <c r="Y803" s="3">
        <v>130.15</v>
      </c>
      <c r="Z803" s="3">
        <v>55.78</v>
      </c>
      <c r="AA803" s="3">
        <v>0</v>
      </c>
    </row>
    <row r="804" spans="1:27" ht="60.75" x14ac:dyDescent="0.25">
      <c r="A804" s="3" t="s">
        <v>28</v>
      </c>
      <c r="B804" s="3" t="s">
        <v>29</v>
      </c>
      <c r="C804" s="3" t="s">
        <v>30</v>
      </c>
      <c r="D804" s="3" t="s">
        <v>58</v>
      </c>
      <c r="E804" s="3" t="s">
        <v>32</v>
      </c>
      <c r="F804" s="3" t="s">
        <v>96</v>
      </c>
      <c r="G804" s="3">
        <v>2025</v>
      </c>
      <c r="H804" s="3" t="str">
        <f>CONCATENATE("54240628963")</f>
        <v>54240628963</v>
      </c>
      <c r="I804" s="3" t="s">
        <v>34</v>
      </c>
      <c r="J804" s="3" t="s">
        <v>35</v>
      </c>
      <c r="K804" s="3"/>
      <c r="L804" s="3" t="s">
        <v>36</v>
      </c>
      <c r="M804" s="3" t="str">
        <f>CONCATENATE("TRRNGL67A49G702Y")</f>
        <v>TRRNGL67A49G702Y</v>
      </c>
      <c r="N804" s="3" t="s">
        <v>927</v>
      </c>
      <c r="O804" s="3" t="s">
        <v>38</v>
      </c>
      <c r="P804" s="3"/>
      <c r="Q804" s="4">
        <v>45944</v>
      </c>
      <c r="R804" s="3" t="s">
        <v>39</v>
      </c>
      <c r="S804" s="3" t="s">
        <v>38</v>
      </c>
      <c r="T804" s="3" t="s">
        <v>40</v>
      </c>
      <c r="U804" s="3"/>
      <c r="V804" s="3" t="s">
        <v>41</v>
      </c>
      <c r="W804" s="5">
        <v>1674.01</v>
      </c>
      <c r="X804" s="5">
        <v>1255.51</v>
      </c>
      <c r="Y804" s="3">
        <v>292.95</v>
      </c>
      <c r="Z804" s="3">
        <v>125.55</v>
      </c>
      <c r="AA804" s="3">
        <v>0</v>
      </c>
    </row>
    <row r="805" spans="1:27" ht="72.75" x14ac:dyDescent="0.25">
      <c r="A805" s="3" t="s">
        <v>28</v>
      </c>
      <c r="B805" s="3" t="s">
        <v>29</v>
      </c>
      <c r="C805" s="3" t="s">
        <v>30</v>
      </c>
      <c r="D805" s="3" t="s">
        <v>31</v>
      </c>
      <c r="E805" s="3" t="s">
        <v>32</v>
      </c>
      <c r="F805" s="3" t="s">
        <v>153</v>
      </c>
      <c r="G805" s="3">
        <v>2025</v>
      </c>
      <c r="H805" s="3" t="str">
        <f>CONCATENATE("54240504024")</f>
        <v>54240504024</v>
      </c>
      <c r="I805" s="3" t="s">
        <v>34</v>
      </c>
      <c r="J805" s="3" t="s">
        <v>35</v>
      </c>
      <c r="K805" s="3"/>
      <c r="L805" s="3" t="s">
        <v>36</v>
      </c>
      <c r="M805" s="3" t="str">
        <f>CONCATENATE("DAIPRN58H69D749Q")</f>
        <v>DAIPRN58H69D749Q</v>
      </c>
      <c r="N805" s="3" t="s">
        <v>928</v>
      </c>
      <c r="O805" s="3" t="s">
        <v>38</v>
      </c>
      <c r="P805" s="3"/>
      <c r="Q805" s="4">
        <v>45944</v>
      </c>
      <c r="R805" s="3" t="s">
        <v>39</v>
      </c>
      <c r="S805" s="3" t="s">
        <v>38</v>
      </c>
      <c r="T805" s="3" t="s">
        <v>40</v>
      </c>
      <c r="U805" s="3"/>
      <c r="V805" s="3" t="s">
        <v>41</v>
      </c>
      <c r="W805" s="5">
        <v>2427.5700000000002</v>
      </c>
      <c r="X805" s="5">
        <v>1820.68</v>
      </c>
      <c r="Y805" s="3">
        <v>424.82</v>
      </c>
      <c r="Z805" s="3">
        <v>182.07</v>
      </c>
      <c r="AA805" s="3">
        <v>0</v>
      </c>
    </row>
    <row r="806" spans="1:27" ht="60.75" x14ac:dyDescent="0.25">
      <c r="A806" s="3" t="s">
        <v>28</v>
      </c>
      <c r="B806" s="3" t="s">
        <v>29</v>
      </c>
      <c r="C806" s="3" t="s">
        <v>30</v>
      </c>
      <c r="D806" s="3" t="s">
        <v>49</v>
      </c>
      <c r="E806" s="3" t="s">
        <v>32</v>
      </c>
      <c r="F806" s="3" t="s">
        <v>71</v>
      </c>
      <c r="G806" s="3">
        <v>2025</v>
      </c>
      <c r="H806" s="3" t="str">
        <f>CONCATENATE("54240504107")</f>
        <v>54240504107</v>
      </c>
      <c r="I806" s="3" t="s">
        <v>34</v>
      </c>
      <c r="J806" s="3" t="s">
        <v>35</v>
      </c>
      <c r="K806" s="3"/>
      <c r="L806" s="3" t="s">
        <v>36</v>
      </c>
      <c r="M806" s="3" t="str">
        <f>CONCATENATE("NSVLCU73D11B474I")</f>
        <v>NSVLCU73D11B474I</v>
      </c>
      <c r="N806" s="3" t="s">
        <v>929</v>
      </c>
      <c r="O806" s="3" t="s">
        <v>38</v>
      </c>
      <c r="P806" s="3"/>
      <c r="Q806" s="4">
        <v>45944</v>
      </c>
      <c r="R806" s="3" t="s">
        <v>39</v>
      </c>
      <c r="S806" s="3" t="s">
        <v>38</v>
      </c>
      <c r="T806" s="3" t="s">
        <v>40</v>
      </c>
      <c r="U806" s="3"/>
      <c r="V806" s="3" t="s">
        <v>41</v>
      </c>
      <c r="W806" s="5">
        <v>4762.08</v>
      </c>
      <c r="X806" s="5">
        <v>3571.56</v>
      </c>
      <c r="Y806" s="3">
        <v>833.36</v>
      </c>
      <c r="Z806" s="3">
        <v>357.16</v>
      </c>
      <c r="AA806" s="3">
        <v>0</v>
      </c>
    </row>
    <row r="807" spans="1:27" ht="36.75" x14ac:dyDescent="0.25">
      <c r="A807" s="3" t="s">
        <v>28</v>
      </c>
      <c r="B807" s="3" t="s">
        <v>29</v>
      </c>
      <c r="C807" s="3" t="s">
        <v>30</v>
      </c>
      <c r="D807" s="3" t="s">
        <v>49</v>
      </c>
      <c r="E807" s="3" t="s">
        <v>46</v>
      </c>
      <c r="F807" s="3" t="s">
        <v>47</v>
      </c>
      <c r="G807" s="3">
        <v>2025</v>
      </c>
      <c r="H807" s="3" t="str">
        <f>CONCATENATE("54240556420")</f>
        <v>54240556420</v>
      </c>
      <c r="I807" s="3" t="s">
        <v>34</v>
      </c>
      <c r="J807" s="3" t="s">
        <v>35</v>
      </c>
      <c r="K807" s="3"/>
      <c r="L807" s="3" t="s">
        <v>36</v>
      </c>
      <c r="M807" s="3" t="str">
        <f>CONCATENATE("02202680407")</f>
        <v>02202680407</v>
      </c>
      <c r="N807" s="3" t="s">
        <v>930</v>
      </c>
      <c r="O807" s="3" t="s">
        <v>38</v>
      </c>
      <c r="P807" s="3"/>
      <c r="Q807" s="4">
        <v>45944</v>
      </c>
      <c r="R807" s="3" t="s">
        <v>39</v>
      </c>
      <c r="S807" s="3" t="s">
        <v>38</v>
      </c>
      <c r="T807" s="3" t="s">
        <v>40</v>
      </c>
      <c r="U807" s="3"/>
      <c r="V807" s="3" t="s">
        <v>41</v>
      </c>
      <c r="W807" s="3">
        <v>653.35</v>
      </c>
      <c r="X807" s="3">
        <v>490.01</v>
      </c>
      <c r="Y807" s="3">
        <v>114.34</v>
      </c>
      <c r="Z807" s="3">
        <v>49</v>
      </c>
      <c r="AA807" s="3">
        <v>0</v>
      </c>
    </row>
    <row r="808" spans="1:27" ht="36.75" x14ac:dyDescent="0.25">
      <c r="A808" s="3" t="s">
        <v>28</v>
      </c>
      <c r="B808" s="3" t="s">
        <v>29</v>
      </c>
      <c r="C808" s="3" t="s">
        <v>30</v>
      </c>
      <c r="D808" s="3" t="s">
        <v>63</v>
      </c>
      <c r="E808" s="3" t="s">
        <v>32</v>
      </c>
      <c r="F808" s="3" t="s">
        <v>142</v>
      </c>
      <c r="G808" s="3">
        <v>2025</v>
      </c>
      <c r="H808" s="3" t="str">
        <f>CONCATENATE("54240504297")</f>
        <v>54240504297</v>
      </c>
      <c r="I808" s="3" t="s">
        <v>34</v>
      </c>
      <c r="J808" s="3" t="s">
        <v>35</v>
      </c>
      <c r="K808" s="3"/>
      <c r="L808" s="3" t="s">
        <v>36</v>
      </c>
      <c r="M808" s="3" t="str">
        <f>CONCATENATE("02165220449")</f>
        <v>02165220449</v>
      </c>
      <c r="N808" s="3" t="s">
        <v>931</v>
      </c>
      <c r="O808" s="3" t="s">
        <v>38</v>
      </c>
      <c r="P808" s="3"/>
      <c r="Q808" s="4">
        <v>45944</v>
      </c>
      <c r="R808" s="3" t="s">
        <v>39</v>
      </c>
      <c r="S808" s="3" t="s">
        <v>38</v>
      </c>
      <c r="T808" s="3" t="s">
        <v>40</v>
      </c>
      <c r="U808" s="3"/>
      <c r="V808" s="3" t="s">
        <v>41</v>
      </c>
      <c r="W808" s="5">
        <v>3972.72</v>
      </c>
      <c r="X808" s="5">
        <v>2979.54</v>
      </c>
      <c r="Y808" s="3">
        <v>695.23</v>
      </c>
      <c r="Z808" s="3">
        <v>297.95</v>
      </c>
      <c r="AA808" s="3">
        <v>0</v>
      </c>
    </row>
    <row r="809" spans="1:27" ht="60.75" x14ac:dyDescent="0.25">
      <c r="A809" s="3" t="s">
        <v>28</v>
      </c>
      <c r="B809" s="3" t="s">
        <v>29</v>
      </c>
      <c r="C809" s="3" t="s">
        <v>30</v>
      </c>
      <c r="D809" s="3" t="s">
        <v>31</v>
      </c>
      <c r="E809" s="3" t="s">
        <v>32</v>
      </c>
      <c r="F809" s="3" t="s">
        <v>153</v>
      </c>
      <c r="G809" s="3">
        <v>2025</v>
      </c>
      <c r="H809" s="3" t="str">
        <f>CONCATENATE("54240504313")</f>
        <v>54240504313</v>
      </c>
      <c r="I809" s="3" t="s">
        <v>34</v>
      </c>
      <c r="J809" s="3" t="s">
        <v>35</v>
      </c>
      <c r="K809" s="3"/>
      <c r="L809" s="3" t="s">
        <v>36</v>
      </c>
      <c r="M809" s="3" t="str">
        <f>CONCATENATE("BRTMRS54R50D749P")</f>
        <v>BRTMRS54R50D749P</v>
      </c>
      <c r="N809" s="3" t="s">
        <v>932</v>
      </c>
      <c r="O809" s="3" t="s">
        <v>38</v>
      </c>
      <c r="P809" s="3"/>
      <c r="Q809" s="4">
        <v>45944</v>
      </c>
      <c r="R809" s="3" t="s">
        <v>39</v>
      </c>
      <c r="S809" s="3" t="s">
        <v>38</v>
      </c>
      <c r="T809" s="3" t="s">
        <v>40</v>
      </c>
      <c r="U809" s="3"/>
      <c r="V809" s="3" t="s">
        <v>41</v>
      </c>
      <c r="W809" s="5">
        <v>1349.81</v>
      </c>
      <c r="X809" s="5">
        <v>1012.36</v>
      </c>
      <c r="Y809" s="3">
        <v>236.22</v>
      </c>
      <c r="Z809" s="3">
        <v>101.23</v>
      </c>
      <c r="AA809" s="3">
        <v>0</v>
      </c>
    </row>
    <row r="810" spans="1:27" ht="60.75" x14ac:dyDescent="0.25">
      <c r="A810" s="3" t="s">
        <v>28</v>
      </c>
      <c r="B810" s="3" t="s">
        <v>29</v>
      </c>
      <c r="C810" s="3" t="s">
        <v>30</v>
      </c>
      <c r="D810" s="3" t="s">
        <v>58</v>
      </c>
      <c r="E810" s="3" t="s">
        <v>32</v>
      </c>
      <c r="F810" s="3" t="s">
        <v>98</v>
      </c>
      <c r="G810" s="3">
        <v>2025</v>
      </c>
      <c r="H810" s="3" t="str">
        <f>CONCATENATE("54240504404")</f>
        <v>54240504404</v>
      </c>
      <c r="I810" s="3" t="s">
        <v>34</v>
      </c>
      <c r="J810" s="3" t="s">
        <v>35</v>
      </c>
      <c r="K810" s="3"/>
      <c r="L810" s="3" t="s">
        <v>36</v>
      </c>
      <c r="M810" s="3" t="str">
        <f>CONCATENATE("DGGPLA83C02A271N")</f>
        <v>DGGPLA83C02A271N</v>
      </c>
      <c r="N810" s="3" t="s">
        <v>933</v>
      </c>
      <c r="O810" s="3" t="s">
        <v>38</v>
      </c>
      <c r="P810" s="3"/>
      <c r="Q810" s="4">
        <v>45944</v>
      </c>
      <c r="R810" s="3" t="s">
        <v>39</v>
      </c>
      <c r="S810" s="3" t="s">
        <v>38</v>
      </c>
      <c r="T810" s="3" t="s">
        <v>40</v>
      </c>
      <c r="U810" s="3"/>
      <c r="V810" s="3" t="s">
        <v>41</v>
      </c>
      <c r="W810" s="5">
        <v>1014.02</v>
      </c>
      <c r="X810" s="3">
        <v>760.52</v>
      </c>
      <c r="Y810" s="3">
        <v>177.45</v>
      </c>
      <c r="Z810" s="3">
        <v>76.05</v>
      </c>
      <c r="AA810" s="3">
        <v>0</v>
      </c>
    </row>
    <row r="811" spans="1:27" ht="60.75" x14ac:dyDescent="0.25">
      <c r="A811" s="3" t="s">
        <v>28</v>
      </c>
      <c r="B811" s="3" t="s">
        <v>29</v>
      </c>
      <c r="C811" s="3" t="s">
        <v>30</v>
      </c>
      <c r="D811" s="3" t="s">
        <v>49</v>
      </c>
      <c r="E811" s="3" t="s">
        <v>46</v>
      </c>
      <c r="F811" s="3" t="s">
        <v>131</v>
      </c>
      <c r="G811" s="3">
        <v>2025</v>
      </c>
      <c r="H811" s="3" t="str">
        <f>CONCATENATE("54240504503")</f>
        <v>54240504503</v>
      </c>
      <c r="I811" s="3" t="s">
        <v>34</v>
      </c>
      <c r="J811" s="3" t="s">
        <v>35</v>
      </c>
      <c r="K811" s="3"/>
      <c r="L811" s="3" t="s">
        <v>36</v>
      </c>
      <c r="M811" s="3" t="str">
        <f>CONCATENATE("SLRMCR52E48H501C")</f>
        <v>SLRMCR52E48H501C</v>
      </c>
      <c r="N811" s="3" t="s">
        <v>934</v>
      </c>
      <c r="O811" s="3" t="s">
        <v>38</v>
      </c>
      <c r="P811" s="3"/>
      <c r="Q811" s="4">
        <v>45944</v>
      </c>
      <c r="R811" s="3" t="s">
        <v>39</v>
      </c>
      <c r="S811" s="3" t="s">
        <v>38</v>
      </c>
      <c r="T811" s="3" t="s">
        <v>40</v>
      </c>
      <c r="U811" s="3"/>
      <c r="V811" s="3" t="s">
        <v>41</v>
      </c>
      <c r="W811" s="5">
        <v>2183.5</v>
      </c>
      <c r="X811" s="5">
        <v>1637.63</v>
      </c>
      <c r="Y811" s="3">
        <v>382.11</v>
      </c>
      <c r="Z811" s="3">
        <v>163.76</v>
      </c>
      <c r="AA811" s="3">
        <v>0</v>
      </c>
    </row>
    <row r="812" spans="1:27" ht="36.75" x14ac:dyDescent="0.25">
      <c r="A812" s="3" t="s">
        <v>28</v>
      </c>
      <c r="B812" s="3" t="s">
        <v>29</v>
      </c>
      <c r="C812" s="3" t="s">
        <v>30</v>
      </c>
      <c r="D812" s="3" t="s">
        <v>49</v>
      </c>
      <c r="E812" s="3" t="s">
        <v>46</v>
      </c>
      <c r="F812" s="3" t="s">
        <v>131</v>
      </c>
      <c r="G812" s="3">
        <v>2025</v>
      </c>
      <c r="H812" s="3" t="str">
        <f>CONCATENATE("54240504537")</f>
        <v>54240504537</v>
      </c>
      <c r="I812" s="3" t="s">
        <v>34</v>
      </c>
      <c r="J812" s="3" t="s">
        <v>35</v>
      </c>
      <c r="K812" s="3"/>
      <c r="L812" s="3" t="s">
        <v>36</v>
      </c>
      <c r="M812" s="3" t="str">
        <f>CONCATENATE("01648480430")</f>
        <v>01648480430</v>
      </c>
      <c r="N812" s="3" t="s">
        <v>935</v>
      </c>
      <c r="O812" s="3" t="s">
        <v>38</v>
      </c>
      <c r="P812" s="3"/>
      <c r="Q812" s="4">
        <v>45944</v>
      </c>
      <c r="R812" s="3" t="s">
        <v>39</v>
      </c>
      <c r="S812" s="3" t="s">
        <v>38</v>
      </c>
      <c r="T812" s="3" t="s">
        <v>40</v>
      </c>
      <c r="U812" s="3"/>
      <c r="V812" s="3" t="s">
        <v>41</v>
      </c>
      <c r="W812" s="5">
        <v>1888.5</v>
      </c>
      <c r="X812" s="5">
        <v>1416.38</v>
      </c>
      <c r="Y812" s="3">
        <v>330.49</v>
      </c>
      <c r="Z812" s="3">
        <v>141.63</v>
      </c>
      <c r="AA812" s="3">
        <v>0</v>
      </c>
    </row>
    <row r="813" spans="1:27" ht="60.75" x14ac:dyDescent="0.25">
      <c r="A813" s="3" t="s">
        <v>28</v>
      </c>
      <c r="B813" s="3" t="s">
        <v>29</v>
      </c>
      <c r="C813" s="3" t="s">
        <v>30</v>
      </c>
      <c r="D813" s="3" t="s">
        <v>49</v>
      </c>
      <c r="E813" s="3" t="s">
        <v>46</v>
      </c>
      <c r="F813" s="3" t="s">
        <v>131</v>
      </c>
      <c r="G813" s="3">
        <v>2025</v>
      </c>
      <c r="H813" s="3" t="str">
        <f>CONCATENATE("54240504545")</f>
        <v>54240504545</v>
      </c>
      <c r="I813" s="3" t="s">
        <v>34</v>
      </c>
      <c r="J813" s="3" t="s">
        <v>35</v>
      </c>
      <c r="K813" s="3"/>
      <c r="L813" s="3" t="s">
        <v>36</v>
      </c>
      <c r="M813" s="3" t="str">
        <f>CONCATENATE("PNCMRC64D24I156E")</f>
        <v>PNCMRC64D24I156E</v>
      </c>
      <c r="N813" s="3" t="s">
        <v>936</v>
      </c>
      <c r="O813" s="3" t="s">
        <v>38</v>
      </c>
      <c r="P813" s="3"/>
      <c r="Q813" s="4">
        <v>45944</v>
      </c>
      <c r="R813" s="3" t="s">
        <v>39</v>
      </c>
      <c r="S813" s="3" t="s">
        <v>38</v>
      </c>
      <c r="T813" s="3" t="s">
        <v>40</v>
      </c>
      <c r="U813" s="3"/>
      <c r="V813" s="3" t="s">
        <v>41</v>
      </c>
      <c r="W813" s="5">
        <v>1187.54</v>
      </c>
      <c r="X813" s="3">
        <v>890.66</v>
      </c>
      <c r="Y813" s="3">
        <v>207.82</v>
      </c>
      <c r="Z813" s="3">
        <v>89.06</v>
      </c>
      <c r="AA813" s="3">
        <v>0</v>
      </c>
    </row>
    <row r="814" spans="1:27" ht="36.75" x14ac:dyDescent="0.25">
      <c r="A814" s="3" t="s">
        <v>28</v>
      </c>
      <c r="B814" s="3" t="s">
        <v>29</v>
      </c>
      <c r="C814" s="3" t="s">
        <v>30</v>
      </c>
      <c r="D814" s="3" t="s">
        <v>58</v>
      </c>
      <c r="E814" s="3" t="s">
        <v>91</v>
      </c>
      <c r="F814" s="3" t="s">
        <v>106</v>
      </c>
      <c r="G814" s="3">
        <v>2025</v>
      </c>
      <c r="H814" s="3" t="str">
        <f>CONCATENATE("54240504727")</f>
        <v>54240504727</v>
      </c>
      <c r="I814" s="3" t="s">
        <v>34</v>
      </c>
      <c r="J814" s="3" t="s">
        <v>35</v>
      </c>
      <c r="K814" s="3"/>
      <c r="L814" s="3" t="s">
        <v>36</v>
      </c>
      <c r="M814" s="3" t="str">
        <f>CONCATENATE("01943840437")</f>
        <v>01943840437</v>
      </c>
      <c r="N814" s="3" t="s">
        <v>937</v>
      </c>
      <c r="O814" s="3" t="s">
        <v>38</v>
      </c>
      <c r="P814" s="3"/>
      <c r="Q814" s="4">
        <v>45944</v>
      </c>
      <c r="R814" s="3" t="s">
        <v>39</v>
      </c>
      <c r="S814" s="3" t="s">
        <v>38</v>
      </c>
      <c r="T814" s="3" t="s">
        <v>40</v>
      </c>
      <c r="U814" s="3"/>
      <c r="V814" s="3" t="s">
        <v>41</v>
      </c>
      <c r="W814" s="5">
        <v>3289.42</v>
      </c>
      <c r="X814" s="5">
        <v>2467.0700000000002</v>
      </c>
      <c r="Y814" s="3">
        <v>575.65</v>
      </c>
      <c r="Z814" s="3">
        <v>246.7</v>
      </c>
      <c r="AA814" s="3">
        <v>0</v>
      </c>
    </row>
    <row r="815" spans="1:27" ht="60.75" x14ac:dyDescent="0.25">
      <c r="A815" s="3" t="s">
        <v>28</v>
      </c>
      <c r="B815" s="3" t="s">
        <v>29</v>
      </c>
      <c r="C815" s="3" t="s">
        <v>30</v>
      </c>
      <c r="D815" s="3" t="s">
        <v>31</v>
      </c>
      <c r="E815" s="3" t="s">
        <v>46</v>
      </c>
      <c r="F815" s="3" t="s">
        <v>108</v>
      </c>
      <c r="G815" s="3">
        <v>2025</v>
      </c>
      <c r="H815" s="3" t="str">
        <f>CONCATENATE("54240504917")</f>
        <v>54240504917</v>
      </c>
      <c r="I815" s="3" t="s">
        <v>149</v>
      </c>
      <c r="J815" s="3" t="s">
        <v>35</v>
      </c>
      <c r="K815" s="3"/>
      <c r="L815" s="3" t="s">
        <v>36</v>
      </c>
      <c r="M815" s="3" t="str">
        <f>CONCATENATE("WSSFKH58C70Z112B")</f>
        <v>WSSFKH58C70Z112B</v>
      </c>
      <c r="N815" s="3" t="s">
        <v>938</v>
      </c>
      <c r="O815" s="3" t="s">
        <v>38</v>
      </c>
      <c r="P815" s="3"/>
      <c r="Q815" s="4">
        <v>45944</v>
      </c>
      <c r="R815" s="3" t="s">
        <v>39</v>
      </c>
      <c r="S815" s="3" t="s">
        <v>38</v>
      </c>
      <c r="T815" s="3" t="s">
        <v>40</v>
      </c>
      <c r="U815" s="3"/>
      <c r="V815" s="3" t="s">
        <v>41</v>
      </c>
      <c r="W815" s="5">
        <v>4488.37</v>
      </c>
      <c r="X815" s="5">
        <v>3366.28</v>
      </c>
      <c r="Y815" s="3">
        <v>785.46</v>
      </c>
      <c r="Z815" s="3">
        <v>336.63</v>
      </c>
      <c r="AA815" s="3">
        <v>0</v>
      </c>
    </row>
    <row r="816" spans="1:27" ht="60.75" x14ac:dyDescent="0.25">
      <c r="A816" s="3" t="s">
        <v>28</v>
      </c>
      <c r="B816" s="3" t="s">
        <v>29</v>
      </c>
      <c r="C816" s="3" t="s">
        <v>30</v>
      </c>
      <c r="D816" s="3" t="s">
        <v>49</v>
      </c>
      <c r="E816" s="3" t="s">
        <v>46</v>
      </c>
      <c r="F816" s="3" t="s">
        <v>131</v>
      </c>
      <c r="G816" s="3">
        <v>2025</v>
      </c>
      <c r="H816" s="3" t="str">
        <f>CONCATENATE("54240508280")</f>
        <v>54240508280</v>
      </c>
      <c r="I816" s="3" t="s">
        <v>34</v>
      </c>
      <c r="J816" s="3" t="s">
        <v>35</v>
      </c>
      <c r="K816" s="3"/>
      <c r="L816" s="3" t="s">
        <v>36</v>
      </c>
      <c r="M816" s="3" t="str">
        <f>CONCATENATE("MSCMRA53L25I156U")</f>
        <v>MSCMRA53L25I156U</v>
      </c>
      <c r="N816" s="3" t="s">
        <v>939</v>
      </c>
      <c r="O816" s="3" t="s">
        <v>38</v>
      </c>
      <c r="P816" s="3"/>
      <c r="Q816" s="4">
        <v>45944</v>
      </c>
      <c r="R816" s="3" t="s">
        <v>39</v>
      </c>
      <c r="S816" s="3" t="s">
        <v>38</v>
      </c>
      <c r="T816" s="3" t="s">
        <v>40</v>
      </c>
      <c r="U816" s="3"/>
      <c r="V816" s="3" t="s">
        <v>41</v>
      </c>
      <c r="W816" s="5">
        <v>5784.09</v>
      </c>
      <c r="X816" s="5">
        <v>4338.07</v>
      </c>
      <c r="Y816" s="5">
        <v>1012.22</v>
      </c>
      <c r="Z816" s="3">
        <v>433.8</v>
      </c>
      <c r="AA816" s="3">
        <v>0</v>
      </c>
    </row>
    <row r="817" spans="1:27" ht="60.75" x14ac:dyDescent="0.25">
      <c r="A817" s="3" t="s">
        <v>28</v>
      </c>
      <c r="B817" s="3" t="s">
        <v>29</v>
      </c>
      <c r="C817" s="3" t="s">
        <v>30</v>
      </c>
      <c r="D817" s="3" t="s">
        <v>49</v>
      </c>
      <c r="E817" s="3" t="s">
        <v>91</v>
      </c>
      <c r="F817" s="3" t="s">
        <v>106</v>
      </c>
      <c r="G817" s="3">
        <v>2025</v>
      </c>
      <c r="H817" s="3" t="str">
        <f>CONCATENATE("54240505054")</f>
        <v>54240505054</v>
      </c>
      <c r="I817" s="3" t="s">
        <v>34</v>
      </c>
      <c r="J817" s="3" t="s">
        <v>35</v>
      </c>
      <c r="K817" s="3"/>
      <c r="L817" s="3" t="s">
        <v>36</v>
      </c>
      <c r="M817" s="3" t="str">
        <f>CONCATENATE("PSPVNT81T69I324P")</f>
        <v>PSPVNT81T69I324P</v>
      </c>
      <c r="N817" s="3" t="s">
        <v>940</v>
      </c>
      <c r="O817" s="3" t="s">
        <v>38</v>
      </c>
      <c r="P817" s="3"/>
      <c r="Q817" s="4">
        <v>45944</v>
      </c>
      <c r="R817" s="3" t="s">
        <v>39</v>
      </c>
      <c r="S817" s="3" t="s">
        <v>38</v>
      </c>
      <c r="T817" s="3" t="s">
        <v>40</v>
      </c>
      <c r="U817" s="3"/>
      <c r="V817" s="3" t="s">
        <v>41</v>
      </c>
      <c r="W817" s="5">
        <v>2178.64</v>
      </c>
      <c r="X817" s="5">
        <v>1633.98</v>
      </c>
      <c r="Y817" s="3">
        <v>381.26</v>
      </c>
      <c r="Z817" s="3">
        <v>163.4</v>
      </c>
      <c r="AA817" s="3">
        <v>0</v>
      </c>
    </row>
    <row r="818" spans="1:27" ht="36.75" x14ac:dyDescent="0.25">
      <c r="A818" s="3" t="s">
        <v>28</v>
      </c>
      <c r="B818" s="3" t="s">
        <v>29</v>
      </c>
      <c r="C818" s="3" t="s">
        <v>30</v>
      </c>
      <c r="D818" s="3" t="s">
        <v>49</v>
      </c>
      <c r="E818" s="3" t="s">
        <v>46</v>
      </c>
      <c r="F818" s="3" t="s">
        <v>205</v>
      </c>
      <c r="G818" s="3">
        <v>2025</v>
      </c>
      <c r="H818" s="3" t="str">
        <f>CONCATENATE("54240505153")</f>
        <v>54240505153</v>
      </c>
      <c r="I818" s="3" t="s">
        <v>34</v>
      </c>
      <c r="J818" s="3" t="s">
        <v>35</v>
      </c>
      <c r="K818" s="3"/>
      <c r="L818" s="3" t="s">
        <v>36</v>
      </c>
      <c r="M818" s="3" t="str">
        <f>CONCATENATE("01901260438")</f>
        <v>01901260438</v>
      </c>
      <c r="N818" s="3" t="s">
        <v>941</v>
      </c>
      <c r="O818" s="3" t="s">
        <v>38</v>
      </c>
      <c r="P818" s="3"/>
      <c r="Q818" s="4">
        <v>45944</v>
      </c>
      <c r="R818" s="3" t="s">
        <v>39</v>
      </c>
      <c r="S818" s="3" t="s">
        <v>38</v>
      </c>
      <c r="T818" s="3" t="s">
        <v>40</v>
      </c>
      <c r="U818" s="3"/>
      <c r="V818" s="3" t="s">
        <v>41</v>
      </c>
      <c r="W818" s="5">
        <v>13401.87</v>
      </c>
      <c r="X818" s="5">
        <v>10051.4</v>
      </c>
      <c r="Y818" s="5">
        <v>2345.33</v>
      </c>
      <c r="Z818" s="5">
        <v>1005.14</v>
      </c>
      <c r="AA818" s="3">
        <v>0</v>
      </c>
    </row>
    <row r="819" spans="1:27" ht="72.75" x14ac:dyDescent="0.25">
      <c r="A819" s="3" t="s">
        <v>28</v>
      </c>
      <c r="B819" s="3" t="s">
        <v>29</v>
      </c>
      <c r="C819" s="3" t="s">
        <v>30</v>
      </c>
      <c r="D819" s="3" t="s">
        <v>31</v>
      </c>
      <c r="E819" s="3" t="s">
        <v>145</v>
      </c>
      <c r="F819" s="3" t="s">
        <v>485</v>
      </c>
      <c r="G819" s="3">
        <v>2025</v>
      </c>
      <c r="H819" s="3" t="str">
        <f>CONCATENATE("54240505252")</f>
        <v>54240505252</v>
      </c>
      <c r="I819" s="3" t="s">
        <v>34</v>
      </c>
      <c r="J819" s="3" t="s">
        <v>35</v>
      </c>
      <c r="K819" s="3"/>
      <c r="L819" s="3" t="s">
        <v>36</v>
      </c>
      <c r="M819" s="3" t="str">
        <f>CONCATENATE("CRZSRA73D51D488M")</f>
        <v>CRZSRA73D51D488M</v>
      </c>
      <c r="N819" s="3" t="s">
        <v>942</v>
      </c>
      <c r="O819" s="3" t="s">
        <v>38</v>
      </c>
      <c r="P819" s="3"/>
      <c r="Q819" s="4">
        <v>45944</v>
      </c>
      <c r="R819" s="3" t="s">
        <v>39</v>
      </c>
      <c r="S819" s="3" t="s">
        <v>38</v>
      </c>
      <c r="T819" s="3" t="s">
        <v>40</v>
      </c>
      <c r="U819" s="3"/>
      <c r="V819" s="3" t="s">
        <v>41</v>
      </c>
      <c r="W819" s="5">
        <v>2503.56</v>
      </c>
      <c r="X819" s="5">
        <v>1877.67</v>
      </c>
      <c r="Y819" s="3">
        <v>438.12</v>
      </c>
      <c r="Z819" s="3">
        <v>187.77</v>
      </c>
      <c r="AA819" s="3">
        <v>0</v>
      </c>
    </row>
    <row r="820" spans="1:27" ht="60.75" x14ac:dyDescent="0.25">
      <c r="A820" s="3" t="s">
        <v>28</v>
      </c>
      <c r="B820" s="3" t="s">
        <v>29</v>
      </c>
      <c r="C820" s="3" t="s">
        <v>30</v>
      </c>
      <c r="D820" s="3" t="s">
        <v>49</v>
      </c>
      <c r="E820" s="3" t="s">
        <v>46</v>
      </c>
      <c r="F820" s="3" t="s">
        <v>129</v>
      </c>
      <c r="G820" s="3">
        <v>2025</v>
      </c>
      <c r="H820" s="3" t="str">
        <f>CONCATENATE("54240505302")</f>
        <v>54240505302</v>
      </c>
      <c r="I820" s="3" t="s">
        <v>34</v>
      </c>
      <c r="J820" s="3" t="s">
        <v>35</v>
      </c>
      <c r="K820" s="3"/>
      <c r="L820" s="3" t="s">
        <v>36</v>
      </c>
      <c r="M820" s="3" t="str">
        <f>CONCATENATE("VNDPRJ71C23Z126G")</f>
        <v>VNDPRJ71C23Z126G</v>
      </c>
      <c r="N820" s="3" t="s">
        <v>943</v>
      </c>
      <c r="O820" s="3" t="s">
        <v>38</v>
      </c>
      <c r="P820" s="3"/>
      <c r="Q820" s="4">
        <v>45944</v>
      </c>
      <c r="R820" s="3" t="s">
        <v>39</v>
      </c>
      <c r="S820" s="3" t="s">
        <v>38</v>
      </c>
      <c r="T820" s="3" t="s">
        <v>40</v>
      </c>
      <c r="U820" s="3"/>
      <c r="V820" s="3" t="s">
        <v>41</v>
      </c>
      <c r="W820" s="5">
        <v>5539.11</v>
      </c>
      <c r="X820" s="5">
        <v>4154.33</v>
      </c>
      <c r="Y820" s="3">
        <v>969.34</v>
      </c>
      <c r="Z820" s="3">
        <v>415.44</v>
      </c>
      <c r="AA820" s="3">
        <v>0</v>
      </c>
    </row>
    <row r="821" spans="1:27" ht="60.75" x14ac:dyDescent="0.25">
      <c r="A821" s="3" t="s">
        <v>28</v>
      </c>
      <c r="B821" s="3" t="s">
        <v>29</v>
      </c>
      <c r="C821" s="3" t="s">
        <v>30</v>
      </c>
      <c r="D821" s="3" t="s">
        <v>58</v>
      </c>
      <c r="E821" s="3" t="s">
        <v>32</v>
      </c>
      <c r="F821" s="3" t="s">
        <v>239</v>
      </c>
      <c r="G821" s="3">
        <v>2025</v>
      </c>
      <c r="H821" s="3" t="str">
        <f>CONCATENATE("54240505286")</f>
        <v>54240505286</v>
      </c>
      <c r="I821" s="3" t="s">
        <v>34</v>
      </c>
      <c r="J821" s="3" t="s">
        <v>35</v>
      </c>
      <c r="K821" s="3"/>
      <c r="L821" s="3" t="s">
        <v>36</v>
      </c>
      <c r="M821" s="3" t="str">
        <f>CONCATENATE("MNZCHR82L43I608M")</f>
        <v>MNZCHR82L43I608M</v>
      </c>
      <c r="N821" s="3" t="s">
        <v>944</v>
      </c>
      <c r="O821" s="3" t="s">
        <v>38</v>
      </c>
      <c r="P821" s="3"/>
      <c r="Q821" s="4">
        <v>45944</v>
      </c>
      <c r="R821" s="3" t="s">
        <v>39</v>
      </c>
      <c r="S821" s="3" t="s">
        <v>38</v>
      </c>
      <c r="T821" s="3" t="s">
        <v>40</v>
      </c>
      <c r="U821" s="3"/>
      <c r="V821" s="3" t="s">
        <v>41</v>
      </c>
      <c r="W821" s="3">
        <v>750.88</v>
      </c>
      <c r="X821" s="3">
        <v>563.16</v>
      </c>
      <c r="Y821" s="3">
        <v>131.4</v>
      </c>
      <c r="Z821" s="3">
        <v>56.32</v>
      </c>
      <c r="AA821" s="3">
        <v>0</v>
      </c>
    </row>
    <row r="822" spans="1:27" ht="60.75" x14ac:dyDescent="0.25">
      <c r="A822" s="3" t="s">
        <v>28</v>
      </c>
      <c r="B822" s="3" t="s">
        <v>29</v>
      </c>
      <c r="C822" s="3" t="s">
        <v>30</v>
      </c>
      <c r="D822" s="3" t="s">
        <v>49</v>
      </c>
      <c r="E822" s="3" t="s">
        <v>32</v>
      </c>
      <c r="F822" s="3" t="s">
        <v>69</v>
      </c>
      <c r="G822" s="3">
        <v>2025</v>
      </c>
      <c r="H822" s="3" t="str">
        <f>CONCATENATE("54240505344")</f>
        <v>54240505344</v>
      </c>
      <c r="I822" s="3" t="s">
        <v>34</v>
      </c>
      <c r="J822" s="3" t="s">
        <v>35</v>
      </c>
      <c r="K822" s="3"/>
      <c r="L822" s="3" t="s">
        <v>36</v>
      </c>
      <c r="M822" s="3" t="str">
        <f>CONCATENATE("PCCMRA92S19L191D")</f>
        <v>PCCMRA92S19L191D</v>
      </c>
      <c r="N822" s="3" t="s">
        <v>945</v>
      </c>
      <c r="O822" s="3" t="s">
        <v>38</v>
      </c>
      <c r="P822" s="3"/>
      <c r="Q822" s="4">
        <v>45944</v>
      </c>
      <c r="R822" s="3" t="s">
        <v>39</v>
      </c>
      <c r="S822" s="3" t="s">
        <v>38</v>
      </c>
      <c r="T822" s="3" t="s">
        <v>40</v>
      </c>
      <c r="U822" s="3"/>
      <c r="V822" s="3" t="s">
        <v>41</v>
      </c>
      <c r="W822" s="5">
        <v>15138.92</v>
      </c>
      <c r="X822" s="5">
        <v>11354.19</v>
      </c>
      <c r="Y822" s="5">
        <v>2649.31</v>
      </c>
      <c r="Z822" s="5">
        <v>1135.42</v>
      </c>
      <c r="AA822" s="3">
        <v>0</v>
      </c>
    </row>
    <row r="823" spans="1:27" ht="36.75" x14ac:dyDescent="0.25">
      <c r="A823" s="3" t="s">
        <v>28</v>
      </c>
      <c r="B823" s="3" t="s">
        <v>29</v>
      </c>
      <c r="C823" s="3" t="s">
        <v>30</v>
      </c>
      <c r="D823" s="3" t="s">
        <v>49</v>
      </c>
      <c r="E823" s="3" t="s">
        <v>46</v>
      </c>
      <c r="F823" s="3" t="s">
        <v>129</v>
      </c>
      <c r="G823" s="3">
        <v>2025</v>
      </c>
      <c r="H823" s="3" t="str">
        <f>CONCATENATE("54240505351")</f>
        <v>54240505351</v>
      </c>
      <c r="I823" s="3" t="s">
        <v>34</v>
      </c>
      <c r="J823" s="3" t="s">
        <v>35</v>
      </c>
      <c r="K823" s="3"/>
      <c r="L823" s="3" t="s">
        <v>36</v>
      </c>
      <c r="M823" s="3" t="str">
        <f>CONCATENATE("02041990439")</f>
        <v>02041990439</v>
      </c>
      <c r="N823" s="3" t="s">
        <v>946</v>
      </c>
      <c r="O823" s="3" t="s">
        <v>38</v>
      </c>
      <c r="P823" s="3"/>
      <c r="Q823" s="4">
        <v>45944</v>
      </c>
      <c r="R823" s="3" t="s">
        <v>39</v>
      </c>
      <c r="S823" s="3" t="s">
        <v>38</v>
      </c>
      <c r="T823" s="3" t="s">
        <v>40</v>
      </c>
      <c r="U823" s="3"/>
      <c r="V823" s="3" t="s">
        <v>41</v>
      </c>
      <c r="W823" s="5">
        <v>1659.05</v>
      </c>
      <c r="X823" s="5">
        <v>1244.29</v>
      </c>
      <c r="Y823" s="3">
        <v>290.33</v>
      </c>
      <c r="Z823" s="3">
        <v>124.43</v>
      </c>
      <c r="AA823" s="3">
        <v>0</v>
      </c>
    </row>
    <row r="824" spans="1:27" ht="60.75" x14ac:dyDescent="0.25">
      <c r="A824" s="3" t="s">
        <v>28</v>
      </c>
      <c r="B824" s="3" t="s">
        <v>29</v>
      </c>
      <c r="C824" s="3" t="s">
        <v>30</v>
      </c>
      <c r="D824" s="3" t="s">
        <v>49</v>
      </c>
      <c r="E824" s="3" t="s">
        <v>46</v>
      </c>
      <c r="F824" s="3" t="s">
        <v>129</v>
      </c>
      <c r="G824" s="3">
        <v>2025</v>
      </c>
      <c r="H824" s="3" t="str">
        <f>CONCATENATE("54240505385")</f>
        <v>54240505385</v>
      </c>
      <c r="I824" s="3" t="s">
        <v>34</v>
      </c>
      <c r="J824" s="3" t="s">
        <v>35</v>
      </c>
      <c r="K824" s="3"/>
      <c r="L824" s="3" t="s">
        <v>36</v>
      </c>
      <c r="M824" s="3" t="str">
        <f>CONCATENATE("VNDTMS74D25Z126O")</f>
        <v>VNDTMS74D25Z126O</v>
      </c>
      <c r="N824" s="3" t="s">
        <v>947</v>
      </c>
      <c r="O824" s="3" t="s">
        <v>38</v>
      </c>
      <c r="P824" s="3"/>
      <c r="Q824" s="4">
        <v>45944</v>
      </c>
      <c r="R824" s="3" t="s">
        <v>39</v>
      </c>
      <c r="S824" s="3" t="s">
        <v>38</v>
      </c>
      <c r="T824" s="3" t="s">
        <v>40</v>
      </c>
      <c r="U824" s="3"/>
      <c r="V824" s="3" t="s">
        <v>41</v>
      </c>
      <c r="W824" s="3">
        <v>760.01</v>
      </c>
      <c r="X824" s="3">
        <v>570.01</v>
      </c>
      <c r="Y824" s="3">
        <v>133</v>
      </c>
      <c r="Z824" s="3">
        <v>57</v>
      </c>
      <c r="AA824" s="3">
        <v>0</v>
      </c>
    </row>
    <row r="825" spans="1:27" ht="60.75" x14ac:dyDescent="0.25">
      <c r="A825" s="3" t="s">
        <v>28</v>
      </c>
      <c r="B825" s="3" t="s">
        <v>29</v>
      </c>
      <c r="C825" s="3" t="s">
        <v>30</v>
      </c>
      <c r="D825" s="3" t="s">
        <v>49</v>
      </c>
      <c r="E825" s="3" t="s">
        <v>64</v>
      </c>
      <c r="F825" s="3" t="s">
        <v>65</v>
      </c>
      <c r="G825" s="3">
        <v>2025</v>
      </c>
      <c r="H825" s="3" t="str">
        <f>CONCATENATE("54240646494")</f>
        <v>54240646494</v>
      </c>
      <c r="I825" s="3" t="s">
        <v>34</v>
      </c>
      <c r="J825" s="3" t="s">
        <v>35</v>
      </c>
      <c r="K825" s="3"/>
      <c r="L825" s="3" t="s">
        <v>36</v>
      </c>
      <c r="M825" s="3" t="str">
        <f>CONCATENATE("DLCNDR54T10I661S")</f>
        <v>DLCNDR54T10I661S</v>
      </c>
      <c r="N825" s="3" t="s">
        <v>948</v>
      </c>
      <c r="O825" s="3" t="s">
        <v>38</v>
      </c>
      <c r="P825" s="3"/>
      <c r="Q825" s="4">
        <v>45944</v>
      </c>
      <c r="R825" s="3" t="s">
        <v>39</v>
      </c>
      <c r="S825" s="3" t="s">
        <v>38</v>
      </c>
      <c r="T825" s="3" t="s">
        <v>40</v>
      </c>
      <c r="U825" s="3"/>
      <c r="V825" s="3" t="s">
        <v>41</v>
      </c>
      <c r="W825" s="5">
        <v>7060.44</v>
      </c>
      <c r="X825" s="5">
        <v>5295.33</v>
      </c>
      <c r="Y825" s="5">
        <v>1235.58</v>
      </c>
      <c r="Z825" s="3">
        <v>529.53</v>
      </c>
      <c r="AA825" s="3">
        <v>0</v>
      </c>
    </row>
    <row r="826" spans="1:27" ht="72.75" x14ac:dyDescent="0.25">
      <c r="A826" s="3" t="s">
        <v>28</v>
      </c>
      <c r="B826" s="3" t="s">
        <v>29</v>
      </c>
      <c r="C826" s="3" t="s">
        <v>30</v>
      </c>
      <c r="D826" s="3" t="s">
        <v>49</v>
      </c>
      <c r="E826" s="3" t="s">
        <v>46</v>
      </c>
      <c r="F826" s="3" t="s">
        <v>126</v>
      </c>
      <c r="G826" s="3">
        <v>2025</v>
      </c>
      <c r="H826" s="3" t="str">
        <f>CONCATENATE("54240557261")</f>
        <v>54240557261</v>
      </c>
      <c r="I826" s="3" t="s">
        <v>34</v>
      </c>
      <c r="J826" s="3" t="s">
        <v>35</v>
      </c>
      <c r="K826" s="3"/>
      <c r="L826" s="3" t="s">
        <v>36</v>
      </c>
      <c r="M826" s="3" t="str">
        <f>CONCATENATE("MGNNDR85P25H211G")</f>
        <v>MGNNDR85P25H211G</v>
      </c>
      <c r="N826" s="3" t="s">
        <v>949</v>
      </c>
      <c r="O826" s="3" t="s">
        <v>38</v>
      </c>
      <c r="P826" s="3"/>
      <c r="Q826" s="4">
        <v>45944</v>
      </c>
      <c r="R826" s="3" t="s">
        <v>39</v>
      </c>
      <c r="S826" s="3" t="s">
        <v>38</v>
      </c>
      <c r="T826" s="3" t="s">
        <v>40</v>
      </c>
      <c r="U826" s="3"/>
      <c r="V826" s="3" t="s">
        <v>41</v>
      </c>
      <c r="W826" s="3">
        <v>881.9</v>
      </c>
      <c r="X826" s="3">
        <v>661.43</v>
      </c>
      <c r="Y826" s="3">
        <v>154.33000000000001</v>
      </c>
      <c r="Z826" s="3">
        <v>66.14</v>
      </c>
      <c r="AA826" s="3">
        <v>0</v>
      </c>
    </row>
    <row r="827" spans="1:27" ht="72.75" x14ac:dyDescent="0.25">
      <c r="A827" s="3" t="s">
        <v>28</v>
      </c>
      <c r="B827" s="3" t="s">
        <v>29</v>
      </c>
      <c r="C827" s="3" t="s">
        <v>30</v>
      </c>
      <c r="D827" s="3" t="s">
        <v>63</v>
      </c>
      <c r="E827" s="3" t="s">
        <v>91</v>
      </c>
      <c r="F827" s="3" t="s">
        <v>94</v>
      </c>
      <c r="G827" s="3">
        <v>2025</v>
      </c>
      <c r="H827" s="3" t="str">
        <f>CONCATENATE("54240506177")</f>
        <v>54240506177</v>
      </c>
      <c r="I827" s="3" t="s">
        <v>34</v>
      </c>
      <c r="J827" s="3" t="s">
        <v>35</v>
      </c>
      <c r="K827" s="3"/>
      <c r="L827" s="3" t="s">
        <v>36</v>
      </c>
      <c r="M827" s="3" t="str">
        <f>CONCATENATE("NGLMGR60P41G516B")</f>
        <v>NGLMGR60P41G516B</v>
      </c>
      <c r="N827" s="3" t="s">
        <v>950</v>
      </c>
      <c r="O827" s="3" t="s">
        <v>38</v>
      </c>
      <c r="P827" s="3"/>
      <c r="Q827" s="4">
        <v>45944</v>
      </c>
      <c r="R827" s="3" t="s">
        <v>39</v>
      </c>
      <c r="S827" s="3" t="s">
        <v>38</v>
      </c>
      <c r="T827" s="3" t="s">
        <v>40</v>
      </c>
      <c r="U827" s="3"/>
      <c r="V827" s="3" t="s">
        <v>41</v>
      </c>
      <c r="W827" s="5">
        <v>5369.02</v>
      </c>
      <c r="X827" s="5">
        <v>4026.77</v>
      </c>
      <c r="Y827" s="3">
        <v>939.58</v>
      </c>
      <c r="Z827" s="3">
        <v>402.67</v>
      </c>
      <c r="AA827" s="3">
        <v>0</v>
      </c>
    </row>
    <row r="828" spans="1:27" ht="72.75" x14ac:dyDescent="0.25">
      <c r="A828" s="3" t="s">
        <v>28</v>
      </c>
      <c r="B828" s="3" t="s">
        <v>29</v>
      </c>
      <c r="C828" s="3" t="s">
        <v>30</v>
      </c>
      <c r="D828" s="3" t="s">
        <v>63</v>
      </c>
      <c r="E828" s="3" t="s">
        <v>91</v>
      </c>
      <c r="F828" s="3" t="s">
        <v>94</v>
      </c>
      <c r="G828" s="3">
        <v>2025</v>
      </c>
      <c r="H828" s="3" t="str">
        <f>CONCATENATE("54240506326")</f>
        <v>54240506326</v>
      </c>
      <c r="I828" s="3" t="s">
        <v>34</v>
      </c>
      <c r="J828" s="3" t="s">
        <v>35</v>
      </c>
      <c r="K828" s="3"/>
      <c r="L828" s="3" t="s">
        <v>36</v>
      </c>
      <c r="M828" s="3" t="str">
        <f>CONCATENATE("MNTNTN65R14H926M")</f>
        <v>MNTNTN65R14H926M</v>
      </c>
      <c r="N828" s="3" t="s">
        <v>951</v>
      </c>
      <c r="O828" s="3" t="s">
        <v>38</v>
      </c>
      <c r="P828" s="3"/>
      <c r="Q828" s="4">
        <v>45944</v>
      </c>
      <c r="R828" s="3" t="s">
        <v>39</v>
      </c>
      <c r="S828" s="3" t="s">
        <v>38</v>
      </c>
      <c r="T828" s="3" t="s">
        <v>40</v>
      </c>
      <c r="U828" s="3"/>
      <c r="V828" s="3" t="s">
        <v>41</v>
      </c>
      <c r="W828" s="5">
        <v>2616.67</v>
      </c>
      <c r="X828" s="5">
        <v>1962.5</v>
      </c>
      <c r="Y828" s="3">
        <v>457.92</v>
      </c>
      <c r="Z828" s="3">
        <v>196.25</v>
      </c>
      <c r="AA828" s="3">
        <v>0</v>
      </c>
    </row>
    <row r="829" spans="1:27" ht="36.75" x14ac:dyDescent="0.25">
      <c r="A829" s="3" t="s">
        <v>28</v>
      </c>
      <c r="B829" s="3" t="s">
        <v>29</v>
      </c>
      <c r="C829" s="3" t="s">
        <v>30</v>
      </c>
      <c r="D829" s="3" t="s">
        <v>63</v>
      </c>
      <c r="E829" s="3" t="s">
        <v>53</v>
      </c>
      <c r="F829" s="3" t="s">
        <v>80</v>
      </c>
      <c r="G829" s="3">
        <v>2025</v>
      </c>
      <c r="H829" s="3" t="str">
        <f>CONCATENATE("54240506409")</f>
        <v>54240506409</v>
      </c>
      <c r="I829" s="3" t="s">
        <v>34</v>
      </c>
      <c r="J829" s="3" t="s">
        <v>35</v>
      </c>
      <c r="K829" s="3"/>
      <c r="L829" s="3" t="s">
        <v>36</v>
      </c>
      <c r="M829" s="3" t="str">
        <f>CONCATENATE("01237130446")</f>
        <v>01237130446</v>
      </c>
      <c r="N829" s="3" t="s">
        <v>952</v>
      </c>
      <c r="O829" s="3" t="s">
        <v>38</v>
      </c>
      <c r="P829" s="3"/>
      <c r="Q829" s="4">
        <v>45944</v>
      </c>
      <c r="R829" s="3" t="s">
        <v>39</v>
      </c>
      <c r="S829" s="3" t="s">
        <v>38</v>
      </c>
      <c r="T829" s="3" t="s">
        <v>40</v>
      </c>
      <c r="U829" s="3"/>
      <c r="V829" s="3" t="s">
        <v>41</v>
      </c>
      <c r="W829" s="5">
        <v>7750.45</v>
      </c>
      <c r="X829" s="5">
        <v>5812.84</v>
      </c>
      <c r="Y829" s="5">
        <v>1356.33</v>
      </c>
      <c r="Z829" s="3">
        <v>581.28</v>
      </c>
      <c r="AA829" s="3">
        <v>0</v>
      </c>
    </row>
    <row r="830" spans="1:27" ht="36.75" x14ac:dyDescent="0.25">
      <c r="A830" s="3" t="s">
        <v>28</v>
      </c>
      <c r="B830" s="3" t="s">
        <v>29</v>
      </c>
      <c r="C830" s="3" t="s">
        <v>30</v>
      </c>
      <c r="D830" s="3" t="s">
        <v>63</v>
      </c>
      <c r="E830" s="3" t="s">
        <v>91</v>
      </c>
      <c r="F830" s="3" t="s">
        <v>94</v>
      </c>
      <c r="G830" s="3">
        <v>2025</v>
      </c>
      <c r="H830" s="3" t="str">
        <f>CONCATENATE("54240587961")</f>
        <v>54240587961</v>
      </c>
      <c r="I830" s="3" t="s">
        <v>34</v>
      </c>
      <c r="J830" s="3" t="s">
        <v>35</v>
      </c>
      <c r="K830" s="3"/>
      <c r="L830" s="3" t="s">
        <v>36</v>
      </c>
      <c r="M830" s="3" t="str">
        <f>CONCATENATE("02435610445")</f>
        <v>02435610445</v>
      </c>
      <c r="N830" s="3" t="s">
        <v>953</v>
      </c>
      <c r="O830" s="3" t="s">
        <v>38</v>
      </c>
      <c r="P830" s="3"/>
      <c r="Q830" s="4">
        <v>45944</v>
      </c>
      <c r="R830" s="3" t="s">
        <v>39</v>
      </c>
      <c r="S830" s="3" t="s">
        <v>38</v>
      </c>
      <c r="T830" s="3" t="s">
        <v>40</v>
      </c>
      <c r="U830" s="3"/>
      <c r="V830" s="3" t="s">
        <v>41</v>
      </c>
      <c r="W830" s="5">
        <v>1504.6</v>
      </c>
      <c r="X830" s="5">
        <v>1128.45</v>
      </c>
      <c r="Y830" s="3">
        <v>263.31</v>
      </c>
      <c r="Z830" s="3">
        <v>112.84</v>
      </c>
      <c r="AA830" s="3">
        <v>0</v>
      </c>
    </row>
    <row r="831" spans="1:27" ht="72.75" x14ac:dyDescent="0.25">
      <c r="A831" s="3" t="s">
        <v>28</v>
      </c>
      <c r="B831" s="3" t="s">
        <v>29</v>
      </c>
      <c r="C831" s="3" t="s">
        <v>30</v>
      </c>
      <c r="D831" s="3" t="s">
        <v>49</v>
      </c>
      <c r="E831" s="3" t="s">
        <v>32</v>
      </c>
      <c r="F831" s="3" t="s">
        <v>78</v>
      </c>
      <c r="G831" s="3">
        <v>2025</v>
      </c>
      <c r="H831" s="3" t="str">
        <f>CONCATENATE("54240506474")</f>
        <v>54240506474</v>
      </c>
      <c r="I831" s="3" t="s">
        <v>34</v>
      </c>
      <c r="J831" s="3" t="s">
        <v>35</v>
      </c>
      <c r="K831" s="3"/>
      <c r="L831" s="3" t="s">
        <v>36</v>
      </c>
      <c r="M831" s="3" t="str">
        <f>CONCATENATE("RLABBR79D52B474D")</f>
        <v>RLABBR79D52B474D</v>
      </c>
      <c r="N831" s="3" t="s">
        <v>954</v>
      </c>
      <c r="O831" s="3" t="s">
        <v>38</v>
      </c>
      <c r="P831" s="3"/>
      <c r="Q831" s="4">
        <v>45944</v>
      </c>
      <c r="R831" s="3" t="s">
        <v>39</v>
      </c>
      <c r="S831" s="3" t="s">
        <v>38</v>
      </c>
      <c r="T831" s="3" t="s">
        <v>40</v>
      </c>
      <c r="U831" s="3"/>
      <c r="V831" s="3" t="s">
        <v>41</v>
      </c>
      <c r="W831" s="5">
        <v>3576.97</v>
      </c>
      <c r="X831" s="5">
        <v>2682.73</v>
      </c>
      <c r="Y831" s="3">
        <v>625.97</v>
      </c>
      <c r="Z831" s="3">
        <v>268.27</v>
      </c>
      <c r="AA831" s="3">
        <v>0</v>
      </c>
    </row>
    <row r="832" spans="1:27" ht="60.75" x14ac:dyDescent="0.25">
      <c r="A832" s="3" t="s">
        <v>28</v>
      </c>
      <c r="B832" s="3" t="s">
        <v>29</v>
      </c>
      <c r="C832" s="3" t="s">
        <v>30</v>
      </c>
      <c r="D832" s="3" t="s">
        <v>49</v>
      </c>
      <c r="E832" s="3" t="s">
        <v>32</v>
      </c>
      <c r="F832" s="3" t="s">
        <v>78</v>
      </c>
      <c r="G832" s="3">
        <v>2025</v>
      </c>
      <c r="H832" s="3" t="str">
        <f>CONCATENATE("54240506532")</f>
        <v>54240506532</v>
      </c>
      <c r="I832" s="3" t="s">
        <v>34</v>
      </c>
      <c r="J832" s="3" t="s">
        <v>35</v>
      </c>
      <c r="K832" s="3"/>
      <c r="L832" s="3" t="s">
        <v>36</v>
      </c>
      <c r="M832" s="3" t="str">
        <f>CONCATENATE("CRCNGL65R14F051L")</f>
        <v>CRCNGL65R14F051L</v>
      </c>
      <c r="N832" s="3" t="s">
        <v>955</v>
      </c>
      <c r="O832" s="3" t="s">
        <v>38</v>
      </c>
      <c r="P832" s="3"/>
      <c r="Q832" s="4">
        <v>45944</v>
      </c>
      <c r="R832" s="3" t="s">
        <v>39</v>
      </c>
      <c r="S832" s="3" t="s">
        <v>38</v>
      </c>
      <c r="T832" s="3" t="s">
        <v>40</v>
      </c>
      <c r="U832" s="3"/>
      <c r="V832" s="3" t="s">
        <v>41</v>
      </c>
      <c r="W832" s="5">
        <v>1641.51</v>
      </c>
      <c r="X832" s="5">
        <v>1231.1300000000001</v>
      </c>
      <c r="Y832" s="3">
        <v>287.26</v>
      </c>
      <c r="Z832" s="3">
        <v>123.12</v>
      </c>
      <c r="AA832" s="3">
        <v>0</v>
      </c>
    </row>
    <row r="833" spans="1:27" ht="72.75" x14ac:dyDescent="0.25">
      <c r="A833" s="3" t="s">
        <v>28</v>
      </c>
      <c r="B833" s="3" t="s">
        <v>29</v>
      </c>
      <c r="C833" s="3" t="s">
        <v>30</v>
      </c>
      <c r="D833" s="3" t="s">
        <v>49</v>
      </c>
      <c r="E833" s="3" t="s">
        <v>32</v>
      </c>
      <c r="F833" s="3" t="s">
        <v>78</v>
      </c>
      <c r="G833" s="3">
        <v>2025</v>
      </c>
      <c r="H833" s="3" t="str">
        <f>CONCATENATE("54240506482")</f>
        <v>54240506482</v>
      </c>
      <c r="I833" s="3" t="s">
        <v>34</v>
      </c>
      <c r="J833" s="3" t="s">
        <v>35</v>
      </c>
      <c r="K833" s="3"/>
      <c r="L833" s="3" t="s">
        <v>36</v>
      </c>
      <c r="M833" s="3" t="str">
        <f>CONCATENATE("BNDLRD95H18B474B")</f>
        <v>BNDLRD95H18B474B</v>
      </c>
      <c r="N833" s="3" t="s">
        <v>956</v>
      </c>
      <c r="O833" s="3" t="s">
        <v>38</v>
      </c>
      <c r="P833" s="3"/>
      <c r="Q833" s="4">
        <v>45944</v>
      </c>
      <c r="R833" s="3" t="s">
        <v>39</v>
      </c>
      <c r="S833" s="3" t="s">
        <v>38</v>
      </c>
      <c r="T833" s="3" t="s">
        <v>40</v>
      </c>
      <c r="U833" s="3"/>
      <c r="V833" s="3" t="s">
        <v>41</v>
      </c>
      <c r="W833" s="5">
        <v>7604.01</v>
      </c>
      <c r="X833" s="5">
        <v>5703.01</v>
      </c>
      <c r="Y833" s="5">
        <v>1330.7</v>
      </c>
      <c r="Z833" s="3">
        <v>570.29999999999995</v>
      </c>
      <c r="AA833" s="3">
        <v>0</v>
      </c>
    </row>
    <row r="834" spans="1:27" ht="72.75" x14ac:dyDescent="0.25">
      <c r="A834" s="3" t="s">
        <v>28</v>
      </c>
      <c r="B834" s="3" t="s">
        <v>29</v>
      </c>
      <c r="C834" s="3" t="s">
        <v>30</v>
      </c>
      <c r="D834" s="3" t="s">
        <v>49</v>
      </c>
      <c r="E834" s="3" t="s">
        <v>32</v>
      </c>
      <c r="F834" s="3" t="s">
        <v>78</v>
      </c>
      <c r="G834" s="3">
        <v>2025</v>
      </c>
      <c r="H834" s="3" t="str">
        <f>CONCATENATE("54240506565")</f>
        <v>54240506565</v>
      </c>
      <c r="I834" s="3" t="s">
        <v>34</v>
      </c>
      <c r="J834" s="3" t="s">
        <v>35</v>
      </c>
      <c r="K834" s="3"/>
      <c r="L834" s="3" t="s">
        <v>36</v>
      </c>
      <c r="M834" s="3" t="str">
        <f>CONCATENATE("CCCNTN55D06B474O")</f>
        <v>CCCNTN55D06B474O</v>
      </c>
      <c r="N834" s="3" t="s">
        <v>957</v>
      </c>
      <c r="O834" s="3" t="s">
        <v>38</v>
      </c>
      <c r="P834" s="3"/>
      <c r="Q834" s="4">
        <v>45944</v>
      </c>
      <c r="R834" s="3" t="s">
        <v>39</v>
      </c>
      <c r="S834" s="3" t="s">
        <v>38</v>
      </c>
      <c r="T834" s="3" t="s">
        <v>40</v>
      </c>
      <c r="U834" s="3"/>
      <c r="V834" s="3" t="s">
        <v>41</v>
      </c>
      <c r="W834" s="5">
        <v>12671.32</v>
      </c>
      <c r="X834" s="5">
        <v>9503.49</v>
      </c>
      <c r="Y834" s="5">
        <v>2217.48</v>
      </c>
      <c r="Z834" s="3">
        <v>950.35</v>
      </c>
      <c r="AA834" s="3">
        <v>0</v>
      </c>
    </row>
    <row r="835" spans="1:27" ht="60.75" x14ac:dyDescent="0.25">
      <c r="A835" s="3" t="s">
        <v>28</v>
      </c>
      <c r="B835" s="3" t="s">
        <v>29</v>
      </c>
      <c r="C835" s="3" t="s">
        <v>30</v>
      </c>
      <c r="D835" s="3" t="s">
        <v>49</v>
      </c>
      <c r="E835" s="3" t="s">
        <v>32</v>
      </c>
      <c r="F835" s="3" t="s">
        <v>78</v>
      </c>
      <c r="G835" s="3">
        <v>2025</v>
      </c>
      <c r="H835" s="3" t="str">
        <f>CONCATENATE("54240506714")</f>
        <v>54240506714</v>
      </c>
      <c r="I835" s="3" t="s">
        <v>34</v>
      </c>
      <c r="J835" s="3" t="s">
        <v>35</v>
      </c>
      <c r="K835" s="3"/>
      <c r="L835" s="3" t="s">
        <v>36</v>
      </c>
      <c r="M835" s="3" t="str">
        <f>CONCATENATE("NIANGL76M08B474Y")</f>
        <v>NIANGL76M08B474Y</v>
      </c>
      <c r="N835" s="3" t="s">
        <v>958</v>
      </c>
      <c r="O835" s="3" t="s">
        <v>38</v>
      </c>
      <c r="P835" s="3"/>
      <c r="Q835" s="4">
        <v>45944</v>
      </c>
      <c r="R835" s="3" t="s">
        <v>39</v>
      </c>
      <c r="S835" s="3" t="s">
        <v>38</v>
      </c>
      <c r="T835" s="3" t="s">
        <v>40</v>
      </c>
      <c r="U835" s="3"/>
      <c r="V835" s="3" t="s">
        <v>41</v>
      </c>
      <c r="W835" s="5">
        <v>3917.12</v>
      </c>
      <c r="X835" s="5">
        <v>2937.84</v>
      </c>
      <c r="Y835" s="3">
        <v>685.5</v>
      </c>
      <c r="Z835" s="3">
        <v>293.77999999999997</v>
      </c>
      <c r="AA835" s="3">
        <v>0</v>
      </c>
    </row>
    <row r="836" spans="1:27" ht="60.75" x14ac:dyDescent="0.25">
      <c r="A836" s="3" t="s">
        <v>28</v>
      </c>
      <c r="B836" s="3" t="s">
        <v>29</v>
      </c>
      <c r="C836" s="3" t="s">
        <v>30</v>
      </c>
      <c r="D836" s="3" t="s">
        <v>49</v>
      </c>
      <c r="E836" s="3" t="s">
        <v>32</v>
      </c>
      <c r="F836" s="3" t="s">
        <v>272</v>
      </c>
      <c r="G836" s="3">
        <v>2025</v>
      </c>
      <c r="H836" s="3" t="str">
        <f>CONCATENATE("54240507092")</f>
        <v>54240507092</v>
      </c>
      <c r="I836" s="3" t="s">
        <v>34</v>
      </c>
      <c r="J836" s="3" t="s">
        <v>35</v>
      </c>
      <c r="K836" s="3"/>
      <c r="L836" s="3" t="s">
        <v>36</v>
      </c>
      <c r="M836" s="3" t="str">
        <f>CONCATENATE("PLZGNN59L55A334J")</f>
        <v>PLZGNN59L55A334J</v>
      </c>
      <c r="N836" s="3" t="s">
        <v>959</v>
      </c>
      <c r="O836" s="3" t="s">
        <v>38</v>
      </c>
      <c r="P836" s="3"/>
      <c r="Q836" s="4">
        <v>45944</v>
      </c>
      <c r="R836" s="3" t="s">
        <v>39</v>
      </c>
      <c r="S836" s="3" t="s">
        <v>38</v>
      </c>
      <c r="T836" s="3" t="s">
        <v>40</v>
      </c>
      <c r="U836" s="3"/>
      <c r="V836" s="3" t="s">
        <v>41</v>
      </c>
      <c r="W836" s="5">
        <v>7050.86</v>
      </c>
      <c r="X836" s="5">
        <v>5288.15</v>
      </c>
      <c r="Y836" s="5">
        <v>1233.9000000000001</v>
      </c>
      <c r="Z836" s="3">
        <v>528.80999999999995</v>
      </c>
      <c r="AA836" s="3">
        <v>0</v>
      </c>
    </row>
    <row r="837" spans="1:27" ht="60.75" x14ac:dyDescent="0.25">
      <c r="A837" s="3" t="s">
        <v>28</v>
      </c>
      <c r="B837" s="3" t="s">
        <v>29</v>
      </c>
      <c r="C837" s="3" t="s">
        <v>30</v>
      </c>
      <c r="D837" s="3" t="s">
        <v>31</v>
      </c>
      <c r="E837" s="3" t="s">
        <v>145</v>
      </c>
      <c r="F837" s="3" t="s">
        <v>485</v>
      </c>
      <c r="G837" s="3">
        <v>2025</v>
      </c>
      <c r="H837" s="3" t="str">
        <f>CONCATENATE("54240507084")</f>
        <v>54240507084</v>
      </c>
      <c r="I837" s="3" t="s">
        <v>34</v>
      </c>
      <c r="J837" s="3" t="s">
        <v>35</v>
      </c>
      <c r="K837" s="3"/>
      <c r="L837" s="3" t="s">
        <v>36</v>
      </c>
      <c r="M837" s="3" t="str">
        <f>CONCATENATE("CRBDNC97P17C632R")</f>
        <v>CRBDNC97P17C632R</v>
      </c>
      <c r="N837" s="3" t="s">
        <v>960</v>
      </c>
      <c r="O837" s="3" t="s">
        <v>38</v>
      </c>
      <c r="P837" s="3"/>
      <c r="Q837" s="4">
        <v>45944</v>
      </c>
      <c r="R837" s="3" t="s">
        <v>39</v>
      </c>
      <c r="S837" s="3" t="s">
        <v>38</v>
      </c>
      <c r="T837" s="3" t="s">
        <v>40</v>
      </c>
      <c r="U837" s="3"/>
      <c r="V837" s="3" t="s">
        <v>41</v>
      </c>
      <c r="W837" s="5">
        <v>3342.87</v>
      </c>
      <c r="X837" s="5">
        <v>2507.15</v>
      </c>
      <c r="Y837" s="3">
        <v>585</v>
      </c>
      <c r="Z837" s="3">
        <v>250.72</v>
      </c>
      <c r="AA837" s="3">
        <v>0</v>
      </c>
    </row>
    <row r="838" spans="1:27" ht="60.75" x14ac:dyDescent="0.25">
      <c r="A838" s="3" t="s">
        <v>28</v>
      </c>
      <c r="B838" s="3" t="s">
        <v>29</v>
      </c>
      <c r="C838" s="3" t="s">
        <v>30</v>
      </c>
      <c r="D838" s="3" t="s">
        <v>31</v>
      </c>
      <c r="E838" s="3" t="s">
        <v>32</v>
      </c>
      <c r="F838" s="3" t="s">
        <v>153</v>
      </c>
      <c r="G838" s="3">
        <v>2025</v>
      </c>
      <c r="H838" s="3" t="str">
        <f>CONCATENATE("54240507274")</f>
        <v>54240507274</v>
      </c>
      <c r="I838" s="3" t="s">
        <v>34</v>
      </c>
      <c r="J838" s="3" t="s">
        <v>35</v>
      </c>
      <c r="K838" s="3"/>
      <c r="L838" s="3" t="s">
        <v>36</v>
      </c>
      <c r="M838" s="3" t="str">
        <f>CONCATENATE("MRCPRM63L06D749B")</f>
        <v>MRCPRM63L06D749B</v>
      </c>
      <c r="N838" s="3" t="s">
        <v>961</v>
      </c>
      <c r="O838" s="3" t="s">
        <v>38</v>
      </c>
      <c r="P838" s="3"/>
      <c r="Q838" s="4">
        <v>45944</v>
      </c>
      <c r="R838" s="3" t="s">
        <v>39</v>
      </c>
      <c r="S838" s="3" t="s">
        <v>38</v>
      </c>
      <c r="T838" s="3" t="s">
        <v>40</v>
      </c>
      <c r="U838" s="3"/>
      <c r="V838" s="3" t="s">
        <v>41</v>
      </c>
      <c r="W838" s="5">
        <v>1606.64</v>
      </c>
      <c r="X838" s="5">
        <v>1204.98</v>
      </c>
      <c r="Y838" s="3">
        <v>281.16000000000003</v>
      </c>
      <c r="Z838" s="3">
        <v>120.5</v>
      </c>
      <c r="AA838" s="3">
        <v>0</v>
      </c>
    </row>
    <row r="839" spans="1:27" ht="36.75" x14ac:dyDescent="0.25">
      <c r="A839" s="3" t="s">
        <v>28</v>
      </c>
      <c r="B839" s="3" t="s">
        <v>29</v>
      </c>
      <c r="C839" s="3" t="s">
        <v>30</v>
      </c>
      <c r="D839" s="3" t="s">
        <v>58</v>
      </c>
      <c r="E839" s="3" t="s">
        <v>32</v>
      </c>
      <c r="F839" s="3" t="s">
        <v>96</v>
      </c>
      <c r="G839" s="3">
        <v>2025</v>
      </c>
      <c r="H839" s="3" t="str">
        <f>CONCATENATE("54240507308")</f>
        <v>54240507308</v>
      </c>
      <c r="I839" s="3" t="s">
        <v>34</v>
      </c>
      <c r="J839" s="3" t="s">
        <v>35</v>
      </c>
      <c r="K839" s="3"/>
      <c r="L839" s="3" t="s">
        <v>36</v>
      </c>
      <c r="M839" s="3" t="str">
        <f>CONCATENATE("00406290429")</f>
        <v>00406290429</v>
      </c>
      <c r="N839" s="3" t="s">
        <v>962</v>
      </c>
      <c r="O839" s="3" t="s">
        <v>38</v>
      </c>
      <c r="P839" s="3"/>
      <c r="Q839" s="4">
        <v>45944</v>
      </c>
      <c r="R839" s="3" t="s">
        <v>39</v>
      </c>
      <c r="S839" s="3" t="s">
        <v>38</v>
      </c>
      <c r="T839" s="3" t="s">
        <v>40</v>
      </c>
      <c r="U839" s="3"/>
      <c r="V839" s="3" t="s">
        <v>41</v>
      </c>
      <c r="W839" s="5">
        <v>6663.55</v>
      </c>
      <c r="X839" s="5">
        <v>4997.66</v>
      </c>
      <c r="Y839" s="5">
        <v>1166.1199999999999</v>
      </c>
      <c r="Z839" s="3">
        <v>499.77</v>
      </c>
      <c r="AA839" s="3">
        <v>0</v>
      </c>
    </row>
    <row r="840" spans="1:27" ht="36.75" x14ac:dyDescent="0.25">
      <c r="A840" s="3" t="s">
        <v>28</v>
      </c>
      <c r="B840" s="3" t="s">
        <v>29</v>
      </c>
      <c r="C840" s="3" t="s">
        <v>30</v>
      </c>
      <c r="D840" s="3" t="s">
        <v>49</v>
      </c>
      <c r="E840" s="3" t="s">
        <v>91</v>
      </c>
      <c r="F840" s="3" t="s">
        <v>92</v>
      </c>
      <c r="G840" s="3">
        <v>2025</v>
      </c>
      <c r="H840" s="3" t="str">
        <f>CONCATENATE("54240507480")</f>
        <v>54240507480</v>
      </c>
      <c r="I840" s="3" t="s">
        <v>34</v>
      </c>
      <c r="J840" s="3" t="s">
        <v>35</v>
      </c>
      <c r="K840" s="3"/>
      <c r="L840" s="3" t="s">
        <v>36</v>
      </c>
      <c r="M840" s="3" t="str">
        <f>CONCATENATE("01804840435")</f>
        <v>01804840435</v>
      </c>
      <c r="N840" s="3" t="s">
        <v>963</v>
      </c>
      <c r="O840" s="3" t="s">
        <v>38</v>
      </c>
      <c r="P840" s="3"/>
      <c r="Q840" s="4">
        <v>45944</v>
      </c>
      <c r="R840" s="3" t="s">
        <v>39</v>
      </c>
      <c r="S840" s="3" t="s">
        <v>38</v>
      </c>
      <c r="T840" s="3" t="s">
        <v>40</v>
      </c>
      <c r="U840" s="3"/>
      <c r="V840" s="3" t="s">
        <v>41</v>
      </c>
      <c r="W840" s="5">
        <v>8099.4</v>
      </c>
      <c r="X840" s="5">
        <v>6074.55</v>
      </c>
      <c r="Y840" s="5">
        <v>1417.4</v>
      </c>
      <c r="Z840" s="3">
        <v>607.45000000000005</v>
      </c>
      <c r="AA840" s="3">
        <v>0</v>
      </c>
    </row>
    <row r="841" spans="1:27" ht="72.75" x14ac:dyDescent="0.25">
      <c r="A841" s="3" t="s">
        <v>28</v>
      </c>
      <c r="B841" s="3" t="s">
        <v>29</v>
      </c>
      <c r="C841" s="3" t="s">
        <v>30</v>
      </c>
      <c r="D841" s="3" t="s">
        <v>58</v>
      </c>
      <c r="E841" s="3" t="s">
        <v>91</v>
      </c>
      <c r="F841" s="3" t="s">
        <v>106</v>
      </c>
      <c r="G841" s="3">
        <v>2025</v>
      </c>
      <c r="H841" s="3" t="str">
        <f>CONCATENATE("54240507597")</f>
        <v>54240507597</v>
      </c>
      <c r="I841" s="3" t="s">
        <v>34</v>
      </c>
      <c r="J841" s="3" t="s">
        <v>35</v>
      </c>
      <c r="K841" s="3"/>
      <c r="L841" s="3" t="s">
        <v>36</v>
      </c>
      <c r="M841" s="3" t="str">
        <f>CONCATENATE("MRCMRZ58H10A271H")</f>
        <v>MRCMRZ58H10A271H</v>
      </c>
      <c r="N841" s="3" t="s">
        <v>110</v>
      </c>
      <c r="O841" s="3" t="s">
        <v>38</v>
      </c>
      <c r="P841" s="3"/>
      <c r="Q841" s="4">
        <v>45944</v>
      </c>
      <c r="R841" s="3" t="s">
        <v>39</v>
      </c>
      <c r="S841" s="3" t="s">
        <v>38</v>
      </c>
      <c r="T841" s="3" t="s">
        <v>40</v>
      </c>
      <c r="U841" s="3"/>
      <c r="V841" s="3" t="s">
        <v>41</v>
      </c>
      <c r="W841" s="5">
        <v>16981.46</v>
      </c>
      <c r="X841" s="5">
        <v>12736.1</v>
      </c>
      <c r="Y841" s="5">
        <v>2971.76</v>
      </c>
      <c r="Z841" s="5">
        <v>1273.5999999999999</v>
      </c>
      <c r="AA841" s="3">
        <v>0</v>
      </c>
    </row>
    <row r="842" spans="1:27" ht="72.75" x14ac:dyDescent="0.25">
      <c r="A842" s="3" t="s">
        <v>28</v>
      </c>
      <c r="B842" s="3" t="s">
        <v>29</v>
      </c>
      <c r="C842" s="3" t="s">
        <v>30</v>
      </c>
      <c r="D842" s="3" t="s">
        <v>31</v>
      </c>
      <c r="E842" s="3" t="s">
        <v>32</v>
      </c>
      <c r="F842" s="3" t="s">
        <v>153</v>
      </c>
      <c r="G842" s="3">
        <v>2025</v>
      </c>
      <c r="H842" s="3" t="str">
        <f>CONCATENATE("54240507589")</f>
        <v>54240507589</v>
      </c>
      <c r="I842" s="3" t="s">
        <v>34</v>
      </c>
      <c r="J842" s="3" t="s">
        <v>35</v>
      </c>
      <c r="K842" s="3"/>
      <c r="L842" s="3" t="s">
        <v>36</v>
      </c>
      <c r="M842" s="3" t="str">
        <f>CONCATENATE("CRNMNL68B25D749M")</f>
        <v>CRNMNL68B25D749M</v>
      </c>
      <c r="N842" s="3" t="s">
        <v>964</v>
      </c>
      <c r="O842" s="3" t="s">
        <v>38</v>
      </c>
      <c r="P842" s="3"/>
      <c r="Q842" s="4">
        <v>45944</v>
      </c>
      <c r="R842" s="3" t="s">
        <v>39</v>
      </c>
      <c r="S842" s="3" t="s">
        <v>38</v>
      </c>
      <c r="T842" s="3" t="s">
        <v>40</v>
      </c>
      <c r="U842" s="3"/>
      <c r="V842" s="3" t="s">
        <v>41</v>
      </c>
      <c r="W842" s="5">
        <v>3919.21</v>
      </c>
      <c r="X842" s="5">
        <v>2939.41</v>
      </c>
      <c r="Y842" s="3">
        <v>685.86</v>
      </c>
      <c r="Z842" s="3">
        <v>293.94</v>
      </c>
      <c r="AA842" s="3">
        <v>0</v>
      </c>
    </row>
    <row r="843" spans="1:27" ht="36.75" x14ac:dyDescent="0.25">
      <c r="A843" s="3" t="s">
        <v>28</v>
      </c>
      <c r="B843" s="3" t="s">
        <v>29</v>
      </c>
      <c r="C843" s="3" t="s">
        <v>30</v>
      </c>
      <c r="D843" s="3" t="s">
        <v>58</v>
      </c>
      <c r="E843" s="3" t="s">
        <v>32</v>
      </c>
      <c r="F843" s="3" t="s">
        <v>98</v>
      </c>
      <c r="G843" s="3">
        <v>2025</v>
      </c>
      <c r="H843" s="3" t="str">
        <f>CONCATENATE("54240507555")</f>
        <v>54240507555</v>
      </c>
      <c r="I843" s="3" t="s">
        <v>34</v>
      </c>
      <c r="J843" s="3" t="s">
        <v>35</v>
      </c>
      <c r="K843" s="3"/>
      <c r="L843" s="3" t="s">
        <v>36</v>
      </c>
      <c r="M843" s="3" t="str">
        <f>CONCATENATE("02903150429")</f>
        <v>02903150429</v>
      </c>
      <c r="N843" s="3" t="s">
        <v>965</v>
      </c>
      <c r="O843" s="3" t="s">
        <v>38</v>
      </c>
      <c r="P843" s="3"/>
      <c r="Q843" s="4">
        <v>45944</v>
      </c>
      <c r="R843" s="3" t="s">
        <v>39</v>
      </c>
      <c r="S843" s="3" t="s">
        <v>38</v>
      </c>
      <c r="T843" s="3" t="s">
        <v>40</v>
      </c>
      <c r="U843" s="3"/>
      <c r="V843" s="3" t="s">
        <v>41</v>
      </c>
      <c r="W843" s="5">
        <v>2955.49</v>
      </c>
      <c r="X843" s="5">
        <v>2216.62</v>
      </c>
      <c r="Y843" s="3">
        <v>517.21</v>
      </c>
      <c r="Z843" s="3">
        <v>221.66</v>
      </c>
      <c r="AA843" s="3">
        <v>0</v>
      </c>
    </row>
    <row r="844" spans="1:27" ht="60.75" x14ac:dyDescent="0.25">
      <c r="A844" s="3" t="s">
        <v>28</v>
      </c>
      <c r="B844" s="3" t="s">
        <v>29</v>
      </c>
      <c r="C844" s="3" t="s">
        <v>30</v>
      </c>
      <c r="D844" s="3" t="s">
        <v>63</v>
      </c>
      <c r="E844" s="3" t="s">
        <v>91</v>
      </c>
      <c r="F844" s="3" t="s">
        <v>94</v>
      </c>
      <c r="G844" s="3">
        <v>2025</v>
      </c>
      <c r="H844" s="3" t="str">
        <f>CONCATENATE("54240507688")</f>
        <v>54240507688</v>
      </c>
      <c r="I844" s="3" t="s">
        <v>34</v>
      </c>
      <c r="J844" s="3" t="s">
        <v>35</v>
      </c>
      <c r="K844" s="3"/>
      <c r="L844" s="3" t="s">
        <v>36</v>
      </c>
      <c r="M844" s="3" t="str">
        <f>CONCATENATE("SLCDNL84P02H501J")</f>
        <v>SLCDNL84P02H501J</v>
      </c>
      <c r="N844" s="3" t="s">
        <v>966</v>
      </c>
      <c r="O844" s="3" t="s">
        <v>38</v>
      </c>
      <c r="P844" s="3"/>
      <c r="Q844" s="4">
        <v>45944</v>
      </c>
      <c r="R844" s="3" t="s">
        <v>39</v>
      </c>
      <c r="S844" s="3" t="s">
        <v>38</v>
      </c>
      <c r="T844" s="3" t="s">
        <v>40</v>
      </c>
      <c r="U844" s="3"/>
      <c r="V844" s="3" t="s">
        <v>41</v>
      </c>
      <c r="W844" s="3">
        <v>502.4</v>
      </c>
      <c r="X844" s="3">
        <v>376.8</v>
      </c>
      <c r="Y844" s="3">
        <v>87.92</v>
      </c>
      <c r="Z844" s="3">
        <v>37.68</v>
      </c>
      <c r="AA844" s="3">
        <v>0</v>
      </c>
    </row>
    <row r="845" spans="1:27" ht="72.75" x14ac:dyDescent="0.25">
      <c r="A845" s="3" t="s">
        <v>28</v>
      </c>
      <c r="B845" s="3" t="s">
        <v>29</v>
      </c>
      <c r="C845" s="3" t="s">
        <v>30</v>
      </c>
      <c r="D845" s="3" t="s">
        <v>63</v>
      </c>
      <c r="E845" s="3" t="s">
        <v>91</v>
      </c>
      <c r="F845" s="3" t="s">
        <v>94</v>
      </c>
      <c r="G845" s="3">
        <v>2025</v>
      </c>
      <c r="H845" s="3" t="str">
        <f>CONCATENATE("54240507746")</f>
        <v>54240507746</v>
      </c>
      <c r="I845" s="3" t="s">
        <v>34</v>
      </c>
      <c r="J845" s="3" t="s">
        <v>35</v>
      </c>
      <c r="K845" s="3"/>
      <c r="L845" s="3" t="s">
        <v>36</v>
      </c>
      <c r="M845" s="3" t="str">
        <f>CONCATENATE("TRRMSM75C23D542G")</f>
        <v>TRRMSM75C23D542G</v>
      </c>
      <c r="N845" s="3" t="s">
        <v>967</v>
      </c>
      <c r="O845" s="3" t="s">
        <v>38</v>
      </c>
      <c r="P845" s="3"/>
      <c r="Q845" s="4">
        <v>45944</v>
      </c>
      <c r="R845" s="3" t="s">
        <v>39</v>
      </c>
      <c r="S845" s="3" t="s">
        <v>38</v>
      </c>
      <c r="T845" s="3" t="s">
        <v>40</v>
      </c>
      <c r="U845" s="3"/>
      <c r="V845" s="3" t="s">
        <v>41</v>
      </c>
      <c r="W845" s="5">
        <v>1559.85</v>
      </c>
      <c r="X845" s="5">
        <v>1169.8900000000001</v>
      </c>
      <c r="Y845" s="3">
        <v>272.97000000000003</v>
      </c>
      <c r="Z845" s="3">
        <v>116.99</v>
      </c>
      <c r="AA845" s="3">
        <v>0</v>
      </c>
    </row>
    <row r="846" spans="1:27" ht="60.75" x14ac:dyDescent="0.25">
      <c r="A846" s="3" t="s">
        <v>28</v>
      </c>
      <c r="B846" s="3" t="s">
        <v>29</v>
      </c>
      <c r="C846" s="3" t="s">
        <v>30</v>
      </c>
      <c r="D846" s="3" t="s">
        <v>58</v>
      </c>
      <c r="E846" s="3" t="s">
        <v>32</v>
      </c>
      <c r="F846" s="3" t="s">
        <v>98</v>
      </c>
      <c r="G846" s="3">
        <v>2025</v>
      </c>
      <c r="H846" s="3" t="str">
        <f>CONCATENATE("54240501152")</f>
        <v>54240501152</v>
      </c>
      <c r="I846" s="3" t="s">
        <v>34</v>
      </c>
      <c r="J846" s="3" t="s">
        <v>35</v>
      </c>
      <c r="K846" s="3"/>
      <c r="L846" s="3" t="s">
        <v>36</v>
      </c>
      <c r="M846" s="3" t="str">
        <f>CONCATENATE("RDNTZN71D67B429L")</f>
        <v>RDNTZN71D67B429L</v>
      </c>
      <c r="N846" s="3" t="s">
        <v>968</v>
      </c>
      <c r="O846" s="3" t="s">
        <v>38</v>
      </c>
      <c r="P846" s="3"/>
      <c r="Q846" s="4">
        <v>45944</v>
      </c>
      <c r="R846" s="3" t="s">
        <v>39</v>
      </c>
      <c r="S846" s="3" t="s">
        <v>38</v>
      </c>
      <c r="T846" s="3" t="s">
        <v>40</v>
      </c>
      <c r="U846" s="3"/>
      <c r="V846" s="3" t="s">
        <v>41</v>
      </c>
      <c r="W846" s="5">
        <v>1015.03</v>
      </c>
      <c r="X846" s="3">
        <v>761.27</v>
      </c>
      <c r="Y846" s="3">
        <v>177.63</v>
      </c>
      <c r="Z846" s="3">
        <v>76.13</v>
      </c>
      <c r="AA846" s="3">
        <v>0</v>
      </c>
    </row>
    <row r="847" spans="1:27" ht="60.75" x14ac:dyDescent="0.25">
      <c r="A847" s="3" t="s">
        <v>28</v>
      </c>
      <c r="B847" s="3" t="s">
        <v>29</v>
      </c>
      <c r="C847" s="3" t="s">
        <v>30</v>
      </c>
      <c r="D847" s="3" t="s">
        <v>58</v>
      </c>
      <c r="E847" s="3" t="s">
        <v>91</v>
      </c>
      <c r="F847" s="3" t="s">
        <v>106</v>
      </c>
      <c r="G847" s="3">
        <v>2025</v>
      </c>
      <c r="H847" s="3" t="str">
        <f>CONCATENATE("54240501103")</f>
        <v>54240501103</v>
      </c>
      <c r="I847" s="3" t="s">
        <v>34</v>
      </c>
      <c r="J847" s="3" t="s">
        <v>35</v>
      </c>
      <c r="K847" s="3"/>
      <c r="L847" s="3" t="s">
        <v>36</v>
      </c>
      <c r="M847" s="3" t="str">
        <f>CONCATENATE("FSSMHL80L21D451V")</f>
        <v>FSSMHL80L21D451V</v>
      </c>
      <c r="N847" s="3" t="s">
        <v>969</v>
      </c>
      <c r="O847" s="3" t="s">
        <v>38</v>
      </c>
      <c r="P847" s="3"/>
      <c r="Q847" s="4">
        <v>45944</v>
      </c>
      <c r="R847" s="3" t="s">
        <v>39</v>
      </c>
      <c r="S847" s="3" t="s">
        <v>38</v>
      </c>
      <c r="T847" s="3" t="s">
        <v>40</v>
      </c>
      <c r="U847" s="3"/>
      <c r="V847" s="3" t="s">
        <v>41</v>
      </c>
      <c r="W847" s="5">
        <v>1739.86</v>
      </c>
      <c r="X847" s="5">
        <v>1304.9000000000001</v>
      </c>
      <c r="Y847" s="3">
        <v>304.48</v>
      </c>
      <c r="Z847" s="3">
        <v>130.47999999999999</v>
      </c>
      <c r="AA847" s="3">
        <v>0</v>
      </c>
    </row>
    <row r="848" spans="1:27" ht="72.75" x14ac:dyDescent="0.25">
      <c r="A848" s="3" t="s">
        <v>28</v>
      </c>
      <c r="B848" s="3" t="s">
        <v>29</v>
      </c>
      <c r="C848" s="3" t="s">
        <v>30</v>
      </c>
      <c r="D848" s="3" t="s">
        <v>58</v>
      </c>
      <c r="E848" s="3" t="s">
        <v>91</v>
      </c>
      <c r="F848" s="3" t="s">
        <v>106</v>
      </c>
      <c r="G848" s="3">
        <v>2025</v>
      </c>
      <c r="H848" s="3" t="str">
        <f>CONCATENATE("54240501129")</f>
        <v>54240501129</v>
      </c>
      <c r="I848" s="3" t="s">
        <v>34</v>
      </c>
      <c r="J848" s="3" t="s">
        <v>35</v>
      </c>
      <c r="K848" s="3"/>
      <c r="L848" s="3" t="s">
        <v>36</v>
      </c>
      <c r="M848" s="3" t="str">
        <f>CONCATENATE("GBRSNT65A21D451R")</f>
        <v>GBRSNT65A21D451R</v>
      </c>
      <c r="N848" s="3" t="s">
        <v>970</v>
      </c>
      <c r="O848" s="3" t="s">
        <v>38</v>
      </c>
      <c r="P848" s="3"/>
      <c r="Q848" s="4">
        <v>45944</v>
      </c>
      <c r="R848" s="3" t="s">
        <v>39</v>
      </c>
      <c r="S848" s="3" t="s">
        <v>38</v>
      </c>
      <c r="T848" s="3" t="s">
        <v>40</v>
      </c>
      <c r="U848" s="3"/>
      <c r="V848" s="3" t="s">
        <v>41</v>
      </c>
      <c r="W848" s="3">
        <v>797.65</v>
      </c>
      <c r="X848" s="3">
        <v>598.24</v>
      </c>
      <c r="Y848" s="3">
        <v>139.59</v>
      </c>
      <c r="Z848" s="3">
        <v>59.82</v>
      </c>
      <c r="AA848" s="3">
        <v>0</v>
      </c>
    </row>
    <row r="849" spans="1:27" ht="36.75" x14ac:dyDescent="0.25">
      <c r="A849" s="3" t="s">
        <v>28</v>
      </c>
      <c r="B849" s="3" t="s">
        <v>29</v>
      </c>
      <c r="C849" s="3" t="s">
        <v>30</v>
      </c>
      <c r="D849" s="3" t="s">
        <v>58</v>
      </c>
      <c r="E849" s="3" t="s">
        <v>91</v>
      </c>
      <c r="F849" s="3" t="s">
        <v>106</v>
      </c>
      <c r="G849" s="3">
        <v>2025</v>
      </c>
      <c r="H849" s="3" t="str">
        <f>CONCATENATE("54240501301")</f>
        <v>54240501301</v>
      </c>
      <c r="I849" s="3" t="s">
        <v>34</v>
      </c>
      <c r="J849" s="3" t="s">
        <v>35</v>
      </c>
      <c r="K849" s="3"/>
      <c r="L849" s="3" t="s">
        <v>36</v>
      </c>
      <c r="M849" s="3" t="str">
        <f>CONCATENATE("02351550427")</f>
        <v>02351550427</v>
      </c>
      <c r="N849" s="3" t="s">
        <v>971</v>
      </c>
      <c r="O849" s="3" t="s">
        <v>38</v>
      </c>
      <c r="P849" s="3"/>
      <c r="Q849" s="4">
        <v>45944</v>
      </c>
      <c r="R849" s="3" t="s">
        <v>39</v>
      </c>
      <c r="S849" s="3" t="s">
        <v>38</v>
      </c>
      <c r="T849" s="3" t="s">
        <v>40</v>
      </c>
      <c r="U849" s="3"/>
      <c r="V849" s="3" t="s">
        <v>41</v>
      </c>
      <c r="W849" s="5">
        <v>2170.9499999999998</v>
      </c>
      <c r="X849" s="5">
        <v>1628.21</v>
      </c>
      <c r="Y849" s="3">
        <v>379.92</v>
      </c>
      <c r="Z849" s="3">
        <v>162.82</v>
      </c>
      <c r="AA849" s="3">
        <v>0</v>
      </c>
    </row>
    <row r="850" spans="1:27" ht="60.75" x14ac:dyDescent="0.25">
      <c r="A850" s="3" t="s">
        <v>28</v>
      </c>
      <c r="B850" s="3" t="s">
        <v>29</v>
      </c>
      <c r="C850" s="3" t="s">
        <v>30</v>
      </c>
      <c r="D850" s="3" t="s">
        <v>31</v>
      </c>
      <c r="E850" s="3" t="s">
        <v>32</v>
      </c>
      <c r="F850" s="3" t="s">
        <v>440</v>
      </c>
      <c r="G850" s="3">
        <v>2025</v>
      </c>
      <c r="H850" s="3" t="str">
        <f>CONCATENATE("54240501319")</f>
        <v>54240501319</v>
      </c>
      <c r="I850" s="3" t="s">
        <v>34</v>
      </c>
      <c r="J850" s="3" t="s">
        <v>35</v>
      </c>
      <c r="K850" s="3"/>
      <c r="L850" s="3" t="s">
        <v>36</v>
      </c>
      <c r="M850" s="3" t="str">
        <f>CONCATENATE("CCCBDT64T09I459G")</f>
        <v>CCCBDT64T09I459G</v>
      </c>
      <c r="N850" s="3" t="s">
        <v>972</v>
      </c>
      <c r="O850" s="3" t="s">
        <v>38</v>
      </c>
      <c r="P850" s="3"/>
      <c r="Q850" s="4">
        <v>45944</v>
      </c>
      <c r="R850" s="3" t="s">
        <v>39</v>
      </c>
      <c r="S850" s="3" t="s">
        <v>38</v>
      </c>
      <c r="T850" s="3" t="s">
        <v>40</v>
      </c>
      <c r="U850" s="3"/>
      <c r="V850" s="3" t="s">
        <v>41</v>
      </c>
      <c r="W850" s="5">
        <v>15853.36</v>
      </c>
      <c r="X850" s="5">
        <v>11890.02</v>
      </c>
      <c r="Y850" s="5">
        <v>2774.34</v>
      </c>
      <c r="Z850" s="5">
        <v>1189</v>
      </c>
      <c r="AA850" s="3">
        <v>0</v>
      </c>
    </row>
    <row r="851" spans="1:27" ht="60.75" x14ac:dyDescent="0.25">
      <c r="A851" s="3" t="s">
        <v>28</v>
      </c>
      <c r="B851" s="3" t="s">
        <v>29</v>
      </c>
      <c r="C851" s="3" t="s">
        <v>30</v>
      </c>
      <c r="D851" s="3" t="s">
        <v>58</v>
      </c>
      <c r="E851" s="3" t="s">
        <v>53</v>
      </c>
      <c r="F851" s="3" t="s">
        <v>123</v>
      </c>
      <c r="G851" s="3">
        <v>2025</v>
      </c>
      <c r="H851" s="3" t="str">
        <f>CONCATENATE("54240584315")</f>
        <v>54240584315</v>
      </c>
      <c r="I851" s="3" t="s">
        <v>34</v>
      </c>
      <c r="J851" s="3" t="s">
        <v>35</v>
      </c>
      <c r="K851" s="3"/>
      <c r="L851" s="3" t="s">
        <v>36</v>
      </c>
      <c r="M851" s="3" t="str">
        <f>CONCATENATE("SRRMCC55E60H501G")</f>
        <v>SRRMCC55E60H501G</v>
      </c>
      <c r="N851" s="3" t="s">
        <v>973</v>
      </c>
      <c r="O851" s="3" t="s">
        <v>38</v>
      </c>
      <c r="P851" s="3"/>
      <c r="Q851" s="4">
        <v>45944</v>
      </c>
      <c r="R851" s="3" t="s">
        <v>39</v>
      </c>
      <c r="S851" s="3" t="s">
        <v>38</v>
      </c>
      <c r="T851" s="3" t="s">
        <v>40</v>
      </c>
      <c r="U851" s="3"/>
      <c r="V851" s="3" t="s">
        <v>41</v>
      </c>
      <c r="W851" s="5">
        <v>1231.6199999999999</v>
      </c>
      <c r="X851" s="3">
        <v>923.72</v>
      </c>
      <c r="Y851" s="3">
        <v>215.53</v>
      </c>
      <c r="Z851" s="3">
        <v>92.37</v>
      </c>
      <c r="AA851" s="3">
        <v>0</v>
      </c>
    </row>
    <row r="852" spans="1:27" ht="60.75" x14ac:dyDescent="0.25">
      <c r="A852" s="3" t="s">
        <v>28</v>
      </c>
      <c r="B852" s="3" t="s">
        <v>29</v>
      </c>
      <c r="C852" s="3" t="s">
        <v>30</v>
      </c>
      <c r="D852" s="3" t="s">
        <v>58</v>
      </c>
      <c r="E852" s="3" t="s">
        <v>32</v>
      </c>
      <c r="F852" s="3" t="s">
        <v>98</v>
      </c>
      <c r="G852" s="3">
        <v>2025</v>
      </c>
      <c r="H852" s="3" t="str">
        <f>CONCATENATE("54240501491")</f>
        <v>54240501491</v>
      </c>
      <c r="I852" s="3" t="s">
        <v>34</v>
      </c>
      <c r="J852" s="3" t="s">
        <v>35</v>
      </c>
      <c r="K852" s="3"/>
      <c r="L852" s="3" t="s">
        <v>36</v>
      </c>
      <c r="M852" s="3" t="str">
        <f>CONCATENATE("BLDDGI90S25A271A")</f>
        <v>BLDDGI90S25A271A</v>
      </c>
      <c r="N852" s="3" t="s">
        <v>99</v>
      </c>
      <c r="O852" s="3" t="s">
        <v>38</v>
      </c>
      <c r="P852" s="3"/>
      <c r="Q852" s="4">
        <v>45944</v>
      </c>
      <c r="R852" s="3" t="s">
        <v>39</v>
      </c>
      <c r="S852" s="3" t="s">
        <v>38</v>
      </c>
      <c r="T852" s="3" t="s">
        <v>40</v>
      </c>
      <c r="U852" s="3"/>
      <c r="V852" s="3" t="s">
        <v>41</v>
      </c>
      <c r="W852" s="5">
        <v>3679.81</v>
      </c>
      <c r="X852" s="5">
        <v>2759.86</v>
      </c>
      <c r="Y852" s="3">
        <v>643.97</v>
      </c>
      <c r="Z852" s="3">
        <v>275.98</v>
      </c>
      <c r="AA852" s="3">
        <v>0</v>
      </c>
    </row>
    <row r="853" spans="1:27" ht="36.75" x14ac:dyDescent="0.25">
      <c r="A853" s="3" t="s">
        <v>28</v>
      </c>
      <c r="B853" s="3" t="s">
        <v>29</v>
      </c>
      <c r="C853" s="3" t="s">
        <v>30</v>
      </c>
      <c r="D853" s="3" t="s">
        <v>31</v>
      </c>
      <c r="E853" s="3" t="s">
        <v>46</v>
      </c>
      <c r="F853" s="3" t="s">
        <v>47</v>
      </c>
      <c r="G853" s="3">
        <v>2025</v>
      </c>
      <c r="H853" s="3" t="str">
        <f>CONCATENATE("54240501574")</f>
        <v>54240501574</v>
      </c>
      <c r="I853" s="3" t="s">
        <v>34</v>
      </c>
      <c r="J853" s="3" t="s">
        <v>35</v>
      </c>
      <c r="K853" s="3"/>
      <c r="L853" s="3" t="s">
        <v>36</v>
      </c>
      <c r="M853" s="3" t="str">
        <f>CONCATENATE("02099510410")</f>
        <v>02099510410</v>
      </c>
      <c r="N853" s="3" t="s">
        <v>974</v>
      </c>
      <c r="O853" s="3" t="s">
        <v>38</v>
      </c>
      <c r="P853" s="3"/>
      <c r="Q853" s="4">
        <v>45944</v>
      </c>
      <c r="R853" s="3" t="s">
        <v>39</v>
      </c>
      <c r="S853" s="3" t="s">
        <v>38</v>
      </c>
      <c r="T853" s="3" t="s">
        <v>40</v>
      </c>
      <c r="U853" s="3"/>
      <c r="V853" s="3" t="s">
        <v>41</v>
      </c>
      <c r="W853" s="5">
        <v>1371.73</v>
      </c>
      <c r="X853" s="5">
        <v>1028.8</v>
      </c>
      <c r="Y853" s="3">
        <v>240.05</v>
      </c>
      <c r="Z853" s="3">
        <v>102.88</v>
      </c>
      <c r="AA853" s="3">
        <v>0</v>
      </c>
    </row>
    <row r="854" spans="1:27" ht="60.75" x14ac:dyDescent="0.25">
      <c r="A854" s="3" t="s">
        <v>28</v>
      </c>
      <c r="B854" s="3" t="s">
        <v>29</v>
      </c>
      <c r="C854" s="3" t="s">
        <v>30</v>
      </c>
      <c r="D854" s="3" t="s">
        <v>58</v>
      </c>
      <c r="E854" s="3" t="s">
        <v>32</v>
      </c>
      <c r="F854" s="3" t="s">
        <v>102</v>
      </c>
      <c r="G854" s="3">
        <v>2025</v>
      </c>
      <c r="H854" s="3" t="str">
        <f>CONCATENATE("54240542396")</f>
        <v>54240542396</v>
      </c>
      <c r="I854" s="3" t="s">
        <v>34</v>
      </c>
      <c r="J854" s="3" t="s">
        <v>35</v>
      </c>
      <c r="K854" s="3"/>
      <c r="L854" s="3" t="s">
        <v>36</v>
      </c>
      <c r="M854" s="3" t="str">
        <f>CONCATENATE("NGLLCU86C06E388T")</f>
        <v>NGLLCU86C06E388T</v>
      </c>
      <c r="N854" s="3" t="s">
        <v>975</v>
      </c>
      <c r="O854" s="3" t="s">
        <v>38</v>
      </c>
      <c r="P854" s="3"/>
      <c r="Q854" s="4">
        <v>45944</v>
      </c>
      <c r="R854" s="3" t="s">
        <v>39</v>
      </c>
      <c r="S854" s="3" t="s">
        <v>38</v>
      </c>
      <c r="T854" s="3" t="s">
        <v>40</v>
      </c>
      <c r="U854" s="3"/>
      <c r="V854" s="3" t="s">
        <v>41</v>
      </c>
      <c r="W854" s="5">
        <v>1792.07</v>
      </c>
      <c r="X854" s="5">
        <v>1344.05</v>
      </c>
      <c r="Y854" s="3">
        <v>313.61</v>
      </c>
      <c r="Z854" s="3">
        <v>134.41</v>
      </c>
      <c r="AA854" s="3">
        <v>0</v>
      </c>
    </row>
    <row r="855" spans="1:27" ht="60.75" x14ac:dyDescent="0.25">
      <c r="A855" s="3" t="s">
        <v>28</v>
      </c>
      <c r="B855" s="3" t="s">
        <v>29</v>
      </c>
      <c r="C855" s="3" t="s">
        <v>30</v>
      </c>
      <c r="D855" s="3" t="s">
        <v>31</v>
      </c>
      <c r="E855" s="3" t="s">
        <v>46</v>
      </c>
      <c r="F855" s="3" t="s">
        <v>47</v>
      </c>
      <c r="G855" s="3">
        <v>2025</v>
      </c>
      <c r="H855" s="3" t="str">
        <f>CONCATENATE("54240501632")</f>
        <v>54240501632</v>
      </c>
      <c r="I855" s="3" t="s">
        <v>34</v>
      </c>
      <c r="J855" s="3" t="s">
        <v>35</v>
      </c>
      <c r="K855" s="3"/>
      <c r="L855" s="3" t="s">
        <v>36</v>
      </c>
      <c r="M855" s="3" t="str">
        <f>CONCATENATE("BSTLSU64E56G479K")</f>
        <v>BSTLSU64E56G479K</v>
      </c>
      <c r="N855" s="3" t="s">
        <v>976</v>
      </c>
      <c r="O855" s="3" t="s">
        <v>38</v>
      </c>
      <c r="P855" s="3"/>
      <c r="Q855" s="4">
        <v>45944</v>
      </c>
      <c r="R855" s="3" t="s">
        <v>39</v>
      </c>
      <c r="S855" s="3" t="s">
        <v>38</v>
      </c>
      <c r="T855" s="3" t="s">
        <v>40</v>
      </c>
      <c r="U855" s="3"/>
      <c r="V855" s="3" t="s">
        <v>41</v>
      </c>
      <c r="W855" s="5">
        <v>9707.93</v>
      </c>
      <c r="X855" s="5">
        <v>7280.95</v>
      </c>
      <c r="Y855" s="5">
        <v>1698.89</v>
      </c>
      <c r="Z855" s="3">
        <v>728.09</v>
      </c>
      <c r="AA855" s="3">
        <v>0</v>
      </c>
    </row>
    <row r="856" spans="1:27" ht="60.75" x14ac:dyDescent="0.25">
      <c r="A856" s="3" t="s">
        <v>28</v>
      </c>
      <c r="B856" s="3" t="s">
        <v>29</v>
      </c>
      <c r="C856" s="3" t="s">
        <v>30</v>
      </c>
      <c r="D856" s="3" t="s">
        <v>58</v>
      </c>
      <c r="E856" s="3" t="s">
        <v>53</v>
      </c>
      <c r="F856" s="3" t="s">
        <v>123</v>
      </c>
      <c r="G856" s="3">
        <v>2025</v>
      </c>
      <c r="H856" s="3" t="str">
        <f>CONCATENATE("54240501939")</f>
        <v>54240501939</v>
      </c>
      <c r="I856" s="3" t="s">
        <v>34</v>
      </c>
      <c r="J856" s="3" t="s">
        <v>35</v>
      </c>
      <c r="K856" s="3"/>
      <c r="L856" s="3" t="s">
        <v>36</v>
      </c>
      <c r="M856" s="3" t="str">
        <f>CONCATENATE("NDRGLN61H17F745O")</f>
        <v>NDRGLN61H17F745O</v>
      </c>
      <c r="N856" s="3" t="s">
        <v>977</v>
      </c>
      <c r="O856" s="3" t="s">
        <v>38</v>
      </c>
      <c r="P856" s="3"/>
      <c r="Q856" s="4">
        <v>45944</v>
      </c>
      <c r="R856" s="3" t="s">
        <v>39</v>
      </c>
      <c r="S856" s="3" t="s">
        <v>38</v>
      </c>
      <c r="T856" s="3" t="s">
        <v>40</v>
      </c>
      <c r="U856" s="3"/>
      <c r="V856" s="3" t="s">
        <v>41</v>
      </c>
      <c r="W856" s="3">
        <v>147.4</v>
      </c>
      <c r="X856" s="3">
        <v>110.55</v>
      </c>
      <c r="Y856" s="3">
        <v>25.8</v>
      </c>
      <c r="Z856" s="3">
        <v>11.05</v>
      </c>
      <c r="AA856" s="3">
        <v>0</v>
      </c>
    </row>
    <row r="857" spans="1:27" ht="60.75" x14ac:dyDescent="0.25">
      <c r="A857" s="3" t="s">
        <v>28</v>
      </c>
      <c r="B857" s="3" t="s">
        <v>29</v>
      </c>
      <c r="C857" s="3" t="s">
        <v>30</v>
      </c>
      <c r="D857" s="3" t="s">
        <v>49</v>
      </c>
      <c r="E857" s="3" t="s">
        <v>46</v>
      </c>
      <c r="F857" s="3" t="s">
        <v>140</v>
      </c>
      <c r="G857" s="3">
        <v>2025</v>
      </c>
      <c r="H857" s="3" t="str">
        <f>CONCATENATE("54240501970")</f>
        <v>54240501970</v>
      </c>
      <c r="I857" s="3" t="s">
        <v>34</v>
      </c>
      <c r="J857" s="3" t="s">
        <v>35</v>
      </c>
      <c r="K857" s="3"/>
      <c r="L857" s="3" t="s">
        <v>36</v>
      </c>
      <c r="M857" s="3" t="str">
        <f>CONCATENATE("GVGSFN54M48B474X")</f>
        <v>GVGSFN54M48B474X</v>
      </c>
      <c r="N857" s="3" t="s">
        <v>978</v>
      </c>
      <c r="O857" s="3" t="s">
        <v>38</v>
      </c>
      <c r="P857" s="3"/>
      <c r="Q857" s="4">
        <v>45944</v>
      </c>
      <c r="R857" s="3" t="s">
        <v>39</v>
      </c>
      <c r="S857" s="3" t="s">
        <v>38</v>
      </c>
      <c r="T857" s="3" t="s">
        <v>40</v>
      </c>
      <c r="U857" s="3"/>
      <c r="V857" s="3" t="s">
        <v>41</v>
      </c>
      <c r="W857" s="3">
        <v>434.08</v>
      </c>
      <c r="X857" s="3">
        <v>325.56</v>
      </c>
      <c r="Y857" s="3">
        <v>75.959999999999994</v>
      </c>
      <c r="Z857" s="3">
        <v>32.56</v>
      </c>
      <c r="AA857" s="3">
        <v>0</v>
      </c>
    </row>
    <row r="858" spans="1:27" ht="60.75" x14ac:dyDescent="0.25">
      <c r="A858" s="3" t="s">
        <v>28</v>
      </c>
      <c r="B858" s="3" t="s">
        <v>29</v>
      </c>
      <c r="C858" s="3" t="s">
        <v>30</v>
      </c>
      <c r="D858" s="3" t="s">
        <v>49</v>
      </c>
      <c r="E858" s="3" t="s">
        <v>46</v>
      </c>
      <c r="F858" s="3" t="s">
        <v>131</v>
      </c>
      <c r="G858" s="3">
        <v>2025</v>
      </c>
      <c r="H858" s="3" t="str">
        <f>CONCATENATE("54240502333")</f>
        <v>54240502333</v>
      </c>
      <c r="I858" s="3" t="s">
        <v>34</v>
      </c>
      <c r="J858" s="3" t="s">
        <v>35</v>
      </c>
      <c r="K858" s="3"/>
      <c r="L858" s="3" t="s">
        <v>36</v>
      </c>
      <c r="M858" s="3" t="str">
        <f>CONCATENATE("RGNLSN84M61A271Z")</f>
        <v>RGNLSN84M61A271Z</v>
      </c>
      <c r="N858" s="3" t="s">
        <v>979</v>
      </c>
      <c r="O858" s="3" t="s">
        <v>38</v>
      </c>
      <c r="P858" s="3"/>
      <c r="Q858" s="4">
        <v>45944</v>
      </c>
      <c r="R858" s="3" t="s">
        <v>39</v>
      </c>
      <c r="S858" s="3" t="s">
        <v>38</v>
      </c>
      <c r="T858" s="3" t="s">
        <v>40</v>
      </c>
      <c r="U858" s="3"/>
      <c r="V858" s="3" t="s">
        <v>41</v>
      </c>
      <c r="W858" s="5">
        <v>7466.5</v>
      </c>
      <c r="X858" s="5">
        <v>5599.88</v>
      </c>
      <c r="Y858" s="5">
        <v>1306.6400000000001</v>
      </c>
      <c r="Z858" s="3">
        <v>559.98</v>
      </c>
      <c r="AA858" s="3">
        <v>0</v>
      </c>
    </row>
    <row r="859" spans="1:27" ht="60.75" x14ac:dyDescent="0.25">
      <c r="A859" s="3" t="s">
        <v>28</v>
      </c>
      <c r="B859" s="3" t="s">
        <v>29</v>
      </c>
      <c r="C859" s="3" t="s">
        <v>30</v>
      </c>
      <c r="D859" s="3" t="s">
        <v>49</v>
      </c>
      <c r="E859" s="3" t="s">
        <v>32</v>
      </c>
      <c r="F859" s="3" t="s">
        <v>71</v>
      </c>
      <c r="G859" s="3">
        <v>2025</v>
      </c>
      <c r="H859" s="3" t="str">
        <f>CONCATENATE("54240502200")</f>
        <v>54240502200</v>
      </c>
      <c r="I859" s="3" t="s">
        <v>34</v>
      </c>
      <c r="J859" s="3" t="s">
        <v>35</v>
      </c>
      <c r="K859" s="3"/>
      <c r="L859" s="3" t="s">
        <v>36</v>
      </c>
      <c r="M859" s="3" t="str">
        <f>CONCATENATE("PLNLRA81C61I436P")</f>
        <v>PLNLRA81C61I436P</v>
      </c>
      <c r="N859" s="3" t="s">
        <v>980</v>
      </c>
      <c r="O859" s="3" t="s">
        <v>38</v>
      </c>
      <c r="P859" s="3"/>
      <c r="Q859" s="4">
        <v>45944</v>
      </c>
      <c r="R859" s="3" t="s">
        <v>39</v>
      </c>
      <c r="S859" s="3" t="s">
        <v>38</v>
      </c>
      <c r="T859" s="3" t="s">
        <v>40</v>
      </c>
      <c r="U859" s="3"/>
      <c r="V859" s="3" t="s">
        <v>41</v>
      </c>
      <c r="W859" s="5">
        <v>2275.4</v>
      </c>
      <c r="X859" s="5">
        <v>1706.55</v>
      </c>
      <c r="Y859" s="3">
        <v>398.2</v>
      </c>
      <c r="Z859" s="3">
        <v>170.65</v>
      </c>
      <c r="AA859" s="3">
        <v>0</v>
      </c>
    </row>
    <row r="860" spans="1:27" ht="36.75" x14ac:dyDescent="0.25">
      <c r="A860" s="3" t="s">
        <v>28</v>
      </c>
      <c r="B860" s="3" t="s">
        <v>29</v>
      </c>
      <c r="C860" s="3" t="s">
        <v>30</v>
      </c>
      <c r="D860" s="3" t="s">
        <v>49</v>
      </c>
      <c r="E860" s="3" t="s">
        <v>46</v>
      </c>
      <c r="F860" s="3" t="s">
        <v>131</v>
      </c>
      <c r="G860" s="3">
        <v>2025</v>
      </c>
      <c r="H860" s="3" t="str">
        <f>CONCATENATE("54240502366")</f>
        <v>54240502366</v>
      </c>
      <c r="I860" s="3" t="s">
        <v>34</v>
      </c>
      <c r="J860" s="3" t="s">
        <v>35</v>
      </c>
      <c r="K860" s="3"/>
      <c r="L860" s="3" t="s">
        <v>36</v>
      </c>
      <c r="M860" s="3" t="str">
        <f>CONCATENATE("02036470439")</f>
        <v>02036470439</v>
      </c>
      <c r="N860" s="3" t="s">
        <v>981</v>
      </c>
      <c r="O860" s="3" t="s">
        <v>38</v>
      </c>
      <c r="P860" s="3"/>
      <c r="Q860" s="4">
        <v>45944</v>
      </c>
      <c r="R860" s="3" t="s">
        <v>39</v>
      </c>
      <c r="S860" s="3" t="s">
        <v>38</v>
      </c>
      <c r="T860" s="3" t="s">
        <v>40</v>
      </c>
      <c r="U860" s="3"/>
      <c r="V860" s="3" t="s">
        <v>41</v>
      </c>
      <c r="W860" s="5">
        <v>3784.59</v>
      </c>
      <c r="X860" s="5">
        <v>2838.44</v>
      </c>
      <c r="Y860" s="3">
        <v>662.3</v>
      </c>
      <c r="Z860" s="3">
        <v>283.85000000000002</v>
      </c>
      <c r="AA860" s="3">
        <v>0</v>
      </c>
    </row>
    <row r="861" spans="1:27" ht="60.75" x14ac:dyDescent="0.25">
      <c r="A861" s="3" t="s">
        <v>28</v>
      </c>
      <c r="B861" s="3" t="s">
        <v>29</v>
      </c>
      <c r="C861" s="3" t="s">
        <v>30</v>
      </c>
      <c r="D861" s="3" t="s">
        <v>31</v>
      </c>
      <c r="E861" s="3" t="s">
        <v>32</v>
      </c>
      <c r="F861" s="3" t="s">
        <v>440</v>
      </c>
      <c r="G861" s="3">
        <v>2025</v>
      </c>
      <c r="H861" s="3" t="str">
        <f>CONCATENATE("54240502424")</f>
        <v>54240502424</v>
      </c>
      <c r="I861" s="3" t="s">
        <v>34</v>
      </c>
      <c r="J861" s="3" t="s">
        <v>35</v>
      </c>
      <c r="K861" s="3"/>
      <c r="L861" s="3" t="s">
        <v>36</v>
      </c>
      <c r="M861" s="3" t="str">
        <f>CONCATENATE("FRTNDR93P22I459C")</f>
        <v>FRTNDR93P22I459C</v>
      </c>
      <c r="N861" s="3" t="s">
        <v>982</v>
      </c>
      <c r="O861" s="3" t="s">
        <v>38</v>
      </c>
      <c r="P861" s="3"/>
      <c r="Q861" s="4">
        <v>45944</v>
      </c>
      <c r="R861" s="3" t="s">
        <v>39</v>
      </c>
      <c r="S861" s="3" t="s">
        <v>38</v>
      </c>
      <c r="T861" s="3" t="s">
        <v>40</v>
      </c>
      <c r="U861" s="3"/>
      <c r="V861" s="3" t="s">
        <v>41</v>
      </c>
      <c r="W861" s="5">
        <v>2836.31</v>
      </c>
      <c r="X861" s="5">
        <v>2127.23</v>
      </c>
      <c r="Y861" s="3">
        <v>496.35</v>
      </c>
      <c r="Z861" s="3">
        <v>212.73</v>
      </c>
      <c r="AA861" s="3">
        <v>0</v>
      </c>
    </row>
    <row r="862" spans="1:27" ht="60.75" x14ac:dyDescent="0.25">
      <c r="A862" s="3" t="s">
        <v>28</v>
      </c>
      <c r="B862" s="3" t="s">
        <v>29</v>
      </c>
      <c r="C862" s="3" t="s">
        <v>30</v>
      </c>
      <c r="D862" s="3" t="s">
        <v>49</v>
      </c>
      <c r="E862" s="3" t="s">
        <v>46</v>
      </c>
      <c r="F862" s="3" t="s">
        <v>140</v>
      </c>
      <c r="G862" s="3">
        <v>2025</v>
      </c>
      <c r="H862" s="3" t="str">
        <f>CONCATENATE("54240502416")</f>
        <v>54240502416</v>
      </c>
      <c r="I862" s="3" t="s">
        <v>34</v>
      </c>
      <c r="J862" s="3" t="s">
        <v>35</v>
      </c>
      <c r="K862" s="3"/>
      <c r="L862" s="3" t="s">
        <v>36</v>
      </c>
      <c r="M862" s="3" t="str">
        <f>CONCATENATE("NTNPLA66C61F051R")</f>
        <v>NTNPLA66C61F051R</v>
      </c>
      <c r="N862" s="3" t="s">
        <v>983</v>
      </c>
      <c r="O862" s="3" t="s">
        <v>38</v>
      </c>
      <c r="P862" s="3"/>
      <c r="Q862" s="4">
        <v>45944</v>
      </c>
      <c r="R862" s="3" t="s">
        <v>39</v>
      </c>
      <c r="S862" s="3" t="s">
        <v>38</v>
      </c>
      <c r="T862" s="3" t="s">
        <v>40</v>
      </c>
      <c r="U862" s="3"/>
      <c r="V862" s="3" t="s">
        <v>41</v>
      </c>
      <c r="W862" s="5">
        <v>6381.05</v>
      </c>
      <c r="X862" s="5">
        <v>4785.79</v>
      </c>
      <c r="Y862" s="5">
        <v>1116.68</v>
      </c>
      <c r="Z862" s="3">
        <v>478.58</v>
      </c>
      <c r="AA862" s="3">
        <v>0</v>
      </c>
    </row>
    <row r="863" spans="1:27" ht="36.75" x14ac:dyDescent="0.25">
      <c r="A863" s="3" t="s">
        <v>28</v>
      </c>
      <c r="B863" s="3" t="s">
        <v>29</v>
      </c>
      <c r="C863" s="3" t="s">
        <v>30</v>
      </c>
      <c r="D863" s="3" t="s">
        <v>58</v>
      </c>
      <c r="E863" s="3" t="s">
        <v>53</v>
      </c>
      <c r="F863" s="3" t="s">
        <v>123</v>
      </c>
      <c r="G863" s="3">
        <v>2025</v>
      </c>
      <c r="H863" s="3" t="str">
        <f>CONCATENATE("54240581568")</f>
        <v>54240581568</v>
      </c>
      <c r="I863" s="3" t="s">
        <v>34</v>
      </c>
      <c r="J863" s="3" t="s">
        <v>35</v>
      </c>
      <c r="K863" s="3"/>
      <c r="L863" s="3" t="s">
        <v>36</v>
      </c>
      <c r="M863" s="3" t="str">
        <f>CONCATENATE("02865540427")</f>
        <v>02865540427</v>
      </c>
      <c r="N863" s="3" t="s">
        <v>984</v>
      </c>
      <c r="O863" s="3" t="s">
        <v>38</v>
      </c>
      <c r="P863" s="3"/>
      <c r="Q863" s="4">
        <v>45944</v>
      </c>
      <c r="R863" s="3" t="s">
        <v>39</v>
      </c>
      <c r="S863" s="3" t="s">
        <v>38</v>
      </c>
      <c r="T863" s="3" t="s">
        <v>40</v>
      </c>
      <c r="U863" s="3"/>
      <c r="V863" s="3" t="s">
        <v>41</v>
      </c>
      <c r="W863" s="5">
        <v>4610.8900000000003</v>
      </c>
      <c r="X863" s="5">
        <v>3458.17</v>
      </c>
      <c r="Y863" s="3">
        <v>806.91</v>
      </c>
      <c r="Z863" s="3">
        <v>345.81</v>
      </c>
      <c r="AA863" s="3">
        <v>0</v>
      </c>
    </row>
    <row r="864" spans="1:27" ht="60.75" x14ac:dyDescent="0.25">
      <c r="A864" s="3" t="s">
        <v>28</v>
      </c>
      <c r="B864" s="3" t="s">
        <v>29</v>
      </c>
      <c r="C864" s="3" t="s">
        <v>30</v>
      </c>
      <c r="D864" s="3" t="s">
        <v>49</v>
      </c>
      <c r="E864" s="3" t="s">
        <v>32</v>
      </c>
      <c r="F864" s="3" t="s">
        <v>69</v>
      </c>
      <c r="G864" s="3">
        <v>2025</v>
      </c>
      <c r="H864" s="3" t="str">
        <f>CONCATENATE("54240502465")</f>
        <v>54240502465</v>
      </c>
      <c r="I864" s="3" t="s">
        <v>34</v>
      </c>
      <c r="J864" s="3" t="s">
        <v>35</v>
      </c>
      <c r="K864" s="3"/>
      <c r="L864" s="3" t="s">
        <v>36</v>
      </c>
      <c r="M864" s="3" t="str">
        <f>CONCATENATE("PNIMLE53C48B398F")</f>
        <v>PNIMLE53C48B398F</v>
      </c>
      <c r="N864" s="3" t="s">
        <v>985</v>
      </c>
      <c r="O864" s="3" t="s">
        <v>38</v>
      </c>
      <c r="P864" s="3"/>
      <c r="Q864" s="4">
        <v>45944</v>
      </c>
      <c r="R864" s="3" t="s">
        <v>39</v>
      </c>
      <c r="S864" s="3" t="s">
        <v>38</v>
      </c>
      <c r="T864" s="3" t="s">
        <v>40</v>
      </c>
      <c r="U864" s="3"/>
      <c r="V864" s="3" t="s">
        <v>41</v>
      </c>
      <c r="W864" s="5">
        <v>2431.2199999999998</v>
      </c>
      <c r="X864" s="5">
        <v>1823.42</v>
      </c>
      <c r="Y864" s="3">
        <v>425.46</v>
      </c>
      <c r="Z864" s="3">
        <v>182.34</v>
      </c>
      <c r="AA864" s="3">
        <v>0</v>
      </c>
    </row>
    <row r="865" spans="1:27" ht="36.75" x14ac:dyDescent="0.25">
      <c r="A865" s="3" t="s">
        <v>28</v>
      </c>
      <c r="B865" s="3" t="s">
        <v>29</v>
      </c>
      <c r="C865" s="3" t="s">
        <v>30</v>
      </c>
      <c r="D865" s="3" t="s">
        <v>49</v>
      </c>
      <c r="E865" s="3" t="s">
        <v>46</v>
      </c>
      <c r="F865" s="3" t="s">
        <v>140</v>
      </c>
      <c r="G865" s="3">
        <v>2025</v>
      </c>
      <c r="H865" s="3" t="str">
        <f>CONCATENATE("54240502598")</f>
        <v>54240502598</v>
      </c>
      <c r="I865" s="3" t="s">
        <v>34</v>
      </c>
      <c r="J865" s="3" t="s">
        <v>35</v>
      </c>
      <c r="K865" s="3"/>
      <c r="L865" s="3" t="s">
        <v>36</v>
      </c>
      <c r="M865" s="3" t="str">
        <f>CONCATENATE("02989570425")</f>
        <v>02989570425</v>
      </c>
      <c r="N865" s="3" t="s">
        <v>986</v>
      </c>
      <c r="O865" s="3" t="s">
        <v>38</v>
      </c>
      <c r="P865" s="3"/>
      <c r="Q865" s="4">
        <v>45944</v>
      </c>
      <c r="R865" s="3" t="s">
        <v>39</v>
      </c>
      <c r="S865" s="3" t="s">
        <v>38</v>
      </c>
      <c r="T865" s="3" t="s">
        <v>40</v>
      </c>
      <c r="U865" s="3"/>
      <c r="V865" s="3" t="s">
        <v>41</v>
      </c>
      <c r="W865" s="5">
        <v>2818.63</v>
      </c>
      <c r="X865" s="5">
        <v>2113.9699999999998</v>
      </c>
      <c r="Y865" s="3">
        <v>493.26</v>
      </c>
      <c r="Z865" s="3">
        <v>211.4</v>
      </c>
      <c r="AA865" s="3">
        <v>0</v>
      </c>
    </row>
    <row r="866" spans="1:27" ht="60.75" x14ac:dyDescent="0.25">
      <c r="A866" s="3" t="s">
        <v>28</v>
      </c>
      <c r="B866" s="3" t="s">
        <v>29</v>
      </c>
      <c r="C866" s="3" t="s">
        <v>30</v>
      </c>
      <c r="D866" s="3" t="s">
        <v>49</v>
      </c>
      <c r="E866" s="3" t="s">
        <v>46</v>
      </c>
      <c r="F866" s="3" t="s">
        <v>140</v>
      </c>
      <c r="G866" s="3">
        <v>2025</v>
      </c>
      <c r="H866" s="3" t="str">
        <f>CONCATENATE("54240502689")</f>
        <v>54240502689</v>
      </c>
      <c r="I866" s="3" t="s">
        <v>34</v>
      </c>
      <c r="J866" s="3" t="s">
        <v>35</v>
      </c>
      <c r="K866" s="3"/>
      <c r="L866" s="3" t="s">
        <v>36</v>
      </c>
      <c r="M866" s="3" t="str">
        <f>CONCATENATE("PDCGNN63S16C251E")</f>
        <v>PDCGNN63S16C251E</v>
      </c>
      <c r="N866" s="3" t="s">
        <v>987</v>
      </c>
      <c r="O866" s="3" t="s">
        <v>38</v>
      </c>
      <c r="P866" s="3"/>
      <c r="Q866" s="4">
        <v>45944</v>
      </c>
      <c r="R866" s="3" t="s">
        <v>39</v>
      </c>
      <c r="S866" s="3" t="s">
        <v>38</v>
      </c>
      <c r="T866" s="3" t="s">
        <v>40</v>
      </c>
      <c r="U866" s="3"/>
      <c r="V866" s="3" t="s">
        <v>41</v>
      </c>
      <c r="W866" s="5">
        <v>1369.32</v>
      </c>
      <c r="X866" s="5">
        <v>1026.99</v>
      </c>
      <c r="Y866" s="3">
        <v>239.63</v>
      </c>
      <c r="Z866" s="3">
        <v>102.7</v>
      </c>
      <c r="AA866" s="3">
        <v>0</v>
      </c>
    </row>
    <row r="867" spans="1:27" ht="36.75" x14ac:dyDescent="0.25">
      <c r="A867" s="3" t="s">
        <v>28</v>
      </c>
      <c r="B867" s="3" t="s">
        <v>29</v>
      </c>
      <c r="C867" s="3" t="s">
        <v>30</v>
      </c>
      <c r="D867" s="3" t="s">
        <v>63</v>
      </c>
      <c r="E867" s="3" t="s">
        <v>32</v>
      </c>
      <c r="F867" s="3" t="s">
        <v>142</v>
      </c>
      <c r="G867" s="3">
        <v>2025</v>
      </c>
      <c r="H867" s="3" t="str">
        <f>CONCATENATE("54240502846")</f>
        <v>54240502846</v>
      </c>
      <c r="I867" s="3" t="s">
        <v>34</v>
      </c>
      <c r="J867" s="3" t="s">
        <v>35</v>
      </c>
      <c r="K867" s="3"/>
      <c r="L867" s="3" t="s">
        <v>36</v>
      </c>
      <c r="M867" s="3" t="str">
        <f>CONCATENATE("02273390449")</f>
        <v>02273390449</v>
      </c>
      <c r="N867" s="3" t="s">
        <v>988</v>
      </c>
      <c r="O867" s="3" t="s">
        <v>38</v>
      </c>
      <c r="P867" s="3"/>
      <c r="Q867" s="4">
        <v>45944</v>
      </c>
      <c r="R867" s="3" t="s">
        <v>39</v>
      </c>
      <c r="S867" s="3" t="s">
        <v>38</v>
      </c>
      <c r="T867" s="3" t="s">
        <v>40</v>
      </c>
      <c r="U867" s="3"/>
      <c r="V867" s="3" t="s">
        <v>41</v>
      </c>
      <c r="W867" s="5">
        <v>1541.24</v>
      </c>
      <c r="X867" s="5">
        <v>1155.93</v>
      </c>
      <c r="Y867" s="3">
        <v>269.72000000000003</v>
      </c>
      <c r="Z867" s="3">
        <v>115.59</v>
      </c>
      <c r="AA867" s="3">
        <v>0</v>
      </c>
    </row>
    <row r="868" spans="1:27" ht="60.75" x14ac:dyDescent="0.25">
      <c r="A868" s="3" t="s">
        <v>28</v>
      </c>
      <c r="B868" s="3" t="s">
        <v>29</v>
      </c>
      <c r="C868" s="3" t="s">
        <v>30</v>
      </c>
      <c r="D868" s="3" t="s">
        <v>49</v>
      </c>
      <c r="E868" s="3" t="s">
        <v>74</v>
      </c>
      <c r="F868" s="3" t="s">
        <v>217</v>
      </c>
      <c r="G868" s="3">
        <v>2025</v>
      </c>
      <c r="H868" s="3" t="str">
        <f>CONCATENATE("54240509197")</f>
        <v>54240509197</v>
      </c>
      <c r="I868" s="3" t="s">
        <v>34</v>
      </c>
      <c r="J868" s="3" t="s">
        <v>35</v>
      </c>
      <c r="K868" s="3"/>
      <c r="L868" s="3" t="s">
        <v>36</v>
      </c>
      <c r="M868" s="3" t="str">
        <f>CONCATENATE("CNTRLL60H47B474N")</f>
        <v>CNTRLL60H47B474N</v>
      </c>
      <c r="N868" s="3" t="s">
        <v>989</v>
      </c>
      <c r="O868" s="3" t="s">
        <v>38</v>
      </c>
      <c r="P868" s="3"/>
      <c r="Q868" s="4">
        <v>45944</v>
      </c>
      <c r="R868" s="3" t="s">
        <v>39</v>
      </c>
      <c r="S868" s="3" t="s">
        <v>38</v>
      </c>
      <c r="T868" s="3" t="s">
        <v>40</v>
      </c>
      <c r="U868" s="3"/>
      <c r="V868" s="3" t="s">
        <v>41</v>
      </c>
      <c r="W868" s="5">
        <v>4221.0600000000004</v>
      </c>
      <c r="X868" s="5">
        <v>3165.8</v>
      </c>
      <c r="Y868" s="3">
        <v>738.69</v>
      </c>
      <c r="Z868" s="3">
        <v>316.57</v>
      </c>
      <c r="AA868" s="3">
        <v>0</v>
      </c>
    </row>
    <row r="869" spans="1:27" ht="60.75" x14ac:dyDescent="0.25">
      <c r="A869" s="3" t="s">
        <v>28</v>
      </c>
      <c r="B869" s="3" t="s">
        <v>29</v>
      </c>
      <c r="C869" s="3" t="s">
        <v>30</v>
      </c>
      <c r="D869" s="3" t="s">
        <v>58</v>
      </c>
      <c r="E869" s="3" t="s">
        <v>53</v>
      </c>
      <c r="F869" s="3" t="s">
        <v>123</v>
      </c>
      <c r="G869" s="3">
        <v>2025</v>
      </c>
      <c r="H869" s="3" t="str">
        <f>CONCATENATE("54240582921")</f>
        <v>54240582921</v>
      </c>
      <c r="I869" s="3" t="s">
        <v>34</v>
      </c>
      <c r="J869" s="3" t="s">
        <v>35</v>
      </c>
      <c r="K869" s="3"/>
      <c r="L869" s="3" t="s">
        <v>36</v>
      </c>
      <c r="M869" s="3" t="str">
        <f>CONCATENATE("RNCVLR83C60E388K")</f>
        <v>RNCVLR83C60E388K</v>
      </c>
      <c r="N869" s="3" t="s">
        <v>990</v>
      </c>
      <c r="O869" s="3" t="s">
        <v>38</v>
      </c>
      <c r="P869" s="3"/>
      <c r="Q869" s="4">
        <v>45944</v>
      </c>
      <c r="R869" s="3" t="s">
        <v>39</v>
      </c>
      <c r="S869" s="3" t="s">
        <v>38</v>
      </c>
      <c r="T869" s="3" t="s">
        <v>40</v>
      </c>
      <c r="U869" s="3"/>
      <c r="V869" s="3" t="s">
        <v>41</v>
      </c>
      <c r="W869" s="3">
        <v>424.44</v>
      </c>
      <c r="X869" s="3">
        <v>318.33</v>
      </c>
      <c r="Y869" s="3">
        <v>74.28</v>
      </c>
      <c r="Z869" s="3">
        <v>31.83</v>
      </c>
      <c r="AA869" s="3">
        <v>0</v>
      </c>
    </row>
    <row r="870" spans="1:27" ht="60.75" x14ac:dyDescent="0.25">
      <c r="A870" s="3" t="s">
        <v>28</v>
      </c>
      <c r="B870" s="3" t="s">
        <v>29</v>
      </c>
      <c r="C870" s="3" t="s">
        <v>30</v>
      </c>
      <c r="D870" s="3" t="s">
        <v>49</v>
      </c>
      <c r="E870" s="3" t="s">
        <v>46</v>
      </c>
      <c r="F870" s="3" t="s">
        <v>140</v>
      </c>
      <c r="G870" s="3">
        <v>2025</v>
      </c>
      <c r="H870" s="3" t="str">
        <f>CONCATENATE("54240503091")</f>
        <v>54240503091</v>
      </c>
      <c r="I870" s="3" t="s">
        <v>34</v>
      </c>
      <c r="J870" s="3" t="s">
        <v>35</v>
      </c>
      <c r="K870" s="3"/>
      <c r="L870" s="3" t="s">
        <v>36</v>
      </c>
      <c r="M870" s="3" t="str">
        <f>CONCATENATE("RCCDLU43C55I156B")</f>
        <v>RCCDLU43C55I156B</v>
      </c>
      <c r="N870" s="3" t="s">
        <v>991</v>
      </c>
      <c r="O870" s="3" t="s">
        <v>38</v>
      </c>
      <c r="P870" s="3"/>
      <c r="Q870" s="4">
        <v>45944</v>
      </c>
      <c r="R870" s="3" t="s">
        <v>39</v>
      </c>
      <c r="S870" s="3" t="s">
        <v>38</v>
      </c>
      <c r="T870" s="3" t="s">
        <v>40</v>
      </c>
      <c r="U870" s="3"/>
      <c r="V870" s="3" t="s">
        <v>41</v>
      </c>
      <c r="W870" s="5">
        <v>6170.01</v>
      </c>
      <c r="X870" s="5">
        <v>4627.51</v>
      </c>
      <c r="Y870" s="5">
        <v>1079.75</v>
      </c>
      <c r="Z870" s="3">
        <v>462.75</v>
      </c>
      <c r="AA870" s="3">
        <v>0</v>
      </c>
    </row>
    <row r="871" spans="1:27" ht="60.75" x14ac:dyDescent="0.25">
      <c r="A871" s="3" t="s">
        <v>28</v>
      </c>
      <c r="B871" s="3" t="s">
        <v>29</v>
      </c>
      <c r="C871" s="3" t="s">
        <v>30</v>
      </c>
      <c r="D871" s="3" t="s">
        <v>49</v>
      </c>
      <c r="E871" s="3" t="s">
        <v>46</v>
      </c>
      <c r="F871" s="3" t="s">
        <v>140</v>
      </c>
      <c r="G871" s="3">
        <v>2025</v>
      </c>
      <c r="H871" s="3" t="str">
        <f>CONCATENATE("54240503026")</f>
        <v>54240503026</v>
      </c>
      <c r="I871" s="3" t="s">
        <v>34</v>
      </c>
      <c r="J871" s="3" t="s">
        <v>35</v>
      </c>
      <c r="K871" s="3"/>
      <c r="L871" s="3" t="s">
        <v>36</v>
      </c>
      <c r="M871" s="3" t="str">
        <f>CONCATENATE("PLTGRL03A09D451S")</f>
        <v>PLTGRL03A09D451S</v>
      </c>
      <c r="N871" s="3" t="s">
        <v>992</v>
      </c>
      <c r="O871" s="3" t="s">
        <v>38</v>
      </c>
      <c r="P871" s="3"/>
      <c r="Q871" s="4">
        <v>45944</v>
      </c>
      <c r="R871" s="3" t="s">
        <v>39</v>
      </c>
      <c r="S871" s="3" t="s">
        <v>38</v>
      </c>
      <c r="T871" s="3" t="s">
        <v>40</v>
      </c>
      <c r="U871" s="3"/>
      <c r="V871" s="3" t="s">
        <v>41</v>
      </c>
      <c r="W871" s="5">
        <v>3166.33</v>
      </c>
      <c r="X871" s="5">
        <v>2374.75</v>
      </c>
      <c r="Y871" s="3">
        <v>554.11</v>
      </c>
      <c r="Z871" s="3">
        <v>237.47</v>
      </c>
      <c r="AA871" s="3">
        <v>0</v>
      </c>
    </row>
    <row r="872" spans="1:27" ht="60.75" x14ac:dyDescent="0.25">
      <c r="A872" s="3" t="s">
        <v>28</v>
      </c>
      <c r="B872" s="3" t="s">
        <v>29</v>
      </c>
      <c r="C872" s="3" t="s">
        <v>30</v>
      </c>
      <c r="D872" s="3" t="s">
        <v>63</v>
      </c>
      <c r="E872" s="3" t="s">
        <v>32</v>
      </c>
      <c r="F872" s="3" t="s">
        <v>142</v>
      </c>
      <c r="G872" s="3">
        <v>2025</v>
      </c>
      <c r="H872" s="3" t="str">
        <f>CONCATENATE("54240503083")</f>
        <v>54240503083</v>
      </c>
      <c r="I872" s="3" t="s">
        <v>34</v>
      </c>
      <c r="J872" s="3" t="s">
        <v>35</v>
      </c>
      <c r="K872" s="3"/>
      <c r="L872" s="3" t="s">
        <v>36</v>
      </c>
      <c r="M872" s="3" t="str">
        <f>CONCATENATE("PPRFRC87C02A252O")</f>
        <v>PPRFRC87C02A252O</v>
      </c>
      <c r="N872" s="3" t="s">
        <v>993</v>
      </c>
      <c r="O872" s="3" t="s">
        <v>38</v>
      </c>
      <c r="P872" s="3"/>
      <c r="Q872" s="4">
        <v>45944</v>
      </c>
      <c r="R872" s="3" t="s">
        <v>39</v>
      </c>
      <c r="S872" s="3" t="s">
        <v>38</v>
      </c>
      <c r="T872" s="3" t="s">
        <v>40</v>
      </c>
      <c r="U872" s="3"/>
      <c r="V872" s="3" t="s">
        <v>41</v>
      </c>
      <c r="W872" s="5">
        <v>1290.54</v>
      </c>
      <c r="X872" s="3">
        <v>967.91</v>
      </c>
      <c r="Y872" s="3">
        <v>225.84</v>
      </c>
      <c r="Z872" s="3">
        <v>96.79</v>
      </c>
      <c r="AA872" s="3">
        <v>0</v>
      </c>
    </row>
    <row r="873" spans="1:27" ht="60.75" x14ac:dyDescent="0.25">
      <c r="A873" s="3" t="s">
        <v>28</v>
      </c>
      <c r="B873" s="3" t="s">
        <v>29</v>
      </c>
      <c r="C873" s="3" t="s">
        <v>30</v>
      </c>
      <c r="D873" s="3" t="s">
        <v>31</v>
      </c>
      <c r="E873" s="3" t="s">
        <v>46</v>
      </c>
      <c r="F873" s="3" t="s">
        <v>108</v>
      </c>
      <c r="G873" s="3">
        <v>2025</v>
      </c>
      <c r="H873" s="3" t="str">
        <f>CONCATENATE("54240503158")</f>
        <v>54240503158</v>
      </c>
      <c r="I873" s="3" t="s">
        <v>34</v>
      </c>
      <c r="J873" s="3" t="s">
        <v>35</v>
      </c>
      <c r="K873" s="3"/>
      <c r="L873" s="3" t="s">
        <v>36</v>
      </c>
      <c r="M873" s="3" t="str">
        <f>CONCATENATE("TMSSRA78C61D749P")</f>
        <v>TMSSRA78C61D749P</v>
      </c>
      <c r="N873" s="3" t="s">
        <v>994</v>
      </c>
      <c r="O873" s="3" t="s">
        <v>38</v>
      </c>
      <c r="P873" s="3"/>
      <c r="Q873" s="4">
        <v>45944</v>
      </c>
      <c r="R873" s="3" t="s">
        <v>39</v>
      </c>
      <c r="S873" s="3" t="s">
        <v>38</v>
      </c>
      <c r="T873" s="3" t="s">
        <v>40</v>
      </c>
      <c r="U873" s="3"/>
      <c r="V873" s="3" t="s">
        <v>41</v>
      </c>
      <c r="W873" s="5">
        <v>19806.41</v>
      </c>
      <c r="X873" s="5">
        <v>14854.81</v>
      </c>
      <c r="Y873" s="5">
        <v>3466.12</v>
      </c>
      <c r="Z873" s="5">
        <v>1485.48</v>
      </c>
      <c r="AA873" s="3">
        <v>0</v>
      </c>
    </row>
    <row r="874" spans="1:27" ht="36.75" x14ac:dyDescent="0.25">
      <c r="A874" s="3" t="s">
        <v>28</v>
      </c>
      <c r="B874" s="3" t="s">
        <v>29</v>
      </c>
      <c r="C874" s="3" t="s">
        <v>30</v>
      </c>
      <c r="D874" s="3" t="s">
        <v>49</v>
      </c>
      <c r="E874" s="3" t="s">
        <v>46</v>
      </c>
      <c r="F874" s="3" t="s">
        <v>140</v>
      </c>
      <c r="G874" s="3">
        <v>2025</v>
      </c>
      <c r="H874" s="3" t="str">
        <f>CONCATENATE("54240503422")</f>
        <v>54240503422</v>
      </c>
      <c r="I874" s="3" t="s">
        <v>34</v>
      </c>
      <c r="J874" s="3" t="s">
        <v>35</v>
      </c>
      <c r="K874" s="3"/>
      <c r="L874" s="3" t="s">
        <v>36</v>
      </c>
      <c r="M874" s="3" t="str">
        <f>CONCATENATE("02975360427")</f>
        <v>02975360427</v>
      </c>
      <c r="N874" s="3" t="s">
        <v>995</v>
      </c>
      <c r="O874" s="3" t="s">
        <v>38</v>
      </c>
      <c r="P874" s="3"/>
      <c r="Q874" s="4">
        <v>45944</v>
      </c>
      <c r="R874" s="3" t="s">
        <v>39</v>
      </c>
      <c r="S874" s="3" t="s">
        <v>38</v>
      </c>
      <c r="T874" s="3" t="s">
        <v>40</v>
      </c>
      <c r="U874" s="3"/>
      <c r="V874" s="3" t="s">
        <v>41</v>
      </c>
      <c r="W874" s="5">
        <v>4009.46</v>
      </c>
      <c r="X874" s="5">
        <v>3007.1</v>
      </c>
      <c r="Y874" s="3">
        <v>701.66</v>
      </c>
      <c r="Z874" s="3">
        <v>300.7</v>
      </c>
      <c r="AA874" s="3">
        <v>0</v>
      </c>
    </row>
    <row r="875" spans="1:27" ht="36.75" x14ac:dyDescent="0.25">
      <c r="A875" s="3" t="s">
        <v>28</v>
      </c>
      <c r="B875" s="3" t="s">
        <v>29</v>
      </c>
      <c r="C875" s="3" t="s">
        <v>30</v>
      </c>
      <c r="D875" s="3" t="s">
        <v>49</v>
      </c>
      <c r="E875" s="3" t="s">
        <v>46</v>
      </c>
      <c r="F875" s="3" t="s">
        <v>140</v>
      </c>
      <c r="G875" s="3">
        <v>2025</v>
      </c>
      <c r="H875" s="3" t="str">
        <f>CONCATENATE("54240503455")</f>
        <v>54240503455</v>
      </c>
      <c r="I875" s="3" t="s">
        <v>34</v>
      </c>
      <c r="J875" s="3" t="s">
        <v>35</v>
      </c>
      <c r="K875" s="3"/>
      <c r="L875" s="3" t="s">
        <v>36</v>
      </c>
      <c r="M875" s="3" t="str">
        <f>CONCATENATE("01977030434")</f>
        <v>01977030434</v>
      </c>
      <c r="N875" s="3" t="s">
        <v>996</v>
      </c>
      <c r="O875" s="3" t="s">
        <v>38</v>
      </c>
      <c r="P875" s="3"/>
      <c r="Q875" s="4">
        <v>45944</v>
      </c>
      <c r="R875" s="3" t="s">
        <v>39</v>
      </c>
      <c r="S875" s="3" t="s">
        <v>38</v>
      </c>
      <c r="T875" s="3" t="s">
        <v>40</v>
      </c>
      <c r="U875" s="3"/>
      <c r="V875" s="3" t="s">
        <v>41</v>
      </c>
      <c r="W875" s="3">
        <v>565.94000000000005</v>
      </c>
      <c r="X875" s="3">
        <v>424.46</v>
      </c>
      <c r="Y875" s="3">
        <v>99.04</v>
      </c>
      <c r="Z875" s="3">
        <v>42.44</v>
      </c>
      <c r="AA875" s="3">
        <v>0</v>
      </c>
    </row>
    <row r="876" spans="1:27" ht="36.75" x14ac:dyDescent="0.25">
      <c r="A876" s="3" t="s">
        <v>28</v>
      </c>
      <c r="B876" s="3" t="s">
        <v>29</v>
      </c>
      <c r="C876" s="3" t="s">
        <v>30</v>
      </c>
      <c r="D876" s="3" t="s">
        <v>49</v>
      </c>
      <c r="E876" s="3" t="s">
        <v>46</v>
      </c>
      <c r="F876" s="3" t="s">
        <v>140</v>
      </c>
      <c r="G876" s="3">
        <v>2025</v>
      </c>
      <c r="H876" s="3" t="str">
        <f>CONCATENATE("54240503513")</f>
        <v>54240503513</v>
      </c>
      <c r="I876" s="3" t="s">
        <v>34</v>
      </c>
      <c r="J876" s="3" t="s">
        <v>35</v>
      </c>
      <c r="K876" s="3"/>
      <c r="L876" s="3" t="s">
        <v>36</v>
      </c>
      <c r="M876" s="3" t="str">
        <f>CONCATENATE("02107910438")</f>
        <v>02107910438</v>
      </c>
      <c r="N876" s="3" t="s">
        <v>997</v>
      </c>
      <c r="O876" s="3" t="s">
        <v>38</v>
      </c>
      <c r="P876" s="3"/>
      <c r="Q876" s="4">
        <v>45944</v>
      </c>
      <c r="R876" s="3" t="s">
        <v>39</v>
      </c>
      <c r="S876" s="3" t="s">
        <v>38</v>
      </c>
      <c r="T876" s="3" t="s">
        <v>40</v>
      </c>
      <c r="U876" s="3"/>
      <c r="V876" s="3" t="s">
        <v>41</v>
      </c>
      <c r="W876" s="5">
        <v>5392.29</v>
      </c>
      <c r="X876" s="5">
        <v>4044.22</v>
      </c>
      <c r="Y876" s="3">
        <v>943.65</v>
      </c>
      <c r="Z876" s="3">
        <v>404.42</v>
      </c>
      <c r="AA876" s="3">
        <v>0</v>
      </c>
    </row>
    <row r="877" spans="1:27" ht="60.75" x14ac:dyDescent="0.25">
      <c r="A877" s="3" t="s">
        <v>28</v>
      </c>
      <c r="B877" s="3" t="s">
        <v>29</v>
      </c>
      <c r="C877" s="3" t="s">
        <v>30</v>
      </c>
      <c r="D877" s="3" t="s">
        <v>49</v>
      </c>
      <c r="E877" s="3" t="s">
        <v>46</v>
      </c>
      <c r="F877" s="3" t="s">
        <v>140</v>
      </c>
      <c r="G877" s="3">
        <v>2025</v>
      </c>
      <c r="H877" s="3" t="str">
        <f>CONCATENATE("54240503547")</f>
        <v>54240503547</v>
      </c>
      <c r="I877" s="3" t="s">
        <v>34</v>
      </c>
      <c r="J877" s="3" t="s">
        <v>35</v>
      </c>
      <c r="K877" s="3"/>
      <c r="L877" s="3" t="s">
        <v>36</v>
      </c>
      <c r="M877" s="3" t="str">
        <f>CONCATENATE("TDNDRN57L67D429N")</f>
        <v>TDNDRN57L67D429N</v>
      </c>
      <c r="N877" s="3" t="s">
        <v>998</v>
      </c>
      <c r="O877" s="3" t="s">
        <v>38</v>
      </c>
      <c r="P877" s="3"/>
      <c r="Q877" s="4">
        <v>45944</v>
      </c>
      <c r="R877" s="3" t="s">
        <v>39</v>
      </c>
      <c r="S877" s="3" t="s">
        <v>38</v>
      </c>
      <c r="T877" s="3" t="s">
        <v>40</v>
      </c>
      <c r="U877" s="3"/>
      <c r="V877" s="3" t="s">
        <v>41</v>
      </c>
      <c r="W877" s="5">
        <v>1875.7</v>
      </c>
      <c r="X877" s="5">
        <v>1406.78</v>
      </c>
      <c r="Y877" s="3">
        <v>328.25</v>
      </c>
      <c r="Z877" s="3">
        <v>140.66999999999999</v>
      </c>
      <c r="AA877" s="3">
        <v>0</v>
      </c>
    </row>
    <row r="878" spans="1:27" ht="60.75" x14ac:dyDescent="0.25">
      <c r="A878" s="3" t="s">
        <v>28</v>
      </c>
      <c r="B878" s="3" t="s">
        <v>29</v>
      </c>
      <c r="C878" s="3" t="s">
        <v>30</v>
      </c>
      <c r="D878" s="3" t="s">
        <v>49</v>
      </c>
      <c r="E878" s="3" t="s">
        <v>46</v>
      </c>
      <c r="F878" s="3" t="s">
        <v>131</v>
      </c>
      <c r="G878" s="3">
        <v>2025</v>
      </c>
      <c r="H878" s="3" t="str">
        <f>CONCATENATE("54240503570")</f>
        <v>54240503570</v>
      </c>
      <c r="I878" s="3" t="s">
        <v>34</v>
      </c>
      <c r="J878" s="3" t="s">
        <v>35</v>
      </c>
      <c r="K878" s="3"/>
      <c r="L878" s="3" t="s">
        <v>36</v>
      </c>
      <c r="M878" s="3" t="str">
        <f>CONCATENATE("VSSPLA64H21E783D")</f>
        <v>VSSPLA64H21E783D</v>
      </c>
      <c r="N878" s="3" t="s">
        <v>999</v>
      </c>
      <c r="O878" s="3" t="s">
        <v>38</v>
      </c>
      <c r="P878" s="3"/>
      <c r="Q878" s="4">
        <v>45944</v>
      </c>
      <c r="R878" s="3" t="s">
        <v>39</v>
      </c>
      <c r="S878" s="3" t="s">
        <v>38</v>
      </c>
      <c r="T878" s="3" t="s">
        <v>40</v>
      </c>
      <c r="U878" s="3"/>
      <c r="V878" s="3" t="s">
        <v>41</v>
      </c>
      <c r="W878" s="5">
        <v>7023.83</v>
      </c>
      <c r="X878" s="5">
        <v>5267.87</v>
      </c>
      <c r="Y878" s="5">
        <v>1229.17</v>
      </c>
      <c r="Z878" s="3">
        <v>526.79</v>
      </c>
      <c r="AA878" s="3">
        <v>0</v>
      </c>
    </row>
    <row r="879" spans="1:27" ht="72.75" x14ac:dyDescent="0.25">
      <c r="A879" s="3" t="s">
        <v>28</v>
      </c>
      <c r="B879" s="3" t="s">
        <v>29</v>
      </c>
      <c r="C879" s="3" t="s">
        <v>30</v>
      </c>
      <c r="D879" s="3" t="s">
        <v>49</v>
      </c>
      <c r="E879" s="3" t="s">
        <v>46</v>
      </c>
      <c r="F879" s="3" t="s">
        <v>131</v>
      </c>
      <c r="G879" s="3">
        <v>2025</v>
      </c>
      <c r="H879" s="3" t="str">
        <f>CONCATENATE("54240503588")</f>
        <v>54240503588</v>
      </c>
      <c r="I879" s="3" t="s">
        <v>34</v>
      </c>
      <c r="J879" s="3" t="s">
        <v>35</v>
      </c>
      <c r="K879" s="3"/>
      <c r="L879" s="3" t="s">
        <v>36</v>
      </c>
      <c r="M879" s="3" t="str">
        <f>CONCATENATE("NSTGPP54D29H501N")</f>
        <v>NSTGPP54D29H501N</v>
      </c>
      <c r="N879" s="3" t="s">
        <v>1000</v>
      </c>
      <c r="O879" s="3" t="s">
        <v>38</v>
      </c>
      <c r="P879" s="3"/>
      <c r="Q879" s="4">
        <v>45944</v>
      </c>
      <c r="R879" s="3" t="s">
        <v>39</v>
      </c>
      <c r="S879" s="3" t="s">
        <v>38</v>
      </c>
      <c r="T879" s="3" t="s">
        <v>40</v>
      </c>
      <c r="U879" s="3"/>
      <c r="V879" s="3" t="s">
        <v>41</v>
      </c>
      <c r="W879" s="5">
        <v>1910.51</v>
      </c>
      <c r="X879" s="5">
        <v>1432.88</v>
      </c>
      <c r="Y879" s="3">
        <v>334.34</v>
      </c>
      <c r="Z879" s="3">
        <v>143.29</v>
      </c>
      <c r="AA879" s="3">
        <v>0</v>
      </c>
    </row>
    <row r="880" spans="1:27" ht="36.75" x14ac:dyDescent="0.25">
      <c r="A880" s="3" t="s">
        <v>28</v>
      </c>
      <c r="B880" s="3" t="s">
        <v>29</v>
      </c>
      <c r="C880" s="3" t="s">
        <v>30</v>
      </c>
      <c r="D880" s="3" t="s">
        <v>58</v>
      </c>
      <c r="E880" s="3" t="s">
        <v>32</v>
      </c>
      <c r="F880" s="3" t="s">
        <v>239</v>
      </c>
      <c r="G880" s="3">
        <v>2025</v>
      </c>
      <c r="H880" s="3" t="str">
        <f>CONCATENATE("54240503653")</f>
        <v>54240503653</v>
      </c>
      <c r="I880" s="3" t="s">
        <v>34</v>
      </c>
      <c r="J880" s="3" t="s">
        <v>35</v>
      </c>
      <c r="K880" s="3"/>
      <c r="L880" s="3" t="s">
        <v>36</v>
      </c>
      <c r="M880" s="3" t="str">
        <f>CONCATENATE("02986800429")</f>
        <v>02986800429</v>
      </c>
      <c r="N880" s="3" t="s">
        <v>1001</v>
      </c>
      <c r="O880" s="3" t="s">
        <v>38</v>
      </c>
      <c r="P880" s="3"/>
      <c r="Q880" s="4">
        <v>45944</v>
      </c>
      <c r="R880" s="3" t="s">
        <v>39</v>
      </c>
      <c r="S880" s="3" t="s">
        <v>38</v>
      </c>
      <c r="T880" s="3" t="s">
        <v>40</v>
      </c>
      <c r="U880" s="3"/>
      <c r="V880" s="3" t="s">
        <v>41</v>
      </c>
      <c r="W880" s="5">
        <v>3943.47</v>
      </c>
      <c r="X880" s="5">
        <v>2957.6</v>
      </c>
      <c r="Y880" s="3">
        <v>690.11</v>
      </c>
      <c r="Z880" s="3">
        <v>295.76</v>
      </c>
      <c r="AA880" s="3">
        <v>0</v>
      </c>
    </row>
    <row r="881" spans="1:27" ht="72.75" x14ac:dyDescent="0.25">
      <c r="A881" s="3" t="s">
        <v>28</v>
      </c>
      <c r="B881" s="3" t="s">
        <v>29</v>
      </c>
      <c r="C881" s="3" t="s">
        <v>30</v>
      </c>
      <c r="D881" s="3" t="s">
        <v>63</v>
      </c>
      <c r="E881" s="3" t="s">
        <v>32</v>
      </c>
      <c r="F881" s="3" t="s">
        <v>696</v>
      </c>
      <c r="G881" s="3">
        <v>2025</v>
      </c>
      <c r="H881" s="3" t="str">
        <f>CONCATENATE("54240503612")</f>
        <v>54240503612</v>
      </c>
      <c r="I881" s="3" t="s">
        <v>34</v>
      </c>
      <c r="J881" s="3" t="s">
        <v>35</v>
      </c>
      <c r="K881" s="3"/>
      <c r="L881" s="3" t="s">
        <v>36</v>
      </c>
      <c r="M881" s="3" t="str">
        <f>CONCATENATE("GSTGLC86H16A462H")</f>
        <v>GSTGLC86H16A462H</v>
      </c>
      <c r="N881" s="3" t="s">
        <v>1002</v>
      </c>
      <c r="O881" s="3" t="s">
        <v>38</v>
      </c>
      <c r="P881" s="3"/>
      <c r="Q881" s="4">
        <v>45944</v>
      </c>
      <c r="R881" s="3" t="s">
        <v>39</v>
      </c>
      <c r="S881" s="3" t="s">
        <v>38</v>
      </c>
      <c r="T881" s="3" t="s">
        <v>40</v>
      </c>
      <c r="U881" s="3"/>
      <c r="V881" s="3" t="s">
        <v>41</v>
      </c>
      <c r="W881" s="5">
        <v>1102.1600000000001</v>
      </c>
      <c r="X881" s="3">
        <v>826.62</v>
      </c>
      <c r="Y881" s="3">
        <v>192.88</v>
      </c>
      <c r="Z881" s="3">
        <v>82.66</v>
      </c>
      <c r="AA881" s="3">
        <v>0</v>
      </c>
    </row>
    <row r="882" spans="1:27" ht="60.75" x14ac:dyDescent="0.25">
      <c r="A882" s="3" t="s">
        <v>28</v>
      </c>
      <c r="B882" s="3" t="s">
        <v>29</v>
      </c>
      <c r="C882" s="3" t="s">
        <v>30</v>
      </c>
      <c r="D882" s="3" t="s">
        <v>49</v>
      </c>
      <c r="E882" s="3" t="s">
        <v>46</v>
      </c>
      <c r="F882" s="3" t="s">
        <v>140</v>
      </c>
      <c r="G882" s="3">
        <v>2025</v>
      </c>
      <c r="H882" s="3" t="str">
        <f>CONCATENATE("54240503810")</f>
        <v>54240503810</v>
      </c>
      <c r="I882" s="3" t="s">
        <v>34</v>
      </c>
      <c r="J882" s="3" t="s">
        <v>35</v>
      </c>
      <c r="K882" s="3"/>
      <c r="L882" s="3" t="s">
        <v>36</v>
      </c>
      <c r="M882" s="3" t="str">
        <f>CONCATENATE("BLDNDR77P22B474L")</f>
        <v>BLDNDR77P22B474L</v>
      </c>
      <c r="N882" s="3" t="s">
        <v>1003</v>
      </c>
      <c r="O882" s="3" t="s">
        <v>38</v>
      </c>
      <c r="P882" s="3"/>
      <c r="Q882" s="4">
        <v>45944</v>
      </c>
      <c r="R882" s="3" t="s">
        <v>39</v>
      </c>
      <c r="S882" s="3" t="s">
        <v>38</v>
      </c>
      <c r="T882" s="3" t="s">
        <v>40</v>
      </c>
      <c r="U882" s="3"/>
      <c r="V882" s="3" t="s">
        <v>41</v>
      </c>
      <c r="W882" s="5">
        <v>6568.75</v>
      </c>
      <c r="X882" s="5">
        <v>4926.5600000000004</v>
      </c>
      <c r="Y882" s="5">
        <v>1149.53</v>
      </c>
      <c r="Z882" s="3">
        <v>492.66</v>
      </c>
      <c r="AA882" s="3">
        <v>0</v>
      </c>
    </row>
    <row r="883" spans="1:27" ht="60.75" x14ac:dyDescent="0.25">
      <c r="A883" s="3" t="s">
        <v>28</v>
      </c>
      <c r="B883" s="3" t="s">
        <v>29</v>
      </c>
      <c r="C883" s="3" t="s">
        <v>30</v>
      </c>
      <c r="D883" s="3" t="s">
        <v>31</v>
      </c>
      <c r="E883" s="3" t="s">
        <v>145</v>
      </c>
      <c r="F883" s="3" t="s">
        <v>485</v>
      </c>
      <c r="G883" s="3">
        <v>2025</v>
      </c>
      <c r="H883" s="3" t="str">
        <f>CONCATENATE("54240503927")</f>
        <v>54240503927</v>
      </c>
      <c r="I883" s="3" t="s">
        <v>34</v>
      </c>
      <c r="J883" s="3" t="s">
        <v>35</v>
      </c>
      <c r="K883" s="3"/>
      <c r="L883" s="3" t="s">
        <v>36</v>
      </c>
      <c r="M883" s="3" t="str">
        <f>CONCATENATE("TRRFNC67B09D488S")</f>
        <v>TRRFNC67B09D488S</v>
      </c>
      <c r="N883" s="3" t="s">
        <v>1004</v>
      </c>
      <c r="O883" s="3" t="s">
        <v>38</v>
      </c>
      <c r="P883" s="3"/>
      <c r="Q883" s="4">
        <v>45944</v>
      </c>
      <c r="R883" s="3" t="s">
        <v>39</v>
      </c>
      <c r="S883" s="3" t="s">
        <v>38</v>
      </c>
      <c r="T883" s="3" t="s">
        <v>40</v>
      </c>
      <c r="U883" s="3"/>
      <c r="V883" s="3" t="s">
        <v>41</v>
      </c>
      <c r="W883" s="3">
        <v>319.27999999999997</v>
      </c>
      <c r="X883" s="3">
        <v>239.46</v>
      </c>
      <c r="Y883" s="3">
        <v>55.87</v>
      </c>
      <c r="Z883" s="3">
        <v>23.95</v>
      </c>
      <c r="AA883" s="3">
        <v>0</v>
      </c>
    </row>
    <row r="884" spans="1:27" ht="60.75" x14ac:dyDescent="0.25">
      <c r="A884" s="3" t="s">
        <v>28</v>
      </c>
      <c r="B884" s="3" t="s">
        <v>29</v>
      </c>
      <c r="C884" s="3" t="s">
        <v>30</v>
      </c>
      <c r="D884" s="3" t="s">
        <v>63</v>
      </c>
      <c r="E884" s="3" t="s">
        <v>64</v>
      </c>
      <c r="F884" s="3" t="s">
        <v>65</v>
      </c>
      <c r="G884" s="3">
        <v>2025</v>
      </c>
      <c r="H884" s="3" t="str">
        <f>CONCATENATE("54240605425")</f>
        <v>54240605425</v>
      </c>
      <c r="I884" s="3" t="s">
        <v>34</v>
      </c>
      <c r="J884" s="3" t="s">
        <v>35</v>
      </c>
      <c r="K884" s="3"/>
      <c r="L884" s="3" t="s">
        <v>36</v>
      </c>
      <c r="M884" s="3" t="str">
        <f>CONCATENATE("FRVTRS79S53A462Z")</f>
        <v>FRVTRS79S53A462Z</v>
      </c>
      <c r="N884" s="3" t="s">
        <v>1005</v>
      </c>
      <c r="O884" s="3" t="s">
        <v>38</v>
      </c>
      <c r="P884" s="3"/>
      <c r="Q884" s="4">
        <v>45944</v>
      </c>
      <c r="R884" s="3" t="s">
        <v>39</v>
      </c>
      <c r="S884" s="3" t="s">
        <v>38</v>
      </c>
      <c r="T884" s="3" t="s">
        <v>40</v>
      </c>
      <c r="U884" s="3"/>
      <c r="V884" s="3" t="s">
        <v>41</v>
      </c>
      <c r="W884" s="5">
        <v>2296.71</v>
      </c>
      <c r="X884" s="5">
        <v>1722.53</v>
      </c>
      <c r="Y884" s="3">
        <v>401.92</v>
      </c>
      <c r="Z884" s="3">
        <v>172.26</v>
      </c>
      <c r="AA884" s="3">
        <v>0</v>
      </c>
    </row>
    <row r="885" spans="1:27" ht="60.75" x14ac:dyDescent="0.25">
      <c r="A885" s="3" t="s">
        <v>28</v>
      </c>
      <c r="B885" s="3" t="s">
        <v>29</v>
      </c>
      <c r="C885" s="3" t="s">
        <v>30</v>
      </c>
      <c r="D885" s="3" t="s">
        <v>63</v>
      </c>
      <c r="E885" s="3" t="s">
        <v>53</v>
      </c>
      <c r="F885" s="3" t="s">
        <v>478</v>
      </c>
      <c r="G885" s="3">
        <v>2025</v>
      </c>
      <c r="H885" s="3" t="str">
        <f>CONCATENATE("54240606084")</f>
        <v>54240606084</v>
      </c>
      <c r="I885" s="3" t="s">
        <v>34</v>
      </c>
      <c r="J885" s="3" t="s">
        <v>35</v>
      </c>
      <c r="K885" s="3"/>
      <c r="L885" s="3" t="s">
        <v>36</v>
      </c>
      <c r="M885" s="3" t="str">
        <f>CONCATENATE("CPRSML78B56I324Q")</f>
        <v>CPRSML78B56I324Q</v>
      </c>
      <c r="N885" s="3" t="s">
        <v>1006</v>
      </c>
      <c r="O885" s="3" t="s">
        <v>38</v>
      </c>
      <c r="P885" s="3"/>
      <c r="Q885" s="4">
        <v>45944</v>
      </c>
      <c r="R885" s="3" t="s">
        <v>39</v>
      </c>
      <c r="S885" s="3" t="s">
        <v>38</v>
      </c>
      <c r="T885" s="3" t="s">
        <v>40</v>
      </c>
      <c r="U885" s="3"/>
      <c r="V885" s="3" t="s">
        <v>41</v>
      </c>
      <c r="W885" s="5">
        <v>1504.64</v>
      </c>
      <c r="X885" s="5">
        <v>1128.48</v>
      </c>
      <c r="Y885" s="3">
        <v>263.31</v>
      </c>
      <c r="Z885" s="3">
        <v>112.85</v>
      </c>
      <c r="AA885" s="3">
        <v>0</v>
      </c>
    </row>
    <row r="886" spans="1:27" ht="60.75" x14ac:dyDescent="0.25">
      <c r="A886" s="3" t="s">
        <v>28</v>
      </c>
      <c r="B886" s="3" t="s">
        <v>29</v>
      </c>
      <c r="C886" s="3" t="s">
        <v>30</v>
      </c>
      <c r="D886" s="3" t="s">
        <v>31</v>
      </c>
      <c r="E886" s="3" t="s">
        <v>32</v>
      </c>
      <c r="F886" s="3" t="s">
        <v>178</v>
      </c>
      <c r="G886" s="3">
        <v>2025</v>
      </c>
      <c r="H886" s="3" t="str">
        <f>CONCATENATE("54240605995")</f>
        <v>54240605995</v>
      </c>
      <c r="I886" s="3" t="s">
        <v>34</v>
      </c>
      <c r="J886" s="3" t="s">
        <v>35</v>
      </c>
      <c r="K886" s="3"/>
      <c r="L886" s="3" t="s">
        <v>36</v>
      </c>
      <c r="M886" s="3" t="str">
        <f>CONCATENATE("BRTSVN84C26D488A")</f>
        <v>BRTSVN84C26D488A</v>
      </c>
      <c r="N886" s="3" t="s">
        <v>1007</v>
      </c>
      <c r="O886" s="3" t="s">
        <v>38</v>
      </c>
      <c r="P886" s="3"/>
      <c r="Q886" s="4">
        <v>45944</v>
      </c>
      <c r="R886" s="3" t="s">
        <v>39</v>
      </c>
      <c r="S886" s="3" t="s">
        <v>38</v>
      </c>
      <c r="T886" s="3" t="s">
        <v>40</v>
      </c>
      <c r="U886" s="3"/>
      <c r="V886" s="3" t="s">
        <v>41</v>
      </c>
      <c r="W886" s="5">
        <v>8130.05</v>
      </c>
      <c r="X886" s="5">
        <v>6097.54</v>
      </c>
      <c r="Y886" s="5">
        <v>1422.76</v>
      </c>
      <c r="Z886" s="3">
        <v>609.75</v>
      </c>
      <c r="AA886" s="3">
        <v>0</v>
      </c>
    </row>
    <row r="887" spans="1:27" ht="60.75" x14ac:dyDescent="0.25">
      <c r="A887" s="3" t="s">
        <v>28</v>
      </c>
      <c r="B887" s="3" t="s">
        <v>29</v>
      </c>
      <c r="C887" s="3" t="s">
        <v>30</v>
      </c>
      <c r="D887" s="3" t="s">
        <v>49</v>
      </c>
      <c r="E887" s="3" t="s">
        <v>32</v>
      </c>
      <c r="F887" s="3" t="s">
        <v>86</v>
      </c>
      <c r="G887" s="3">
        <v>2025</v>
      </c>
      <c r="H887" s="3" t="str">
        <f>CONCATENATE("54240606324")</f>
        <v>54240606324</v>
      </c>
      <c r="I887" s="3" t="s">
        <v>34</v>
      </c>
      <c r="J887" s="3" t="s">
        <v>35</v>
      </c>
      <c r="K887" s="3"/>
      <c r="L887" s="3" t="s">
        <v>36</v>
      </c>
      <c r="M887" s="3" t="str">
        <f>CONCATENATE("SBECST76C01I156H")</f>
        <v>SBECST76C01I156H</v>
      </c>
      <c r="N887" s="3" t="s">
        <v>1008</v>
      </c>
      <c r="O887" s="3" t="s">
        <v>38</v>
      </c>
      <c r="P887" s="3"/>
      <c r="Q887" s="4">
        <v>45944</v>
      </c>
      <c r="R887" s="3" t="s">
        <v>39</v>
      </c>
      <c r="S887" s="3" t="s">
        <v>38</v>
      </c>
      <c r="T887" s="3" t="s">
        <v>40</v>
      </c>
      <c r="U887" s="3"/>
      <c r="V887" s="3" t="s">
        <v>41</v>
      </c>
      <c r="W887" s="5">
        <v>12874.82</v>
      </c>
      <c r="X887" s="5">
        <v>9656.1200000000008</v>
      </c>
      <c r="Y887" s="5">
        <v>2253.09</v>
      </c>
      <c r="Z887" s="3">
        <v>965.61</v>
      </c>
      <c r="AA887" s="3">
        <v>0</v>
      </c>
    </row>
    <row r="888" spans="1:27" ht="36.75" x14ac:dyDescent="0.25">
      <c r="A888" s="3" t="s">
        <v>28</v>
      </c>
      <c r="B888" s="3" t="s">
        <v>29</v>
      </c>
      <c r="C888" s="3" t="s">
        <v>30</v>
      </c>
      <c r="D888" s="3" t="s">
        <v>49</v>
      </c>
      <c r="E888" s="3" t="s">
        <v>46</v>
      </c>
      <c r="F888" s="3" t="s">
        <v>126</v>
      </c>
      <c r="G888" s="3">
        <v>2025</v>
      </c>
      <c r="H888" s="3" t="str">
        <f>CONCATENATE("54240606258")</f>
        <v>54240606258</v>
      </c>
      <c r="I888" s="3" t="s">
        <v>34</v>
      </c>
      <c r="J888" s="3" t="s">
        <v>35</v>
      </c>
      <c r="K888" s="3"/>
      <c r="L888" s="3" t="s">
        <v>36</v>
      </c>
      <c r="M888" s="3" t="str">
        <f>CONCATENATE("01838330437")</f>
        <v>01838330437</v>
      </c>
      <c r="N888" s="3" t="s">
        <v>1009</v>
      </c>
      <c r="O888" s="3" t="s">
        <v>38</v>
      </c>
      <c r="P888" s="3"/>
      <c r="Q888" s="4">
        <v>45944</v>
      </c>
      <c r="R888" s="3" t="s">
        <v>39</v>
      </c>
      <c r="S888" s="3" t="s">
        <v>38</v>
      </c>
      <c r="T888" s="3" t="s">
        <v>40</v>
      </c>
      <c r="U888" s="3"/>
      <c r="V888" s="3" t="s">
        <v>41</v>
      </c>
      <c r="W888" s="5">
        <v>3410.07</v>
      </c>
      <c r="X888" s="5">
        <v>2557.5500000000002</v>
      </c>
      <c r="Y888" s="3">
        <v>596.76</v>
      </c>
      <c r="Z888" s="3">
        <v>255.76</v>
      </c>
      <c r="AA888" s="3">
        <v>0</v>
      </c>
    </row>
    <row r="889" spans="1:27" ht="36.75" x14ac:dyDescent="0.25">
      <c r="A889" s="3" t="s">
        <v>28</v>
      </c>
      <c r="B889" s="3" t="s">
        <v>29</v>
      </c>
      <c r="C889" s="3" t="s">
        <v>30</v>
      </c>
      <c r="D889" s="3" t="s">
        <v>63</v>
      </c>
      <c r="E889" s="3" t="s">
        <v>53</v>
      </c>
      <c r="F889" s="3" t="s">
        <v>478</v>
      </c>
      <c r="G889" s="3">
        <v>2025</v>
      </c>
      <c r="H889" s="3" t="str">
        <f>CONCATENATE("54240606811")</f>
        <v>54240606811</v>
      </c>
      <c r="I889" s="3" t="s">
        <v>34</v>
      </c>
      <c r="J889" s="3" t="s">
        <v>35</v>
      </c>
      <c r="K889" s="3"/>
      <c r="L889" s="3" t="s">
        <v>36</v>
      </c>
      <c r="M889" s="3" t="str">
        <f>CONCATENATE("00702770447")</f>
        <v>00702770447</v>
      </c>
      <c r="N889" s="3" t="s">
        <v>1010</v>
      </c>
      <c r="O889" s="3" t="s">
        <v>38</v>
      </c>
      <c r="P889" s="3"/>
      <c r="Q889" s="4">
        <v>45944</v>
      </c>
      <c r="R889" s="3" t="s">
        <v>39</v>
      </c>
      <c r="S889" s="3" t="s">
        <v>38</v>
      </c>
      <c r="T889" s="3" t="s">
        <v>40</v>
      </c>
      <c r="U889" s="3"/>
      <c r="V889" s="3" t="s">
        <v>41</v>
      </c>
      <c r="W889" s="5">
        <v>5008.83</v>
      </c>
      <c r="X889" s="5">
        <v>3756.62</v>
      </c>
      <c r="Y889" s="3">
        <v>876.55</v>
      </c>
      <c r="Z889" s="3">
        <v>375.66</v>
      </c>
      <c r="AA889" s="3">
        <v>0</v>
      </c>
    </row>
    <row r="890" spans="1:27" ht="60.75" x14ac:dyDescent="0.25">
      <c r="A890" s="3" t="s">
        <v>28</v>
      </c>
      <c r="B890" s="3" t="s">
        <v>29</v>
      </c>
      <c r="C890" s="3" t="s">
        <v>30</v>
      </c>
      <c r="D890" s="3" t="s">
        <v>31</v>
      </c>
      <c r="E890" s="3" t="s">
        <v>53</v>
      </c>
      <c r="F890" s="3" t="s">
        <v>233</v>
      </c>
      <c r="G890" s="3">
        <v>2025</v>
      </c>
      <c r="H890" s="3" t="str">
        <f>CONCATENATE("54240606225")</f>
        <v>54240606225</v>
      </c>
      <c r="I890" s="3" t="s">
        <v>34</v>
      </c>
      <c r="J890" s="3" t="s">
        <v>35</v>
      </c>
      <c r="K890" s="3"/>
      <c r="L890" s="3" t="s">
        <v>36</v>
      </c>
      <c r="M890" s="3" t="str">
        <f>CONCATENATE("MLARNN85C30H223E")</f>
        <v>MLARNN85C30H223E</v>
      </c>
      <c r="N890" s="3" t="s">
        <v>1011</v>
      </c>
      <c r="O890" s="3" t="s">
        <v>38</v>
      </c>
      <c r="P890" s="3"/>
      <c r="Q890" s="4">
        <v>45944</v>
      </c>
      <c r="R890" s="3" t="s">
        <v>39</v>
      </c>
      <c r="S890" s="3" t="s">
        <v>38</v>
      </c>
      <c r="T890" s="3" t="s">
        <v>40</v>
      </c>
      <c r="U890" s="3"/>
      <c r="V890" s="3" t="s">
        <v>41</v>
      </c>
      <c r="W890" s="5">
        <v>1160.96</v>
      </c>
      <c r="X890" s="3">
        <v>870.72</v>
      </c>
      <c r="Y890" s="3">
        <v>203.17</v>
      </c>
      <c r="Z890" s="3">
        <v>87.07</v>
      </c>
      <c r="AA890" s="3">
        <v>0</v>
      </c>
    </row>
    <row r="891" spans="1:27" ht="36.75" x14ac:dyDescent="0.25">
      <c r="A891" s="3" t="s">
        <v>28</v>
      </c>
      <c r="B891" s="3" t="s">
        <v>29</v>
      </c>
      <c r="C891" s="3" t="s">
        <v>30</v>
      </c>
      <c r="D891" s="3" t="s">
        <v>31</v>
      </c>
      <c r="E891" s="3" t="s">
        <v>91</v>
      </c>
      <c r="F891" s="3" t="s">
        <v>111</v>
      </c>
      <c r="G891" s="3">
        <v>2025</v>
      </c>
      <c r="H891" s="3" t="str">
        <f>CONCATENATE("54240606449")</f>
        <v>54240606449</v>
      </c>
      <c r="I891" s="3" t="s">
        <v>34</v>
      </c>
      <c r="J891" s="3" t="s">
        <v>35</v>
      </c>
      <c r="K891" s="3"/>
      <c r="L891" s="3" t="s">
        <v>36</v>
      </c>
      <c r="M891" s="3" t="str">
        <f>CONCATENATE("02638880415")</f>
        <v>02638880415</v>
      </c>
      <c r="N891" s="3" t="s">
        <v>1012</v>
      </c>
      <c r="O891" s="3" t="s">
        <v>38</v>
      </c>
      <c r="P891" s="3"/>
      <c r="Q891" s="4">
        <v>45944</v>
      </c>
      <c r="R891" s="3" t="s">
        <v>39</v>
      </c>
      <c r="S891" s="3" t="s">
        <v>38</v>
      </c>
      <c r="T891" s="3" t="s">
        <v>40</v>
      </c>
      <c r="U891" s="3"/>
      <c r="V891" s="3" t="s">
        <v>41</v>
      </c>
      <c r="W891" s="5">
        <v>2799.06</v>
      </c>
      <c r="X891" s="5">
        <v>2099.3000000000002</v>
      </c>
      <c r="Y891" s="3">
        <v>489.84</v>
      </c>
      <c r="Z891" s="3">
        <v>209.92</v>
      </c>
      <c r="AA891" s="3">
        <v>0</v>
      </c>
    </row>
    <row r="892" spans="1:27" ht="36.75" x14ac:dyDescent="0.25">
      <c r="A892" s="3" t="s">
        <v>28</v>
      </c>
      <c r="B892" s="3" t="s">
        <v>29</v>
      </c>
      <c r="C892" s="3" t="s">
        <v>30</v>
      </c>
      <c r="D892" s="3" t="s">
        <v>31</v>
      </c>
      <c r="E892" s="3" t="s">
        <v>91</v>
      </c>
      <c r="F892" s="3" t="s">
        <v>111</v>
      </c>
      <c r="G892" s="3">
        <v>2025</v>
      </c>
      <c r="H892" s="3" t="str">
        <f>CONCATENATE("54240607090")</f>
        <v>54240607090</v>
      </c>
      <c r="I892" s="3" t="s">
        <v>34</v>
      </c>
      <c r="J892" s="3" t="s">
        <v>35</v>
      </c>
      <c r="K892" s="3"/>
      <c r="L892" s="3" t="s">
        <v>36</v>
      </c>
      <c r="M892" s="3" t="str">
        <f>CONCATENATE("02788850416")</f>
        <v>02788850416</v>
      </c>
      <c r="N892" s="3" t="s">
        <v>1013</v>
      </c>
      <c r="O892" s="3" t="s">
        <v>38</v>
      </c>
      <c r="P892" s="3"/>
      <c r="Q892" s="4">
        <v>45944</v>
      </c>
      <c r="R892" s="3" t="s">
        <v>39</v>
      </c>
      <c r="S892" s="3" t="s">
        <v>38</v>
      </c>
      <c r="T892" s="3" t="s">
        <v>40</v>
      </c>
      <c r="U892" s="3"/>
      <c r="V892" s="3" t="s">
        <v>41</v>
      </c>
      <c r="W892" s="5">
        <v>7984.86</v>
      </c>
      <c r="X892" s="5">
        <v>5988.65</v>
      </c>
      <c r="Y892" s="5">
        <v>1397.35</v>
      </c>
      <c r="Z892" s="3">
        <v>598.86</v>
      </c>
      <c r="AA892" s="3">
        <v>0</v>
      </c>
    </row>
    <row r="893" spans="1:27" ht="36.75" x14ac:dyDescent="0.25">
      <c r="A893" s="3" t="s">
        <v>28</v>
      </c>
      <c r="B893" s="3" t="s">
        <v>29</v>
      </c>
      <c r="C893" s="3" t="s">
        <v>30</v>
      </c>
      <c r="D893" s="3" t="s">
        <v>31</v>
      </c>
      <c r="E893" s="3" t="s">
        <v>91</v>
      </c>
      <c r="F893" s="3" t="s">
        <v>111</v>
      </c>
      <c r="G893" s="3">
        <v>2025</v>
      </c>
      <c r="H893" s="3" t="str">
        <f>CONCATENATE("54240607116")</f>
        <v>54240607116</v>
      </c>
      <c r="I893" s="3" t="s">
        <v>34</v>
      </c>
      <c r="J893" s="3" t="s">
        <v>35</v>
      </c>
      <c r="K893" s="3"/>
      <c r="L893" s="3" t="s">
        <v>36</v>
      </c>
      <c r="M893" s="3" t="str">
        <f>CONCATENATE("02847590417")</f>
        <v>02847590417</v>
      </c>
      <c r="N893" s="3" t="s">
        <v>1014</v>
      </c>
      <c r="O893" s="3" t="s">
        <v>38</v>
      </c>
      <c r="P893" s="3"/>
      <c r="Q893" s="4">
        <v>45944</v>
      </c>
      <c r="R893" s="3" t="s">
        <v>39</v>
      </c>
      <c r="S893" s="3" t="s">
        <v>38</v>
      </c>
      <c r="T893" s="3" t="s">
        <v>40</v>
      </c>
      <c r="U893" s="3"/>
      <c r="V893" s="3" t="s">
        <v>41</v>
      </c>
      <c r="W893" s="5">
        <v>4401.22</v>
      </c>
      <c r="X893" s="5">
        <v>3300.92</v>
      </c>
      <c r="Y893" s="3">
        <v>770.21</v>
      </c>
      <c r="Z893" s="3">
        <v>330.09</v>
      </c>
      <c r="AA893" s="3">
        <v>0</v>
      </c>
    </row>
    <row r="894" spans="1:27" ht="36.75" x14ac:dyDescent="0.25">
      <c r="A894" s="3" t="s">
        <v>28</v>
      </c>
      <c r="B894" s="3" t="s">
        <v>29</v>
      </c>
      <c r="C894" s="3" t="s">
        <v>30</v>
      </c>
      <c r="D894" s="3" t="s">
        <v>31</v>
      </c>
      <c r="E894" s="3" t="s">
        <v>145</v>
      </c>
      <c r="F894" s="3" t="s">
        <v>485</v>
      </c>
      <c r="G894" s="3">
        <v>2025</v>
      </c>
      <c r="H894" s="3" t="str">
        <f>CONCATENATE("54240650819")</f>
        <v>54240650819</v>
      </c>
      <c r="I894" s="3" t="s">
        <v>34</v>
      </c>
      <c r="J894" s="3" t="s">
        <v>35</v>
      </c>
      <c r="K894" s="3"/>
      <c r="L894" s="3" t="s">
        <v>36</v>
      </c>
      <c r="M894" s="3" t="str">
        <f>CONCATENATE("02987880420")</f>
        <v>02987880420</v>
      </c>
      <c r="N894" s="3" t="s">
        <v>1015</v>
      </c>
      <c r="O894" s="3" t="s">
        <v>38</v>
      </c>
      <c r="P894" s="3"/>
      <c r="Q894" s="4">
        <v>45944</v>
      </c>
      <c r="R894" s="3" t="s">
        <v>39</v>
      </c>
      <c r="S894" s="3" t="s">
        <v>38</v>
      </c>
      <c r="T894" s="3" t="s">
        <v>40</v>
      </c>
      <c r="U894" s="3"/>
      <c r="V894" s="3" t="s">
        <v>41</v>
      </c>
      <c r="W894" s="3">
        <v>872.4</v>
      </c>
      <c r="X894" s="3">
        <v>654.29999999999995</v>
      </c>
      <c r="Y894" s="3">
        <v>152.66999999999999</v>
      </c>
      <c r="Z894" s="3">
        <v>65.430000000000007</v>
      </c>
      <c r="AA894" s="3">
        <v>0</v>
      </c>
    </row>
    <row r="895" spans="1:27" ht="36.75" x14ac:dyDescent="0.25">
      <c r="A895" s="3" t="s">
        <v>28</v>
      </c>
      <c r="B895" s="3" t="s">
        <v>29</v>
      </c>
      <c r="C895" s="3" t="s">
        <v>30</v>
      </c>
      <c r="D895" s="3" t="s">
        <v>49</v>
      </c>
      <c r="E895" s="3" t="s">
        <v>53</v>
      </c>
      <c r="F895" s="3" t="s">
        <v>59</v>
      </c>
      <c r="G895" s="3">
        <v>2025</v>
      </c>
      <c r="H895" s="3" t="str">
        <f>CONCATENATE("54240638699")</f>
        <v>54240638699</v>
      </c>
      <c r="I895" s="3" t="s">
        <v>34</v>
      </c>
      <c r="J895" s="3" t="s">
        <v>35</v>
      </c>
      <c r="K895" s="3"/>
      <c r="L895" s="3" t="s">
        <v>36</v>
      </c>
      <c r="M895" s="3" t="str">
        <f>CONCATENATE("01932960436")</f>
        <v>01932960436</v>
      </c>
      <c r="N895" s="3" t="s">
        <v>1016</v>
      </c>
      <c r="O895" s="3" t="s">
        <v>38</v>
      </c>
      <c r="P895" s="3"/>
      <c r="Q895" s="4">
        <v>45944</v>
      </c>
      <c r="R895" s="3" t="s">
        <v>39</v>
      </c>
      <c r="S895" s="3" t="s">
        <v>38</v>
      </c>
      <c r="T895" s="3" t="s">
        <v>40</v>
      </c>
      <c r="U895" s="3"/>
      <c r="V895" s="3" t="s">
        <v>41</v>
      </c>
      <c r="W895" s="5">
        <v>3562.03</v>
      </c>
      <c r="X895" s="5">
        <v>2671.52</v>
      </c>
      <c r="Y895" s="3">
        <v>623.36</v>
      </c>
      <c r="Z895" s="3">
        <v>267.14999999999998</v>
      </c>
      <c r="AA895" s="3">
        <v>0</v>
      </c>
    </row>
    <row r="896" spans="1:27" ht="60.75" x14ac:dyDescent="0.25">
      <c r="A896" s="3" t="s">
        <v>28</v>
      </c>
      <c r="B896" s="3" t="s">
        <v>29</v>
      </c>
      <c r="C896" s="3" t="s">
        <v>30</v>
      </c>
      <c r="D896" s="3" t="s">
        <v>58</v>
      </c>
      <c r="E896" s="3" t="s">
        <v>32</v>
      </c>
      <c r="F896" s="3" t="s">
        <v>96</v>
      </c>
      <c r="G896" s="3">
        <v>2025</v>
      </c>
      <c r="H896" s="3" t="str">
        <f>CONCATENATE("54240608783")</f>
        <v>54240608783</v>
      </c>
      <c r="I896" s="3" t="s">
        <v>34</v>
      </c>
      <c r="J896" s="3" t="s">
        <v>35</v>
      </c>
      <c r="K896" s="3"/>
      <c r="L896" s="3" t="s">
        <v>36</v>
      </c>
      <c r="M896" s="3" t="str">
        <f>CONCATENATE("GBRVNZ60D23D451I")</f>
        <v>GBRVNZ60D23D451I</v>
      </c>
      <c r="N896" s="3" t="s">
        <v>1017</v>
      </c>
      <c r="O896" s="3" t="s">
        <v>38</v>
      </c>
      <c r="P896" s="3"/>
      <c r="Q896" s="4">
        <v>45944</v>
      </c>
      <c r="R896" s="3" t="s">
        <v>39</v>
      </c>
      <c r="S896" s="3" t="s">
        <v>38</v>
      </c>
      <c r="T896" s="3" t="s">
        <v>40</v>
      </c>
      <c r="U896" s="3"/>
      <c r="V896" s="3" t="s">
        <v>41</v>
      </c>
      <c r="W896" s="3">
        <v>327.55</v>
      </c>
      <c r="X896" s="3">
        <v>245.66</v>
      </c>
      <c r="Y896" s="3">
        <v>57.32</v>
      </c>
      <c r="Z896" s="3">
        <v>24.57</v>
      </c>
      <c r="AA896" s="3">
        <v>0</v>
      </c>
    </row>
    <row r="897" spans="1:27" ht="60.75" x14ac:dyDescent="0.25">
      <c r="A897" s="3" t="s">
        <v>28</v>
      </c>
      <c r="B897" s="3" t="s">
        <v>29</v>
      </c>
      <c r="C897" s="3" t="s">
        <v>30</v>
      </c>
      <c r="D897" s="3" t="s">
        <v>31</v>
      </c>
      <c r="E897" s="3" t="s">
        <v>91</v>
      </c>
      <c r="F897" s="3" t="s">
        <v>111</v>
      </c>
      <c r="G897" s="3">
        <v>2025</v>
      </c>
      <c r="H897" s="3" t="str">
        <f>CONCATENATE("54240611027")</f>
        <v>54240611027</v>
      </c>
      <c r="I897" s="3" t="s">
        <v>34</v>
      </c>
      <c r="J897" s="3" t="s">
        <v>35</v>
      </c>
      <c r="K897" s="3"/>
      <c r="L897" s="3" t="s">
        <v>36</v>
      </c>
      <c r="M897" s="3" t="str">
        <f>CONCATENATE("BNDLCU60H23G479K")</f>
        <v>BNDLCU60H23G479K</v>
      </c>
      <c r="N897" s="3" t="s">
        <v>296</v>
      </c>
      <c r="O897" s="3" t="s">
        <v>38</v>
      </c>
      <c r="P897" s="3"/>
      <c r="Q897" s="4">
        <v>45944</v>
      </c>
      <c r="R897" s="3" t="s">
        <v>39</v>
      </c>
      <c r="S897" s="3" t="s">
        <v>38</v>
      </c>
      <c r="T897" s="3" t="s">
        <v>40</v>
      </c>
      <c r="U897" s="3"/>
      <c r="V897" s="3" t="s">
        <v>41</v>
      </c>
      <c r="W897" s="5">
        <v>5994.14</v>
      </c>
      <c r="X897" s="5">
        <v>4495.6099999999997</v>
      </c>
      <c r="Y897" s="5">
        <v>1048.97</v>
      </c>
      <c r="Z897" s="3">
        <v>449.56</v>
      </c>
      <c r="AA897" s="3">
        <v>0</v>
      </c>
    </row>
    <row r="898" spans="1:27" ht="60.75" x14ac:dyDescent="0.25">
      <c r="A898" s="3" t="s">
        <v>28</v>
      </c>
      <c r="B898" s="3" t="s">
        <v>29</v>
      </c>
      <c r="C898" s="3" t="s">
        <v>30</v>
      </c>
      <c r="D898" s="3" t="s">
        <v>63</v>
      </c>
      <c r="E898" s="3" t="s">
        <v>91</v>
      </c>
      <c r="F898" s="3" t="s">
        <v>94</v>
      </c>
      <c r="G898" s="3">
        <v>2025</v>
      </c>
      <c r="H898" s="3" t="str">
        <f>CONCATENATE("54240610136")</f>
        <v>54240610136</v>
      </c>
      <c r="I898" s="3" t="s">
        <v>34</v>
      </c>
      <c r="J898" s="3" t="s">
        <v>35</v>
      </c>
      <c r="K898" s="3"/>
      <c r="L898" s="3" t="s">
        <v>36</v>
      </c>
      <c r="M898" s="3" t="str">
        <f>CONCATENATE("CRCLSN91H02D542C")</f>
        <v>CRCLSN91H02D542C</v>
      </c>
      <c r="N898" s="3" t="s">
        <v>1018</v>
      </c>
      <c r="O898" s="3" t="s">
        <v>38</v>
      </c>
      <c r="P898" s="3"/>
      <c r="Q898" s="4">
        <v>45944</v>
      </c>
      <c r="R898" s="3" t="s">
        <v>39</v>
      </c>
      <c r="S898" s="3" t="s">
        <v>38</v>
      </c>
      <c r="T898" s="3" t="s">
        <v>40</v>
      </c>
      <c r="U898" s="3"/>
      <c r="V898" s="3" t="s">
        <v>41</v>
      </c>
      <c r="W898" s="5">
        <v>3311.48</v>
      </c>
      <c r="X898" s="5">
        <v>2483.61</v>
      </c>
      <c r="Y898" s="3">
        <v>579.51</v>
      </c>
      <c r="Z898" s="3">
        <v>248.36</v>
      </c>
      <c r="AA898" s="3">
        <v>0</v>
      </c>
    </row>
    <row r="899" spans="1:27" ht="72.75" x14ac:dyDescent="0.25">
      <c r="A899" s="3" t="s">
        <v>28</v>
      </c>
      <c r="B899" s="3" t="s">
        <v>29</v>
      </c>
      <c r="C899" s="3" t="s">
        <v>30</v>
      </c>
      <c r="D899" s="3" t="s">
        <v>49</v>
      </c>
      <c r="E899" s="3" t="s">
        <v>46</v>
      </c>
      <c r="F899" s="3" t="s">
        <v>205</v>
      </c>
      <c r="G899" s="3">
        <v>2025</v>
      </c>
      <c r="H899" s="3" t="str">
        <f>CONCATENATE("54240611142")</f>
        <v>54240611142</v>
      </c>
      <c r="I899" s="3" t="s">
        <v>34</v>
      </c>
      <c r="J899" s="3" t="s">
        <v>35</v>
      </c>
      <c r="K899" s="3"/>
      <c r="L899" s="3" t="s">
        <v>36</v>
      </c>
      <c r="M899" s="3" t="str">
        <f>CONCATENATE("MCZLCU44A24M078N")</f>
        <v>MCZLCU44A24M078N</v>
      </c>
      <c r="N899" s="3" t="s">
        <v>1019</v>
      </c>
      <c r="O899" s="3" t="s">
        <v>38</v>
      </c>
      <c r="P899" s="3"/>
      <c r="Q899" s="4">
        <v>45944</v>
      </c>
      <c r="R899" s="3" t="s">
        <v>39</v>
      </c>
      <c r="S899" s="3" t="s">
        <v>38</v>
      </c>
      <c r="T899" s="3" t="s">
        <v>40</v>
      </c>
      <c r="U899" s="3"/>
      <c r="V899" s="3" t="s">
        <v>41</v>
      </c>
      <c r="W899" s="5">
        <v>10411.94</v>
      </c>
      <c r="X899" s="5">
        <v>7808.96</v>
      </c>
      <c r="Y899" s="5">
        <v>1822.09</v>
      </c>
      <c r="Z899" s="3">
        <v>780.89</v>
      </c>
      <c r="AA899" s="3">
        <v>0</v>
      </c>
    </row>
    <row r="900" spans="1:27" ht="60.75" x14ac:dyDescent="0.25">
      <c r="A900" s="3" t="s">
        <v>28</v>
      </c>
      <c r="B900" s="3" t="s">
        <v>29</v>
      </c>
      <c r="C900" s="3" t="s">
        <v>30</v>
      </c>
      <c r="D900" s="3" t="s">
        <v>63</v>
      </c>
      <c r="E900" s="3" t="s">
        <v>53</v>
      </c>
      <c r="F900" s="3" t="s">
        <v>180</v>
      </c>
      <c r="G900" s="3">
        <v>2025</v>
      </c>
      <c r="H900" s="3" t="str">
        <f>CONCATENATE("54240614195")</f>
        <v>54240614195</v>
      </c>
      <c r="I900" s="3" t="s">
        <v>149</v>
      </c>
      <c r="J900" s="3" t="s">
        <v>35</v>
      </c>
      <c r="K900" s="3"/>
      <c r="L900" s="3" t="s">
        <v>36</v>
      </c>
      <c r="M900" s="3" t="str">
        <f>CONCATENATE("SCCGLI91S53D773N")</f>
        <v>SCCGLI91S53D773N</v>
      </c>
      <c r="N900" s="3" t="s">
        <v>1020</v>
      </c>
      <c r="O900" s="3" t="s">
        <v>38</v>
      </c>
      <c r="P900" s="3"/>
      <c r="Q900" s="4">
        <v>45944</v>
      </c>
      <c r="R900" s="3" t="s">
        <v>39</v>
      </c>
      <c r="S900" s="3" t="s">
        <v>38</v>
      </c>
      <c r="T900" s="3" t="s">
        <v>40</v>
      </c>
      <c r="U900" s="3"/>
      <c r="V900" s="3" t="s">
        <v>41</v>
      </c>
      <c r="W900" s="5">
        <v>4797.6499999999996</v>
      </c>
      <c r="X900" s="5">
        <v>3598.24</v>
      </c>
      <c r="Y900" s="3">
        <v>839.59</v>
      </c>
      <c r="Z900" s="3">
        <v>359.82</v>
      </c>
      <c r="AA900" s="3">
        <v>0</v>
      </c>
    </row>
    <row r="901" spans="1:27" ht="36.75" x14ac:dyDescent="0.25">
      <c r="A901" s="3" t="s">
        <v>28</v>
      </c>
      <c r="B901" s="3" t="s">
        <v>29</v>
      </c>
      <c r="C901" s="3" t="s">
        <v>30</v>
      </c>
      <c r="D901" s="3" t="s">
        <v>58</v>
      </c>
      <c r="E901" s="3" t="s">
        <v>53</v>
      </c>
      <c r="F901" s="3" t="s">
        <v>59</v>
      </c>
      <c r="G901" s="3">
        <v>2025</v>
      </c>
      <c r="H901" s="3" t="str">
        <f>CONCATENATE("54240614476")</f>
        <v>54240614476</v>
      </c>
      <c r="I901" s="3" t="s">
        <v>34</v>
      </c>
      <c r="J901" s="3" t="s">
        <v>35</v>
      </c>
      <c r="K901" s="3"/>
      <c r="L901" s="3" t="s">
        <v>36</v>
      </c>
      <c r="M901" s="3" t="str">
        <f>CONCATENATE("02663240428")</f>
        <v>02663240428</v>
      </c>
      <c r="N901" s="3" t="s">
        <v>1021</v>
      </c>
      <c r="O901" s="3" t="s">
        <v>38</v>
      </c>
      <c r="P901" s="3"/>
      <c r="Q901" s="4">
        <v>45944</v>
      </c>
      <c r="R901" s="3" t="s">
        <v>39</v>
      </c>
      <c r="S901" s="3" t="s">
        <v>38</v>
      </c>
      <c r="T901" s="3" t="s">
        <v>40</v>
      </c>
      <c r="U901" s="3"/>
      <c r="V901" s="3" t="s">
        <v>41</v>
      </c>
      <c r="W901" s="3">
        <v>730.11</v>
      </c>
      <c r="X901" s="3">
        <v>547.58000000000004</v>
      </c>
      <c r="Y901" s="3">
        <v>127.77</v>
      </c>
      <c r="Z901" s="3">
        <v>54.76</v>
      </c>
      <c r="AA901" s="3">
        <v>0</v>
      </c>
    </row>
    <row r="902" spans="1:27" ht="60.75" x14ac:dyDescent="0.25">
      <c r="A902" s="3" t="s">
        <v>28</v>
      </c>
      <c r="B902" s="3" t="s">
        <v>29</v>
      </c>
      <c r="C902" s="3" t="s">
        <v>30</v>
      </c>
      <c r="D902" s="3" t="s">
        <v>49</v>
      </c>
      <c r="E902" s="3" t="s">
        <v>32</v>
      </c>
      <c r="F902" s="3" t="s">
        <v>78</v>
      </c>
      <c r="G902" s="3">
        <v>2025</v>
      </c>
      <c r="H902" s="3" t="str">
        <f>CONCATENATE("54240614658")</f>
        <v>54240614658</v>
      </c>
      <c r="I902" s="3" t="s">
        <v>34</v>
      </c>
      <c r="J902" s="3" t="s">
        <v>35</v>
      </c>
      <c r="K902" s="3"/>
      <c r="L902" s="3" t="s">
        <v>36</v>
      </c>
      <c r="M902" s="3" t="str">
        <f>CONCATENATE("SBRNDR01P03I156U")</f>
        <v>SBRNDR01P03I156U</v>
      </c>
      <c r="N902" s="3" t="s">
        <v>1022</v>
      </c>
      <c r="O902" s="3" t="s">
        <v>38</v>
      </c>
      <c r="P902" s="3"/>
      <c r="Q902" s="4">
        <v>45944</v>
      </c>
      <c r="R902" s="3" t="s">
        <v>39</v>
      </c>
      <c r="S902" s="3" t="s">
        <v>38</v>
      </c>
      <c r="T902" s="3" t="s">
        <v>40</v>
      </c>
      <c r="U902" s="3"/>
      <c r="V902" s="3" t="s">
        <v>41</v>
      </c>
      <c r="W902" s="5">
        <v>14685.5</v>
      </c>
      <c r="X902" s="5">
        <v>11014.13</v>
      </c>
      <c r="Y902" s="5">
        <v>2569.96</v>
      </c>
      <c r="Z902" s="5">
        <v>1101.4100000000001</v>
      </c>
      <c r="AA902" s="3">
        <v>0</v>
      </c>
    </row>
    <row r="903" spans="1:27" ht="36.75" x14ac:dyDescent="0.25">
      <c r="A903" s="3" t="s">
        <v>28</v>
      </c>
      <c r="B903" s="3" t="s">
        <v>29</v>
      </c>
      <c r="C903" s="3" t="s">
        <v>30</v>
      </c>
      <c r="D903" s="3" t="s">
        <v>63</v>
      </c>
      <c r="E903" s="3" t="s">
        <v>46</v>
      </c>
      <c r="F903" s="3" t="s">
        <v>205</v>
      </c>
      <c r="G903" s="3">
        <v>2025</v>
      </c>
      <c r="H903" s="3" t="str">
        <f>CONCATENATE("54240615911")</f>
        <v>54240615911</v>
      </c>
      <c r="I903" s="3" t="s">
        <v>34</v>
      </c>
      <c r="J903" s="3" t="s">
        <v>35</v>
      </c>
      <c r="K903" s="3"/>
      <c r="L903" s="3" t="s">
        <v>36</v>
      </c>
      <c r="M903" s="3" t="str">
        <f>CONCATENATE("02410140442")</f>
        <v>02410140442</v>
      </c>
      <c r="N903" s="3" t="s">
        <v>1023</v>
      </c>
      <c r="O903" s="3" t="s">
        <v>38</v>
      </c>
      <c r="P903" s="3"/>
      <c r="Q903" s="4">
        <v>45944</v>
      </c>
      <c r="R903" s="3" t="s">
        <v>39</v>
      </c>
      <c r="S903" s="3" t="s">
        <v>38</v>
      </c>
      <c r="T903" s="3" t="s">
        <v>40</v>
      </c>
      <c r="U903" s="3"/>
      <c r="V903" s="3" t="s">
        <v>41</v>
      </c>
      <c r="W903" s="5">
        <v>4603.88</v>
      </c>
      <c r="X903" s="5">
        <v>3452.91</v>
      </c>
      <c r="Y903" s="3">
        <v>805.68</v>
      </c>
      <c r="Z903" s="3">
        <v>345.29</v>
      </c>
      <c r="AA903" s="3">
        <v>0</v>
      </c>
    </row>
    <row r="904" spans="1:27" ht="60.75" x14ac:dyDescent="0.25">
      <c r="A904" s="3" t="s">
        <v>28</v>
      </c>
      <c r="B904" s="3" t="s">
        <v>29</v>
      </c>
      <c r="C904" s="3" t="s">
        <v>30</v>
      </c>
      <c r="D904" s="3" t="s">
        <v>31</v>
      </c>
      <c r="E904" s="3" t="s">
        <v>91</v>
      </c>
      <c r="F904" s="3" t="s">
        <v>111</v>
      </c>
      <c r="G904" s="3">
        <v>2025</v>
      </c>
      <c r="H904" s="3" t="str">
        <f>CONCATENATE("54240628815")</f>
        <v>54240628815</v>
      </c>
      <c r="I904" s="3" t="s">
        <v>34</v>
      </c>
      <c r="J904" s="3" t="s">
        <v>35</v>
      </c>
      <c r="K904" s="3"/>
      <c r="L904" s="3" t="s">
        <v>36</v>
      </c>
      <c r="M904" s="3" t="str">
        <f>CONCATENATE("CRRPLB46L05C920E")</f>
        <v>CRRPLB46L05C920E</v>
      </c>
      <c r="N904" s="3" t="s">
        <v>1024</v>
      </c>
      <c r="O904" s="3" t="s">
        <v>38</v>
      </c>
      <c r="P904" s="3"/>
      <c r="Q904" s="4">
        <v>45944</v>
      </c>
      <c r="R904" s="3" t="s">
        <v>39</v>
      </c>
      <c r="S904" s="3" t="s">
        <v>38</v>
      </c>
      <c r="T904" s="3" t="s">
        <v>40</v>
      </c>
      <c r="U904" s="3"/>
      <c r="V904" s="3" t="s">
        <v>41</v>
      </c>
      <c r="W904" s="5">
        <v>19248.580000000002</v>
      </c>
      <c r="X904" s="5">
        <v>14436.44</v>
      </c>
      <c r="Y904" s="5">
        <v>3368.5</v>
      </c>
      <c r="Z904" s="5">
        <v>1443.64</v>
      </c>
      <c r="AA904" s="3">
        <v>0</v>
      </c>
    </row>
    <row r="905" spans="1:27" ht="36.75" x14ac:dyDescent="0.25">
      <c r="A905" s="3" t="s">
        <v>28</v>
      </c>
      <c r="B905" s="3" t="s">
        <v>29</v>
      </c>
      <c r="C905" s="3" t="s">
        <v>30</v>
      </c>
      <c r="D905" s="3" t="s">
        <v>63</v>
      </c>
      <c r="E905" s="3" t="s">
        <v>53</v>
      </c>
      <c r="F905" s="3" t="s">
        <v>180</v>
      </c>
      <c r="G905" s="3">
        <v>2025</v>
      </c>
      <c r="H905" s="3" t="str">
        <f>CONCATENATE("54240619152")</f>
        <v>54240619152</v>
      </c>
      <c r="I905" s="3" t="s">
        <v>34</v>
      </c>
      <c r="J905" s="3" t="s">
        <v>35</v>
      </c>
      <c r="K905" s="3"/>
      <c r="L905" s="3" t="s">
        <v>36</v>
      </c>
      <c r="M905" s="3" t="str">
        <f>CONCATENATE("01782470445")</f>
        <v>01782470445</v>
      </c>
      <c r="N905" s="3" t="s">
        <v>1025</v>
      </c>
      <c r="O905" s="3" t="s">
        <v>38</v>
      </c>
      <c r="P905" s="3"/>
      <c r="Q905" s="4">
        <v>45944</v>
      </c>
      <c r="R905" s="3" t="s">
        <v>39</v>
      </c>
      <c r="S905" s="3" t="s">
        <v>38</v>
      </c>
      <c r="T905" s="3" t="s">
        <v>40</v>
      </c>
      <c r="U905" s="3"/>
      <c r="V905" s="3" t="s">
        <v>41</v>
      </c>
      <c r="W905" s="5">
        <v>5177.67</v>
      </c>
      <c r="X905" s="5">
        <v>3883.25</v>
      </c>
      <c r="Y905" s="3">
        <v>906.09</v>
      </c>
      <c r="Z905" s="3">
        <v>388.33</v>
      </c>
      <c r="AA905" s="3">
        <v>0</v>
      </c>
    </row>
    <row r="906" spans="1:27" ht="60.75" x14ac:dyDescent="0.25">
      <c r="A906" s="3" t="s">
        <v>28</v>
      </c>
      <c r="B906" s="3" t="s">
        <v>29</v>
      </c>
      <c r="C906" s="3" t="s">
        <v>30</v>
      </c>
      <c r="D906" s="3" t="s">
        <v>58</v>
      </c>
      <c r="E906" s="3" t="s">
        <v>74</v>
      </c>
      <c r="F906" s="3" t="s">
        <v>84</v>
      </c>
      <c r="G906" s="3">
        <v>2025</v>
      </c>
      <c r="H906" s="3" t="str">
        <f>CONCATENATE("54240619582")</f>
        <v>54240619582</v>
      </c>
      <c r="I906" s="3" t="s">
        <v>34</v>
      </c>
      <c r="J906" s="3" t="s">
        <v>35</v>
      </c>
      <c r="K906" s="3"/>
      <c r="L906" s="3" t="s">
        <v>36</v>
      </c>
      <c r="M906" s="3" t="str">
        <f>CONCATENATE("CRZMRC79E31F979D")</f>
        <v>CRZMRC79E31F979D</v>
      </c>
      <c r="N906" s="3" t="s">
        <v>1026</v>
      </c>
      <c r="O906" s="3" t="s">
        <v>38</v>
      </c>
      <c r="P906" s="3"/>
      <c r="Q906" s="4">
        <v>45944</v>
      </c>
      <c r="R906" s="3" t="s">
        <v>39</v>
      </c>
      <c r="S906" s="3" t="s">
        <v>38</v>
      </c>
      <c r="T906" s="3" t="s">
        <v>40</v>
      </c>
      <c r="U906" s="3"/>
      <c r="V906" s="3" t="s">
        <v>41</v>
      </c>
      <c r="W906" s="5">
        <v>6091.59</v>
      </c>
      <c r="X906" s="5">
        <v>4568.6899999999996</v>
      </c>
      <c r="Y906" s="5">
        <v>1066.03</v>
      </c>
      <c r="Z906" s="3">
        <v>456.87</v>
      </c>
      <c r="AA906" s="3">
        <v>0</v>
      </c>
    </row>
    <row r="907" spans="1:27" ht="60.75" x14ac:dyDescent="0.25">
      <c r="A907" s="3" t="s">
        <v>28</v>
      </c>
      <c r="B907" s="3" t="s">
        <v>29</v>
      </c>
      <c r="C907" s="3" t="s">
        <v>30</v>
      </c>
      <c r="D907" s="3" t="s">
        <v>49</v>
      </c>
      <c r="E907" s="3" t="s">
        <v>32</v>
      </c>
      <c r="F907" s="3" t="s">
        <v>69</v>
      </c>
      <c r="G907" s="3">
        <v>2025</v>
      </c>
      <c r="H907" s="3" t="str">
        <f>CONCATENATE("54240620465")</f>
        <v>54240620465</v>
      </c>
      <c r="I907" s="3" t="s">
        <v>34</v>
      </c>
      <c r="J907" s="3" t="s">
        <v>35</v>
      </c>
      <c r="K907" s="3"/>
      <c r="L907" s="3" t="s">
        <v>36</v>
      </c>
      <c r="M907" s="3" t="str">
        <f>CONCATENATE("PNZTRS46L61F839B")</f>
        <v>PNZTRS46L61F839B</v>
      </c>
      <c r="N907" s="3" t="s">
        <v>1027</v>
      </c>
      <c r="O907" s="3" t="s">
        <v>38</v>
      </c>
      <c r="P907" s="3"/>
      <c r="Q907" s="4">
        <v>45944</v>
      </c>
      <c r="R907" s="3" t="s">
        <v>39</v>
      </c>
      <c r="S907" s="3" t="s">
        <v>38</v>
      </c>
      <c r="T907" s="3" t="s">
        <v>40</v>
      </c>
      <c r="U907" s="3"/>
      <c r="V907" s="3" t="s">
        <v>41</v>
      </c>
      <c r="W907" s="5">
        <v>2879.97</v>
      </c>
      <c r="X907" s="5">
        <v>2159.98</v>
      </c>
      <c r="Y907" s="3">
        <v>503.99</v>
      </c>
      <c r="Z907" s="3">
        <v>216</v>
      </c>
      <c r="AA907" s="3">
        <v>0</v>
      </c>
    </row>
    <row r="908" spans="1:27" ht="60.75" x14ac:dyDescent="0.25">
      <c r="A908" s="3" t="s">
        <v>28</v>
      </c>
      <c r="B908" s="3" t="s">
        <v>29</v>
      </c>
      <c r="C908" s="3" t="s">
        <v>30</v>
      </c>
      <c r="D908" s="3" t="s">
        <v>49</v>
      </c>
      <c r="E908" s="3" t="s">
        <v>32</v>
      </c>
      <c r="F908" s="3" t="s">
        <v>69</v>
      </c>
      <c r="G908" s="3">
        <v>2025</v>
      </c>
      <c r="H908" s="3" t="str">
        <f>CONCATENATE("54240620598")</f>
        <v>54240620598</v>
      </c>
      <c r="I908" s="3" t="s">
        <v>34</v>
      </c>
      <c r="J908" s="3" t="s">
        <v>35</v>
      </c>
      <c r="K908" s="3"/>
      <c r="L908" s="3" t="s">
        <v>36</v>
      </c>
      <c r="M908" s="3" t="str">
        <f>CONCATENATE("PCCMRA52A10L366J")</f>
        <v>PCCMRA52A10L366J</v>
      </c>
      <c r="N908" s="3" t="s">
        <v>1028</v>
      </c>
      <c r="O908" s="3" t="s">
        <v>38</v>
      </c>
      <c r="P908" s="3"/>
      <c r="Q908" s="4">
        <v>45944</v>
      </c>
      <c r="R908" s="3" t="s">
        <v>39</v>
      </c>
      <c r="S908" s="3" t="s">
        <v>38</v>
      </c>
      <c r="T908" s="3" t="s">
        <v>40</v>
      </c>
      <c r="U908" s="3"/>
      <c r="V908" s="3" t="s">
        <v>41</v>
      </c>
      <c r="W908" s="5">
        <v>1324.05</v>
      </c>
      <c r="X908" s="3">
        <v>993.04</v>
      </c>
      <c r="Y908" s="3">
        <v>231.71</v>
      </c>
      <c r="Z908" s="3">
        <v>99.3</v>
      </c>
      <c r="AA908" s="3">
        <v>0</v>
      </c>
    </row>
    <row r="909" spans="1:27" ht="36.75" x14ac:dyDescent="0.25">
      <c r="A909" s="3" t="s">
        <v>28</v>
      </c>
      <c r="B909" s="3" t="s">
        <v>29</v>
      </c>
      <c r="C909" s="3" t="s">
        <v>30</v>
      </c>
      <c r="D909" s="3" t="s">
        <v>63</v>
      </c>
      <c r="E909" s="3" t="s">
        <v>145</v>
      </c>
      <c r="F909" s="3" t="s">
        <v>260</v>
      </c>
      <c r="G909" s="3">
        <v>2025</v>
      </c>
      <c r="H909" s="3" t="str">
        <f>CONCATENATE("54240623410")</f>
        <v>54240623410</v>
      </c>
      <c r="I909" s="3" t="s">
        <v>34</v>
      </c>
      <c r="J909" s="3" t="s">
        <v>35</v>
      </c>
      <c r="K909" s="3"/>
      <c r="L909" s="3" t="s">
        <v>36</v>
      </c>
      <c r="M909" s="3" t="str">
        <f>CONCATENATE("02568380444")</f>
        <v>02568380444</v>
      </c>
      <c r="N909" s="3" t="s">
        <v>1029</v>
      </c>
      <c r="O909" s="3" t="s">
        <v>38</v>
      </c>
      <c r="P909" s="3"/>
      <c r="Q909" s="4">
        <v>45944</v>
      </c>
      <c r="R909" s="3" t="s">
        <v>39</v>
      </c>
      <c r="S909" s="3" t="s">
        <v>38</v>
      </c>
      <c r="T909" s="3" t="s">
        <v>40</v>
      </c>
      <c r="U909" s="3"/>
      <c r="V909" s="3" t="s">
        <v>41</v>
      </c>
      <c r="W909" s="3">
        <v>686.94</v>
      </c>
      <c r="X909" s="3">
        <v>515.21</v>
      </c>
      <c r="Y909" s="3">
        <v>120.21</v>
      </c>
      <c r="Z909" s="3">
        <v>51.52</v>
      </c>
      <c r="AA909" s="3">
        <v>0</v>
      </c>
    </row>
    <row r="910" spans="1:27" ht="36.75" x14ac:dyDescent="0.25">
      <c r="A910" s="3" t="s">
        <v>28</v>
      </c>
      <c r="B910" s="3" t="s">
        <v>29</v>
      </c>
      <c r="C910" s="3" t="s">
        <v>30</v>
      </c>
      <c r="D910" s="3" t="s">
        <v>49</v>
      </c>
      <c r="E910" s="3" t="s">
        <v>32</v>
      </c>
      <c r="F910" s="3" t="s">
        <v>69</v>
      </c>
      <c r="G910" s="3">
        <v>2025</v>
      </c>
      <c r="H910" s="3" t="str">
        <f>CONCATENATE("54240591310")</f>
        <v>54240591310</v>
      </c>
      <c r="I910" s="3" t="s">
        <v>34</v>
      </c>
      <c r="J910" s="3" t="s">
        <v>35</v>
      </c>
      <c r="K910" s="3"/>
      <c r="L910" s="3" t="s">
        <v>36</v>
      </c>
      <c r="M910" s="3" t="str">
        <f>CONCATENATE("02070830431")</f>
        <v>02070830431</v>
      </c>
      <c r="N910" s="3" t="s">
        <v>1030</v>
      </c>
      <c r="O910" s="3" t="s">
        <v>38</v>
      </c>
      <c r="P910" s="3"/>
      <c r="Q910" s="4">
        <v>45944</v>
      </c>
      <c r="R910" s="3" t="s">
        <v>39</v>
      </c>
      <c r="S910" s="3" t="s">
        <v>38</v>
      </c>
      <c r="T910" s="3" t="s">
        <v>40</v>
      </c>
      <c r="U910" s="3"/>
      <c r="V910" s="3" t="s">
        <v>41</v>
      </c>
      <c r="W910" s="5">
        <v>8694.2900000000009</v>
      </c>
      <c r="X910" s="5">
        <v>6520.72</v>
      </c>
      <c r="Y910" s="5">
        <v>1521.5</v>
      </c>
      <c r="Z910" s="3">
        <v>652.07000000000005</v>
      </c>
      <c r="AA910" s="3">
        <v>0</v>
      </c>
    </row>
    <row r="911" spans="1:27" ht="36.75" x14ac:dyDescent="0.25">
      <c r="A911" s="3" t="s">
        <v>28</v>
      </c>
      <c r="B911" s="3" t="s">
        <v>29</v>
      </c>
      <c r="C911" s="3" t="s">
        <v>30</v>
      </c>
      <c r="D911" s="3" t="s">
        <v>58</v>
      </c>
      <c r="E911" s="3" t="s">
        <v>74</v>
      </c>
      <c r="F911" s="3" t="s">
        <v>84</v>
      </c>
      <c r="G911" s="3">
        <v>2025</v>
      </c>
      <c r="H911" s="3" t="str">
        <f>CONCATENATE("54240591278")</f>
        <v>54240591278</v>
      </c>
      <c r="I911" s="3" t="s">
        <v>34</v>
      </c>
      <c r="J911" s="3" t="s">
        <v>35</v>
      </c>
      <c r="K911" s="3"/>
      <c r="L911" s="3" t="s">
        <v>36</v>
      </c>
      <c r="M911" s="3" t="str">
        <f>CONCATENATE("02879030423")</f>
        <v>02879030423</v>
      </c>
      <c r="N911" s="3" t="s">
        <v>1031</v>
      </c>
      <c r="O911" s="3" t="s">
        <v>38</v>
      </c>
      <c r="P911" s="3"/>
      <c r="Q911" s="4">
        <v>45944</v>
      </c>
      <c r="R911" s="3" t="s">
        <v>39</v>
      </c>
      <c r="S911" s="3" t="s">
        <v>38</v>
      </c>
      <c r="T911" s="3" t="s">
        <v>40</v>
      </c>
      <c r="U911" s="3"/>
      <c r="V911" s="3" t="s">
        <v>41</v>
      </c>
      <c r="W911" s="5">
        <v>1348.49</v>
      </c>
      <c r="X911" s="5">
        <v>1011.37</v>
      </c>
      <c r="Y911" s="3">
        <v>235.99</v>
      </c>
      <c r="Z911" s="3">
        <v>101.13</v>
      </c>
      <c r="AA911" s="3">
        <v>0</v>
      </c>
    </row>
    <row r="912" spans="1:27" ht="36.75" x14ac:dyDescent="0.25">
      <c r="A912" s="3" t="s">
        <v>28</v>
      </c>
      <c r="B912" s="3" t="s">
        <v>29</v>
      </c>
      <c r="C912" s="3" t="s">
        <v>30</v>
      </c>
      <c r="D912" s="3" t="s">
        <v>58</v>
      </c>
      <c r="E912" s="3" t="s">
        <v>53</v>
      </c>
      <c r="F912" s="3" t="s">
        <v>59</v>
      </c>
      <c r="G912" s="3">
        <v>2025</v>
      </c>
      <c r="H912" s="3" t="str">
        <f>CONCATENATE("54240592086")</f>
        <v>54240592086</v>
      </c>
      <c r="I912" s="3" t="s">
        <v>34</v>
      </c>
      <c r="J912" s="3" t="s">
        <v>35</v>
      </c>
      <c r="K912" s="3"/>
      <c r="L912" s="3" t="s">
        <v>36</v>
      </c>
      <c r="M912" s="3" t="str">
        <f>CONCATENATE("02881660423")</f>
        <v>02881660423</v>
      </c>
      <c r="N912" s="3" t="s">
        <v>1032</v>
      </c>
      <c r="O912" s="3" t="s">
        <v>38</v>
      </c>
      <c r="P912" s="3"/>
      <c r="Q912" s="4">
        <v>45944</v>
      </c>
      <c r="R912" s="3" t="s">
        <v>39</v>
      </c>
      <c r="S912" s="3" t="s">
        <v>38</v>
      </c>
      <c r="T912" s="3" t="s">
        <v>40</v>
      </c>
      <c r="U912" s="3"/>
      <c r="V912" s="3" t="s">
        <v>41</v>
      </c>
      <c r="W912" s="5">
        <v>4281.5600000000004</v>
      </c>
      <c r="X912" s="5">
        <v>3211.17</v>
      </c>
      <c r="Y912" s="3">
        <v>749.27</v>
      </c>
      <c r="Z912" s="3">
        <v>321.12</v>
      </c>
      <c r="AA912" s="3">
        <v>0</v>
      </c>
    </row>
    <row r="913" spans="1:27" ht="60.75" x14ac:dyDescent="0.25">
      <c r="A913" s="3" t="s">
        <v>28</v>
      </c>
      <c r="B913" s="3" t="s">
        <v>29</v>
      </c>
      <c r="C913" s="3" t="s">
        <v>30</v>
      </c>
      <c r="D913" s="3" t="s">
        <v>58</v>
      </c>
      <c r="E913" s="3" t="s">
        <v>32</v>
      </c>
      <c r="F913" s="3" t="s">
        <v>471</v>
      </c>
      <c r="G913" s="3">
        <v>2025</v>
      </c>
      <c r="H913" s="3" t="str">
        <f>CONCATENATE("54240592771")</f>
        <v>54240592771</v>
      </c>
      <c r="I913" s="3" t="s">
        <v>34</v>
      </c>
      <c r="J913" s="3" t="s">
        <v>35</v>
      </c>
      <c r="K913" s="3"/>
      <c r="L913" s="3" t="s">
        <v>36</v>
      </c>
      <c r="M913" s="3" t="str">
        <f>CONCATENATE("NTNRNG47P23I461X")</f>
        <v>NTNRNG47P23I461X</v>
      </c>
      <c r="N913" s="3" t="s">
        <v>1033</v>
      </c>
      <c r="O913" s="3" t="s">
        <v>38</v>
      </c>
      <c r="P913" s="3"/>
      <c r="Q913" s="4">
        <v>45944</v>
      </c>
      <c r="R913" s="3" t="s">
        <v>39</v>
      </c>
      <c r="S913" s="3" t="s">
        <v>38</v>
      </c>
      <c r="T913" s="3" t="s">
        <v>40</v>
      </c>
      <c r="U913" s="3"/>
      <c r="V913" s="3" t="s">
        <v>41</v>
      </c>
      <c r="W913" s="5">
        <v>1532.23</v>
      </c>
      <c r="X913" s="5">
        <v>1149.17</v>
      </c>
      <c r="Y913" s="3">
        <v>268.14</v>
      </c>
      <c r="Z913" s="3">
        <v>114.92</v>
      </c>
      <c r="AA913" s="3">
        <v>0</v>
      </c>
    </row>
    <row r="914" spans="1:27" ht="60.75" x14ac:dyDescent="0.25">
      <c r="A914" s="3" t="s">
        <v>28</v>
      </c>
      <c r="B914" s="3" t="s">
        <v>29</v>
      </c>
      <c r="C914" s="3" t="s">
        <v>30</v>
      </c>
      <c r="D914" s="3" t="s">
        <v>58</v>
      </c>
      <c r="E914" s="3" t="s">
        <v>32</v>
      </c>
      <c r="F914" s="3" t="s">
        <v>471</v>
      </c>
      <c r="G914" s="3">
        <v>2025</v>
      </c>
      <c r="H914" s="3" t="str">
        <f>CONCATENATE("54240592789")</f>
        <v>54240592789</v>
      </c>
      <c r="I914" s="3" t="s">
        <v>34</v>
      </c>
      <c r="J914" s="3" t="s">
        <v>35</v>
      </c>
      <c r="K914" s="3"/>
      <c r="L914" s="3" t="s">
        <v>36</v>
      </c>
      <c r="M914" s="3" t="str">
        <f>CONCATENATE("BLDMTT01M27I608O")</f>
        <v>BLDMTT01M27I608O</v>
      </c>
      <c r="N914" s="3" t="s">
        <v>1034</v>
      </c>
      <c r="O914" s="3" t="s">
        <v>38</v>
      </c>
      <c r="P914" s="3"/>
      <c r="Q914" s="4">
        <v>45944</v>
      </c>
      <c r="R914" s="3" t="s">
        <v>39</v>
      </c>
      <c r="S914" s="3" t="s">
        <v>38</v>
      </c>
      <c r="T914" s="3" t="s">
        <v>40</v>
      </c>
      <c r="U914" s="3"/>
      <c r="V914" s="3" t="s">
        <v>41</v>
      </c>
      <c r="W914" s="5">
        <v>1825.97</v>
      </c>
      <c r="X914" s="5">
        <v>1369.48</v>
      </c>
      <c r="Y914" s="3">
        <v>319.54000000000002</v>
      </c>
      <c r="Z914" s="3">
        <v>136.94999999999999</v>
      </c>
      <c r="AA914" s="3">
        <v>0</v>
      </c>
    </row>
    <row r="915" spans="1:27" ht="60.75" x14ac:dyDescent="0.25">
      <c r="A915" s="3" t="s">
        <v>28</v>
      </c>
      <c r="B915" s="3" t="s">
        <v>29</v>
      </c>
      <c r="C915" s="3" t="s">
        <v>30</v>
      </c>
      <c r="D915" s="3" t="s">
        <v>58</v>
      </c>
      <c r="E915" s="3" t="s">
        <v>32</v>
      </c>
      <c r="F915" s="3" t="s">
        <v>471</v>
      </c>
      <c r="G915" s="3">
        <v>2025</v>
      </c>
      <c r="H915" s="3" t="str">
        <f>CONCATENATE("54240592797")</f>
        <v>54240592797</v>
      </c>
      <c r="I915" s="3" t="s">
        <v>34</v>
      </c>
      <c r="J915" s="3" t="s">
        <v>35</v>
      </c>
      <c r="K915" s="3"/>
      <c r="L915" s="3" t="s">
        <v>36</v>
      </c>
      <c r="M915" s="3" t="str">
        <f>CONCATENATE("BLLFRZ72D19I461U")</f>
        <v>BLLFRZ72D19I461U</v>
      </c>
      <c r="N915" s="3" t="s">
        <v>1035</v>
      </c>
      <c r="O915" s="3" t="s">
        <v>38</v>
      </c>
      <c r="P915" s="3"/>
      <c r="Q915" s="4">
        <v>45944</v>
      </c>
      <c r="R915" s="3" t="s">
        <v>39</v>
      </c>
      <c r="S915" s="3" t="s">
        <v>38</v>
      </c>
      <c r="T915" s="3" t="s">
        <v>40</v>
      </c>
      <c r="U915" s="3"/>
      <c r="V915" s="3" t="s">
        <v>41</v>
      </c>
      <c r="W915" s="5">
        <v>1120.58</v>
      </c>
      <c r="X915" s="3">
        <v>840.44</v>
      </c>
      <c r="Y915" s="3">
        <v>196.1</v>
      </c>
      <c r="Z915" s="3">
        <v>84.04</v>
      </c>
      <c r="AA915" s="3">
        <v>0</v>
      </c>
    </row>
    <row r="916" spans="1:27" ht="60.75" x14ac:dyDescent="0.25">
      <c r="A916" s="3" t="s">
        <v>28</v>
      </c>
      <c r="B916" s="3" t="s">
        <v>29</v>
      </c>
      <c r="C916" s="3" t="s">
        <v>30</v>
      </c>
      <c r="D916" s="3" t="s">
        <v>31</v>
      </c>
      <c r="E916" s="3" t="s">
        <v>32</v>
      </c>
      <c r="F916" s="3" t="s">
        <v>471</v>
      </c>
      <c r="G916" s="3">
        <v>2025</v>
      </c>
      <c r="H916" s="3" t="str">
        <f>CONCATENATE("54240592755")</f>
        <v>54240592755</v>
      </c>
      <c r="I916" s="3" t="s">
        <v>34</v>
      </c>
      <c r="J916" s="3" t="s">
        <v>35</v>
      </c>
      <c r="K916" s="3"/>
      <c r="L916" s="3" t="s">
        <v>36</v>
      </c>
      <c r="M916" s="3" t="str">
        <f>CONCATENATE("NTGGRL93C28D451Q")</f>
        <v>NTGGRL93C28D451Q</v>
      </c>
      <c r="N916" s="3" t="s">
        <v>1036</v>
      </c>
      <c r="O916" s="3" t="s">
        <v>38</v>
      </c>
      <c r="P916" s="3"/>
      <c r="Q916" s="4">
        <v>45944</v>
      </c>
      <c r="R916" s="3" t="s">
        <v>39</v>
      </c>
      <c r="S916" s="3" t="s">
        <v>38</v>
      </c>
      <c r="T916" s="3" t="s">
        <v>40</v>
      </c>
      <c r="U916" s="3"/>
      <c r="V916" s="3" t="s">
        <v>41</v>
      </c>
      <c r="W916" s="5">
        <v>5914.28</v>
      </c>
      <c r="X916" s="5">
        <v>4435.71</v>
      </c>
      <c r="Y916" s="5">
        <v>1035</v>
      </c>
      <c r="Z916" s="3">
        <v>443.57</v>
      </c>
      <c r="AA916" s="3">
        <v>0</v>
      </c>
    </row>
    <row r="917" spans="1:27" ht="60.75" x14ac:dyDescent="0.25">
      <c r="A917" s="3" t="s">
        <v>28</v>
      </c>
      <c r="B917" s="3" t="s">
        <v>29</v>
      </c>
      <c r="C917" s="3" t="s">
        <v>30</v>
      </c>
      <c r="D917" s="3" t="s">
        <v>58</v>
      </c>
      <c r="E917" s="3" t="s">
        <v>32</v>
      </c>
      <c r="F917" s="3" t="s">
        <v>471</v>
      </c>
      <c r="G917" s="3">
        <v>2025</v>
      </c>
      <c r="H917" s="3" t="str">
        <f>CONCATENATE("54240592912")</f>
        <v>54240592912</v>
      </c>
      <c r="I917" s="3" t="s">
        <v>34</v>
      </c>
      <c r="J917" s="3" t="s">
        <v>35</v>
      </c>
      <c r="K917" s="3"/>
      <c r="L917" s="3" t="s">
        <v>36</v>
      </c>
      <c r="M917" s="3" t="str">
        <f>CONCATENATE("DNNGNN62D18I461Q")</f>
        <v>DNNGNN62D18I461Q</v>
      </c>
      <c r="N917" s="3" t="s">
        <v>1037</v>
      </c>
      <c r="O917" s="3" t="s">
        <v>38</v>
      </c>
      <c r="P917" s="3"/>
      <c r="Q917" s="4">
        <v>45944</v>
      </c>
      <c r="R917" s="3" t="s">
        <v>39</v>
      </c>
      <c r="S917" s="3" t="s">
        <v>38</v>
      </c>
      <c r="T917" s="3" t="s">
        <v>40</v>
      </c>
      <c r="U917" s="3"/>
      <c r="V917" s="3" t="s">
        <v>41</v>
      </c>
      <c r="W917" s="5">
        <v>2490.7600000000002</v>
      </c>
      <c r="X917" s="5">
        <v>1868.07</v>
      </c>
      <c r="Y917" s="3">
        <v>435.88</v>
      </c>
      <c r="Z917" s="3">
        <v>186.81</v>
      </c>
      <c r="AA917" s="3">
        <v>0</v>
      </c>
    </row>
    <row r="918" spans="1:27" ht="60.75" x14ac:dyDescent="0.25">
      <c r="A918" s="3" t="s">
        <v>28</v>
      </c>
      <c r="B918" s="3" t="s">
        <v>29</v>
      </c>
      <c r="C918" s="3" t="s">
        <v>30</v>
      </c>
      <c r="D918" s="3" t="s">
        <v>49</v>
      </c>
      <c r="E918" s="3" t="s">
        <v>32</v>
      </c>
      <c r="F918" s="3" t="s">
        <v>78</v>
      </c>
      <c r="G918" s="3">
        <v>2025</v>
      </c>
      <c r="H918" s="3" t="str">
        <f>CONCATENATE("54240593985")</f>
        <v>54240593985</v>
      </c>
      <c r="I918" s="3" t="s">
        <v>34</v>
      </c>
      <c r="J918" s="3" t="s">
        <v>35</v>
      </c>
      <c r="K918" s="3"/>
      <c r="L918" s="3" t="s">
        <v>36</v>
      </c>
      <c r="M918" s="3" t="str">
        <f>CONCATENATE("BLZNNA73E65A794U")</f>
        <v>BLZNNA73E65A794U</v>
      </c>
      <c r="N918" s="3" t="s">
        <v>1038</v>
      </c>
      <c r="O918" s="3" t="s">
        <v>38</v>
      </c>
      <c r="P918" s="3"/>
      <c r="Q918" s="4">
        <v>45944</v>
      </c>
      <c r="R918" s="3" t="s">
        <v>39</v>
      </c>
      <c r="S918" s="3" t="s">
        <v>38</v>
      </c>
      <c r="T918" s="3" t="s">
        <v>40</v>
      </c>
      <c r="U918" s="3"/>
      <c r="V918" s="3" t="s">
        <v>41</v>
      </c>
      <c r="W918" s="5">
        <v>1537.1</v>
      </c>
      <c r="X918" s="5">
        <v>1152.83</v>
      </c>
      <c r="Y918" s="3">
        <v>268.99</v>
      </c>
      <c r="Z918" s="3">
        <v>115.28</v>
      </c>
      <c r="AA918" s="3">
        <v>0</v>
      </c>
    </row>
    <row r="919" spans="1:27" ht="60.75" x14ac:dyDescent="0.25">
      <c r="A919" s="3" t="s">
        <v>28</v>
      </c>
      <c r="B919" s="3" t="s">
        <v>29</v>
      </c>
      <c r="C919" s="3" t="s">
        <v>30</v>
      </c>
      <c r="D919" s="3" t="s">
        <v>49</v>
      </c>
      <c r="E919" s="3" t="s">
        <v>32</v>
      </c>
      <c r="F919" s="3" t="s">
        <v>78</v>
      </c>
      <c r="G919" s="3">
        <v>2025</v>
      </c>
      <c r="H919" s="3" t="str">
        <f>CONCATENATE("54240594017")</f>
        <v>54240594017</v>
      </c>
      <c r="I919" s="3" t="s">
        <v>34</v>
      </c>
      <c r="J919" s="3" t="s">
        <v>35</v>
      </c>
      <c r="K919" s="3"/>
      <c r="L919" s="3" t="s">
        <v>36</v>
      </c>
      <c r="M919" s="3" t="str">
        <f>CONCATENATE("CRSGLN81T22B474U")</f>
        <v>CRSGLN81T22B474U</v>
      </c>
      <c r="N919" s="3" t="s">
        <v>1039</v>
      </c>
      <c r="O919" s="3" t="s">
        <v>38</v>
      </c>
      <c r="P919" s="3"/>
      <c r="Q919" s="4">
        <v>45944</v>
      </c>
      <c r="R919" s="3" t="s">
        <v>39</v>
      </c>
      <c r="S919" s="3" t="s">
        <v>38</v>
      </c>
      <c r="T919" s="3" t="s">
        <v>40</v>
      </c>
      <c r="U919" s="3"/>
      <c r="V919" s="3" t="s">
        <v>41</v>
      </c>
      <c r="W919" s="5">
        <v>11039.95</v>
      </c>
      <c r="X919" s="5">
        <v>8279.9599999999991</v>
      </c>
      <c r="Y919" s="5">
        <v>1931.99</v>
      </c>
      <c r="Z919" s="3">
        <v>828</v>
      </c>
      <c r="AA919" s="3">
        <v>0</v>
      </c>
    </row>
    <row r="920" spans="1:27" ht="60.75" x14ac:dyDescent="0.25">
      <c r="A920" s="3" t="s">
        <v>28</v>
      </c>
      <c r="B920" s="3" t="s">
        <v>29</v>
      </c>
      <c r="C920" s="3" t="s">
        <v>30</v>
      </c>
      <c r="D920" s="3" t="s">
        <v>49</v>
      </c>
      <c r="E920" s="3" t="s">
        <v>32</v>
      </c>
      <c r="F920" s="3" t="s">
        <v>78</v>
      </c>
      <c r="G920" s="3">
        <v>2025</v>
      </c>
      <c r="H920" s="3" t="str">
        <f>CONCATENATE("54240594058")</f>
        <v>54240594058</v>
      </c>
      <c r="I920" s="3" t="s">
        <v>34</v>
      </c>
      <c r="J920" s="3" t="s">
        <v>35</v>
      </c>
      <c r="K920" s="3"/>
      <c r="L920" s="3" t="s">
        <v>36</v>
      </c>
      <c r="M920" s="3" t="str">
        <f>CONCATENATE("MNSGNN69T28B474L")</f>
        <v>MNSGNN69T28B474L</v>
      </c>
      <c r="N920" s="3" t="s">
        <v>1040</v>
      </c>
      <c r="O920" s="3" t="s">
        <v>38</v>
      </c>
      <c r="P920" s="3"/>
      <c r="Q920" s="4">
        <v>45944</v>
      </c>
      <c r="R920" s="3" t="s">
        <v>39</v>
      </c>
      <c r="S920" s="3" t="s">
        <v>38</v>
      </c>
      <c r="T920" s="3" t="s">
        <v>40</v>
      </c>
      <c r="U920" s="3"/>
      <c r="V920" s="3" t="s">
        <v>41</v>
      </c>
      <c r="W920" s="5">
        <v>11176.22</v>
      </c>
      <c r="X920" s="5">
        <v>8382.17</v>
      </c>
      <c r="Y920" s="5">
        <v>1955.84</v>
      </c>
      <c r="Z920" s="3">
        <v>838.21</v>
      </c>
      <c r="AA920" s="3">
        <v>0</v>
      </c>
    </row>
    <row r="921" spans="1:27" ht="60.75" x14ac:dyDescent="0.25">
      <c r="A921" s="3" t="s">
        <v>28</v>
      </c>
      <c r="B921" s="3" t="s">
        <v>29</v>
      </c>
      <c r="C921" s="3" t="s">
        <v>30</v>
      </c>
      <c r="D921" s="3" t="s">
        <v>49</v>
      </c>
      <c r="E921" s="3" t="s">
        <v>32</v>
      </c>
      <c r="F921" s="3" t="s">
        <v>78</v>
      </c>
      <c r="G921" s="3">
        <v>2025</v>
      </c>
      <c r="H921" s="3" t="str">
        <f>CONCATENATE("54240593936")</f>
        <v>54240593936</v>
      </c>
      <c r="I921" s="3" t="s">
        <v>34</v>
      </c>
      <c r="J921" s="3" t="s">
        <v>35</v>
      </c>
      <c r="K921" s="3"/>
      <c r="L921" s="3" t="s">
        <v>36</v>
      </c>
      <c r="M921" s="3" t="str">
        <f>CONCATENATE("BNDGRL80B04F051G")</f>
        <v>BNDGRL80B04F051G</v>
      </c>
      <c r="N921" s="3" t="s">
        <v>1041</v>
      </c>
      <c r="O921" s="3" t="s">
        <v>38</v>
      </c>
      <c r="P921" s="3"/>
      <c r="Q921" s="4">
        <v>45944</v>
      </c>
      <c r="R921" s="3" t="s">
        <v>39</v>
      </c>
      <c r="S921" s="3" t="s">
        <v>38</v>
      </c>
      <c r="T921" s="3" t="s">
        <v>40</v>
      </c>
      <c r="U921" s="3"/>
      <c r="V921" s="3" t="s">
        <v>41</v>
      </c>
      <c r="W921" s="5">
        <v>6281.25</v>
      </c>
      <c r="X921" s="5">
        <v>4710.9399999999996</v>
      </c>
      <c r="Y921" s="5">
        <v>1099.22</v>
      </c>
      <c r="Z921" s="3">
        <v>471.09</v>
      </c>
      <c r="AA921" s="3">
        <v>0</v>
      </c>
    </row>
    <row r="922" spans="1:27" ht="36.75" x14ac:dyDescent="0.25">
      <c r="A922" s="3" t="s">
        <v>28</v>
      </c>
      <c r="B922" s="3" t="s">
        <v>29</v>
      </c>
      <c r="C922" s="3" t="s">
        <v>30</v>
      </c>
      <c r="D922" s="3" t="s">
        <v>58</v>
      </c>
      <c r="E922" s="3" t="s">
        <v>32</v>
      </c>
      <c r="F922" s="3" t="s">
        <v>100</v>
      </c>
      <c r="G922" s="3">
        <v>2025</v>
      </c>
      <c r="H922" s="3" t="str">
        <f>CONCATENATE("54240594900")</f>
        <v>54240594900</v>
      </c>
      <c r="I922" s="3" t="s">
        <v>34</v>
      </c>
      <c r="J922" s="3" t="s">
        <v>35</v>
      </c>
      <c r="K922" s="3"/>
      <c r="L922" s="3" t="s">
        <v>36</v>
      </c>
      <c r="M922" s="3" t="str">
        <f>CONCATENATE("02886200423")</f>
        <v>02886200423</v>
      </c>
      <c r="N922" s="3" t="s">
        <v>1042</v>
      </c>
      <c r="O922" s="3" t="s">
        <v>38</v>
      </c>
      <c r="P922" s="3"/>
      <c r="Q922" s="4">
        <v>45944</v>
      </c>
      <c r="R922" s="3" t="s">
        <v>39</v>
      </c>
      <c r="S922" s="3" t="s">
        <v>38</v>
      </c>
      <c r="T922" s="3" t="s">
        <v>40</v>
      </c>
      <c r="U922" s="3"/>
      <c r="V922" s="3" t="s">
        <v>41</v>
      </c>
      <c r="W922" s="5">
        <v>2048.41</v>
      </c>
      <c r="X922" s="5">
        <v>1536.31</v>
      </c>
      <c r="Y922" s="3">
        <v>358.47</v>
      </c>
      <c r="Z922" s="3">
        <v>153.63</v>
      </c>
      <c r="AA922" s="3">
        <v>0</v>
      </c>
    </row>
    <row r="923" spans="1:27" ht="60.75" x14ac:dyDescent="0.25">
      <c r="A923" s="3" t="s">
        <v>28</v>
      </c>
      <c r="B923" s="3" t="s">
        <v>29</v>
      </c>
      <c r="C923" s="3" t="s">
        <v>30</v>
      </c>
      <c r="D923" s="3" t="s">
        <v>49</v>
      </c>
      <c r="E923" s="3" t="s">
        <v>32</v>
      </c>
      <c r="F923" s="3" t="s">
        <v>71</v>
      </c>
      <c r="G923" s="3">
        <v>2025</v>
      </c>
      <c r="H923" s="3" t="str">
        <f>CONCATENATE("54240596749")</f>
        <v>54240596749</v>
      </c>
      <c r="I923" s="3" t="s">
        <v>34</v>
      </c>
      <c r="J923" s="3" t="s">
        <v>35</v>
      </c>
      <c r="K923" s="3"/>
      <c r="L923" s="3" t="s">
        <v>36</v>
      </c>
      <c r="M923" s="3" t="str">
        <f>CONCATENATE("LAILRA86C60A252Q")</f>
        <v>LAILRA86C60A252Q</v>
      </c>
      <c r="N923" s="3" t="s">
        <v>1043</v>
      </c>
      <c r="O923" s="3" t="s">
        <v>38</v>
      </c>
      <c r="P923" s="3"/>
      <c r="Q923" s="4">
        <v>45944</v>
      </c>
      <c r="R923" s="3" t="s">
        <v>39</v>
      </c>
      <c r="S923" s="3" t="s">
        <v>38</v>
      </c>
      <c r="T923" s="3" t="s">
        <v>40</v>
      </c>
      <c r="U923" s="3"/>
      <c r="V923" s="3" t="s">
        <v>41</v>
      </c>
      <c r="W923" s="5">
        <v>1482.63</v>
      </c>
      <c r="X923" s="5">
        <v>1111.97</v>
      </c>
      <c r="Y923" s="3">
        <v>259.45999999999998</v>
      </c>
      <c r="Z923" s="3">
        <v>111.2</v>
      </c>
      <c r="AA923" s="3">
        <v>0</v>
      </c>
    </row>
    <row r="924" spans="1:27" ht="60.75" x14ac:dyDescent="0.25">
      <c r="A924" s="3" t="s">
        <v>28</v>
      </c>
      <c r="B924" s="3" t="s">
        <v>29</v>
      </c>
      <c r="C924" s="3" t="s">
        <v>30</v>
      </c>
      <c r="D924" s="3" t="s">
        <v>58</v>
      </c>
      <c r="E924" s="3" t="s">
        <v>32</v>
      </c>
      <c r="F924" s="3" t="s">
        <v>96</v>
      </c>
      <c r="G924" s="3">
        <v>2025</v>
      </c>
      <c r="H924" s="3" t="str">
        <f>CONCATENATE("54240620341")</f>
        <v>54240620341</v>
      </c>
      <c r="I924" s="3" t="s">
        <v>34</v>
      </c>
      <c r="J924" s="3" t="s">
        <v>35</v>
      </c>
      <c r="K924" s="3"/>
      <c r="L924" s="3" t="s">
        <v>36</v>
      </c>
      <c r="M924" s="3" t="str">
        <f>CONCATENATE("BCCMRA88E66D451X")</f>
        <v>BCCMRA88E66D451X</v>
      </c>
      <c r="N924" s="3" t="s">
        <v>1044</v>
      </c>
      <c r="O924" s="3" t="s">
        <v>38</v>
      </c>
      <c r="P924" s="3"/>
      <c r="Q924" s="4">
        <v>45944</v>
      </c>
      <c r="R924" s="3" t="s">
        <v>39</v>
      </c>
      <c r="S924" s="3" t="s">
        <v>38</v>
      </c>
      <c r="T924" s="3" t="s">
        <v>40</v>
      </c>
      <c r="U924" s="3"/>
      <c r="V924" s="3" t="s">
        <v>41</v>
      </c>
      <c r="W924" s="5">
        <v>20515.91</v>
      </c>
      <c r="X924" s="5">
        <v>15386.93</v>
      </c>
      <c r="Y924" s="5">
        <v>3590.28</v>
      </c>
      <c r="Z924" s="5">
        <v>1538.7</v>
      </c>
      <c r="AA924" s="3">
        <v>0</v>
      </c>
    </row>
    <row r="925" spans="1:27" ht="60.75" x14ac:dyDescent="0.25">
      <c r="A925" s="3" t="s">
        <v>28</v>
      </c>
      <c r="B925" s="3" t="s">
        <v>29</v>
      </c>
      <c r="C925" s="3" t="s">
        <v>30</v>
      </c>
      <c r="D925" s="3" t="s">
        <v>49</v>
      </c>
      <c r="E925" s="3" t="s">
        <v>32</v>
      </c>
      <c r="F925" s="3" t="s">
        <v>78</v>
      </c>
      <c r="G925" s="3">
        <v>2025</v>
      </c>
      <c r="H925" s="3" t="str">
        <f>CONCATENATE("54240595154")</f>
        <v>54240595154</v>
      </c>
      <c r="I925" s="3" t="s">
        <v>34</v>
      </c>
      <c r="J925" s="3" t="s">
        <v>35</v>
      </c>
      <c r="K925" s="3"/>
      <c r="L925" s="3" t="s">
        <v>36</v>
      </c>
      <c r="M925" s="3" t="str">
        <f>CONCATENATE("MNTNGL57C25F051F")</f>
        <v>MNTNGL57C25F051F</v>
      </c>
      <c r="N925" s="3" t="s">
        <v>1045</v>
      </c>
      <c r="O925" s="3" t="s">
        <v>38</v>
      </c>
      <c r="P925" s="3"/>
      <c r="Q925" s="4">
        <v>45944</v>
      </c>
      <c r="R925" s="3" t="s">
        <v>39</v>
      </c>
      <c r="S925" s="3" t="s">
        <v>38</v>
      </c>
      <c r="T925" s="3" t="s">
        <v>40</v>
      </c>
      <c r="U925" s="3"/>
      <c r="V925" s="3" t="s">
        <v>41</v>
      </c>
      <c r="W925" s="5">
        <v>4165.7700000000004</v>
      </c>
      <c r="X925" s="5">
        <v>3124.33</v>
      </c>
      <c r="Y925" s="3">
        <v>729.01</v>
      </c>
      <c r="Z925" s="3">
        <v>312.43</v>
      </c>
      <c r="AA925" s="3">
        <v>0</v>
      </c>
    </row>
    <row r="926" spans="1:27" ht="60.75" x14ac:dyDescent="0.25">
      <c r="A926" s="3" t="s">
        <v>28</v>
      </c>
      <c r="B926" s="3" t="s">
        <v>29</v>
      </c>
      <c r="C926" s="3" t="s">
        <v>30</v>
      </c>
      <c r="D926" s="3" t="s">
        <v>49</v>
      </c>
      <c r="E926" s="3" t="s">
        <v>32</v>
      </c>
      <c r="F926" s="3" t="s">
        <v>78</v>
      </c>
      <c r="G926" s="3">
        <v>2025</v>
      </c>
      <c r="H926" s="3" t="str">
        <f>CONCATENATE("54240595196")</f>
        <v>54240595196</v>
      </c>
      <c r="I926" s="3" t="s">
        <v>34</v>
      </c>
      <c r="J926" s="3" t="s">
        <v>35</v>
      </c>
      <c r="K926" s="3"/>
      <c r="L926" s="3" t="s">
        <v>36</v>
      </c>
      <c r="M926" s="3" t="str">
        <f>CONCATENATE("CRFGNI44C44A739L")</f>
        <v>CRFGNI44C44A739L</v>
      </c>
      <c r="N926" s="3" t="s">
        <v>1046</v>
      </c>
      <c r="O926" s="3" t="s">
        <v>38</v>
      </c>
      <c r="P926" s="3"/>
      <c r="Q926" s="4">
        <v>45944</v>
      </c>
      <c r="R926" s="3" t="s">
        <v>39</v>
      </c>
      <c r="S926" s="3" t="s">
        <v>38</v>
      </c>
      <c r="T926" s="3" t="s">
        <v>40</v>
      </c>
      <c r="U926" s="3"/>
      <c r="V926" s="3" t="s">
        <v>41</v>
      </c>
      <c r="W926" s="5">
        <v>5249.26</v>
      </c>
      <c r="X926" s="5">
        <v>3936.95</v>
      </c>
      <c r="Y926" s="3">
        <v>918.62</v>
      </c>
      <c r="Z926" s="3">
        <v>393.69</v>
      </c>
      <c r="AA926" s="3">
        <v>0</v>
      </c>
    </row>
    <row r="927" spans="1:27" ht="60.75" x14ac:dyDescent="0.25">
      <c r="A927" s="3" t="s">
        <v>28</v>
      </c>
      <c r="B927" s="3" t="s">
        <v>29</v>
      </c>
      <c r="C927" s="3" t="s">
        <v>30</v>
      </c>
      <c r="D927" s="3" t="s">
        <v>49</v>
      </c>
      <c r="E927" s="3" t="s">
        <v>32</v>
      </c>
      <c r="F927" s="3" t="s">
        <v>71</v>
      </c>
      <c r="G927" s="3">
        <v>2025</v>
      </c>
      <c r="H927" s="3" t="str">
        <f>CONCATENATE("54240596343")</f>
        <v>54240596343</v>
      </c>
      <c r="I927" s="3" t="s">
        <v>34</v>
      </c>
      <c r="J927" s="3" t="s">
        <v>35</v>
      </c>
      <c r="K927" s="3"/>
      <c r="L927" s="3" t="s">
        <v>36</v>
      </c>
      <c r="M927" s="3" t="str">
        <f>CONCATENATE("BCCMRT42A21A252X")</f>
        <v>BCCMRT42A21A252X</v>
      </c>
      <c r="N927" s="3" t="s">
        <v>1047</v>
      </c>
      <c r="O927" s="3" t="s">
        <v>38</v>
      </c>
      <c r="P927" s="3"/>
      <c r="Q927" s="4">
        <v>45944</v>
      </c>
      <c r="R927" s="3" t="s">
        <v>39</v>
      </c>
      <c r="S927" s="3" t="s">
        <v>38</v>
      </c>
      <c r="T927" s="3" t="s">
        <v>40</v>
      </c>
      <c r="U927" s="3"/>
      <c r="V927" s="3" t="s">
        <v>41</v>
      </c>
      <c r="W927" s="5">
        <v>6925.22</v>
      </c>
      <c r="X927" s="5">
        <v>5193.92</v>
      </c>
      <c r="Y927" s="5">
        <v>1211.9100000000001</v>
      </c>
      <c r="Z927" s="3">
        <v>519.39</v>
      </c>
      <c r="AA927" s="3">
        <v>0</v>
      </c>
    </row>
    <row r="928" spans="1:27" ht="60.75" x14ac:dyDescent="0.25">
      <c r="A928" s="3" t="s">
        <v>28</v>
      </c>
      <c r="B928" s="3" t="s">
        <v>29</v>
      </c>
      <c r="C928" s="3" t="s">
        <v>30</v>
      </c>
      <c r="D928" s="3" t="s">
        <v>49</v>
      </c>
      <c r="E928" s="3" t="s">
        <v>32</v>
      </c>
      <c r="F928" s="3" t="s">
        <v>71</v>
      </c>
      <c r="G928" s="3">
        <v>2025</v>
      </c>
      <c r="H928" s="3" t="str">
        <f>CONCATENATE("54240596822")</f>
        <v>54240596822</v>
      </c>
      <c r="I928" s="3" t="s">
        <v>34</v>
      </c>
      <c r="J928" s="3" t="s">
        <v>35</v>
      </c>
      <c r="K928" s="3"/>
      <c r="L928" s="3" t="s">
        <v>36</v>
      </c>
      <c r="M928" s="3" t="str">
        <f>CONCATENATE("LMBPLA00S18E783A")</f>
        <v>LMBPLA00S18E783A</v>
      </c>
      <c r="N928" s="3" t="s">
        <v>1048</v>
      </c>
      <c r="O928" s="3" t="s">
        <v>38</v>
      </c>
      <c r="P928" s="3"/>
      <c r="Q928" s="4">
        <v>45944</v>
      </c>
      <c r="R928" s="3" t="s">
        <v>39</v>
      </c>
      <c r="S928" s="3" t="s">
        <v>38</v>
      </c>
      <c r="T928" s="3" t="s">
        <v>40</v>
      </c>
      <c r="U928" s="3"/>
      <c r="V928" s="3" t="s">
        <v>41</v>
      </c>
      <c r="W928" s="5">
        <v>6303.68</v>
      </c>
      <c r="X928" s="5">
        <v>4727.76</v>
      </c>
      <c r="Y928" s="5">
        <v>1103.1400000000001</v>
      </c>
      <c r="Z928" s="3">
        <v>472.78</v>
      </c>
      <c r="AA928" s="3">
        <v>0</v>
      </c>
    </row>
    <row r="929" spans="1:27" ht="36.75" x14ac:dyDescent="0.25">
      <c r="A929" s="3" t="s">
        <v>28</v>
      </c>
      <c r="B929" s="3" t="s">
        <v>29</v>
      </c>
      <c r="C929" s="3" t="s">
        <v>30</v>
      </c>
      <c r="D929" s="3" t="s">
        <v>49</v>
      </c>
      <c r="E929" s="3" t="s">
        <v>32</v>
      </c>
      <c r="F929" s="3" t="s">
        <v>71</v>
      </c>
      <c r="G929" s="3">
        <v>2025</v>
      </c>
      <c r="H929" s="3" t="str">
        <f>CONCATENATE("54240652757")</f>
        <v>54240652757</v>
      </c>
      <c r="I929" s="3" t="s">
        <v>34</v>
      </c>
      <c r="J929" s="3" t="s">
        <v>35</v>
      </c>
      <c r="K929" s="3"/>
      <c r="L929" s="3" t="s">
        <v>36</v>
      </c>
      <c r="M929" s="3" t="str">
        <f>CONCATENATE("02070480435")</f>
        <v>02070480435</v>
      </c>
      <c r="N929" s="3" t="s">
        <v>1049</v>
      </c>
      <c r="O929" s="3" t="s">
        <v>38</v>
      </c>
      <c r="P929" s="3"/>
      <c r="Q929" s="4">
        <v>45944</v>
      </c>
      <c r="R929" s="3" t="s">
        <v>39</v>
      </c>
      <c r="S929" s="3" t="s">
        <v>38</v>
      </c>
      <c r="T929" s="3" t="s">
        <v>40</v>
      </c>
      <c r="U929" s="3"/>
      <c r="V929" s="3" t="s">
        <v>41</v>
      </c>
      <c r="W929" s="5">
        <v>10490.17</v>
      </c>
      <c r="X929" s="5">
        <v>7867.63</v>
      </c>
      <c r="Y929" s="5">
        <v>1835.78</v>
      </c>
      <c r="Z929" s="3">
        <v>786.76</v>
      </c>
      <c r="AA929" s="3">
        <v>0</v>
      </c>
    </row>
    <row r="930" spans="1:27" ht="60.75" x14ac:dyDescent="0.25">
      <c r="A930" s="3" t="s">
        <v>28</v>
      </c>
      <c r="B930" s="3" t="s">
        <v>29</v>
      </c>
      <c r="C930" s="3" t="s">
        <v>30</v>
      </c>
      <c r="D930" s="3" t="s">
        <v>63</v>
      </c>
      <c r="E930" s="3" t="s">
        <v>64</v>
      </c>
      <c r="F930" s="3" t="s">
        <v>65</v>
      </c>
      <c r="G930" s="3">
        <v>2025</v>
      </c>
      <c r="H930" s="3" t="str">
        <f>CONCATENATE("54240596947")</f>
        <v>54240596947</v>
      </c>
      <c r="I930" s="3" t="s">
        <v>34</v>
      </c>
      <c r="J930" s="3" t="s">
        <v>35</v>
      </c>
      <c r="K930" s="3"/>
      <c r="L930" s="3" t="s">
        <v>36</v>
      </c>
      <c r="M930" s="3" t="str">
        <f>CONCATENATE("DFLCLD83L07H769P")</f>
        <v>DFLCLD83L07H769P</v>
      </c>
      <c r="N930" s="3" t="s">
        <v>1050</v>
      </c>
      <c r="O930" s="3" t="s">
        <v>38</v>
      </c>
      <c r="P930" s="3"/>
      <c r="Q930" s="4">
        <v>45944</v>
      </c>
      <c r="R930" s="3" t="s">
        <v>39</v>
      </c>
      <c r="S930" s="3" t="s">
        <v>38</v>
      </c>
      <c r="T930" s="3" t="s">
        <v>40</v>
      </c>
      <c r="U930" s="3"/>
      <c r="V930" s="3" t="s">
        <v>41</v>
      </c>
      <c r="W930" s="5">
        <v>3432.09</v>
      </c>
      <c r="X930" s="5">
        <v>2574.0700000000002</v>
      </c>
      <c r="Y930" s="3">
        <v>600.62</v>
      </c>
      <c r="Z930" s="3">
        <v>257.39999999999998</v>
      </c>
      <c r="AA930" s="3">
        <v>0</v>
      </c>
    </row>
    <row r="931" spans="1:27" ht="60.75" x14ac:dyDescent="0.25">
      <c r="A931" s="3" t="s">
        <v>28</v>
      </c>
      <c r="B931" s="3" t="s">
        <v>29</v>
      </c>
      <c r="C931" s="3" t="s">
        <v>30</v>
      </c>
      <c r="D931" s="3" t="s">
        <v>49</v>
      </c>
      <c r="E931" s="3" t="s">
        <v>32</v>
      </c>
      <c r="F931" s="3" t="s">
        <v>71</v>
      </c>
      <c r="G931" s="3">
        <v>2025</v>
      </c>
      <c r="H931" s="3" t="str">
        <f>CONCATENATE("54240597150")</f>
        <v>54240597150</v>
      </c>
      <c r="I931" s="3" t="s">
        <v>34</v>
      </c>
      <c r="J931" s="3" t="s">
        <v>35</v>
      </c>
      <c r="K931" s="3"/>
      <c r="L931" s="3" t="s">
        <v>36</v>
      </c>
      <c r="M931" s="3" t="str">
        <f>CONCATENATE("MRTSFN69L58D542O")</f>
        <v>MRTSFN69L58D542O</v>
      </c>
      <c r="N931" s="3" t="s">
        <v>1051</v>
      </c>
      <c r="O931" s="3" t="s">
        <v>38</v>
      </c>
      <c r="P931" s="3"/>
      <c r="Q931" s="4">
        <v>45944</v>
      </c>
      <c r="R931" s="3" t="s">
        <v>39</v>
      </c>
      <c r="S931" s="3" t="s">
        <v>38</v>
      </c>
      <c r="T931" s="3" t="s">
        <v>40</v>
      </c>
      <c r="U931" s="3"/>
      <c r="V931" s="3" t="s">
        <v>41</v>
      </c>
      <c r="W931" s="5">
        <v>4873.1099999999997</v>
      </c>
      <c r="X931" s="5">
        <v>3654.83</v>
      </c>
      <c r="Y931" s="3">
        <v>852.79</v>
      </c>
      <c r="Z931" s="3">
        <v>365.49</v>
      </c>
      <c r="AA931" s="3">
        <v>0</v>
      </c>
    </row>
    <row r="932" spans="1:27" ht="60.75" x14ac:dyDescent="0.25">
      <c r="A932" s="3" t="s">
        <v>28</v>
      </c>
      <c r="B932" s="3" t="s">
        <v>29</v>
      </c>
      <c r="C932" s="3" t="s">
        <v>30</v>
      </c>
      <c r="D932" s="3" t="s">
        <v>63</v>
      </c>
      <c r="E932" s="3" t="s">
        <v>53</v>
      </c>
      <c r="F932" s="3" t="s">
        <v>180</v>
      </c>
      <c r="G932" s="3">
        <v>2025</v>
      </c>
      <c r="H932" s="3" t="str">
        <f>CONCATENATE("54240597911")</f>
        <v>54240597911</v>
      </c>
      <c r="I932" s="3" t="s">
        <v>34</v>
      </c>
      <c r="J932" s="3" t="s">
        <v>35</v>
      </c>
      <c r="K932" s="3"/>
      <c r="L932" s="3" t="s">
        <v>36</v>
      </c>
      <c r="M932" s="3" t="str">
        <f>CONCATENATE("TRNVNT87P68A462D")</f>
        <v>TRNVNT87P68A462D</v>
      </c>
      <c r="N932" s="3" t="s">
        <v>1052</v>
      </c>
      <c r="O932" s="3" t="s">
        <v>38</v>
      </c>
      <c r="P932" s="3"/>
      <c r="Q932" s="4">
        <v>45944</v>
      </c>
      <c r="R932" s="3" t="s">
        <v>39</v>
      </c>
      <c r="S932" s="3" t="s">
        <v>38</v>
      </c>
      <c r="T932" s="3" t="s">
        <v>40</v>
      </c>
      <c r="U932" s="3"/>
      <c r="V932" s="3" t="s">
        <v>41</v>
      </c>
      <c r="W932" s="5">
        <v>9090.26</v>
      </c>
      <c r="X932" s="5">
        <v>6817.7</v>
      </c>
      <c r="Y932" s="5">
        <v>1590.8</v>
      </c>
      <c r="Z932" s="3">
        <v>681.76</v>
      </c>
      <c r="AA932" s="3">
        <v>0</v>
      </c>
    </row>
    <row r="933" spans="1:27" ht="60.75" x14ac:dyDescent="0.25">
      <c r="A933" s="3" t="s">
        <v>28</v>
      </c>
      <c r="B933" s="3" t="s">
        <v>29</v>
      </c>
      <c r="C933" s="3" t="s">
        <v>30</v>
      </c>
      <c r="D933" s="3" t="s">
        <v>31</v>
      </c>
      <c r="E933" s="3" t="s">
        <v>53</v>
      </c>
      <c r="F933" s="3" t="s">
        <v>172</v>
      </c>
      <c r="G933" s="3">
        <v>2025</v>
      </c>
      <c r="H933" s="3" t="str">
        <f>CONCATENATE("54240597812")</f>
        <v>54240597812</v>
      </c>
      <c r="I933" s="3" t="s">
        <v>34</v>
      </c>
      <c r="J933" s="3" t="s">
        <v>35</v>
      </c>
      <c r="K933" s="3"/>
      <c r="L933" s="3" t="s">
        <v>36</v>
      </c>
      <c r="M933" s="3" t="str">
        <f>CONCATENATE("MEICST90C07L500M")</f>
        <v>MEICST90C07L500M</v>
      </c>
      <c r="N933" s="3" t="s">
        <v>1053</v>
      </c>
      <c r="O933" s="3" t="s">
        <v>38</v>
      </c>
      <c r="P933" s="3"/>
      <c r="Q933" s="4">
        <v>45944</v>
      </c>
      <c r="R933" s="3" t="s">
        <v>39</v>
      </c>
      <c r="S933" s="3" t="s">
        <v>38</v>
      </c>
      <c r="T933" s="3" t="s">
        <v>40</v>
      </c>
      <c r="U933" s="3"/>
      <c r="V933" s="3" t="s">
        <v>41</v>
      </c>
      <c r="W933" s="5">
        <v>2227.66</v>
      </c>
      <c r="X933" s="5">
        <v>1670.75</v>
      </c>
      <c r="Y933" s="3">
        <v>389.84</v>
      </c>
      <c r="Z933" s="3">
        <v>167.07</v>
      </c>
      <c r="AA933" s="3">
        <v>0</v>
      </c>
    </row>
    <row r="934" spans="1:27" ht="36.75" x14ac:dyDescent="0.25">
      <c r="A934" s="3" t="s">
        <v>28</v>
      </c>
      <c r="B934" s="3" t="s">
        <v>29</v>
      </c>
      <c r="C934" s="3" t="s">
        <v>30</v>
      </c>
      <c r="D934" s="3" t="s">
        <v>31</v>
      </c>
      <c r="E934" s="3" t="s">
        <v>32</v>
      </c>
      <c r="F934" s="3" t="s">
        <v>153</v>
      </c>
      <c r="G934" s="3">
        <v>2025</v>
      </c>
      <c r="H934" s="3" t="str">
        <f>CONCATENATE("54240598059")</f>
        <v>54240598059</v>
      </c>
      <c r="I934" s="3" t="s">
        <v>34</v>
      </c>
      <c r="J934" s="3" t="s">
        <v>35</v>
      </c>
      <c r="K934" s="3"/>
      <c r="L934" s="3" t="s">
        <v>36</v>
      </c>
      <c r="M934" s="3" t="str">
        <f>CONCATENATE("02842700417")</f>
        <v>02842700417</v>
      </c>
      <c r="N934" s="3" t="s">
        <v>1054</v>
      </c>
      <c r="O934" s="3" t="s">
        <v>38</v>
      </c>
      <c r="P934" s="3"/>
      <c r="Q934" s="4">
        <v>45944</v>
      </c>
      <c r="R934" s="3" t="s">
        <v>39</v>
      </c>
      <c r="S934" s="3" t="s">
        <v>38</v>
      </c>
      <c r="T934" s="3" t="s">
        <v>40</v>
      </c>
      <c r="U934" s="3"/>
      <c r="V934" s="3" t="s">
        <v>41</v>
      </c>
      <c r="W934" s="3">
        <v>580.66999999999996</v>
      </c>
      <c r="X934" s="3">
        <v>435.5</v>
      </c>
      <c r="Y934" s="3">
        <v>101.62</v>
      </c>
      <c r="Z934" s="3">
        <v>43.55</v>
      </c>
      <c r="AA934" s="3">
        <v>0</v>
      </c>
    </row>
    <row r="935" spans="1:27" ht="60.75" x14ac:dyDescent="0.25">
      <c r="A935" s="3" t="s">
        <v>28</v>
      </c>
      <c r="B935" s="3" t="s">
        <v>29</v>
      </c>
      <c r="C935" s="3" t="s">
        <v>30</v>
      </c>
      <c r="D935" s="3" t="s">
        <v>49</v>
      </c>
      <c r="E935" s="3" t="s">
        <v>91</v>
      </c>
      <c r="F935" s="3" t="s">
        <v>92</v>
      </c>
      <c r="G935" s="3">
        <v>2025</v>
      </c>
      <c r="H935" s="3" t="str">
        <f>CONCATENATE("54240598547")</f>
        <v>54240598547</v>
      </c>
      <c r="I935" s="3" t="s">
        <v>34</v>
      </c>
      <c r="J935" s="3" t="s">
        <v>35</v>
      </c>
      <c r="K935" s="3"/>
      <c r="L935" s="3" t="s">
        <v>36</v>
      </c>
      <c r="M935" s="3" t="str">
        <f>CONCATENATE("BCCGLC82E31L366N")</f>
        <v>BCCGLC82E31L366N</v>
      </c>
      <c r="N935" s="3" t="s">
        <v>1055</v>
      </c>
      <c r="O935" s="3" t="s">
        <v>38</v>
      </c>
      <c r="P935" s="3"/>
      <c r="Q935" s="4">
        <v>45944</v>
      </c>
      <c r="R935" s="3" t="s">
        <v>39</v>
      </c>
      <c r="S935" s="3" t="s">
        <v>38</v>
      </c>
      <c r="T935" s="3" t="s">
        <v>40</v>
      </c>
      <c r="U935" s="3"/>
      <c r="V935" s="3" t="s">
        <v>41</v>
      </c>
      <c r="W935" s="3">
        <v>998.88</v>
      </c>
      <c r="X935" s="3">
        <v>749.16</v>
      </c>
      <c r="Y935" s="3">
        <v>174.8</v>
      </c>
      <c r="Z935" s="3">
        <v>74.92</v>
      </c>
      <c r="AA935" s="3">
        <v>0</v>
      </c>
    </row>
    <row r="936" spans="1:27" ht="36.75" x14ac:dyDescent="0.25">
      <c r="A936" s="3" t="s">
        <v>28</v>
      </c>
      <c r="B936" s="3" t="s">
        <v>29</v>
      </c>
      <c r="C936" s="3" t="s">
        <v>30</v>
      </c>
      <c r="D936" s="3" t="s">
        <v>49</v>
      </c>
      <c r="E936" s="3" t="s">
        <v>91</v>
      </c>
      <c r="F936" s="3" t="s">
        <v>92</v>
      </c>
      <c r="G936" s="3">
        <v>2025</v>
      </c>
      <c r="H936" s="3" t="str">
        <f>CONCATENATE("54240599149")</f>
        <v>54240599149</v>
      </c>
      <c r="I936" s="3" t="s">
        <v>34</v>
      </c>
      <c r="J936" s="3" t="s">
        <v>35</v>
      </c>
      <c r="K936" s="3"/>
      <c r="L936" s="3" t="s">
        <v>36</v>
      </c>
      <c r="M936" s="3" t="str">
        <f>CONCATENATE("02078280431")</f>
        <v>02078280431</v>
      </c>
      <c r="N936" s="3" t="s">
        <v>1056</v>
      </c>
      <c r="O936" s="3" t="s">
        <v>38</v>
      </c>
      <c r="P936" s="3"/>
      <c r="Q936" s="4">
        <v>45944</v>
      </c>
      <c r="R936" s="3" t="s">
        <v>39</v>
      </c>
      <c r="S936" s="3" t="s">
        <v>38</v>
      </c>
      <c r="T936" s="3" t="s">
        <v>40</v>
      </c>
      <c r="U936" s="3"/>
      <c r="V936" s="3" t="s">
        <v>41</v>
      </c>
      <c r="W936" s="5">
        <v>4035.5</v>
      </c>
      <c r="X936" s="5">
        <v>3026.63</v>
      </c>
      <c r="Y936" s="3">
        <v>706.21</v>
      </c>
      <c r="Z936" s="3">
        <v>302.66000000000003</v>
      </c>
      <c r="AA936" s="3">
        <v>0</v>
      </c>
    </row>
    <row r="937" spans="1:27" ht="60.75" x14ac:dyDescent="0.25">
      <c r="A937" s="3" t="s">
        <v>28</v>
      </c>
      <c r="B937" s="3" t="s">
        <v>29</v>
      </c>
      <c r="C937" s="3" t="s">
        <v>30</v>
      </c>
      <c r="D937" s="3" t="s">
        <v>31</v>
      </c>
      <c r="E937" s="3" t="s">
        <v>53</v>
      </c>
      <c r="F937" s="3" t="s">
        <v>172</v>
      </c>
      <c r="G937" s="3">
        <v>2025</v>
      </c>
      <c r="H937" s="3" t="str">
        <f>CONCATENATE("54240599164")</f>
        <v>54240599164</v>
      </c>
      <c r="I937" s="3" t="s">
        <v>34</v>
      </c>
      <c r="J937" s="3" t="s">
        <v>35</v>
      </c>
      <c r="K937" s="3"/>
      <c r="L937" s="3" t="s">
        <v>36</v>
      </c>
      <c r="M937" s="3" t="str">
        <f>CONCATENATE("PRDTNZ63L23D749L")</f>
        <v>PRDTNZ63L23D749L</v>
      </c>
      <c r="N937" s="3" t="s">
        <v>1057</v>
      </c>
      <c r="O937" s="3" t="s">
        <v>38</v>
      </c>
      <c r="P937" s="3"/>
      <c r="Q937" s="4">
        <v>45944</v>
      </c>
      <c r="R937" s="3" t="s">
        <v>39</v>
      </c>
      <c r="S937" s="3" t="s">
        <v>38</v>
      </c>
      <c r="T937" s="3" t="s">
        <v>40</v>
      </c>
      <c r="U937" s="3"/>
      <c r="V937" s="3" t="s">
        <v>41</v>
      </c>
      <c r="W937" s="5">
        <v>6013.06</v>
      </c>
      <c r="X937" s="5">
        <v>4509.8</v>
      </c>
      <c r="Y937" s="5">
        <v>1052.29</v>
      </c>
      <c r="Z937" s="3">
        <v>450.97</v>
      </c>
      <c r="AA937" s="3">
        <v>0</v>
      </c>
    </row>
    <row r="938" spans="1:27" ht="60.75" x14ac:dyDescent="0.25">
      <c r="A938" s="3" t="s">
        <v>28</v>
      </c>
      <c r="B938" s="3" t="s">
        <v>29</v>
      </c>
      <c r="C938" s="3" t="s">
        <v>30</v>
      </c>
      <c r="D938" s="3" t="s">
        <v>49</v>
      </c>
      <c r="E938" s="3" t="s">
        <v>32</v>
      </c>
      <c r="F938" s="3" t="s">
        <v>78</v>
      </c>
      <c r="G938" s="3">
        <v>2025</v>
      </c>
      <c r="H938" s="3" t="str">
        <f>CONCATENATE("54240661501")</f>
        <v>54240661501</v>
      </c>
      <c r="I938" s="3" t="s">
        <v>34</v>
      </c>
      <c r="J938" s="3" t="s">
        <v>35</v>
      </c>
      <c r="K938" s="3"/>
      <c r="L938" s="3" t="s">
        <v>36</v>
      </c>
      <c r="M938" s="3" t="str">
        <f>CONCATENATE("SLVMNL92S18I156D")</f>
        <v>SLVMNL92S18I156D</v>
      </c>
      <c r="N938" s="3" t="s">
        <v>1058</v>
      </c>
      <c r="O938" s="3" t="s">
        <v>38</v>
      </c>
      <c r="P938" s="3"/>
      <c r="Q938" s="4">
        <v>45944</v>
      </c>
      <c r="R938" s="3" t="s">
        <v>39</v>
      </c>
      <c r="S938" s="3" t="s">
        <v>38</v>
      </c>
      <c r="T938" s="3" t="s">
        <v>40</v>
      </c>
      <c r="U938" s="3"/>
      <c r="V938" s="3" t="s">
        <v>41</v>
      </c>
      <c r="W938" s="5">
        <v>7143.62</v>
      </c>
      <c r="X938" s="5">
        <v>5357.72</v>
      </c>
      <c r="Y938" s="5">
        <v>1250.1300000000001</v>
      </c>
      <c r="Z938" s="3">
        <v>535.77</v>
      </c>
      <c r="AA938" s="3">
        <v>0</v>
      </c>
    </row>
    <row r="939" spans="1:27" ht="36.75" x14ac:dyDescent="0.25">
      <c r="A939" s="3" t="s">
        <v>28</v>
      </c>
      <c r="B939" s="3" t="s">
        <v>29</v>
      </c>
      <c r="C939" s="3" t="s">
        <v>30</v>
      </c>
      <c r="D939" s="3" t="s">
        <v>49</v>
      </c>
      <c r="E939" s="3" t="s">
        <v>91</v>
      </c>
      <c r="F939" s="3" t="s">
        <v>92</v>
      </c>
      <c r="G939" s="3">
        <v>2025</v>
      </c>
      <c r="H939" s="3" t="str">
        <f>CONCATENATE("54240600558")</f>
        <v>54240600558</v>
      </c>
      <c r="I939" s="3" t="s">
        <v>34</v>
      </c>
      <c r="J939" s="3" t="s">
        <v>35</v>
      </c>
      <c r="K939" s="3"/>
      <c r="L939" s="3" t="s">
        <v>36</v>
      </c>
      <c r="M939" s="3" t="str">
        <f>CONCATENATE("01734920430")</f>
        <v>01734920430</v>
      </c>
      <c r="N939" s="3" t="s">
        <v>1059</v>
      </c>
      <c r="O939" s="3" t="s">
        <v>38</v>
      </c>
      <c r="P939" s="3"/>
      <c r="Q939" s="4">
        <v>45944</v>
      </c>
      <c r="R939" s="3" t="s">
        <v>39</v>
      </c>
      <c r="S939" s="3" t="s">
        <v>38</v>
      </c>
      <c r="T939" s="3" t="s">
        <v>40</v>
      </c>
      <c r="U939" s="3"/>
      <c r="V939" s="3" t="s">
        <v>41</v>
      </c>
      <c r="W939" s="5">
        <v>1175.5</v>
      </c>
      <c r="X939" s="3">
        <v>881.63</v>
      </c>
      <c r="Y939" s="3">
        <v>205.71</v>
      </c>
      <c r="Z939" s="3">
        <v>88.16</v>
      </c>
      <c r="AA939" s="3">
        <v>0</v>
      </c>
    </row>
    <row r="940" spans="1:27" ht="60.75" x14ac:dyDescent="0.25">
      <c r="A940" s="3" t="s">
        <v>28</v>
      </c>
      <c r="B940" s="3" t="s">
        <v>29</v>
      </c>
      <c r="C940" s="3" t="s">
        <v>30</v>
      </c>
      <c r="D940" s="3" t="s">
        <v>58</v>
      </c>
      <c r="E940" s="3" t="s">
        <v>74</v>
      </c>
      <c r="F940" s="3" t="s">
        <v>84</v>
      </c>
      <c r="G940" s="3">
        <v>2025</v>
      </c>
      <c r="H940" s="3" t="str">
        <f>CONCATENATE("54240601499")</f>
        <v>54240601499</v>
      </c>
      <c r="I940" s="3" t="s">
        <v>34</v>
      </c>
      <c r="J940" s="3" t="s">
        <v>35</v>
      </c>
      <c r="K940" s="3"/>
      <c r="L940" s="3" t="s">
        <v>36</v>
      </c>
      <c r="M940" s="3" t="str">
        <f>CONCATENATE("MRCNGL76R58E388Q")</f>
        <v>MRCNGL76R58E388Q</v>
      </c>
      <c r="N940" s="3" t="s">
        <v>1060</v>
      </c>
      <c r="O940" s="3" t="s">
        <v>38</v>
      </c>
      <c r="P940" s="3"/>
      <c r="Q940" s="4">
        <v>45944</v>
      </c>
      <c r="R940" s="3" t="s">
        <v>39</v>
      </c>
      <c r="S940" s="3" t="s">
        <v>38</v>
      </c>
      <c r="T940" s="3" t="s">
        <v>40</v>
      </c>
      <c r="U940" s="3"/>
      <c r="V940" s="3" t="s">
        <v>41</v>
      </c>
      <c r="W940" s="3">
        <v>595.01</v>
      </c>
      <c r="X940" s="3">
        <v>446.26</v>
      </c>
      <c r="Y940" s="3">
        <v>104.13</v>
      </c>
      <c r="Z940" s="3">
        <v>44.62</v>
      </c>
      <c r="AA940" s="3">
        <v>0</v>
      </c>
    </row>
    <row r="941" spans="1:27" ht="60.75" x14ac:dyDescent="0.25">
      <c r="A941" s="3" t="s">
        <v>28</v>
      </c>
      <c r="B941" s="3" t="s">
        <v>29</v>
      </c>
      <c r="C941" s="3" t="s">
        <v>30</v>
      </c>
      <c r="D941" s="3" t="s">
        <v>58</v>
      </c>
      <c r="E941" s="3" t="s">
        <v>32</v>
      </c>
      <c r="F941" s="3" t="s">
        <v>96</v>
      </c>
      <c r="G941" s="3">
        <v>2025</v>
      </c>
      <c r="H941" s="3" t="str">
        <f>CONCATENATE("54240601507")</f>
        <v>54240601507</v>
      </c>
      <c r="I941" s="3" t="s">
        <v>34</v>
      </c>
      <c r="J941" s="3" t="s">
        <v>35</v>
      </c>
      <c r="K941" s="3"/>
      <c r="L941" s="3" t="s">
        <v>36</v>
      </c>
      <c r="M941" s="3" t="str">
        <f>CONCATENATE("CSLFNC61H05I608M")</f>
        <v>CSLFNC61H05I608M</v>
      </c>
      <c r="N941" s="3" t="s">
        <v>1061</v>
      </c>
      <c r="O941" s="3" t="s">
        <v>38</v>
      </c>
      <c r="P941" s="3"/>
      <c r="Q941" s="4">
        <v>45944</v>
      </c>
      <c r="R941" s="3" t="s">
        <v>39</v>
      </c>
      <c r="S941" s="3" t="s">
        <v>38</v>
      </c>
      <c r="T941" s="3" t="s">
        <v>40</v>
      </c>
      <c r="U941" s="3"/>
      <c r="V941" s="3" t="s">
        <v>41</v>
      </c>
      <c r="W941" s="5">
        <v>7902.59</v>
      </c>
      <c r="X941" s="5">
        <v>5926.94</v>
      </c>
      <c r="Y941" s="5">
        <v>1382.95</v>
      </c>
      <c r="Z941" s="3">
        <v>592.70000000000005</v>
      </c>
      <c r="AA941" s="3">
        <v>0</v>
      </c>
    </row>
    <row r="942" spans="1:27" ht="60.75" x14ac:dyDescent="0.25">
      <c r="A942" s="3" t="s">
        <v>28</v>
      </c>
      <c r="B942" s="3" t="s">
        <v>29</v>
      </c>
      <c r="C942" s="3" t="s">
        <v>30</v>
      </c>
      <c r="D942" s="3" t="s">
        <v>58</v>
      </c>
      <c r="E942" s="3" t="s">
        <v>53</v>
      </c>
      <c r="F942" s="3" t="s">
        <v>123</v>
      </c>
      <c r="G942" s="3">
        <v>2025</v>
      </c>
      <c r="H942" s="3" t="str">
        <f>CONCATENATE("54240602364")</f>
        <v>54240602364</v>
      </c>
      <c r="I942" s="3" t="s">
        <v>34</v>
      </c>
      <c r="J942" s="3" t="s">
        <v>35</v>
      </c>
      <c r="K942" s="3"/>
      <c r="L942" s="3" t="s">
        <v>36</v>
      </c>
      <c r="M942" s="3" t="str">
        <f>CONCATENATE("CRZDGI78L10G203Q")</f>
        <v>CRZDGI78L10G203Q</v>
      </c>
      <c r="N942" s="3" t="s">
        <v>1062</v>
      </c>
      <c r="O942" s="3" t="s">
        <v>38</v>
      </c>
      <c r="P942" s="3"/>
      <c r="Q942" s="4">
        <v>45944</v>
      </c>
      <c r="R942" s="3" t="s">
        <v>39</v>
      </c>
      <c r="S942" s="3" t="s">
        <v>38</v>
      </c>
      <c r="T942" s="3" t="s">
        <v>40</v>
      </c>
      <c r="U942" s="3"/>
      <c r="V942" s="3" t="s">
        <v>41</v>
      </c>
      <c r="W942" s="5">
        <v>11902</v>
      </c>
      <c r="X942" s="5">
        <v>8926.5</v>
      </c>
      <c r="Y942" s="5">
        <v>2082.85</v>
      </c>
      <c r="Z942" s="3">
        <v>892.65</v>
      </c>
      <c r="AA942" s="3">
        <v>0</v>
      </c>
    </row>
    <row r="943" spans="1:27" ht="36.75" x14ac:dyDescent="0.25">
      <c r="A943" s="3" t="s">
        <v>28</v>
      </c>
      <c r="B943" s="3" t="s">
        <v>29</v>
      </c>
      <c r="C943" s="3" t="s">
        <v>30</v>
      </c>
      <c r="D943" s="3" t="s">
        <v>49</v>
      </c>
      <c r="E943" s="3" t="s">
        <v>46</v>
      </c>
      <c r="F943" s="3" t="s">
        <v>205</v>
      </c>
      <c r="G943" s="3">
        <v>2025</v>
      </c>
      <c r="H943" s="3" t="str">
        <f>CONCATENATE("54240603701")</f>
        <v>54240603701</v>
      </c>
      <c r="I943" s="3" t="s">
        <v>34</v>
      </c>
      <c r="J943" s="3" t="s">
        <v>35</v>
      </c>
      <c r="K943" s="3"/>
      <c r="L943" s="3" t="s">
        <v>36</v>
      </c>
      <c r="M943" s="3" t="str">
        <f>CONCATENATE("01912520432")</f>
        <v>01912520432</v>
      </c>
      <c r="N943" s="3" t="s">
        <v>1063</v>
      </c>
      <c r="O943" s="3" t="s">
        <v>38</v>
      </c>
      <c r="P943" s="3"/>
      <c r="Q943" s="4">
        <v>45944</v>
      </c>
      <c r="R943" s="3" t="s">
        <v>39</v>
      </c>
      <c r="S943" s="3" t="s">
        <v>38</v>
      </c>
      <c r="T943" s="3" t="s">
        <v>40</v>
      </c>
      <c r="U943" s="3"/>
      <c r="V943" s="3" t="s">
        <v>41</v>
      </c>
      <c r="W943" s="5">
        <v>1490.07</v>
      </c>
      <c r="X943" s="5">
        <v>1117.55</v>
      </c>
      <c r="Y943" s="3">
        <v>260.76</v>
      </c>
      <c r="Z943" s="3">
        <v>111.76</v>
      </c>
      <c r="AA943" s="3">
        <v>0</v>
      </c>
    </row>
    <row r="944" spans="1:27" ht="36.75" x14ac:dyDescent="0.25">
      <c r="A944" s="3" t="s">
        <v>28</v>
      </c>
      <c r="B944" s="3" t="s">
        <v>29</v>
      </c>
      <c r="C944" s="3" t="s">
        <v>30</v>
      </c>
      <c r="D944" s="3" t="s">
        <v>49</v>
      </c>
      <c r="E944" s="3" t="s">
        <v>46</v>
      </c>
      <c r="F944" s="3" t="s">
        <v>205</v>
      </c>
      <c r="G944" s="3">
        <v>2025</v>
      </c>
      <c r="H944" s="3" t="str">
        <f>CONCATENATE("54240603743")</f>
        <v>54240603743</v>
      </c>
      <c r="I944" s="3" t="s">
        <v>34</v>
      </c>
      <c r="J944" s="3" t="s">
        <v>35</v>
      </c>
      <c r="K944" s="3"/>
      <c r="L944" s="3" t="s">
        <v>36</v>
      </c>
      <c r="M944" s="3" t="str">
        <f>CONCATENATE("01993890431")</f>
        <v>01993890431</v>
      </c>
      <c r="N944" s="3" t="s">
        <v>1064</v>
      </c>
      <c r="O944" s="3" t="s">
        <v>38</v>
      </c>
      <c r="P944" s="3"/>
      <c r="Q944" s="4">
        <v>45944</v>
      </c>
      <c r="R944" s="3" t="s">
        <v>39</v>
      </c>
      <c r="S944" s="3" t="s">
        <v>38</v>
      </c>
      <c r="T944" s="3" t="s">
        <v>40</v>
      </c>
      <c r="U944" s="3"/>
      <c r="V944" s="3" t="s">
        <v>41</v>
      </c>
      <c r="W944" s="5">
        <v>1407.78</v>
      </c>
      <c r="X944" s="5">
        <v>1055.8399999999999</v>
      </c>
      <c r="Y944" s="3">
        <v>246.36</v>
      </c>
      <c r="Z944" s="3">
        <v>105.58</v>
      </c>
      <c r="AA944" s="3">
        <v>0</v>
      </c>
    </row>
    <row r="945" spans="1:27" ht="60.75" x14ac:dyDescent="0.25">
      <c r="A945" s="3" t="s">
        <v>28</v>
      </c>
      <c r="B945" s="3" t="s">
        <v>29</v>
      </c>
      <c r="C945" s="3" t="s">
        <v>30</v>
      </c>
      <c r="D945" s="3" t="s">
        <v>58</v>
      </c>
      <c r="E945" s="3" t="s">
        <v>32</v>
      </c>
      <c r="F945" s="3" t="s">
        <v>100</v>
      </c>
      <c r="G945" s="3">
        <v>2025</v>
      </c>
      <c r="H945" s="3" t="str">
        <f>CONCATENATE("54240604675")</f>
        <v>54240604675</v>
      </c>
      <c r="I945" s="3" t="s">
        <v>34</v>
      </c>
      <c r="J945" s="3" t="s">
        <v>35</v>
      </c>
      <c r="K945" s="3"/>
      <c r="L945" s="3" t="s">
        <v>36</v>
      </c>
      <c r="M945" s="3" t="str">
        <f>CONCATENATE("KRSSFN78C42Z133T")</f>
        <v>KRSSFN78C42Z133T</v>
      </c>
      <c r="N945" s="3" t="s">
        <v>1065</v>
      </c>
      <c r="O945" s="3" t="s">
        <v>38</v>
      </c>
      <c r="P945" s="3"/>
      <c r="Q945" s="4">
        <v>45944</v>
      </c>
      <c r="R945" s="3" t="s">
        <v>39</v>
      </c>
      <c r="S945" s="3" t="s">
        <v>38</v>
      </c>
      <c r="T945" s="3" t="s">
        <v>40</v>
      </c>
      <c r="U945" s="3"/>
      <c r="V945" s="3" t="s">
        <v>41</v>
      </c>
      <c r="W945" s="5">
        <v>1683.97</v>
      </c>
      <c r="X945" s="5">
        <v>1262.98</v>
      </c>
      <c r="Y945" s="3">
        <v>294.69</v>
      </c>
      <c r="Z945" s="3">
        <v>126.3</v>
      </c>
      <c r="AA945" s="3">
        <v>0</v>
      </c>
    </row>
    <row r="946" spans="1:27" ht="36.75" x14ac:dyDescent="0.25">
      <c r="A946" s="3" t="s">
        <v>28</v>
      </c>
      <c r="B946" s="3" t="s">
        <v>29</v>
      </c>
      <c r="C946" s="3" t="s">
        <v>30</v>
      </c>
      <c r="D946" s="3" t="s">
        <v>49</v>
      </c>
      <c r="E946" s="3" t="s">
        <v>32</v>
      </c>
      <c r="F946" s="3" t="s">
        <v>283</v>
      </c>
      <c r="G946" s="3">
        <v>2025</v>
      </c>
      <c r="H946" s="3" t="str">
        <f>CONCATENATE("54240604253")</f>
        <v>54240604253</v>
      </c>
      <c r="I946" s="3" t="s">
        <v>34</v>
      </c>
      <c r="J946" s="3" t="s">
        <v>35</v>
      </c>
      <c r="K946" s="3"/>
      <c r="L946" s="3" t="s">
        <v>36</v>
      </c>
      <c r="M946" s="3" t="str">
        <f>CONCATENATE("01702840438")</f>
        <v>01702840438</v>
      </c>
      <c r="N946" s="3" t="s">
        <v>1066</v>
      </c>
      <c r="O946" s="3" t="s">
        <v>38</v>
      </c>
      <c r="P946" s="3"/>
      <c r="Q946" s="4">
        <v>45944</v>
      </c>
      <c r="R946" s="3" t="s">
        <v>39</v>
      </c>
      <c r="S946" s="3" t="s">
        <v>38</v>
      </c>
      <c r="T946" s="3" t="s">
        <v>40</v>
      </c>
      <c r="U946" s="3"/>
      <c r="V946" s="3" t="s">
        <v>41</v>
      </c>
      <c r="W946" s="5">
        <v>1420.63</v>
      </c>
      <c r="X946" s="5">
        <v>1065.47</v>
      </c>
      <c r="Y946" s="3">
        <v>248.61</v>
      </c>
      <c r="Z946" s="3">
        <v>106.55</v>
      </c>
      <c r="AA946" s="3">
        <v>0</v>
      </c>
    </row>
    <row r="947" spans="1:27" ht="36.75" x14ac:dyDescent="0.25">
      <c r="A947" s="3" t="s">
        <v>28</v>
      </c>
      <c r="B947" s="3" t="s">
        <v>29</v>
      </c>
      <c r="C947" s="3" t="s">
        <v>30</v>
      </c>
      <c r="D947" s="3" t="s">
        <v>49</v>
      </c>
      <c r="E947" s="3" t="s">
        <v>32</v>
      </c>
      <c r="F947" s="3" t="s">
        <v>283</v>
      </c>
      <c r="G947" s="3">
        <v>2025</v>
      </c>
      <c r="H947" s="3" t="str">
        <f>CONCATENATE("54240604352")</f>
        <v>54240604352</v>
      </c>
      <c r="I947" s="3" t="s">
        <v>34</v>
      </c>
      <c r="J947" s="3" t="s">
        <v>35</v>
      </c>
      <c r="K947" s="3"/>
      <c r="L947" s="3" t="s">
        <v>36</v>
      </c>
      <c r="M947" s="3" t="str">
        <f>CONCATENATE("01611940436")</f>
        <v>01611940436</v>
      </c>
      <c r="N947" s="3" t="s">
        <v>1067</v>
      </c>
      <c r="O947" s="3" t="s">
        <v>38</v>
      </c>
      <c r="P947" s="3"/>
      <c r="Q947" s="4">
        <v>45944</v>
      </c>
      <c r="R947" s="3" t="s">
        <v>39</v>
      </c>
      <c r="S947" s="3" t="s">
        <v>38</v>
      </c>
      <c r="T947" s="3" t="s">
        <v>40</v>
      </c>
      <c r="U947" s="3"/>
      <c r="V947" s="3" t="s">
        <v>41</v>
      </c>
      <c r="W947" s="5">
        <v>15869.59</v>
      </c>
      <c r="X947" s="5">
        <v>11902.19</v>
      </c>
      <c r="Y947" s="5">
        <v>2777.18</v>
      </c>
      <c r="Z947" s="5">
        <v>1190.22</v>
      </c>
      <c r="AA947" s="3">
        <v>0</v>
      </c>
    </row>
    <row r="948" spans="1:27" ht="72.75" x14ac:dyDescent="0.25">
      <c r="A948" s="3" t="s">
        <v>28</v>
      </c>
      <c r="B948" s="3" t="s">
        <v>29</v>
      </c>
      <c r="C948" s="3" t="s">
        <v>30</v>
      </c>
      <c r="D948" s="3" t="s">
        <v>58</v>
      </c>
      <c r="E948" s="3" t="s">
        <v>32</v>
      </c>
      <c r="F948" s="3" t="s">
        <v>96</v>
      </c>
      <c r="G948" s="3">
        <v>2025</v>
      </c>
      <c r="H948" s="3" t="str">
        <f>CONCATENATE("54240605193")</f>
        <v>54240605193</v>
      </c>
      <c r="I948" s="3" t="s">
        <v>34</v>
      </c>
      <c r="J948" s="3" t="s">
        <v>35</v>
      </c>
      <c r="K948" s="3"/>
      <c r="L948" s="3" t="s">
        <v>36</v>
      </c>
      <c r="M948" s="3" t="str">
        <f>CONCATENATE("FRRMSM61A26D451V")</f>
        <v>FRRMSM61A26D451V</v>
      </c>
      <c r="N948" s="3" t="s">
        <v>1068</v>
      </c>
      <c r="O948" s="3" t="s">
        <v>38</v>
      </c>
      <c r="P948" s="3"/>
      <c r="Q948" s="4">
        <v>45944</v>
      </c>
      <c r="R948" s="3" t="s">
        <v>39</v>
      </c>
      <c r="S948" s="3" t="s">
        <v>38</v>
      </c>
      <c r="T948" s="3" t="s">
        <v>40</v>
      </c>
      <c r="U948" s="3"/>
      <c r="V948" s="3" t="s">
        <v>41</v>
      </c>
      <c r="W948" s="5">
        <v>4140.2299999999996</v>
      </c>
      <c r="X948" s="5">
        <v>3105.17</v>
      </c>
      <c r="Y948" s="3">
        <v>724.54</v>
      </c>
      <c r="Z948" s="3">
        <v>310.52</v>
      </c>
      <c r="AA948" s="3">
        <v>0</v>
      </c>
    </row>
    <row r="949" spans="1:27" ht="60.75" x14ac:dyDescent="0.25">
      <c r="A949" s="3" t="s">
        <v>28</v>
      </c>
      <c r="B949" s="3" t="s">
        <v>29</v>
      </c>
      <c r="C949" s="3" t="s">
        <v>30</v>
      </c>
      <c r="D949" s="3" t="s">
        <v>49</v>
      </c>
      <c r="E949" s="3" t="s">
        <v>46</v>
      </c>
      <c r="F949" s="3" t="s">
        <v>126</v>
      </c>
      <c r="G949" s="3">
        <v>2025</v>
      </c>
      <c r="H949" s="3" t="str">
        <f>CONCATENATE("54240500188")</f>
        <v>54240500188</v>
      </c>
      <c r="I949" s="3" t="s">
        <v>34</v>
      </c>
      <c r="J949" s="3" t="s">
        <v>35</v>
      </c>
      <c r="K949" s="3"/>
      <c r="L949" s="3" t="s">
        <v>36</v>
      </c>
      <c r="M949" s="3" t="str">
        <f>CONCATENATE("LSSLDA68H10E783A")</f>
        <v>LSSLDA68H10E783A</v>
      </c>
      <c r="N949" s="3" t="s">
        <v>1069</v>
      </c>
      <c r="O949" s="3" t="s">
        <v>38</v>
      </c>
      <c r="P949" s="3"/>
      <c r="Q949" s="4">
        <v>45944</v>
      </c>
      <c r="R949" s="3" t="s">
        <v>39</v>
      </c>
      <c r="S949" s="3" t="s">
        <v>38</v>
      </c>
      <c r="T949" s="3" t="s">
        <v>40</v>
      </c>
      <c r="U949" s="3"/>
      <c r="V949" s="3" t="s">
        <v>41</v>
      </c>
      <c r="W949" s="5">
        <v>4098.18</v>
      </c>
      <c r="X949" s="5">
        <v>3073.64</v>
      </c>
      <c r="Y949" s="3">
        <v>717.18</v>
      </c>
      <c r="Z949" s="3">
        <v>307.36</v>
      </c>
      <c r="AA949" s="3">
        <v>0</v>
      </c>
    </row>
    <row r="950" spans="1:27" ht="60.75" x14ac:dyDescent="0.25">
      <c r="A950" s="3" t="s">
        <v>28</v>
      </c>
      <c r="B950" s="3" t="s">
        <v>29</v>
      </c>
      <c r="C950" s="3" t="s">
        <v>30</v>
      </c>
      <c r="D950" s="3" t="s">
        <v>31</v>
      </c>
      <c r="E950" s="3" t="s">
        <v>32</v>
      </c>
      <c r="F950" s="3" t="s">
        <v>440</v>
      </c>
      <c r="G950" s="3">
        <v>2025</v>
      </c>
      <c r="H950" s="3" t="str">
        <f>CONCATENATE("54240500345")</f>
        <v>54240500345</v>
      </c>
      <c r="I950" s="3" t="s">
        <v>34</v>
      </c>
      <c r="J950" s="3" t="s">
        <v>35</v>
      </c>
      <c r="K950" s="3"/>
      <c r="L950" s="3" t="s">
        <v>36</v>
      </c>
      <c r="M950" s="3" t="str">
        <f>CONCATENATE("DNGDNC73L22E785D")</f>
        <v>DNGDNC73L22E785D</v>
      </c>
      <c r="N950" s="3" t="s">
        <v>1070</v>
      </c>
      <c r="O950" s="3" t="s">
        <v>38</v>
      </c>
      <c r="P950" s="3"/>
      <c r="Q950" s="4">
        <v>45944</v>
      </c>
      <c r="R950" s="3" t="s">
        <v>39</v>
      </c>
      <c r="S950" s="3" t="s">
        <v>38</v>
      </c>
      <c r="T950" s="3" t="s">
        <v>40</v>
      </c>
      <c r="U950" s="3"/>
      <c r="V950" s="3" t="s">
        <v>41</v>
      </c>
      <c r="W950" s="5">
        <v>5986.1</v>
      </c>
      <c r="X950" s="5">
        <v>4489.58</v>
      </c>
      <c r="Y950" s="5">
        <v>1047.57</v>
      </c>
      <c r="Z950" s="3">
        <v>448.95</v>
      </c>
      <c r="AA950" s="3">
        <v>0</v>
      </c>
    </row>
    <row r="951" spans="1:27" ht="72.75" x14ac:dyDescent="0.25">
      <c r="A951" s="3" t="s">
        <v>28</v>
      </c>
      <c r="B951" s="3" t="s">
        <v>29</v>
      </c>
      <c r="C951" s="3" t="s">
        <v>30</v>
      </c>
      <c r="D951" s="3" t="s">
        <v>31</v>
      </c>
      <c r="E951" s="3" t="s">
        <v>32</v>
      </c>
      <c r="F951" s="3" t="s">
        <v>440</v>
      </c>
      <c r="G951" s="3">
        <v>2025</v>
      </c>
      <c r="H951" s="3" t="str">
        <f>CONCATENATE("54240502812")</f>
        <v>54240502812</v>
      </c>
      <c r="I951" s="3" t="s">
        <v>34</v>
      </c>
      <c r="J951" s="3" t="s">
        <v>35</v>
      </c>
      <c r="K951" s="3"/>
      <c r="L951" s="3" t="s">
        <v>36</v>
      </c>
      <c r="M951" s="3" t="str">
        <f>CONCATENATE("MNNMRC44D26L500F")</f>
        <v>MNNMRC44D26L500F</v>
      </c>
      <c r="N951" s="3" t="s">
        <v>1071</v>
      </c>
      <c r="O951" s="3" t="s">
        <v>38</v>
      </c>
      <c r="P951" s="3"/>
      <c r="Q951" s="4">
        <v>45944</v>
      </c>
      <c r="R951" s="3" t="s">
        <v>39</v>
      </c>
      <c r="S951" s="3" t="s">
        <v>38</v>
      </c>
      <c r="T951" s="3" t="s">
        <v>40</v>
      </c>
      <c r="U951" s="3"/>
      <c r="V951" s="3" t="s">
        <v>41</v>
      </c>
      <c r="W951" s="5">
        <v>6737.64</v>
      </c>
      <c r="X951" s="5">
        <v>5053.2299999999996</v>
      </c>
      <c r="Y951" s="5">
        <v>1179.0899999999999</v>
      </c>
      <c r="Z951" s="3">
        <v>505.32</v>
      </c>
      <c r="AA951" s="3">
        <v>0</v>
      </c>
    </row>
    <row r="952" spans="1:27" ht="60.75" x14ac:dyDescent="0.25">
      <c r="A952" s="3" t="s">
        <v>28</v>
      </c>
      <c r="B952" s="3" t="s">
        <v>29</v>
      </c>
      <c r="C952" s="3" t="s">
        <v>30</v>
      </c>
      <c r="D952" s="3" t="s">
        <v>31</v>
      </c>
      <c r="E952" s="3" t="s">
        <v>32</v>
      </c>
      <c r="F952" s="3" t="s">
        <v>440</v>
      </c>
      <c r="G952" s="3">
        <v>2025</v>
      </c>
      <c r="H952" s="3" t="str">
        <f>CONCATENATE("54240500386")</f>
        <v>54240500386</v>
      </c>
      <c r="I952" s="3" t="s">
        <v>34</v>
      </c>
      <c r="J952" s="3" t="s">
        <v>35</v>
      </c>
      <c r="K952" s="3"/>
      <c r="L952" s="3" t="s">
        <v>36</v>
      </c>
      <c r="M952" s="3" t="str">
        <f>CONCATENATE("LVRVSS87R54Z602V")</f>
        <v>LVRVSS87R54Z602V</v>
      </c>
      <c r="N952" s="3" t="s">
        <v>1072</v>
      </c>
      <c r="O952" s="3" t="s">
        <v>38</v>
      </c>
      <c r="P952" s="3"/>
      <c r="Q952" s="4">
        <v>45944</v>
      </c>
      <c r="R952" s="3" t="s">
        <v>39</v>
      </c>
      <c r="S952" s="3" t="s">
        <v>38</v>
      </c>
      <c r="T952" s="3" t="s">
        <v>40</v>
      </c>
      <c r="U952" s="3"/>
      <c r="V952" s="3" t="s">
        <v>41</v>
      </c>
      <c r="W952" s="5">
        <v>1895.21</v>
      </c>
      <c r="X952" s="5">
        <v>1421.41</v>
      </c>
      <c r="Y952" s="3">
        <v>331.66</v>
      </c>
      <c r="Z952" s="3">
        <v>142.13999999999999</v>
      </c>
      <c r="AA952" s="3">
        <v>0</v>
      </c>
    </row>
    <row r="953" spans="1:27" ht="36.75" x14ac:dyDescent="0.25">
      <c r="A953" s="3" t="s">
        <v>28</v>
      </c>
      <c r="B953" s="3" t="s">
        <v>29</v>
      </c>
      <c r="C953" s="3" t="s">
        <v>30</v>
      </c>
      <c r="D953" s="3" t="s">
        <v>31</v>
      </c>
      <c r="E953" s="3" t="s">
        <v>32</v>
      </c>
      <c r="F953" s="3" t="s">
        <v>440</v>
      </c>
      <c r="G953" s="3">
        <v>2025</v>
      </c>
      <c r="H953" s="3" t="str">
        <f>CONCATENATE("54240500394")</f>
        <v>54240500394</v>
      </c>
      <c r="I953" s="3" t="s">
        <v>34</v>
      </c>
      <c r="J953" s="3" t="s">
        <v>35</v>
      </c>
      <c r="K953" s="3"/>
      <c r="L953" s="3" t="s">
        <v>36</v>
      </c>
      <c r="M953" s="3" t="str">
        <f>CONCATENATE("02643730415")</f>
        <v>02643730415</v>
      </c>
      <c r="N953" s="3" t="s">
        <v>1073</v>
      </c>
      <c r="O953" s="3" t="s">
        <v>38</v>
      </c>
      <c r="P953" s="3"/>
      <c r="Q953" s="4">
        <v>45944</v>
      </c>
      <c r="R953" s="3" t="s">
        <v>39</v>
      </c>
      <c r="S953" s="3" t="s">
        <v>38</v>
      </c>
      <c r="T953" s="3" t="s">
        <v>40</v>
      </c>
      <c r="U953" s="3"/>
      <c r="V953" s="3" t="s">
        <v>41</v>
      </c>
      <c r="W953" s="5">
        <v>9838.9699999999993</v>
      </c>
      <c r="X953" s="5">
        <v>7379.23</v>
      </c>
      <c r="Y953" s="5">
        <v>1721.82</v>
      </c>
      <c r="Z953" s="3">
        <v>737.92</v>
      </c>
      <c r="AA953" s="3">
        <v>0</v>
      </c>
    </row>
    <row r="954" spans="1:27" ht="60.75" x14ac:dyDescent="0.25">
      <c r="A954" s="3" t="s">
        <v>28</v>
      </c>
      <c r="B954" s="3" t="s">
        <v>29</v>
      </c>
      <c r="C954" s="3" t="s">
        <v>30</v>
      </c>
      <c r="D954" s="3" t="s">
        <v>31</v>
      </c>
      <c r="E954" s="3" t="s">
        <v>32</v>
      </c>
      <c r="F954" s="3" t="s">
        <v>440</v>
      </c>
      <c r="G954" s="3">
        <v>2025</v>
      </c>
      <c r="H954" s="3" t="str">
        <f>CONCATENATE("54240501186")</f>
        <v>54240501186</v>
      </c>
      <c r="I954" s="3" t="s">
        <v>34</v>
      </c>
      <c r="J954" s="3" t="s">
        <v>35</v>
      </c>
      <c r="K954" s="3"/>
      <c r="L954" s="3" t="s">
        <v>36</v>
      </c>
      <c r="M954" s="3" t="str">
        <f>CONCATENATE("CCCNGL76P12I459W")</f>
        <v>CCCNGL76P12I459W</v>
      </c>
      <c r="N954" s="3" t="s">
        <v>1074</v>
      </c>
      <c r="O954" s="3" t="s">
        <v>38</v>
      </c>
      <c r="P954" s="3"/>
      <c r="Q954" s="4">
        <v>45944</v>
      </c>
      <c r="R954" s="3" t="s">
        <v>39</v>
      </c>
      <c r="S954" s="3" t="s">
        <v>38</v>
      </c>
      <c r="T954" s="3" t="s">
        <v>40</v>
      </c>
      <c r="U954" s="3"/>
      <c r="V954" s="3" t="s">
        <v>41</v>
      </c>
      <c r="W954" s="5">
        <v>8397.1200000000008</v>
      </c>
      <c r="X954" s="5">
        <v>6297.84</v>
      </c>
      <c r="Y954" s="5">
        <v>1469.5</v>
      </c>
      <c r="Z954" s="3">
        <v>629.78</v>
      </c>
      <c r="AA954" s="3">
        <v>0</v>
      </c>
    </row>
    <row r="955" spans="1:27" ht="72.75" x14ac:dyDescent="0.25">
      <c r="A955" s="3" t="s">
        <v>28</v>
      </c>
      <c r="B955" s="3" t="s">
        <v>29</v>
      </c>
      <c r="C955" s="3" t="s">
        <v>30</v>
      </c>
      <c r="D955" s="3" t="s">
        <v>31</v>
      </c>
      <c r="E955" s="3" t="s">
        <v>32</v>
      </c>
      <c r="F955" s="3" t="s">
        <v>440</v>
      </c>
      <c r="G955" s="3">
        <v>2025</v>
      </c>
      <c r="H955" s="3" t="str">
        <f>CONCATENATE("54240500493")</f>
        <v>54240500493</v>
      </c>
      <c r="I955" s="3" t="s">
        <v>34</v>
      </c>
      <c r="J955" s="3" t="s">
        <v>35</v>
      </c>
      <c r="K955" s="3"/>
      <c r="L955" s="3" t="s">
        <v>36</v>
      </c>
      <c r="M955" s="3" t="str">
        <f>CONCATENATE("DMNRRT61M22I459L")</f>
        <v>DMNRRT61M22I459L</v>
      </c>
      <c r="N955" s="3" t="s">
        <v>1075</v>
      </c>
      <c r="O955" s="3" t="s">
        <v>38</v>
      </c>
      <c r="P955" s="3"/>
      <c r="Q955" s="4">
        <v>45944</v>
      </c>
      <c r="R955" s="3" t="s">
        <v>39</v>
      </c>
      <c r="S955" s="3" t="s">
        <v>38</v>
      </c>
      <c r="T955" s="3" t="s">
        <v>40</v>
      </c>
      <c r="U955" s="3"/>
      <c r="V955" s="3" t="s">
        <v>41</v>
      </c>
      <c r="W955" s="5">
        <v>3051.19</v>
      </c>
      <c r="X955" s="5">
        <v>2288.39</v>
      </c>
      <c r="Y955" s="3">
        <v>533.96</v>
      </c>
      <c r="Z955" s="3">
        <v>228.84</v>
      </c>
      <c r="AA955" s="3">
        <v>0</v>
      </c>
    </row>
    <row r="956" spans="1:27" ht="60.75" x14ac:dyDescent="0.25">
      <c r="A956" s="3" t="s">
        <v>28</v>
      </c>
      <c r="B956" s="3" t="s">
        <v>29</v>
      </c>
      <c r="C956" s="3" t="s">
        <v>30</v>
      </c>
      <c r="D956" s="3" t="s">
        <v>31</v>
      </c>
      <c r="E956" s="3" t="s">
        <v>46</v>
      </c>
      <c r="F956" s="3" t="s">
        <v>108</v>
      </c>
      <c r="G956" s="3">
        <v>2025</v>
      </c>
      <c r="H956" s="3" t="str">
        <f>CONCATENATE("54240500634")</f>
        <v>54240500634</v>
      </c>
      <c r="I956" s="3" t="s">
        <v>149</v>
      </c>
      <c r="J956" s="3" t="s">
        <v>35</v>
      </c>
      <c r="K956" s="3"/>
      <c r="L956" s="3" t="s">
        <v>36</v>
      </c>
      <c r="M956" s="3" t="str">
        <f>CONCATENATE("PRTFNC70M26L500I")</f>
        <v>PRTFNC70M26L500I</v>
      </c>
      <c r="N956" s="3" t="s">
        <v>1076</v>
      </c>
      <c r="O956" s="3" t="s">
        <v>38</v>
      </c>
      <c r="P956" s="3"/>
      <c r="Q956" s="4">
        <v>45944</v>
      </c>
      <c r="R956" s="3" t="s">
        <v>39</v>
      </c>
      <c r="S956" s="3" t="s">
        <v>38</v>
      </c>
      <c r="T956" s="3" t="s">
        <v>40</v>
      </c>
      <c r="U956" s="3"/>
      <c r="V956" s="3" t="s">
        <v>41</v>
      </c>
      <c r="W956" s="5">
        <v>9972.08</v>
      </c>
      <c r="X956" s="5">
        <v>7479.06</v>
      </c>
      <c r="Y956" s="5">
        <v>1745.11</v>
      </c>
      <c r="Z956" s="3">
        <v>747.91</v>
      </c>
      <c r="AA956" s="3">
        <v>0</v>
      </c>
    </row>
    <row r="957" spans="1:27" ht="36.75" x14ac:dyDescent="0.25">
      <c r="A957" s="3" t="s">
        <v>28</v>
      </c>
      <c r="B957" s="3" t="s">
        <v>29</v>
      </c>
      <c r="C957" s="3" t="s">
        <v>30</v>
      </c>
      <c r="D957" s="3" t="s">
        <v>31</v>
      </c>
      <c r="E957" s="3" t="s">
        <v>46</v>
      </c>
      <c r="F957" s="3" t="s">
        <v>108</v>
      </c>
      <c r="G957" s="3">
        <v>2025</v>
      </c>
      <c r="H957" s="3" t="str">
        <f>CONCATENATE("54240500881")</f>
        <v>54240500881</v>
      </c>
      <c r="I957" s="3" t="s">
        <v>34</v>
      </c>
      <c r="J957" s="3" t="s">
        <v>35</v>
      </c>
      <c r="K957" s="3"/>
      <c r="L957" s="3" t="s">
        <v>36</v>
      </c>
      <c r="M957" s="3" t="str">
        <f>CONCATENATE("02402330415")</f>
        <v>02402330415</v>
      </c>
      <c r="N957" s="3" t="s">
        <v>1077</v>
      </c>
      <c r="O957" s="3" t="s">
        <v>38</v>
      </c>
      <c r="P957" s="3"/>
      <c r="Q957" s="4">
        <v>45944</v>
      </c>
      <c r="R957" s="3" t="s">
        <v>39</v>
      </c>
      <c r="S957" s="3" t="s">
        <v>38</v>
      </c>
      <c r="T957" s="3" t="s">
        <v>40</v>
      </c>
      <c r="U957" s="3"/>
      <c r="V957" s="3" t="s">
        <v>41</v>
      </c>
      <c r="W957" s="5">
        <v>3312.53</v>
      </c>
      <c r="X957" s="5">
        <v>2484.4</v>
      </c>
      <c r="Y957" s="3">
        <v>579.69000000000005</v>
      </c>
      <c r="Z957" s="3">
        <v>248.44</v>
      </c>
      <c r="AA957" s="3">
        <v>0</v>
      </c>
    </row>
    <row r="958" spans="1:27" ht="60.75" x14ac:dyDescent="0.25">
      <c r="A958" s="3" t="s">
        <v>28</v>
      </c>
      <c r="B958" s="3" t="s">
        <v>29</v>
      </c>
      <c r="C958" s="3" t="s">
        <v>30</v>
      </c>
      <c r="D958" s="3" t="s">
        <v>49</v>
      </c>
      <c r="E958" s="3" t="s">
        <v>46</v>
      </c>
      <c r="F958" s="3" t="s">
        <v>131</v>
      </c>
      <c r="G958" s="3">
        <v>2025</v>
      </c>
      <c r="H958" s="3" t="str">
        <f>CONCATENATE("54240500931")</f>
        <v>54240500931</v>
      </c>
      <c r="I958" s="3" t="s">
        <v>34</v>
      </c>
      <c r="J958" s="3" t="s">
        <v>35</v>
      </c>
      <c r="K958" s="3"/>
      <c r="L958" s="3" t="s">
        <v>36</v>
      </c>
      <c r="M958" s="3" t="str">
        <f>CONCATENATE("BNDPRN70S14F749M")</f>
        <v>BNDPRN70S14F749M</v>
      </c>
      <c r="N958" s="3" t="s">
        <v>1078</v>
      </c>
      <c r="O958" s="3" t="s">
        <v>38</v>
      </c>
      <c r="P958" s="3"/>
      <c r="Q958" s="4">
        <v>45944</v>
      </c>
      <c r="R958" s="3" t="s">
        <v>39</v>
      </c>
      <c r="S958" s="3" t="s">
        <v>38</v>
      </c>
      <c r="T958" s="3" t="s">
        <v>40</v>
      </c>
      <c r="U958" s="3"/>
      <c r="V958" s="3" t="s">
        <v>41</v>
      </c>
      <c r="W958" s="3">
        <v>888.32</v>
      </c>
      <c r="X958" s="3">
        <v>666.24</v>
      </c>
      <c r="Y958" s="3">
        <v>155.46</v>
      </c>
      <c r="Z958" s="3">
        <v>66.62</v>
      </c>
      <c r="AA958" s="3">
        <v>0</v>
      </c>
    </row>
    <row r="959" spans="1:27" ht="60.75" x14ac:dyDescent="0.25">
      <c r="A959" s="3" t="s">
        <v>28</v>
      </c>
      <c r="B959" s="3" t="s">
        <v>29</v>
      </c>
      <c r="C959" s="3" t="s">
        <v>30</v>
      </c>
      <c r="D959" s="3" t="s">
        <v>49</v>
      </c>
      <c r="E959" s="3" t="s">
        <v>32</v>
      </c>
      <c r="F959" s="3" t="s">
        <v>71</v>
      </c>
      <c r="G959" s="3">
        <v>2025</v>
      </c>
      <c r="H959" s="3" t="str">
        <f>CONCATENATE("54240559481")</f>
        <v>54240559481</v>
      </c>
      <c r="I959" s="3" t="s">
        <v>34</v>
      </c>
      <c r="J959" s="3" t="s">
        <v>35</v>
      </c>
      <c r="K959" s="3"/>
      <c r="L959" s="3" t="s">
        <v>36</v>
      </c>
      <c r="M959" s="3" t="str">
        <f>CONCATENATE("BGLCLL69A59B474A")</f>
        <v>BGLCLL69A59B474A</v>
      </c>
      <c r="N959" s="3" t="s">
        <v>1079</v>
      </c>
      <c r="O959" s="3" t="s">
        <v>38</v>
      </c>
      <c r="P959" s="3"/>
      <c r="Q959" s="4">
        <v>45944</v>
      </c>
      <c r="R959" s="3" t="s">
        <v>39</v>
      </c>
      <c r="S959" s="3" t="s">
        <v>38</v>
      </c>
      <c r="T959" s="3" t="s">
        <v>40</v>
      </c>
      <c r="U959" s="3"/>
      <c r="V959" s="3" t="s">
        <v>41</v>
      </c>
      <c r="W959" s="5">
        <v>5564.82</v>
      </c>
      <c r="X959" s="5">
        <v>4173.62</v>
      </c>
      <c r="Y959" s="3">
        <v>973.84</v>
      </c>
      <c r="Z959" s="3">
        <v>417.36</v>
      </c>
      <c r="AA959" s="3">
        <v>0</v>
      </c>
    </row>
    <row r="960" spans="1:27" ht="60.75" x14ac:dyDescent="0.25">
      <c r="A960" s="3" t="s">
        <v>28</v>
      </c>
      <c r="B960" s="3" t="s">
        <v>29</v>
      </c>
      <c r="C960" s="3" t="s">
        <v>30</v>
      </c>
      <c r="D960" s="3" t="s">
        <v>58</v>
      </c>
      <c r="E960" s="3" t="s">
        <v>91</v>
      </c>
      <c r="F960" s="3" t="s">
        <v>106</v>
      </c>
      <c r="G960" s="3">
        <v>2025</v>
      </c>
      <c r="H960" s="3" t="str">
        <f>CONCATENATE("54240501012")</f>
        <v>54240501012</v>
      </c>
      <c r="I960" s="3" t="s">
        <v>34</v>
      </c>
      <c r="J960" s="3" t="s">
        <v>35</v>
      </c>
      <c r="K960" s="3"/>
      <c r="L960" s="3" t="s">
        <v>36</v>
      </c>
      <c r="M960" s="3" t="str">
        <f>CONCATENATE("CRDRSN50P46E690F")</f>
        <v>CRDRSN50P46E690F</v>
      </c>
      <c r="N960" s="3" t="s">
        <v>1080</v>
      </c>
      <c r="O960" s="3" t="s">
        <v>38</v>
      </c>
      <c r="P960" s="3"/>
      <c r="Q960" s="4">
        <v>45944</v>
      </c>
      <c r="R960" s="3" t="s">
        <v>39</v>
      </c>
      <c r="S960" s="3" t="s">
        <v>38</v>
      </c>
      <c r="T960" s="3" t="s">
        <v>40</v>
      </c>
      <c r="U960" s="3"/>
      <c r="V960" s="3" t="s">
        <v>41</v>
      </c>
      <c r="W960" s="5">
        <v>1726.38</v>
      </c>
      <c r="X960" s="5">
        <v>1294.79</v>
      </c>
      <c r="Y960" s="3">
        <v>302.12</v>
      </c>
      <c r="Z960" s="3">
        <v>129.47</v>
      </c>
      <c r="AA960" s="3">
        <v>0</v>
      </c>
    </row>
    <row r="961" spans="1:27" ht="60.75" x14ac:dyDescent="0.25">
      <c r="A961" s="3" t="s">
        <v>28</v>
      </c>
      <c r="B961" s="3" t="s">
        <v>29</v>
      </c>
      <c r="C961" s="3" t="s">
        <v>30</v>
      </c>
      <c r="D961" s="3" t="s">
        <v>58</v>
      </c>
      <c r="E961" s="3" t="s">
        <v>53</v>
      </c>
      <c r="F961" s="3" t="s">
        <v>123</v>
      </c>
      <c r="G961" s="3">
        <v>2025</v>
      </c>
      <c r="H961" s="3" t="str">
        <f>CONCATENATE("54240501210")</f>
        <v>54240501210</v>
      </c>
      <c r="I961" s="3" t="s">
        <v>34</v>
      </c>
      <c r="J961" s="3" t="s">
        <v>35</v>
      </c>
      <c r="K961" s="3"/>
      <c r="L961" s="3" t="s">
        <v>36</v>
      </c>
      <c r="M961" s="3" t="str">
        <f>CONCATENATE("MRNDNL64S44F051O")</f>
        <v>MRNDNL64S44F051O</v>
      </c>
      <c r="N961" s="3" t="s">
        <v>1081</v>
      </c>
      <c r="O961" s="3" t="s">
        <v>38</v>
      </c>
      <c r="P961" s="3"/>
      <c r="Q961" s="4">
        <v>45944</v>
      </c>
      <c r="R961" s="3" t="s">
        <v>39</v>
      </c>
      <c r="S961" s="3" t="s">
        <v>38</v>
      </c>
      <c r="T961" s="3" t="s">
        <v>40</v>
      </c>
      <c r="U961" s="3"/>
      <c r="V961" s="3" t="s">
        <v>41</v>
      </c>
      <c r="W961" s="5">
        <v>7665.55</v>
      </c>
      <c r="X961" s="5">
        <v>5749.16</v>
      </c>
      <c r="Y961" s="5">
        <v>1341.47</v>
      </c>
      <c r="Z961" s="3">
        <v>574.91999999999996</v>
      </c>
      <c r="AA961" s="3">
        <v>0</v>
      </c>
    </row>
    <row r="962" spans="1:27" ht="72.75" x14ac:dyDescent="0.25">
      <c r="A962" s="3" t="s">
        <v>28</v>
      </c>
      <c r="B962" s="3" t="s">
        <v>29</v>
      </c>
      <c r="C962" s="3" t="s">
        <v>30</v>
      </c>
      <c r="D962" s="3" t="s">
        <v>49</v>
      </c>
      <c r="E962" s="3" t="s">
        <v>32</v>
      </c>
      <c r="F962" s="3" t="s">
        <v>78</v>
      </c>
      <c r="G962" s="3">
        <v>2025</v>
      </c>
      <c r="H962" s="3" t="str">
        <f>CONCATENATE("54240575537")</f>
        <v>54240575537</v>
      </c>
      <c r="I962" s="3" t="s">
        <v>34</v>
      </c>
      <c r="J962" s="3" t="s">
        <v>35</v>
      </c>
      <c r="K962" s="3"/>
      <c r="L962" s="3" t="s">
        <v>36</v>
      </c>
      <c r="M962" s="3" t="str">
        <f>CONCATENATE("LTNMSM71P27F051A")</f>
        <v>LTNMSM71P27F051A</v>
      </c>
      <c r="N962" s="3" t="s">
        <v>1082</v>
      </c>
      <c r="O962" s="3" t="s">
        <v>38</v>
      </c>
      <c r="P962" s="3"/>
      <c r="Q962" s="4">
        <v>45944</v>
      </c>
      <c r="R962" s="3" t="s">
        <v>39</v>
      </c>
      <c r="S962" s="3" t="s">
        <v>38</v>
      </c>
      <c r="T962" s="3" t="s">
        <v>40</v>
      </c>
      <c r="U962" s="3"/>
      <c r="V962" s="3" t="s">
        <v>41</v>
      </c>
      <c r="W962" s="5">
        <v>1824.68</v>
      </c>
      <c r="X962" s="5">
        <v>1368.51</v>
      </c>
      <c r="Y962" s="3">
        <v>319.32</v>
      </c>
      <c r="Z962" s="3">
        <v>136.85</v>
      </c>
      <c r="AA962" s="3">
        <v>0</v>
      </c>
    </row>
    <row r="963" spans="1:27" ht="72.75" x14ac:dyDescent="0.25">
      <c r="A963" s="3" t="s">
        <v>28</v>
      </c>
      <c r="B963" s="3" t="s">
        <v>29</v>
      </c>
      <c r="C963" s="3" t="s">
        <v>30</v>
      </c>
      <c r="D963" s="3" t="s">
        <v>49</v>
      </c>
      <c r="E963" s="3" t="s">
        <v>32</v>
      </c>
      <c r="F963" s="3" t="s">
        <v>78</v>
      </c>
      <c r="G963" s="3">
        <v>2025</v>
      </c>
      <c r="H963" s="3" t="str">
        <f>CONCATENATE("54240576709")</f>
        <v>54240576709</v>
      </c>
      <c r="I963" s="3" t="s">
        <v>34</v>
      </c>
      <c r="J963" s="3" t="s">
        <v>35</v>
      </c>
      <c r="K963" s="3"/>
      <c r="L963" s="3" t="s">
        <v>36</v>
      </c>
      <c r="M963" s="3" t="str">
        <f>CONCATENATE("RCCFNC41D63M052R")</f>
        <v>RCCFNC41D63M052R</v>
      </c>
      <c r="N963" s="3" t="s">
        <v>1083</v>
      </c>
      <c r="O963" s="3" t="s">
        <v>38</v>
      </c>
      <c r="P963" s="3"/>
      <c r="Q963" s="4">
        <v>45944</v>
      </c>
      <c r="R963" s="3" t="s">
        <v>39</v>
      </c>
      <c r="S963" s="3" t="s">
        <v>38</v>
      </c>
      <c r="T963" s="3" t="s">
        <v>40</v>
      </c>
      <c r="U963" s="3"/>
      <c r="V963" s="3" t="s">
        <v>41</v>
      </c>
      <c r="W963" s="5">
        <v>1250.94</v>
      </c>
      <c r="X963" s="3">
        <v>938.21</v>
      </c>
      <c r="Y963" s="3">
        <v>218.91</v>
      </c>
      <c r="Z963" s="3">
        <v>93.82</v>
      </c>
      <c r="AA963" s="3">
        <v>0</v>
      </c>
    </row>
    <row r="964" spans="1:27" ht="60.75" x14ac:dyDescent="0.25">
      <c r="A964" s="3" t="s">
        <v>28</v>
      </c>
      <c r="B964" s="3" t="s">
        <v>29</v>
      </c>
      <c r="C964" s="3" t="s">
        <v>30</v>
      </c>
      <c r="D964" s="3" t="s">
        <v>31</v>
      </c>
      <c r="E964" s="3" t="s">
        <v>53</v>
      </c>
      <c r="F964" s="3" t="s">
        <v>82</v>
      </c>
      <c r="G964" s="3">
        <v>2025</v>
      </c>
      <c r="H964" s="3" t="str">
        <f>CONCATENATE("54240576212")</f>
        <v>54240576212</v>
      </c>
      <c r="I964" s="3" t="s">
        <v>149</v>
      </c>
      <c r="J964" s="3" t="s">
        <v>35</v>
      </c>
      <c r="K964" s="3"/>
      <c r="L964" s="3" t="s">
        <v>36</v>
      </c>
      <c r="M964" s="3" t="str">
        <f>CONCATENATE("SPCMGB49T48F109L")</f>
        <v>SPCMGB49T48F109L</v>
      </c>
      <c r="N964" s="3" t="s">
        <v>1084</v>
      </c>
      <c r="O964" s="3" t="s">
        <v>38</v>
      </c>
      <c r="P964" s="3"/>
      <c r="Q964" s="4">
        <v>45944</v>
      </c>
      <c r="R964" s="3" t="s">
        <v>39</v>
      </c>
      <c r="S964" s="3" t="s">
        <v>38</v>
      </c>
      <c r="T964" s="3" t="s">
        <v>40</v>
      </c>
      <c r="U964" s="3"/>
      <c r="V964" s="3" t="s">
        <v>41</v>
      </c>
      <c r="W964" s="5">
        <v>1271.75</v>
      </c>
      <c r="X964" s="3">
        <v>953.81</v>
      </c>
      <c r="Y964" s="3">
        <v>222.56</v>
      </c>
      <c r="Z964" s="3">
        <v>95.38</v>
      </c>
      <c r="AA964" s="3">
        <v>0</v>
      </c>
    </row>
    <row r="965" spans="1:27" ht="60.75" x14ac:dyDescent="0.25">
      <c r="A965" s="3" t="s">
        <v>28</v>
      </c>
      <c r="B965" s="3" t="s">
        <v>29</v>
      </c>
      <c r="C965" s="3" t="s">
        <v>30</v>
      </c>
      <c r="D965" s="3" t="s">
        <v>31</v>
      </c>
      <c r="E965" s="3" t="s">
        <v>53</v>
      </c>
      <c r="F965" s="3" t="s">
        <v>82</v>
      </c>
      <c r="G965" s="3">
        <v>2025</v>
      </c>
      <c r="H965" s="3" t="str">
        <f>CONCATENATE("54240576261")</f>
        <v>54240576261</v>
      </c>
      <c r="I965" s="3" t="s">
        <v>149</v>
      </c>
      <c r="J965" s="3" t="s">
        <v>35</v>
      </c>
      <c r="K965" s="3"/>
      <c r="L965" s="3" t="s">
        <v>36</v>
      </c>
      <c r="M965" s="3" t="str">
        <f>CONCATENATE("SPRLRN55C12L500R")</f>
        <v>SPRLRN55C12L500R</v>
      </c>
      <c r="N965" s="3" t="s">
        <v>1085</v>
      </c>
      <c r="O965" s="3" t="s">
        <v>38</v>
      </c>
      <c r="P965" s="3"/>
      <c r="Q965" s="4">
        <v>45944</v>
      </c>
      <c r="R965" s="3" t="s">
        <v>39</v>
      </c>
      <c r="S965" s="3" t="s">
        <v>38</v>
      </c>
      <c r="T965" s="3" t="s">
        <v>40</v>
      </c>
      <c r="U965" s="3"/>
      <c r="V965" s="3" t="s">
        <v>41</v>
      </c>
      <c r="W965" s="5">
        <v>2391.84</v>
      </c>
      <c r="X965" s="5">
        <v>1793.88</v>
      </c>
      <c r="Y965" s="3">
        <v>418.57</v>
      </c>
      <c r="Z965" s="3">
        <v>179.39</v>
      </c>
      <c r="AA965" s="3">
        <v>0</v>
      </c>
    </row>
    <row r="966" spans="1:27" ht="60.75" x14ac:dyDescent="0.25">
      <c r="A966" s="3" t="s">
        <v>28</v>
      </c>
      <c r="B966" s="3" t="s">
        <v>29</v>
      </c>
      <c r="C966" s="3" t="s">
        <v>30</v>
      </c>
      <c r="D966" s="3" t="s">
        <v>58</v>
      </c>
      <c r="E966" s="3" t="s">
        <v>53</v>
      </c>
      <c r="F966" s="3" t="s">
        <v>59</v>
      </c>
      <c r="G966" s="3">
        <v>2025</v>
      </c>
      <c r="H966" s="3" t="str">
        <f>CONCATENATE("54240576253")</f>
        <v>54240576253</v>
      </c>
      <c r="I966" s="3" t="s">
        <v>34</v>
      </c>
      <c r="J966" s="3" t="s">
        <v>35</v>
      </c>
      <c r="K966" s="3"/>
      <c r="L966" s="3" t="s">
        <v>36</v>
      </c>
      <c r="M966" s="3" t="str">
        <f>CONCATENATE("GHLTNA83P44L500Y")</f>
        <v>GHLTNA83P44L500Y</v>
      </c>
      <c r="N966" s="3" t="s">
        <v>1086</v>
      </c>
      <c r="O966" s="3" t="s">
        <v>38</v>
      </c>
      <c r="P966" s="3"/>
      <c r="Q966" s="4">
        <v>45944</v>
      </c>
      <c r="R966" s="3" t="s">
        <v>39</v>
      </c>
      <c r="S966" s="3" t="s">
        <v>38</v>
      </c>
      <c r="T966" s="3" t="s">
        <v>40</v>
      </c>
      <c r="U966" s="3"/>
      <c r="V966" s="3" t="s">
        <v>41</v>
      </c>
      <c r="W966" s="5">
        <v>1204.08</v>
      </c>
      <c r="X966" s="3">
        <v>903.06</v>
      </c>
      <c r="Y966" s="3">
        <v>210.71</v>
      </c>
      <c r="Z966" s="3">
        <v>90.31</v>
      </c>
      <c r="AA966" s="3">
        <v>0</v>
      </c>
    </row>
    <row r="967" spans="1:27" ht="60.75" x14ac:dyDescent="0.25">
      <c r="A967" s="3" t="s">
        <v>28</v>
      </c>
      <c r="B967" s="3" t="s">
        <v>29</v>
      </c>
      <c r="C967" s="3" t="s">
        <v>30</v>
      </c>
      <c r="D967" s="3" t="s">
        <v>58</v>
      </c>
      <c r="E967" s="3" t="s">
        <v>53</v>
      </c>
      <c r="F967" s="3" t="s">
        <v>59</v>
      </c>
      <c r="G967" s="3">
        <v>2025</v>
      </c>
      <c r="H967" s="3" t="str">
        <f>CONCATENATE("54240576279")</f>
        <v>54240576279</v>
      </c>
      <c r="I967" s="3" t="s">
        <v>34</v>
      </c>
      <c r="J967" s="3" t="s">
        <v>35</v>
      </c>
      <c r="K967" s="3"/>
      <c r="L967" s="3" t="s">
        <v>36</v>
      </c>
      <c r="M967" s="3" t="str">
        <f>CONCATENATE("GLTMRC69P19I461E")</f>
        <v>GLTMRC69P19I461E</v>
      </c>
      <c r="N967" s="3" t="s">
        <v>1087</v>
      </c>
      <c r="O967" s="3" t="s">
        <v>38</v>
      </c>
      <c r="P967" s="3"/>
      <c r="Q967" s="4">
        <v>45944</v>
      </c>
      <c r="R967" s="3" t="s">
        <v>39</v>
      </c>
      <c r="S967" s="3" t="s">
        <v>38</v>
      </c>
      <c r="T967" s="3" t="s">
        <v>40</v>
      </c>
      <c r="U967" s="3"/>
      <c r="V967" s="3" t="s">
        <v>41</v>
      </c>
      <c r="W967" s="3">
        <v>493.56</v>
      </c>
      <c r="X967" s="3">
        <v>370.17</v>
      </c>
      <c r="Y967" s="3">
        <v>86.37</v>
      </c>
      <c r="Z967" s="3">
        <v>37.020000000000003</v>
      </c>
      <c r="AA967" s="3">
        <v>0</v>
      </c>
    </row>
    <row r="968" spans="1:27" ht="72.75" x14ac:dyDescent="0.25">
      <c r="A968" s="3" t="s">
        <v>28</v>
      </c>
      <c r="B968" s="3" t="s">
        <v>29</v>
      </c>
      <c r="C968" s="3" t="s">
        <v>30</v>
      </c>
      <c r="D968" s="3" t="s">
        <v>58</v>
      </c>
      <c r="E968" s="3" t="s">
        <v>53</v>
      </c>
      <c r="F968" s="3" t="s">
        <v>59</v>
      </c>
      <c r="G968" s="3">
        <v>2025</v>
      </c>
      <c r="H968" s="3" t="str">
        <f>CONCATENATE("54240576329")</f>
        <v>54240576329</v>
      </c>
      <c r="I968" s="3" t="s">
        <v>34</v>
      </c>
      <c r="J968" s="3" t="s">
        <v>35</v>
      </c>
      <c r="K968" s="3"/>
      <c r="L968" s="3" t="s">
        <v>36</v>
      </c>
      <c r="M968" s="3" t="str">
        <f>CONCATENATE("MROMSM80H29I608B")</f>
        <v>MROMSM80H29I608B</v>
      </c>
      <c r="N968" s="3" t="s">
        <v>1088</v>
      </c>
      <c r="O968" s="3" t="s">
        <v>38</v>
      </c>
      <c r="P968" s="3"/>
      <c r="Q968" s="4">
        <v>45944</v>
      </c>
      <c r="R968" s="3" t="s">
        <v>39</v>
      </c>
      <c r="S968" s="3" t="s">
        <v>38</v>
      </c>
      <c r="T968" s="3" t="s">
        <v>40</v>
      </c>
      <c r="U968" s="3"/>
      <c r="V968" s="3" t="s">
        <v>41</v>
      </c>
      <c r="W968" s="3">
        <v>342.13</v>
      </c>
      <c r="X968" s="3">
        <v>256.60000000000002</v>
      </c>
      <c r="Y968" s="3">
        <v>59.87</v>
      </c>
      <c r="Z968" s="3">
        <v>25.66</v>
      </c>
      <c r="AA968" s="3">
        <v>0</v>
      </c>
    </row>
    <row r="969" spans="1:27" ht="60.75" x14ac:dyDescent="0.25">
      <c r="A969" s="3" t="s">
        <v>28</v>
      </c>
      <c r="B969" s="3" t="s">
        <v>29</v>
      </c>
      <c r="C969" s="3" t="s">
        <v>30</v>
      </c>
      <c r="D969" s="3" t="s">
        <v>49</v>
      </c>
      <c r="E969" s="3" t="s">
        <v>32</v>
      </c>
      <c r="F969" s="3" t="s">
        <v>78</v>
      </c>
      <c r="G969" s="3">
        <v>2025</v>
      </c>
      <c r="H969" s="3" t="str">
        <f>CONCATENATE("54240576626")</f>
        <v>54240576626</v>
      </c>
      <c r="I969" s="3" t="s">
        <v>34</v>
      </c>
      <c r="J969" s="3" t="s">
        <v>35</v>
      </c>
      <c r="K969" s="3"/>
      <c r="L969" s="3" t="s">
        <v>36</v>
      </c>
      <c r="M969" s="3" t="str">
        <f>CONCATENATE("BRNMRC00L31D451G")</f>
        <v>BRNMRC00L31D451G</v>
      </c>
      <c r="N969" s="3" t="s">
        <v>1089</v>
      </c>
      <c r="O969" s="3" t="s">
        <v>38</v>
      </c>
      <c r="P969" s="3"/>
      <c r="Q969" s="4">
        <v>45944</v>
      </c>
      <c r="R969" s="3" t="s">
        <v>39</v>
      </c>
      <c r="S969" s="3" t="s">
        <v>38</v>
      </c>
      <c r="T969" s="3" t="s">
        <v>40</v>
      </c>
      <c r="U969" s="3"/>
      <c r="V969" s="3" t="s">
        <v>41</v>
      </c>
      <c r="W969" s="5">
        <v>3537.68</v>
      </c>
      <c r="X969" s="5">
        <v>2653.26</v>
      </c>
      <c r="Y969" s="3">
        <v>619.09</v>
      </c>
      <c r="Z969" s="3">
        <v>265.33</v>
      </c>
      <c r="AA969" s="3">
        <v>0</v>
      </c>
    </row>
    <row r="970" spans="1:27" ht="60.75" x14ac:dyDescent="0.25">
      <c r="A970" s="3" t="s">
        <v>28</v>
      </c>
      <c r="B970" s="3" t="s">
        <v>29</v>
      </c>
      <c r="C970" s="3" t="s">
        <v>30</v>
      </c>
      <c r="D970" s="3" t="s">
        <v>31</v>
      </c>
      <c r="E970" s="3" t="s">
        <v>53</v>
      </c>
      <c r="F970" s="3" t="s">
        <v>82</v>
      </c>
      <c r="G970" s="3">
        <v>2025</v>
      </c>
      <c r="H970" s="3" t="str">
        <f>CONCATENATE("54240576774")</f>
        <v>54240576774</v>
      </c>
      <c r="I970" s="3" t="s">
        <v>34</v>
      </c>
      <c r="J970" s="3" t="s">
        <v>35</v>
      </c>
      <c r="K970" s="3"/>
      <c r="L970" s="3" t="s">
        <v>36</v>
      </c>
      <c r="M970" s="3" t="str">
        <f>CONCATENATE("BTTDNL62C26L500B")</f>
        <v>BTTDNL62C26L500B</v>
      </c>
      <c r="N970" s="3" t="s">
        <v>1090</v>
      </c>
      <c r="O970" s="3" t="s">
        <v>38</v>
      </c>
      <c r="P970" s="3"/>
      <c r="Q970" s="4">
        <v>45944</v>
      </c>
      <c r="R970" s="3" t="s">
        <v>39</v>
      </c>
      <c r="S970" s="3" t="s">
        <v>38</v>
      </c>
      <c r="T970" s="3" t="s">
        <v>40</v>
      </c>
      <c r="U970" s="3"/>
      <c r="V970" s="3" t="s">
        <v>41</v>
      </c>
      <c r="W970" s="5">
        <v>6978.99</v>
      </c>
      <c r="X970" s="5">
        <v>5234.24</v>
      </c>
      <c r="Y970" s="5">
        <v>1221.32</v>
      </c>
      <c r="Z970" s="3">
        <v>523.42999999999995</v>
      </c>
      <c r="AA970" s="3">
        <v>0</v>
      </c>
    </row>
    <row r="971" spans="1:27" ht="60.75" x14ac:dyDescent="0.25">
      <c r="A971" s="3" t="s">
        <v>28</v>
      </c>
      <c r="B971" s="3" t="s">
        <v>29</v>
      </c>
      <c r="C971" s="3" t="s">
        <v>30</v>
      </c>
      <c r="D971" s="3" t="s">
        <v>49</v>
      </c>
      <c r="E971" s="3" t="s">
        <v>32</v>
      </c>
      <c r="F971" s="3" t="s">
        <v>71</v>
      </c>
      <c r="G971" s="3">
        <v>2025</v>
      </c>
      <c r="H971" s="3" t="str">
        <f>CONCATENATE("54240577293")</f>
        <v>54240577293</v>
      </c>
      <c r="I971" s="3" t="s">
        <v>34</v>
      </c>
      <c r="J971" s="3" t="s">
        <v>35</v>
      </c>
      <c r="K971" s="3"/>
      <c r="L971" s="3" t="s">
        <v>36</v>
      </c>
      <c r="M971" s="3" t="str">
        <f>CONCATENATE("MRZFNC54M08F622K")</f>
        <v>MRZFNC54M08F622K</v>
      </c>
      <c r="N971" s="3" t="s">
        <v>1091</v>
      </c>
      <c r="O971" s="3" t="s">
        <v>38</v>
      </c>
      <c r="P971" s="3"/>
      <c r="Q971" s="4">
        <v>45944</v>
      </c>
      <c r="R971" s="3" t="s">
        <v>39</v>
      </c>
      <c r="S971" s="3" t="s">
        <v>38</v>
      </c>
      <c r="T971" s="3" t="s">
        <v>40</v>
      </c>
      <c r="U971" s="3"/>
      <c r="V971" s="3" t="s">
        <v>41</v>
      </c>
      <c r="W971" s="5">
        <v>2186.09</v>
      </c>
      <c r="X971" s="5">
        <v>1639.57</v>
      </c>
      <c r="Y971" s="3">
        <v>382.57</v>
      </c>
      <c r="Z971" s="3">
        <v>163.95</v>
      </c>
      <c r="AA971" s="3">
        <v>0</v>
      </c>
    </row>
    <row r="972" spans="1:27" ht="36.75" x14ac:dyDescent="0.25">
      <c r="A972" s="3" t="s">
        <v>28</v>
      </c>
      <c r="B972" s="3" t="s">
        <v>29</v>
      </c>
      <c r="C972" s="3" t="s">
        <v>30</v>
      </c>
      <c r="D972" s="3" t="s">
        <v>31</v>
      </c>
      <c r="E972" s="3" t="s">
        <v>32</v>
      </c>
      <c r="F972" s="3" t="s">
        <v>178</v>
      </c>
      <c r="G972" s="3">
        <v>2025</v>
      </c>
      <c r="H972" s="3" t="str">
        <f>CONCATENATE("54240577376")</f>
        <v>54240577376</v>
      </c>
      <c r="I972" s="3" t="s">
        <v>34</v>
      </c>
      <c r="J972" s="3" t="s">
        <v>35</v>
      </c>
      <c r="K972" s="3"/>
      <c r="L972" s="3" t="s">
        <v>36</v>
      </c>
      <c r="M972" s="3" t="str">
        <f>CONCATENATE("02660670411")</f>
        <v>02660670411</v>
      </c>
      <c r="N972" s="3" t="s">
        <v>1092</v>
      </c>
      <c r="O972" s="3" t="s">
        <v>38</v>
      </c>
      <c r="P972" s="3"/>
      <c r="Q972" s="4">
        <v>45944</v>
      </c>
      <c r="R972" s="3" t="s">
        <v>39</v>
      </c>
      <c r="S972" s="3" t="s">
        <v>38</v>
      </c>
      <c r="T972" s="3" t="s">
        <v>40</v>
      </c>
      <c r="U972" s="3"/>
      <c r="V972" s="3" t="s">
        <v>41</v>
      </c>
      <c r="W972" s="5">
        <v>2389.9</v>
      </c>
      <c r="X972" s="5">
        <v>1792.43</v>
      </c>
      <c r="Y972" s="3">
        <v>418.23</v>
      </c>
      <c r="Z972" s="3">
        <v>179.24</v>
      </c>
      <c r="AA972" s="3">
        <v>0</v>
      </c>
    </row>
    <row r="973" spans="1:27" ht="36.75" x14ac:dyDescent="0.25">
      <c r="A973" s="3" t="s">
        <v>28</v>
      </c>
      <c r="B973" s="3" t="s">
        <v>29</v>
      </c>
      <c r="C973" s="3" t="s">
        <v>30</v>
      </c>
      <c r="D973" s="3" t="s">
        <v>49</v>
      </c>
      <c r="E973" s="3" t="s">
        <v>32</v>
      </c>
      <c r="F973" s="3" t="s">
        <v>71</v>
      </c>
      <c r="G973" s="3">
        <v>2025</v>
      </c>
      <c r="H973" s="3" t="str">
        <f>CONCATENATE("54240578036")</f>
        <v>54240578036</v>
      </c>
      <c r="I973" s="3" t="s">
        <v>34</v>
      </c>
      <c r="J973" s="3" t="s">
        <v>35</v>
      </c>
      <c r="K973" s="3"/>
      <c r="L973" s="3" t="s">
        <v>36</v>
      </c>
      <c r="M973" s="3" t="str">
        <f>CONCATENATE("01746490430")</f>
        <v>01746490430</v>
      </c>
      <c r="N973" s="3" t="s">
        <v>1093</v>
      </c>
      <c r="O973" s="3" t="s">
        <v>38</v>
      </c>
      <c r="P973" s="3"/>
      <c r="Q973" s="4">
        <v>45944</v>
      </c>
      <c r="R973" s="3" t="s">
        <v>39</v>
      </c>
      <c r="S973" s="3" t="s">
        <v>38</v>
      </c>
      <c r="T973" s="3" t="s">
        <v>40</v>
      </c>
      <c r="U973" s="3"/>
      <c r="V973" s="3" t="s">
        <v>41</v>
      </c>
      <c r="W973" s="5">
        <v>7140.43</v>
      </c>
      <c r="X973" s="5">
        <v>5355.32</v>
      </c>
      <c r="Y973" s="5">
        <v>1249.58</v>
      </c>
      <c r="Z973" s="3">
        <v>535.53</v>
      </c>
      <c r="AA973" s="3">
        <v>0</v>
      </c>
    </row>
    <row r="974" spans="1:27" ht="60.75" x14ac:dyDescent="0.25">
      <c r="A974" s="3" t="s">
        <v>28</v>
      </c>
      <c r="B974" s="3" t="s">
        <v>29</v>
      </c>
      <c r="C974" s="3" t="s">
        <v>30</v>
      </c>
      <c r="D974" s="3" t="s">
        <v>58</v>
      </c>
      <c r="E974" s="3" t="s">
        <v>53</v>
      </c>
      <c r="F974" s="3" t="s">
        <v>1094</v>
      </c>
      <c r="G974" s="3">
        <v>2025</v>
      </c>
      <c r="H974" s="3" t="str">
        <f>CONCATENATE("54240578226")</f>
        <v>54240578226</v>
      </c>
      <c r="I974" s="3" t="s">
        <v>34</v>
      </c>
      <c r="J974" s="3" t="s">
        <v>35</v>
      </c>
      <c r="K974" s="3"/>
      <c r="L974" s="3" t="s">
        <v>36</v>
      </c>
      <c r="M974" s="3" t="str">
        <f>CONCATENATE("GRDFRC78S17C615K")</f>
        <v>GRDFRC78S17C615K</v>
      </c>
      <c r="N974" s="3" t="s">
        <v>1095</v>
      </c>
      <c r="O974" s="3" t="s">
        <v>38</v>
      </c>
      <c r="P974" s="3"/>
      <c r="Q974" s="4">
        <v>45944</v>
      </c>
      <c r="R974" s="3" t="s">
        <v>39</v>
      </c>
      <c r="S974" s="3" t="s">
        <v>38</v>
      </c>
      <c r="T974" s="3" t="s">
        <v>40</v>
      </c>
      <c r="U974" s="3"/>
      <c r="V974" s="3" t="s">
        <v>41</v>
      </c>
      <c r="W974" s="5">
        <v>1211.57</v>
      </c>
      <c r="X974" s="3">
        <v>908.68</v>
      </c>
      <c r="Y974" s="3">
        <v>212.02</v>
      </c>
      <c r="Z974" s="3">
        <v>90.87</v>
      </c>
      <c r="AA974" s="3">
        <v>0</v>
      </c>
    </row>
    <row r="975" spans="1:27" ht="72.75" x14ac:dyDescent="0.25">
      <c r="A975" s="3" t="s">
        <v>28</v>
      </c>
      <c r="B975" s="3" t="s">
        <v>29</v>
      </c>
      <c r="C975" s="3" t="s">
        <v>30</v>
      </c>
      <c r="D975" s="3" t="s">
        <v>31</v>
      </c>
      <c r="E975" s="3" t="s">
        <v>32</v>
      </c>
      <c r="F975" s="3" t="s">
        <v>153</v>
      </c>
      <c r="G975" s="3">
        <v>2025</v>
      </c>
      <c r="H975" s="3" t="str">
        <f>CONCATENATE("54240578366")</f>
        <v>54240578366</v>
      </c>
      <c r="I975" s="3" t="s">
        <v>34</v>
      </c>
      <c r="J975" s="3" t="s">
        <v>35</v>
      </c>
      <c r="K975" s="3"/>
      <c r="L975" s="3" t="s">
        <v>36</v>
      </c>
      <c r="M975" s="3" t="str">
        <f>CONCATENATE("GLNLNE84M70D488N")</f>
        <v>GLNLNE84M70D488N</v>
      </c>
      <c r="N975" s="3" t="s">
        <v>1096</v>
      </c>
      <c r="O975" s="3" t="s">
        <v>38</v>
      </c>
      <c r="P975" s="3"/>
      <c r="Q975" s="4">
        <v>45944</v>
      </c>
      <c r="R975" s="3" t="s">
        <v>39</v>
      </c>
      <c r="S975" s="3" t="s">
        <v>38</v>
      </c>
      <c r="T975" s="3" t="s">
        <v>40</v>
      </c>
      <c r="U975" s="3"/>
      <c r="V975" s="3" t="s">
        <v>41</v>
      </c>
      <c r="W975" s="3">
        <v>814.65</v>
      </c>
      <c r="X975" s="3">
        <v>610.99</v>
      </c>
      <c r="Y975" s="3">
        <v>142.56</v>
      </c>
      <c r="Z975" s="3">
        <v>61.1</v>
      </c>
      <c r="AA975" s="3">
        <v>0</v>
      </c>
    </row>
    <row r="976" spans="1:27" ht="36.75" x14ac:dyDescent="0.25">
      <c r="A976" s="3" t="s">
        <v>28</v>
      </c>
      <c r="B976" s="3" t="s">
        <v>29</v>
      </c>
      <c r="C976" s="3" t="s">
        <v>30</v>
      </c>
      <c r="D976" s="3" t="s">
        <v>58</v>
      </c>
      <c r="E976" s="3" t="s">
        <v>91</v>
      </c>
      <c r="F976" s="3" t="s">
        <v>106</v>
      </c>
      <c r="G976" s="3">
        <v>2025</v>
      </c>
      <c r="H976" s="3" t="str">
        <f>CONCATENATE("54240578549")</f>
        <v>54240578549</v>
      </c>
      <c r="I976" s="3" t="s">
        <v>34</v>
      </c>
      <c r="J976" s="3" t="s">
        <v>35</v>
      </c>
      <c r="K976" s="3"/>
      <c r="L976" s="3" t="s">
        <v>36</v>
      </c>
      <c r="M976" s="3" t="str">
        <f>CONCATENATE("02990700425")</f>
        <v>02990700425</v>
      </c>
      <c r="N976" s="3" t="s">
        <v>1097</v>
      </c>
      <c r="O976" s="3" t="s">
        <v>38</v>
      </c>
      <c r="P976" s="3"/>
      <c r="Q976" s="4">
        <v>45944</v>
      </c>
      <c r="R976" s="3" t="s">
        <v>39</v>
      </c>
      <c r="S976" s="3" t="s">
        <v>38</v>
      </c>
      <c r="T976" s="3" t="s">
        <v>40</v>
      </c>
      <c r="U976" s="3"/>
      <c r="V976" s="3" t="s">
        <v>41</v>
      </c>
      <c r="W976" s="5">
        <v>12471.46</v>
      </c>
      <c r="X976" s="5">
        <v>9353.6</v>
      </c>
      <c r="Y976" s="5">
        <v>2182.5100000000002</v>
      </c>
      <c r="Z976" s="3">
        <v>935.35</v>
      </c>
      <c r="AA976" s="3">
        <v>0</v>
      </c>
    </row>
    <row r="977" spans="1:27" ht="60.75" x14ac:dyDescent="0.25">
      <c r="A977" s="3" t="s">
        <v>28</v>
      </c>
      <c r="B977" s="3" t="s">
        <v>29</v>
      </c>
      <c r="C977" s="3" t="s">
        <v>30</v>
      </c>
      <c r="D977" s="3" t="s">
        <v>49</v>
      </c>
      <c r="E977" s="3" t="s">
        <v>46</v>
      </c>
      <c r="F977" s="3" t="s">
        <v>205</v>
      </c>
      <c r="G977" s="3">
        <v>2025</v>
      </c>
      <c r="H977" s="3" t="str">
        <f>CONCATENATE("54240579190")</f>
        <v>54240579190</v>
      </c>
      <c r="I977" s="3" t="s">
        <v>34</v>
      </c>
      <c r="J977" s="3" t="s">
        <v>35</v>
      </c>
      <c r="K977" s="3"/>
      <c r="L977" s="3" t="s">
        <v>36</v>
      </c>
      <c r="M977" s="3" t="str">
        <f>CONCATENATE("BRNRRA04T58H211O")</f>
        <v>BRNRRA04T58H211O</v>
      </c>
      <c r="N977" s="3" t="s">
        <v>1098</v>
      </c>
      <c r="O977" s="3" t="s">
        <v>38</v>
      </c>
      <c r="P977" s="3"/>
      <c r="Q977" s="4">
        <v>45944</v>
      </c>
      <c r="R977" s="3" t="s">
        <v>39</v>
      </c>
      <c r="S977" s="3" t="s">
        <v>38</v>
      </c>
      <c r="T977" s="3" t="s">
        <v>40</v>
      </c>
      <c r="U977" s="3"/>
      <c r="V977" s="3" t="s">
        <v>41</v>
      </c>
      <c r="W977" s="5">
        <v>18933.099999999999</v>
      </c>
      <c r="X977" s="5">
        <v>14199.83</v>
      </c>
      <c r="Y977" s="5">
        <v>3313.29</v>
      </c>
      <c r="Z977" s="5">
        <v>1419.98</v>
      </c>
      <c r="AA977" s="3">
        <v>0</v>
      </c>
    </row>
    <row r="978" spans="1:27" ht="60.75" x14ac:dyDescent="0.25">
      <c r="A978" s="3" t="s">
        <v>28</v>
      </c>
      <c r="B978" s="3" t="s">
        <v>29</v>
      </c>
      <c r="C978" s="3" t="s">
        <v>30</v>
      </c>
      <c r="D978" s="3" t="s">
        <v>49</v>
      </c>
      <c r="E978" s="3" t="s">
        <v>32</v>
      </c>
      <c r="F978" s="3" t="s">
        <v>71</v>
      </c>
      <c r="G978" s="3">
        <v>2025</v>
      </c>
      <c r="H978" s="3" t="str">
        <f>CONCATENATE("54240578879")</f>
        <v>54240578879</v>
      </c>
      <c r="I978" s="3" t="s">
        <v>34</v>
      </c>
      <c r="J978" s="3" t="s">
        <v>35</v>
      </c>
      <c r="K978" s="3"/>
      <c r="L978" s="3" t="s">
        <v>36</v>
      </c>
      <c r="M978" s="3" t="str">
        <f>CONCATENATE("SPNFNC85M51E783B")</f>
        <v>SPNFNC85M51E783B</v>
      </c>
      <c r="N978" s="3" t="s">
        <v>1099</v>
      </c>
      <c r="O978" s="3" t="s">
        <v>38</v>
      </c>
      <c r="P978" s="3"/>
      <c r="Q978" s="4">
        <v>45944</v>
      </c>
      <c r="R978" s="3" t="s">
        <v>39</v>
      </c>
      <c r="S978" s="3" t="s">
        <v>38</v>
      </c>
      <c r="T978" s="3" t="s">
        <v>40</v>
      </c>
      <c r="U978" s="3"/>
      <c r="V978" s="3" t="s">
        <v>41</v>
      </c>
      <c r="W978" s="5">
        <v>2881.42</v>
      </c>
      <c r="X978" s="5">
        <v>2161.0700000000002</v>
      </c>
      <c r="Y978" s="3">
        <v>504.25</v>
      </c>
      <c r="Z978" s="3">
        <v>216.1</v>
      </c>
      <c r="AA978" s="3">
        <v>0</v>
      </c>
    </row>
    <row r="979" spans="1:27" ht="60.75" x14ac:dyDescent="0.25">
      <c r="A979" s="3" t="s">
        <v>28</v>
      </c>
      <c r="B979" s="3" t="s">
        <v>29</v>
      </c>
      <c r="C979" s="3" t="s">
        <v>30</v>
      </c>
      <c r="D979" s="3" t="s">
        <v>49</v>
      </c>
      <c r="E979" s="3" t="s">
        <v>32</v>
      </c>
      <c r="F979" s="3" t="s">
        <v>69</v>
      </c>
      <c r="G979" s="3">
        <v>2025</v>
      </c>
      <c r="H979" s="3" t="str">
        <f>CONCATENATE("54240578994")</f>
        <v>54240578994</v>
      </c>
      <c r="I979" s="3" t="s">
        <v>34</v>
      </c>
      <c r="J979" s="3" t="s">
        <v>35</v>
      </c>
      <c r="K979" s="3"/>
      <c r="L979" s="3" t="s">
        <v>36</v>
      </c>
      <c r="M979" s="3" t="str">
        <f>CONCATENATE("CPRSMN87M59L191L")</f>
        <v>CPRSMN87M59L191L</v>
      </c>
      <c r="N979" s="3" t="s">
        <v>1100</v>
      </c>
      <c r="O979" s="3" t="s">
        <v>38</v>
      </c>
      <c r="P979" s="3"/>
      <c r="Q979" s="4">
        <v>45944</v>
      </c>
      <c r="R979" s="3" t="s">
        <v>39</v>
      </c>
      <c r="S979" s="3" t="s">
        <v>38</v>
      </c>
      <c r="T979" s="3" t="s">
        <v>40</v>
      </c>
      <c r="U979" s="3"/>
      <c r="V979" s="3" t="s">
        <v>41</v>
      </c>
      <c r="W979" s="5">
        <v>3404.24</v>
      </c>
      <c r="X979" s="5">
        <v>2553.1799999999998</v>
      </c>
      <c r="Y979" s="3">
        <v>595.74</v>
      </c>
      <c r="Z979" s="3">
        <v>255.32</v>
      </c>
      <c r="AA979" s="3">
        <v>0</v>
      </c>
    </row>
    <row r="980" spans="1:27" ht="36.75" x14ac:dyDescent="0.25">
      <c r="A980" s="3" t="s">
        <v>28</v>
      </c>
      <c r="B980" s="3" t="s">
        <v>29</v>
      </c>
      <c r="C980" s="3" t="s">
        <v>30</v>
      </c>
      <c r="D980" s="3" t="s">
        <v>49</v>
      </c>
      <c r="E980" s="3" t="s">
        <v>46</v>
      </c>
      <c r="F980" s="3" t="s">
        <v>205</v>
      </c>
      <c r="G980" s="3">
        <v>2025</v>
      </c>
      <c r="H980" s="3" t="str">
        <f>CONCATENATE("54240579463")</f>
        <v>54240579463</v>
      </c>
      <c r="I980" s="3" t="s">
        <v>149</v>
      </c>
      <c r="J980" s="3" t="s">
        <v>35</v>
      </c>
      <c r="K980" s="3"/>
      <c r="L980" s="3" t="s">
        <v>36</v>
      </c>
      <c r="M980" s="3" t="str">
        <f>CONCATENATE("02133130431")</f>
        <v>02133130431</v>
      </c>
      <c r="N980" s="3" t="s">
        <v>1101</v>
      </c>
      <c r="O980" s="3" t="s">
        <v>38</v>
      </c>
      <c r="P980" s="3"/>
      <c r="Q980" s="4">
        <v>45944</v>
      </c>
      <c r="R980" s="3" t="s">
        <v>39</v>
      </c>
      <c r="S980" s="3" t="s">
        <v>38</v>
      </c>
      <c r="T980" s="3" t="s">
        <v>40</v>
      </c>
      <c r="U980" s="3"/>
      <c r="V980" s="3" t="s">
        <v>41</v>
      </c>
      <c r="W980" s="5">
        <v>3024.82</v>
      </c>
      <c r="X980" s="5">
        <v>2268.62</v>
      </c>
      <c r="Y980" s="3">
        <v>529.34</v>
      </c>
      <c r="Z980" s="3">
        <v>226.86</v>
      </c>
      <c r="AA980" s="3">
        <v>0</v>
      </c>
    </row>
    <row r="981" spans="1:27" ht="60.75" x14ac:dyDescent="0.25">
      <c r="A981" s="3" t="s">
        <v>28</v>
      </c>
      <c r="B981" s="3" t="s">
        <v>29</v>
      </c>
      <c r="C981" s="3" t="s">
        <v>30</v>
      </c>
      <c r="D981" s="3" t="s">
        <v>49</v>
      </c>
      <c r="E981" s="3" t="s">
        <v>91</v>
      </c>
      <c r="F981" s="3" t="s">
        <v>92</v>
      </c>
      <c r="G981" s="3">
        <v>2025</v>
      </c>
      <c r="H981" s="3" t="str">
        <f>CONCATENATE("54240579349")</f>
        <v>54240579349</v>
      </c>
      <c r="I981" s="3" t="s">
        <v>34</v>
      </c>
      <c r="J981" s="3" t="s">
        <v>35</v>
      </c>
      <c r="K981" s="3"/>
      <c r="L981" s="3" t="s">
        <v>36</v>
      </c>
      <c r="M981" s="3" t="str">
        <f>CONCATENATE("PLMNCL87R31E690X")</f>
        <v>PLMNCL87R31E690X</v>
      </c>
      <c r="N981" s="3" t="s">
        <v>1102</v>
      </c>
      <c r="O981" s="3" t="s">
        <v>38</v>
      </c>
      <c r="P981" s="3"/>
      <c r="Q981" s="4">
        <v>45944</v>
      </c>
      <c r="R981" s="3" t="s">
        <v>39</v>
      </c>
      <c r="S981" s="3" t="s">
        <v>38</v>
      </c>
      <c r="T981" s="3" t="s">
        <v>40</v>
      </c>
      <c r="U981" s="3"/>
      <c r="V981" s="3" t="s">
        <v>41</v>
      </c>
      <c r="W981" s="5">
        <v>3470.98</v>
      </c>
      <c r="X981" s="5">
        <v>2603.2399999999998</v>
      </c>
      <c r="Y981" s="3">
        <v>607.41999999999996</v>
      </c>
      <c r="Z981" s="3">
        <v>260.32</v>
      </c>
      <c r="AA981" s="3">
        <v>0</v>
      </c>
    </row>
    <row r="982" spans="1:27" ht="60.75" x14ac:dyDescent="0.25">
      <c r="A982" s="3" t="s">
        <v>28</v>
      </c>
      <c r="B982" s="3" t="s">
        <v>29</v>
      </c>
      <c r="C982" s="3" t="s">
        <v>30</v>
      </c>
      <c r="D982" s="3" t="s">
        <v>49</v>
      </c>
      <c r="E982" s="3" t="s">
        <v>32</v>
      </c>
      <c r="F982" s="3" t="s">
        <v>78</v>
      </c>
      <c r="G982" s="3">
        <v>2025</v>
      </c>
      <c r="H982" s="3" t="str">
        <f>CONCATENATE("54240592540")</f>
        <v>54240592540</v>
      </c>
      <c r="I982" s="3" t="s">
        <v>34</v>
      </c>
      <c r="J982" s="3" t="s">
        <v>35</v>
      </c>
      <c r="K982" s="3"/>
      <c r="L982" s="3" t="s">
        <v>36</v>
      </c>
      <c r="M982" s="3" t="str">
        <f>CONCATENATE("CRDFRC84P23I156D")</f>
        <v>CRDFRC84P23I156D</v>
      </c>
      <c r="N982" s="3" t="s">
        <v>1103</v>
      </c>
      <c r="O982" s="3" t="s">
        <v>38</v>
      </c>
      <c r="P982" s="3"/>
      <c r="Q982" s="4">
        <v>45944</v>
      </c>
      <c r="R982" s="3" t="s">
        <v>39</v>
      </c>
      <c r="S982" s="3" t="s">
        <v>38</v>
      </c>
      <c r="T982" s="3" t="s">
        <v>40</v>
      </c>
      <c r="U982" s="3"/>
      <c r="V982" s="3" t="s">
        <v>41</v>
      </c>
      <c r="W982" s="5">
        <v>6379.28</v>
      </c>
      <c r="X982" s="5">
        <v>4784.46</v>
      </c>
      <c r="Y982" s="5">
        <v>1116.3699999999999</v>
      </c>
      <c r="Z982" s="3">
        <v>478.45</v>
      </c>
      <c r="AA982" s="3">
        <v>0</v>
      </c>
    </row>
    <row r="983" spans="1:27" ht="60.75" x14ac:dyDescent="0.25">
      <c r="A983" s="3" t="s">
        <v>28</v>
      </c>
      <c r="B983" s="3" t="s">
        <v>29</v>
      </c>
      <c r="C983" s="3" t="s">
        <v>30</v>
      </c>
      <c r="D983" s="3" t="s">
        <v>58</v>
      </c>
      <c r="E983" s="3" t="s">
        <v>53</v>
      </c>
      <c r="F983" s="3" t="s">
        <v>59</v>
      </c>
      <c r="G983" s="3">
        <v>2025</v>
      </c>
      <c r="H983" s="3" t="str">
        <f>CONCATENATE("54240580909")</f>
        <v>54240580909</v>
      </c>
      <c r="I983" s="3" t="s">
        <v>34</v>
      </c>
      <c r="J983" s="3" t="s">
        <v>35</v>
      </c>
      <c r="K983" s="3"/>
      <c r="L983" s="3" t="s">
        <v>36</v>
      </c>
      <c r="M983" s="3" t="str">
        <f>CONCATENATE("PTRMNL87D13E388W")</f>
        <v>PTRMNL87D13E388W</v>
      </c>
      <c r="N983" s="3" t="s">
        <v>1104</v>
      </c>
      <c r="O983" s="3" t="s">
        <v>38</v>
      </c>
      <c r="P983" s="3"/>
      <c r="Q983" s="4">
        <v>45944</v>
      </c>
      <c r="R983" s="3" t="s">
        <v>39</v>
      </c>
      <c r="S983" s="3" t="s">
        <v>38</v>
      </c>
      <c r="T983" s="3" t="s">
        <v>40</v>
      </c>
      <c r="U983" s="3"/>
      <c r="V983" s="3" t="s">
        <v>41</v>
      </c>
      <c r="W983" s="5">
        <v>3491.49</v>
      </c>
      <c r="X983" s="5">
        <v>2618.62</v>
      </c>
      <c r="Y983" s="3">
        <v>611.01</v>
      </c>
      <c r="Z983" s="3">
        <v>261.86</v>
      </c>
      <c r="AA983" s="3">
        <v>0</v>
      </c>
    </row>
    <row r="984" spans="1:27" ht="60.75" x14ac:dyDescent="0.25">
      <c r="A984" s="3" t="s">
        <v>28</v>
      </c>
      <c r="B984" s="3" t="s">
        <v>29</v>
      </c>
      <c r="C984" s="3" t="s">
        <v>30</v>
      </c>
      <c r="D984" s="3" t="s">
        <v>49</v>
      </c>
      <c r="E984" s="3" t="s">
        <v>32</v>
      </c>
      <c r="F984" s="3" t="s">
        <v>71</v>
      </c>
      <c r="G984" s="3">
        <v>2025</v>
      </c>
      <c r="H984" s="3" t="str">
        <f>CONCATENATE("54240581014")</f>
        <v>54240581014</v>
      </c>
      <c r="I984" s="3" t="s">
        <v>34</v>
      </c>
      <c r="J984" s="3" t="s">
        <v>35</v>
      </c>
      <c r="K984" s="3"/>
      <c r="L984" s="3" t="s">
        <v>36</v>
      </c>
      <c r="M984" s="3" t="str">
        <f>CONCATENATE("RPSSFN85T27L366T")</f>
        <v>RPSSFN85T27L366T</v>
      </c>
      <c r="N984" s="3" t="s">
        <v>1105</v>
      </c>
      <c r="O984" s="3" t="s">
        <v>38</v>
      </c>
      <c r="P984" s="3"/>
      <c r="Q984" s="4">
        <v>45944</v>
      </c>
      <c r="R984" s="3" t="s">
        <v>39</v>
      </c>
      <c r="S984" s="3" t="s">
        <v>38</v>
      </c>
      <c r="T984" s="3" t="s">
        <v>40</v>
      </c>
      <c r="U984" s="3"/>
      <c r="V984" s="3" t="s">
        <v>41</v>
      </c>
      <c r="W984" s="5">
        <v>17121.7</v>
      </c>
      <c r="X984" s="5">
        <v>12841.28</v>
      </c>
      <c r="Y984" s="5">
        <v>2996.3</v>
      </c>
      <c r="Z984" s="5">
        <v>1284.1199999999999</v>
      </c>
      <c r="AA984" s="3">
        <v>0</v>
      </c>
    </row>
    <row r="985" spans="1:27" ht="60.75" x14ac:dyDescent="0.25">
      <c r="A985" s="3" t="s">
        <v>28</v>
      </c>
      <c r="B985" s="3" t="s">
        <v>29</v>
      </c>
      <c r="C985" s="3" t="s">
        <v>30</v>
      </c>
      <c r="D985" s="3" t="s">
        <v>58</v>
      </c>
      <c r="E985" s="3" t="s">
        <v>74</v>
      </c>
      <c r="F985" s="3" t="s">
        <v>84</v>
      </c>
      <c r="G985" s="3">
        <v>2025</v>
      </c>
      <c r="H985" s="3" t="str">
        <f>CONCATENATE("54240581048")</f>
        <v>54240581048</v>
      </c>
      <c r="I985" s="3" t="s">
        <v>34</v>
      </c>
      <c r="J985" s="3" t="s">
        <v>35</v>
      </c>
      <c r="K985" s="3"/>
      <c r="L985" s="3" t="s">
        <v>36</v>
      </c>
      <c r="M985" s="3" t="str">
        <f>CONCATENATE("TBRCST98L28E388S")</f>
        <v>TBRCST98L28E388S</v>
      </c>
      <c r="N985" s="3" t="s">
        <v>1106</v>
      </c>
      <c r="O985" s="3" t="s">
        <v>38</v>
      </c>
      <c r="P985" s="3"/>
      <c r="Q985" s="4">
        <v>45944</v>
      </c>
      <c r="R985" s="3" t="s">
        <v>39</v>
      </c>
      <c r="S985" s="3" t="s">
        <v>38</v>
      </c>
      <c r="T985" s="3" t="s">
        <v>40</v>
      </c>
      <c r="U985" s="3"/>
      <c r="V985" s="3" t="s">
        <v>41</v>
      </c>
      <c r="W985" s="5">
        <v>4304.75</v>
      </c>
      <c r="X985" s="5">
        <v>3228.56</v>
      </c>
      <c r="Y985" s="3">
        <v>753.33</v>
      </c>
      <c r="Z985" s="3">
        <v>322.86</v>
      </c>
      <c r="AA985" s="3">
        <v>0</v>
      </c>
    </row>
    <row r="986" spans="1:27" ht="60.75" x14ac:dyDescent="0.25">
      <c r="A986" s="3" t="s">
        <v>28</v>
      </c>
      <c r="B986" s="3" t="s">
        <v>29</v>
      </c>
      <c r="C986" s="3" t="s">
        <v>30</v>
      </c>
      <c r="D986" s="3" t="s">
        <v>31</v>
      </c>
      <c r="E986" s="3" t="s">
        <v>32</v>
      </c>
      <c r="F986" s="3" t="s">
        <v>153</v>
      </c>
      <c r="G986" s="3">
        <v>2025</v>
      </c>
      <c r="H986" s="3" t="str">
        <f>CONCATENATE("54240581311")</f>
        <v>54240581311</v>
      </c>
      <c r="I986" s="3" t="s">
        <v>34</v>
      </c>
      <c r="J986" s="3" t="s">
        <v>35</v>
      </c>
      <c r="K986" s="3"/>
      <c r="L986" s="3" t="s">
        <v>36</v>
      </c>
      <c r="M986" s="3" t="str">
        <f>CONCATENATE("CCHSFN63R25D488S")</f>
        <v>CCHSFN63R25D488S</v>
      </c>
      <c r="N986" s="3" t="s">
        <v>1107</v>
      </c>
      <c r="O986" s="3" t="s">
        <v>38</v>
      </c>
      <c r="P986" s="3"/>
      <c r="Q986" s="4">
        <v>45944</v>
      </c>
      <c r="R986" s="3" t="s">
        <v>39</v>
      </c>
      <c r="S986" s="3" t="s">
        <v>38</v>
      </c>
      <c r="T986" s="3" t="s">
        <v>40</v>
      </c>
      <c r="U986" s="3"/>
      <c r="V986" s="3" t="s">
        <v>41</v>
      </c>
      <c r="W986" s="5">
        <v>6856.84</v>
      </c>
      <c r="X986" s="5">
        <v>5142.63</v>
      </c>
      <c r="Y986" s="5">
        <v>1199.95</v>
      </c>
      <c r="Z986" s="3">
        <v>514.26</v>
      </c>
      <c r="AA986" s="3">
        <v>0</v>
      </c>
    </row>
    <row r="987" spans="1:27" ht="72.75" x14ac:dyDescent="0.25">
      <c r="A987" s="3" t="s">
        <v>28</v>
      </c>
      <c r="B987" s="3" t="s">
        <v>29</v>
      </c>
      <c r="C987" s="3" t="s">
        <v>30</v>
      </c>
      <c r="D987" s="3" t="s">
        <v>58</v>
      </c>
      <c r="E987" s="3" t="s">
        <v>53</v>
      </c>
      <c r="F987" s="3" t="s">
        <v>59</v>
      </c>
      <c r="G987" s="3">
        <v>2025</v>
      </c>
      <c r="H987" s="3" t="str">
        <f>CONCATENATE("54240581543")</f>
        <v>54240581543</v>
      </c>
      <c r="I987" s="3" t="s">
        <v>34</v>
      </c>
      <c r="J987" s="3" t="s">
        <v>35</v>
      </c>
      <c r="K987" s="3"/>
      <c r="L987" s="3" t="s">
        <v>36</v>
      </c>
      <c r="M987" s="3" t="str">
        <f>CONCATENATE("STRSVN52B65D451B")</f>
        <v>STRSVN52B65D451B</v>
      </c>
      <c r="N987" s="3" t="s">
        <v>1108</v>
      </c>
      <c r="O987" s="3" t="s">
        <v>38</v>
      </c>
      <c r="P987" s="3"/>
      <c r="Q987" s="4">
        <v>45944</v>
      </c>
      <c r="R987" s="3" t="s">
        <v>39</v>
      </c>
      <c r="S987" s="3" t="s">
        <v>38</v>
      </c>
      <c r="T987" s="3" t="s">
        <v>40</v>
      </c>
      <c r="U987" s="3"/>
      <c r="V987" s="3" t="s">
        <v>41</v>
      </c>
      <c r="W987" s="5">
        <v>1133.1300000000001</v>
      </c>
      <c r="X987" s="3">
        <v>849.85</v>
      </c>
      <c r="Y987" s="3">
        <v>198.3</v>
      </c>
      <c r="Z987" s="3">
        <v>84.98</v>
      </c>
      <c r="AA987" s="3">
        <v>0</v>
      </c>
    </row>
    <row r="988" spans="1:27" ht="36.75" x14ac:dyDescent="0.25">
      <c r="A988" s="3" t="s">
        <v>28</v>
      </c>
      <c r="B988" s="3" t="s">
        <v>29</v>
      </c>
      <c r="C988" s="3" t="s">
        <v>30</v>
      </c>
      <c r="D988" s="3" t="s">
        <v>63</v>
      </c>
      <c r="E988" s="3" t="s">
        <v>91</v>
      </c>
      <c r="F988" s="3" t="s">
        <v>94</v>
      </c>
      <c r="G988" s="3">
        <v>2025</v>
      </c>
      <c r="H988" s="3" t="str">
        <f>CONCATENATE("54240581626")</f>
        <v>54240581626</v>
      </c>
      <c r="I988" s="3" t="s">
        <v>34</v>
      </c>
      <c r="J988" s="3" t="s">
        <v>35</v>
      </c>
      <c r="K988" s="3"/>
      <c r="L988" s="3" t="s">
        <v>36</v>
      </c>
      <c r="M988" s="3" t="str">
        <f>CONCATENATE("01875750448")</f>
        <v>01875750448</v>
      </c>
      <c r="N988" s="3" t="s">
        <v>1109</v>
      </c>
      <c r="O988" s="3" t="s">
        <v>38</v>
      </c>
      <c r="P988" s="3"/>
      <c r="Q988" s="4">
        <v>45944</v>
      </c>
      <c r="R988" s="3" t="s">
        <v>39</v>
      </c>
      <c r="S988" s="3" t="s">
        <v>38</v>
      </c>
      <c r="T988" s="3" t="s">
        <v>40</v>
      </c>
      <c r="U988" s="3"/>
      <c r="V988" s="3" t="s">
        <v>41</v>
      </c>
      <c r="W988" s="5">
        <v>9791.01</v>
      </c>
      <c r="X988" s="5">
        <v>7343.26</v>
      </c>
      <c r="Y988" s="5">
        <v>1713.43</v>
      </c>
      <c r="Z988" s="3">
        <v>734.32</v>
      </c>
      <c r="AA988" s="3">
        <v>0</v>
      </c>
    </row>
    <row r="989" spans="1:27" ht="36.75" x14ac:dyDescent="0.25">
      <c r="A989" s="3" t="s">
        <v>28</v>
      </c>
      <c r="B989" s="3" t="s">
        <v>29</v>
      </c>
      <c r="C989" s="3" t="s">
        <v>30</v>
      </c>
      <c r="D989" s="3" t="s">
        <v>31</v>
      </c>
      <c r="E989" s="3" t="s">
        <v>53</v>
      </c>
      <c r="F989" s="3" t="s">
        <v>172</v>
      </c>
      <c r="G989" s="3">
        <v>2025</v>
      </c>
      <c r="H989" s="3" t="str">
        <f>CONCATENATE("54240582046")</f>
        <v>54240582046</v>
      </c>
      <c r="I989" s="3" t="s">
        <v>34</v>
      </c>
      <c r="J989" s="3" t="s">
        <v>35</v>
      </c>
      <c r="K989" s="3"/>
      <c r="L989" s="3" t="s">
        <v>36</v>
      </c>
      <c r="M989" s="3" t="str">
        <f>CONCATENATE("01185900410")</f>
        <v>01185900410</v>
      </c>
      <c r="N989" s="3" t="s">
        <v>1110</v>
      </c>
      <c r="O989" s="3" t="s">
        <v>38</v>
      </c>
      <c r="P989" s="3"/>
      <c r="Q989" s="4">
        <v>45944</v>
      </c>
      <c r="R989" s="3" t="s">
        <v>39</v>
      </c>
      <c r="S989" s="3" t="s">
        <v>38</v>
      </c>
      <c r="T989" s="3" t="s">
        <v>40</v>
      </c>
      <c r="U989" s="3"/>
      <c r="V989" s="3" t="s">
        <v>41</v>
      </c>
      <c r="W989" s="5">
        <v>3462.16</v>
      </c>
      <c r="X989" s="5">
        <v>2596.62</v>
      </c>
      <c r="Y989" s="3">
        <v>605.88</v>
      </c>
      <c r="Z989" s="3">
        <v>259.66000000000003</v>
      </c>
      <c r="AA989" s="3">
        <v>0</v>
      </c>
    </row>
    <row r="990" spans="1:27" ht="60.75" x14ac:dyDescent="0.25">
      <c r="A990" s="3" t="s">
        <v>28</v>
      </c>
      <c r="B990" s="3" t="s">
        <v>29</v>
      </c>
      <c r="C990" s="3" t="s">
        <v>30</v>
      </c>
      <c r="D990" s="3" t="s">
        <v>31</v>
      </c>
      <c r="E990" s="3" t="s">
        <v>53</v>
      </c>
      <c r="F990" s="3" t="s">
        <v>82</v>
      </c>
      <c r="G990" s="3">
        <v>2025</v>
      </c>
      <c r="H990" s="3" t="str">
        <f>CONCATENATE("54240582889")</f>
        <v>54240582889</v>
      </c>
      <c r="I990" s="3" t="s">
        <v>149</v>
      </c>
      <c r="J990" s="3" t="s">
        <v>35</v>
      </c>
      <c r="K990" s="3"/>
      <c r="L990" s="3" t="s">
        <v>36</v>
      </c>
      <c r="M990" s="3" t="str">
        <f>CONCATENATE("SPRSFN80H07L500B")</f>
        <v>SPRSFN80H07L500B</v>
      </c>
      <c r="N990" s="3" t="s">
        <v>1111</v>
      </c>
      <c r="O990" s="3" t="s">
        <v>38</v>
      </c>
      <c r="P990" s="3"/>
      <c r="Q990" s="4">
        <v>45944</v>
      </c>
      <c r="R990" s="3" t="s">
        <v>39</v>
      </c>
      <c r="S990" s="3" t="s">
        <v>38</v>
      </c>
      <c r="T990" s="3" t="s">
        <v>40</v>
      </c>
      <c r="U990" s="3"/>
      <c r="V990" s="3" t="s">
        <v>41</v>
      </c>
      <c r="W990" s="5">
        <v>4609.8900000000003</v>
      </c>
      <c r="X990" s="5">
        <v>3457.42</v>
      </c>
      <c r="Y990" s="3">
        <v>806.73</v>
      </c>
      <c r="Z990" s="3">
        <v>345.74</v>
      </c>
      <c r="AA990" s="3">
        <v>0</v>
      </c>
    </row>
    <row r="991" spans="1:27" ht="60.75" x14ac:dyDescent="0.25">
      <c r="A991" s="3" t="s">
        <v>28</v>
      </c>
      <c r="B991" s="3" t="s">
        <v>29</v>
      </c>
      <c r="C991" s="3" t="s">
        <v>30</v>
      </c>
      <c r="D991" s="3" t="s">
        <v>58</v>
      </c>
      <c r="E991" s="3" t="s">
        <v>32</v>
      </c>
      <c r="F991" s="3" t="s">
        <v>100</v>
      </c>
      <c r="G991" s="3">
        <v>2025</v>
      </c>
      <c r="H991" s="3" t="str">
        <f>CONCATENATE("54240647930")</f>
        <v>54240647930</v>
      </c>
      <c r="I991" s="3" t="s">
        <v>34</v>
      </c>
      <c r="J991" s="3" t="s">
        <v>35</v>
      </c>
      <c r="K991" s="3"/>
      <c r="L991" s="3" t="s">
        <v>36</v>
      </c>
      <c r="M991" s="3" t="str">
        <f>CONCATENATE("BRVLSN78L24E388L")</f>
        <v>BRVLSN78L24E388L</v>
      </c>
      <c r="N991" s="3" t="s">
        <v>1112</v>
      </c>
      <c r="O991" s="3" t="s">
        <v>38</v>
      </c>
      <c r="P991" s="3"/>
      <c r="Q991" s="4">
        <v>45944</v>
      </c>
      <c r="R991" s="3" t="s">
        <v>39</v>
      </c>
      <c r="S991" s="3" t="s">
        <v>38</v>
      </c>
      <c r="T991" s="3" t="s">
        <v>40</v>
      </c>
      <c r="U991" s="3"/>
      <c r="V991" s="3" t="s">
        <v>41</v>
      </c>
      <c r="W991" s="3">
        <v>640.69000000000005</v>
      </c>
      <c r="X991" s="3">
        <v>480.52</v>
      </c>
      <c r="Y991" s="3">
        <v>112.12</v>
      </c>
      <c r="Z991" s="3">
        <v>48.05</v>
      </c>
      <c r="AA991" s="3">
        <v>0</v>
      </c>
    </row>
    <row r="992" spans="1:27" ht="60.75" x14ac:dyDescent="0.25">
      <c r="A992" s="3" t="s">
        <v>28</v>
      </c>
      <c r="B992" s="3" t="s">
        <v>29</v>
      </c>
      <c r="C992" s="3" t="s">
        <v>30</v>
      </c>
      <c r="D992" s="3" t="s">
        <v>58</v>
      </c>
      <c r="E992" s="3" t="s">
        <v>53</v>
      </c>
      <c r="F992" s="3" t="s">
        <v>59</v>
      </c>
      <c r="G992" s="3">
        <v>2025</v>
      </c>
      <c r="H992" s="3" t="str">
        <f>CONCATENATE("54240582707")</f>
        <v>54240582707</v>
      </c>
      <c r="I992" s="3" t="s">
        <v>34</v>
      </c>
      <c r="J992" s="3" t="s">
        <v>35</v>
      </c>
      <c r="K992" s="3"/>
      <c r="L992" s="3" t="s">
        <v>36</v>
      </c>
      <c r="M992" s="3" t="str">
        <f>CONCATENATE("SGRLSN97R12I608Q")</f>
        <v>SGRLSN97R12I608Q</v>
      </c>
      <c r="N992" s="3" t="s">
        <v>1113</v>
      </c>
      <c r="O992" s="3" t="s">
        <v>38</v>
      </c>
      <c r="P992" s="3"/>
      <c r="Q992" s="4">
        <v>45944</v>
      </c>
      <c r="R992" s="3" t="s">
        <v>39</v>
      </c>
      <c r="S992" s="3" t="s">
        <v>38</v>
      </c>
      <c r="T992" s="3" t="s">
        <v>40</v>
      </c>
      <c r="U992" s="3"/>
      <c r="V992" s="3" t="s">
        <v>41</v>
      </c>
      <c r="W992" s="5">
        <v>2053.7399999999998</v>
      </c>
      <c r="X992" s="5">
        <v>1540.31</v>
      </c>
      <c r="Y992" s="3">
        <v>359.4</v>
      </c>
      <c r="Z992" s="3">
        <v>154.03</v>
      </c>
      <c r="AA992" s="3">
        <v>0</v>
      </c>
    </row>
    <row r="993" spans="1:27" ht="60.75" x14ac:dyDescent="0.25">
      <c r="A993" s="3" t="s">
        <v>28</v>
      </c>
      <c r="B993" s="3" t="s">
        <v>29</v>
      </c>
      <c r="C993" s="3" t="s">
        <v>30</v>
      </c>
      <c r="D993" s="3" t="s">
        <v>58</v>
      </c>
      <c r="E993" s="3" t="s">
        <v>53</v>
      </c>
      <c r="F993" s="3" t="s">
        <v>59</v>
      </c>
      <c r="G993" s="3">
        <v>2025</v>
      </c>
      <c r="H993" s="3" t="str">
        <f>CONCATENATE("54240582665")</f>
        <v>54240582665</v>
      </c>
      <c r="I993" s="3" t="s">
        <v>34</v>
      </c>
      <c r="J993" s="3" t="s">
        <v>35</v>
      </c>
      <c r="K993" s="3"/>
      <c r="L993" s="3" t="s">
        <v>36</v>
      </c>
      <c r="M993" s="3" t="str">
        <f>CONCATENATE("VNTRRT71T21D007G")</f>
        <v>VNTRRT71T21D007G</v>
      </c>
      <c r="N993" s="3" t="s">
        <v>1114</v>
      </c>
      <c r="O993" s="3" t="s">
        <v>38</v>
      </c>
      <c r="P993" s="3"/>
      <c r="Q993" s="4">
        <v>45944</v>
      </c>
      <c r="R993" s="3" t="s">
        <v>39</v>
      </c>
      <c r="S993" s="3" t="s">
        <v>38</v>
      </c>
      <c r="T993" s="3" t="s">
        <v>40</v>
      </c>
      <c r="U993" s="3"/>
      <c r="V993" s="3" t="s">
        <v>41</v>
      </c>
      <c r="W993" s="5">
        <v>2510.85</v>
      </c>
      <c r="X993" s="5">
        <v>1883.14</v>
      </c>
      <c r="Y993" s="3">
        <v>439.4</v>
      </c>
      <c r="Z993" s="3">
        <v>188.31</v>
      </c>
      <c r="AA993" s="3">
        <v>0</v>
      </c>
    </row>
    <row r="994" spans="1:27" ht="60.75" x14ac:dyDescent="0.25">
      <c r="A994" s="3" t="s">
        <v>28</v>
      </c>
      <c r="B994" s="3" t="s">
        <v>29</v>
      </c>
      <c r="C994" s="3" t="s">
        <v>30</v>
      </c>
      <c r="D994" s="3" t="s">
        <v>31</v>
      </c>
      <c r="E994" s="3" t="s">
        <v>32</v>
      </c>
      <c r="F994" s="3" t="s">
        <v>44</v>
      </c>
      <c r="G994" s="3">
        <v>2025</v>
      </c>
      <c r="H994" s="3" t="str">
        <f>CONCATENATE("54240582335")</f>
        <v>54240582335</v>
      </c>
      <c r="I994" s="3" t="s">
        <v>34</v>
      </c>
      <c r="J994" s="3" t="s">
        <v>35</v>
      </c>
      <c r="K994" s="3"/>
      <c r="L994" s="3" t="s">
        <v>36</v>
      </c>
      <c r="M994" s="3" t="str">
        <f>CONCATENATE("GRLLRI96R48C745B")</f>
        <v>GRLLRI96R48C745B</v>
      </c>
      <c r="N994" s="3" t="s">
        <v>1115</v>
      </c>
      <c r="O994" s="3" t="s">
        <v>38</v>
      </c>
      <c r="P994" s="3"/>
      <c r="Q994" s="4">
        <v>45944</v>
      </c>
      <c r="R994" s="3" t="s">
        <v>39</v>
      </c>
      <c r="S994" s="3" t="s">
        <v>38</v>
      </c>
      <c r="T994" s="3" t="s">
        <v>40</v>
      </c>
      <c r="U994" s="3"/>
      <c r="V994" s="3" t="s">
        <v>41</v>
      </c>
      <c r="W994" s="3">
        <v>462.22</v>
      </c>
      <c r="X994" s="3">
        <v>346.67</v>
      </c>
      <c r="Y994" s="3">
        <v>80.89</v>
      </c>
      <c r="Z994" s="3">
        <v>34.659999999999997</v>
      </c>
      <c r="AA994" s="3">
        <v>0</v>
      </c>
    </row>
    <row r="995" spans="1:27" ht="60.75" x14ac:dyDescent="0.25">
      <c r="A995" s="3" t="s">
        <v>28</v>
      </c>
      <c r="B995" s="3" t="s">
        <v>29</v>
      </c>
      <c r="C995" s="3" t="s">
        <v>30</v>
      </c>
      <c r="D995" s="3" t="s">
        <v>58</v>
      </c>
      <c r="E995" s="3" t="s">
        <v>74</v>
      </c>
      <c r="F995" s="3" t="s">
        <v>84</v>
      </c>
      <c r="G995" s="3">
        <v>2024</v>
      </c>
      <c r="H995" s="3" t="str">
        <f>CONCATENATE("44230003319")</f>
        <v>44230003319</v>
      </c>
      <c r="I995" s="3" t="s">
        <v>34</v>
      </c>
      <c r="J995" s="3" t="s">
        <v>35</v>
      </c>
      <c r="K995" s="3"/>
      <c r="L995" s="3" t="s">
        <v>1116</v>
      </c>
      <c r="M995" s="3" t="str">
        <f>CONCATENATE("CSRGLN56A13E837V")</f>
        <v>CSRGLN56A13E837V</v>
      </c>
      <c r="N995" s="3" t="s">
        <v>1117</v>
      </c>
      <c r="O995" s="3" t="s">
        <v>41</v>
      </c>
      <c r="P995" s="3" t="s">
        <v>1118</v>
      </c>
      <c r="Q995" s="4">
        <v>45931</v>
      </c>
      <c r="R995" s="3" t="s">
        <v>39</v>
      </c>
      <c r="S995" s="3" t="s">
        <v>62</v>
      </c>
      <c r="T995" s="3" t="s">
        <v>40</v>
      </c>
      <c r="U995" s="3"/>
      <c r="V995" s="3" t="s">
        <v>41</v>
      </c>
      <c r="W995" s="5">
        <v>2933.74</v>
      </c>
      <c r="X995" s="5">
        <v>1554.88</v>
      </c>
      <c r="Y995" s="3">
        <v>965.2</v>
      </c>
      <c r="Z995" s="3">
        <v>413.66</v>
      </c>
      <c r="AA995" s="3">
        <v>0</v>
      </c>
    </row>
    <row r="996" spans="1:27" ht="60.75" x14ac:dyDescent="0.25">
      <c r="A996" s="3" t="s">
        <v>28</v>
      </c>
      <c r="B996" s="3" t="s">
        <v>29</v>
      </c>
      <c r="C996" s="3" t="s">
        <v>30</v>
      </c>
      <c r="D996" s="3" t="s">
        <v>49</v>
      </c>
      <c r="E996" s="3" t="s">
        <v>91</v>
      </c>
      <c r="F996" s="3" t="s">
        <v>92</v>
      </c>
      <c r="G996" s="3">
        <v>2024</v>
      </c>
      <c r="H996" s="3" t="str">
        <f>CONCATENATE("44230002741")</f>
        <v>44230002741</v>
      </c>
      <c r="I996" s="3" t="s">
        <v>149</v>
      </c>
      <c r="J996" s="3" t="s">
        <v>35</v>
      </c>
      <c r="K996" s="3"/>
      <c r="L996" s="3" t="s">
        <v>1116</v>
      </c>
      <c r="M996" s="3" t="str">
        <f>CONCATENATE("CMPLXA92T05E783M")</f>
        <v>CMPLXA92T05E783M</v>
      </c>
      <c r="N996" s="3" t="s">
        <v>1119</v>
      </c>
      <c r="O996" s="3" t="s">
        <v>41</v>
      </c>
      <c r="P996" s="3" t="s">
        <v>1118</v>
      </c>
      <c r="Q996" s="4">
        <v>45931</v>
      </c>
      <c r="R996" s="3" t="s">
        <v>39</v>
      </c>
      <c r="S996" s="3" t="s">
        <v>62</v>
      </c>
      <c r="T996" s="3" t="s">
        <v>40</v>
      </c>
      <c r="U996" s="3"/>
      <c r="V996" s="3" t="s">
        <v>41</v>
      </c>
      <c r="W996" s="5">
        <v>1704.75</v>
      </c>
      <c r="X996" s="3">
        <v>903.52</v>
      </c>
      <c r="Y996" s="3">
        <v>560.86</v>
      </c>
      <c r="Z996" s="3">
        <v>240.37</v>
      </c>
      <c r="AA996" s="3">
        <v>0</v>
      </c>
    </row>
    <row r="997" spans="1:27" ht="60.75" x14ac:dyDescent="0.25">
      <c r="A997" s="3" t="s">
        <v>28</v>
      </c>
      <c r="B997" s="3" t="s">
        <v>29</v>
      </c>
      <c r="C997" s="3" t="s">
        <v>30</v>
      </c>
      <c r="D997" s="3" t="s">
        <v>49</v>
      </c>
      <c r="E997" s="3" t="s">
        <v>46</v>
      </c>
      <c r="F997" s="3" t="s">
        <v>126</v>
      </c>
      <c r="G997" s="3">
        <v>2024</v>
      </c>
      <c r="H997" s="3" t="str">
        <f>CONCATENATE("44230005066")</f>
        <v>44230005066</v>
      </c>
      <c r="I997" s="3" t="s">
        <v>149</v>
      </c>
      <c r="J997" s="3" t="s">
        <v>35</v>
      </c>
      <c r="K997" s="3"/>
      <c r="L997" s="3" t="s">
        <v>1116</v>
      </c>
      <c r="M997" s="3" t="str">
        <f>CONCATENATE("PSCLNZ92D23I156T")</f>
        <v>PSCLNZ92D23I156T</v>
      </c>
      <c r="N997" s="3" t="s">
        <v>1120</v>
      </c>
      <c r="O997" s="3" t="s">
        <v>41</v>
      </c>
      <c r="P997" s="3" t="s">
        <v>1118</v>
      </c>
      <c r="Q997" s="4">
        <v>45931</v>
      </c>
      <c r="R997" s="3" t="s">
        <v>39</v>
      </c>
      <c r="S997" s="3" t="s">
        <v>62</v>
      </c>
      <c r="T997" s="3" t="s">
        <v>40</v>
      </c>
      <c r="U997" s="3"/>
      <c r="V997" s="3" t="s">
        <v>41</v>
      </c>
      <c r="W997" s="5">
        <v>1900.67</v>
      </c>
      <c r="X997" s="5">
        <v>1007.36</v>
      </c>
      <c r="Y997" s="3">
        <v>625.32000000000005</v>
      </c>
      <c r="Z997" s="3">
        <v>267.99</v>
      </c>
      <c r="AA997" s="3">
        <v>0</v>
      </c>
    </row>
    <row r="998" spans="1:27" ht="72.75" x14ac:dyDescent="0.25">
      <c r="A998" s="3" t="s">
        <v>28</v>
      </c>
      <c r="B998" s="3" t="s">
        <v>29</v>
      </c>
      <c r="C998" s="3" t="s">
        <v>30</v>
      </c>
      <c r="D998" s="3" t="s">
        <v>49</v>
      </c>
      <c r="E998" s="3" t="s">
        <v>32</v>
      </c>
      <c r="F998" s="3" t="s">
        <v>78</v>
      </c>
      <c r="G998" s="3">
        <v>2025</v>
      </c>
      <c r="H998" s="3" t="str">
        <f>CONCATENATE("54240592581")</f>
        <v>54240592581</v>
      </c>
      <c r="I998" s="3" t="s">
        <v>34</v>
      </c>
      <c r="J998" s="3" t="s">
        <v>35</v>
      </c>
      <c r="K998" s="3"/>
      <c r="L998" s="3" t="s">
        <v>36</v>
      </c>
      <c r="M998" s="3" t="str">
        <f>CONCATENATE("CRRLGU66B11D628H")</f>
        <v>CRRLGU66B11D628H</v>
      </c>
      <c r="N998" s="3" t="s">
        <v>1121</v>
      </c>
      <c r="O998" s="3" t="s">
        <v>38</v>
      </c>
      <c r="P998" s="3"/>
      <c r="Q998" s="4">
        <v>45944</v>
      </c>
      <c r="R998" s="3" t="s">
        <v>39</v>
      </c>
      <c r="S998" s="3" t="s">
        <v>38</v>
      </c>
      <c r="T998" s="3" t="s">
        <v>40</v>
      </c>
      <c r="U998" s="3"/>
      <c r="V998" s="3" t="s">
        <v>41</v>
      </c>
      <c r="W998" s="5">
        <v>16999.37</v>
      </c>
      <c r="X998" s="5">
        <v>12749.53</v>
      </c>
      <c r="Y998" s="5">
        <v>2974.89</v>
      </c>
      <c r="Z998" s="5">
        <v>1274.95</v>
      </c>
      <c r="AA998" s="3">
        <v>0</v>
      </c>
    </row>
    <row r="999" spans="1:27" ht="60.75" x14ac:dyDescent="0.25">
      <c r="A999" s="3" t="s">
        <v>28</v>
      </c>
      <c r="B999" s="3" t="s">
        <v>29</v>
      </c>
      <c r="C999" s="3" t="s">
        <v>30</v>
      </c>
      <c r="D999" s="3" t="s">
        <v>31</v>
      </c>
      <c r="E999" s="3" t="s">
        <v>53</v>
      </c>
      <c r="F999" s="3" t="s">
        <v>82</v>
      </c>
      <c r="G999" s="3">
        <v>2025</v>
      </c>
      <c r="H999" s="3" t="str">
        <f>CONCATENATE("54240583754")</f>
        <v>54240583754</v>
      </c>
      <c r="I999" s="3" t="s">
        <v>149</v>
      </c>
      <c r="J999" s="3" t="s">
        <v>35</v>
      </c>
      <c r="K999" s="3"/>
      <c r="L999" s="3" t="s">
        <v>36</v>
      </c>
      <c r="M999" s="3" t="str">
        <f>CONCATENATE("TNCRZO63D08L500Z")</f>
        <v>TNCRZO63D08L500Z</v>
      </c>
      <c r="N999" s="3" t="s">
        <v>1122</v>
      </c>
      <c r="O999" s="3" t="s">
        <v>38</v>
      </c>
      <c r="P999" s="3"/>
      <c r="Q999" s="4">
        <v>45944</v>
      </c>
      <c r="R999" s="3" t="s">
        <v>39</v>
      </c>
      <c r="S999" s="3" t="s">
        <v>38</v>
      </c>
      <c r="T999" s="3" t="s">
        <v>40</v>
      </c>
      <c r="U999" s="3"/>
      <c r="V999" s="3" t="s">
        <v>41</v>
      </c>
      <c r="W999" s="5">
        <v>5532.83</v>
      </c>
      <c r="X999" s="5">
        <v>4149.62</v>
      </c>
      <c r="Y999" s="3">
        <v>968.25</v>
      </c>
      <c r="Z999" s="3">
        <v>414.96</v>
      </c>
      <c r="AA999" s="3">
        <v>0</v>
      </c>
    </row>
    <row r="1000" spans="1:27" ht="36.75" x14ac:dyDescent="0.25">
      <c r="A1000" s="3" t="s">
        <v>28</v>
      </c>
      <c r="B1000" s="3" t="s">
        <v>29</v>
      </c>
      <c r="C1000" s="3" t="s">
        <v>30</v>
      </c>
      <c r="D1000" s="3" t="s">
        <v>49</v>
      </c>
      <c r="E1000" s="3" t="s">
        <v>32</v>
      </c>
      <c r="F1000" s="3" t="s">
        <v>71</v>
      </c>
      <c r="G1000" s="3">
        <v>2025</v>
      </c>
      <c r="H1000" s="3" t="str">
        <f>CONCATENATE("54240584216")</f>
        <v>54240584216</v>
      </c>
      <c r="I1000" s="3" t="s">
        <v>34</v>
      </c>
      <c r="J1000" s="3" t="s">
        <v>35</v>
      </c>
      <c r="K1000" s="3"/>
      <c r="L1000" s="3" t="s">
        <v>36</v>
      </c>
      <c r="M1000" s="3" t="str">
        <f>CONCATENATE("01974000430")</f>
        <v>01974000430</v>
      </c>
      <c r="N1000" s="3" t="s">
        <v>1123</v>
      </c>
      <c r="O1000" s="3" t="s">
        <v>38</v>
      </c>
      <c r="P1000" s="3"/>
      <c r="Q1000" s="4">
        <v>45944</v>
      </c>
      <c r="R1000" s="3" t="s">
        <v>39</v>
      </c>
      <c r="S1000" s="3" t="s">
        <v>38</v>
      </c>
      <c r="T1000" s="3" t="s">
        <v>40</v>
      </c>
      <c r="U1000" s="3"/>
      <c r="V1000" s="3" t="s">
        <v>41</v>
      </c>
      <c r="W1000" s="5">
        <v>3144.16</v>
      </c>
      <c r="X1000" s="5">
        <v>2358.12</v>
      </c>
      <c r="Y1000" s="3">
        <v>550.23</v>
      </c>
      <c r="Z1000" s="3">
        <v>235.81</v>
      </c>
      <c r="AA1000" s="3">
        <v>0</v>
      </c>
    </row>
    <row r="1001" spans="1:27" ht="60.75" x14ac:dyDescent="0.25">
      <c r="A1001" s="3" t="s">
        <v>28</v>
      </c>
      <c r="B1001" s="3" t="s">
        <v>29</v>
      </c>
      <c r="C1001" s="3" t="s">
        <v>30</v>
      </c>
      <c r="D1001" s="3" t="s">
        <v>49</v>
      </c>
      <c r="E1001" s="3" t="s">
        <v>46</v>
      </c>
      <c r="F1001" s="3" t="s">
        <v>126</v>
      </c>
      <c r="G1001" s="3">
        <v>2025</v>
      </c>
      <c r="H1001" s="3" t="str">
        <f>CONCATENATE("54240593662")</f>
        <v>54240593662</v>
      </c>
      <c r="I1001" s="3" t="s">
        <v>34</v>
      </c>
      <c r="J1001" s="3" t="s">
        <v>35</v>
      </c>
      <c r="K1001" s="3"/>
      <c r="L1001" s="3" t="s">
        <v>36</v>
      </c>
      <c r="M1001" s="3" t="str">
        <f>CONCATENATE("SBSMRC95P04I156J")</f>
        <v>SBSMRC95P04I156J</v>
      </c>
      <c r="N1001" s="3" t="s">
        <v>1124</v>
      </c>
      <c r="O1001" s="3" t="s">
        <v>38</v>
      </c>
      <c r="P1001" s="3"/>
      <c r="Q1001" s="4">
        <v>45944</v>
      </c>
      <c r="R1001" s="3" t="s">
        <v>39</v>
      </c>
      <c r="S1001" s="3" t="s">
        <v>38</v>
      </c>
      <c r="T1001" s="3" t="s">
        <v>40</v>
      </c>
      <c r="U1001" s="3"/>
      <c r="V1001" s="3" t="s">
        <v>41</v>
      </c>
      <c r="W1001" s="5">
        <v>9369.93</v>
      </c>
      <c r="X1001" s="5">
        <v>7027.45</v>
      </c>
      <c r="Y1001" s="5">
        <v>1639.74</v>
      </c>
      <c r="Z1001" s="3">
        <v>702.74</v>
      </c>
      <c r="AA1001" s="3">
        <v>0</v>
      </c>
    </row>
    <row r="1002" spans="1:27" ht="36.75" x14ac:dyDescent="0.25">
      <c r="A1002" s="3" t="s">
        <v>28</v>
      </c>
      <c r="B1002" s="3" t="s">
        <v>29</v>
      </c>
      <c r="C1002" s="3" t="s">
        <v>30</v>
      </c>
      <c r="D1002" s="3" t="s">
        <v>49</v>
      </c>
      <c r="E1002" s="3" t="s">
        <v>53</v>
      </c>
      <c r="F1002" s="3" t="s">
        <v>136</v>
      </c>
      <c r="G1002" s="3">
        <v>2025</v>
      </c>
      <c r="H1002" s="3" t="str">
        <f>CONCATENATE("54240585296")</f>
        <v>54240585296</v>
      </c>
      <c r="I1002" s="3" t="s">
        <v>34</v>
      </c>
      <c r="J1002" s="3" t="s">
        <v>35</v>
      </c>
      <c r="K1002" s="3"/>
      <c r="L1002" s="3" t="s">
        <v>36</v>
      </c>
      <c r="M1002" s="3" t="str">
        <f>CONCATENATE("01914620438")</f>
        <v>01914620438</v>
      </c>
      <c r="N1002" s="3" t="s">
        <v>1125</v>
      </c>
      <c r="O1002" s="3" t="s">
        <v>38</v>
      </c>
      <c r="P1002" s="3"/>
      <c r="Q1002" s="4">
        <v>45944</v>
      </c>
      <c r="R1002" s="3" t="s">
        <v>39</v>
      </c>
      <c r="S1002" s="3" t="s">
        <v>38</v>
      </c>
      <c r="T1002" s="3" t="s">
        <v>40</v>
      </c>
      <c r="U1002" s="3"/>
      <c r="V1002" s="3" t="s">
        <v>41</v>
      </c>
      <c r="W1002" s="5">
        <v>2003.11</v>
      </c>
      <c r="X1002" s="5">
        <v>1502.33</v>
      </c>
      <c r="Y1002" s="3">
        <v>350.54</v>
      </c>
      <c r="Z1002" s="3">
        <v>150.24</v>
      </c>
      <c r="AA1002" s="3">
        <v>0</v>
      </c>
    </row>
    <row r="1003" spans="1:27" ht="36.75" x14ac:dyDescent="0.25">
      <c r="A1003" s="3" t="s">
        <v>28</v>
      </c>
      <c r="B1003" s="3" t="s">
        <v>29</v>
      </c>
      <c r="C1003" s="3" t="s">
        <v>30</v>
      </c>
      <c r="D1003" s="3" t="s">
        <v>49</v>
      </c>
      <c r="E1003" s="3" t="s">
        <v>91</v>
      </c>
      <c r="F1003" s="3" t="s">
        <v>92</v>
      </c>
      <c r="G1003" s="3">
        <v>2025</v>
      </c>
      <c r="H1003" s="3" t="str">
        <f>CONCATENATE("54240585171")</f>
        <v>54240585171</v>
      </c>
      <c r="I1003" s="3" t="s">
        <v>34</v>
      </c>
      <c r="J1003" s="3" t="s">
        <v>35</v>
      </c>
      <c r="K1003" s="3"/>
      <c r="L1003" s="3" t="s">
        <v>36</v>
      </c>
      <c r="M1003" s="3" t="str">
        <f>CONCATENATE("83001370432")</f>
        <v>83001370432</v>
      </c>
      <c r="N1003" s="3" t="s">
        <v>1126</v>
      </c>
      <c r="O1003" s="3" t="s">
        <v>38</v>
      </c>
      <c r="P1003" s="3"/>
      <c r="Q1003" s="4">
        <v>45944</v>
      </c>
      <c r="R1003" s="3" t="s">
        <v>39</v>
      </c>
      <c r="S1003" s="3" t="s">
        <v>38</v>
      </c>
      <c r="T1003" s="3" t="s">
        <v>40</v>
      </c>
      <c r="U1003" s="3"/>
      <c r="V1003" s="3" t="s">
        <v>41</v>
      </c>
      <c r="W1003" s="5">
        <v>1863.53</v>
      </c>
      <c r="X1003" s="5">
        <v>1397.65</v>
      </c>
      <c r="Y1003" s="3">
        <v>326.12</v>
      </c>
      <c r="Z1003" s="3">
        <v>139.76</v>
      </c>
      <c r="AA1003" s="3">
        <v>0</v>
      </c>
    </row>
    <row r="1004" spans="1:27" ht="72.75" x14ac:dyDescent="0.25">
      <c r="A1004" s="3" t="s">
        <v>28</v>
      </c>
      <c r="B1004" s="3" t="s">
        <v>29</v>
      </c>
      <c r="C1004" s="3" t="s">
        <v>30</v>
      </c>
      <c r="D1004" s="3" t="s">
        <v>49</v>
      </c>
      <c r="E1004" s="3" t="s">
        <v>32</v>
      </c>
      <c r="F1004" s="3" t="s">
        <v>71</v>
      </c>
      <c r="G1004" s="3">
        <v>2025</v>
      </c>
      <c r="H1004" s="3" t="str">
        <f>CONCATENATE("54240585361")</f>
        <v>54240585361</v>
      </c>
      <c r="I1004" s="3" t="s">
        <v>34</v>
      </c>
      <c r="J1004" s="3" t="s">
        <v>35</v>
      </c>
      <c r="K1004" s="3"/>
      <c r="L1004" s="3" t="s">
        <v>36</v>
      </c>
      <c r="M1004" s="3" t="str">
        <f>CONCATENATE("VVRMSM83H12H501K")</f>
        <v>VVRMSM83H12H501K</v>
      </c>
      <c r="N1004" s="3" t="s">
        <v>1127</v>
      </c>
      <c r="O1004" s="3" t="s">
        <v>38</v>
      </c>
      <c r="P1004" s="3"/>
      <c r="Q1004" s="4">
        <v>45944</v>
      </c>
      <c r="R1004" s="3" t="s">
        <v>39</v>
      </c>
      <c r="S1004" s="3" t="s">
        <v>38</v>
      </c>
      <c r="T1004" s="3" t="s">
        <v>40</v>
      </c>
      <c r="U1004" s="3"/>
      <c r="V1004" s="3" t="s">
        <v>41</v>
      </c>
      <c r="W1004" s="5">
        <v>3130.82</v>
      </c>
      <c r="X1004" s="5">
        <v>2348.12</v>
      </c>
      <c r="Y1004" s="3">
        <v>547.89</v>
      </c>
      <c r="Z1004" s="3">
        <v>234.81</v>
      </c>
      <c r="AA1004" s="3">
        <v>0</v>
      </c>
    </row>
    <row r="1005" spans="1:27" ht="36.75" x14ac:dyDescent="0.25">
      <c r="A1005" s="3" t="s">
        <v>28</v>
      </c>
      <c r="B1005" s="3" t="s">
        <v>29</v>
      </c>
      <c r="C1005" s="3" t="s">
        <v>30</v>
      </c>
      <c r="D1005" s="3" t="s">
        <v>58</v>
      </c>
      <c r="E1005" s="3" t="s">
        <v>74</v>
      </c>
      <c r="F1005" s="3" t="s">
        <v>84</v>
      </c>
      <c r="G1005" s="3">
        <v>2025</v>
      </c>
      <c r="H1005" s="3" t="str">
        <f>CONCATENATE("54240585775")</f>
        <v>54240585775</v>
      </c>
      <c r="I1005" s="3" t="s">
        <v>34</v>
      </c>
      <c r="J1005" s="3" t="s">
        <v>35</v>
      </c>
      <c r="K1005" s="3"/>
      <c r="L1005" s="3" t="s">
        <v>36</v>
      </c>
      <c r="M1005" s="3" t="str">
        <f>CONCATENATE("02704940424")</f>
        <v>02704940424</v>
      </c>
      <c r="N1005" s="3" t="s">
        <v>1128</v>
      </c>
      <c r="O1005" s="3" t="s">
        <v>38</v>
      </c>
      <c r="P1005" s="3"/>
      <c r="Q1005" s="4">
        <v>45944</v>
      </c>
      <c r="R1005" s="3" t="s">
        <v>39</v>
      </c>
      <c r="S1005" s="3" t="s">
        <v>38</v>
      </c>
      <c r="T1005" s="3" t="s">
        <v>40</v>
      </c>
      <c r="U1005" s="3"/>
      <c r="V1005" s="3" t="s">
        <v>41</v>
      </c>
      <c r="W1005" s="5">
        <v>2356.2399999999998</v>
      </c>
      <c r="X1005" s="5">
        <v>1767.18</v>
      </c>
      <c r="Y1005" s="3">
        <v>412.34</v>
      </c>
      <c r="Z1005" s="3">
        <v>176.72</v>
      </c>
      <c r="AA1005" s="3">
        <v>0</v>
      </c>
    </row>
    <row r="1006" spans="1:27" ht="72.75" x14ac:dyDescent="0.25">
      <c r="A1006" s="3" t="s">
        <v>28</v>
      </c>
      <c r="B1006" s="3" t="s">
        <v>29</v>
      </c>
      <c r="C1006" s="3" t="s">
        <v>30</v>
      </c>
      <c r="D1006" s="3" t="s">
        <v>58</v>
      </c>
      <c r="E1006" s="3" t="s">
        <v>74</v>
      </c>
      <c r="F1006" s="3" t="s">
        <v>84</v>
      </c>
      <c r="G1006" s="3">
        <v>2025</v>
      </c>
      <c r="H1006" s="3" t="str">
        <f>CONCATENATE("54240586336")</f>
        <v>54240586336</v>
      </c>
      <c r="I1006" s="3" t="s">
        <v>34</v>
      </c>
      <c r="J1006" s="3" t="s">
        <v>35</v>
      </c>
      <c r="K1006" s="3"/>
      <c r="L1006" s="3" t="s">
        <v>36</v>
      </c>
      <c r="M1006" s="3" t="str">
        <f>CONCATENATE("PRRMCL73A27D211B")</f>
        <v>PRRMCL73A27D211B</v>
      </c>
      <c r="N1006" s="3" t="s">
        <v>1129</v>
      </c>
      <c r="O1006" s="3" t="s">
        <v>38</v>
      </c>
      <c r="P1006" s="3"/>
      <c r="Q1006" s="4">
        <v>45944</v>
      </c>
      <c r="R1006" s="3" t="s">
        <v>39</v>
      </c>
      <c r="S1006" s="3" t="s">
        <v>38</v>
      </c>
      <c r="T1006" s="3" t="s">
        <v>40</v>
      </c>
      <c r="U1006" s="3"/>
      <c r="V1006" s="3" t="s">
        <v>41</v>
      </c>
      <c r="W1006" s="3">
        <v>724.36</v>
      </c>
      <c r="X1006" s="3">
        <v>543.27</v>
      </c>
      <c r="Y1006" s="3">
        <v>126.76</v>
      </c>
      <c r="Z1006" s="3">
        <v>54.33</v>
      </c>
      <c r="AA1006" s="3">
        <v>0</v>
      </c>
    </row>
    <row r="1007" spans="1:27" ht="60.75" x14ac:dyDescent="0.25">
      <c r="A1007" s="3" t="s">
        <v>28</v>
      </c>
      <c r="B1007" s="3" t="s">
        <v>29</v>
      </c>
      <c r="C1007" s="3" t="s">
        <v>30</v>
      </c>
      <c r="D1007" s="3" t="s">
        <v>31</v>
      </c>
      <c r="E1007" s="3" t="s">
        <v>91</v>
      </c>
      <c r="F1007" s="3" t="s">
        <v>111</v>
      </c>
      <c r="G1007" s="3">
        <v>2025</v>
      </c>
      <c r="H1007" s="3" t="str">
        <f>CONCATENATE("54240590940")</f>
        <v>54240590940</v>
      </c>
      <c r="I1007" s="3" t="s">
        <v>34</v>
      </c>
      <c r="J1007" s="3" t="s">
        <v>35</v>
      </c>
      <c r="K1007" s="3"/>
      <c r="L1007" s="3" t="s">
        <v>36</v>
      </c>
      <c r="M1007" s="3" t="str">
        <f>CONCATENATE("MZZGNN46R03F310T")</f>
        <v>MZZGNN46R03F310T</v>
      </c>
      <c r="N1007" s="3" t="s">
        <v>1130</v>
      </c>
      <c r="O1007" s="3" t="s">
        <v>38</v>
      </c>
      <c r="P1007" s="3"/>
      <c r="Q1007" s="4">
        <v>45944</v>
      </c>
      <c r="R1007" s="3" t="s">
        <v>39</v>
      </c>
      <c r="S1007" s="3" t="s">
        <v>38</v>
      </c>
      <c r="T1007" s="3" t="s">
        <v>40</v>
      </c>
      <c r="U1007" s="3"/>
      <c r="V1007" s="3" t="s">
        <v>41</v>
      </c>
      <c r="W1007" s="5">
        <v>5280.33</v>
      </c>
      <c r="X1007" s="5">
        <v>3960.25</v>
      </c>
      <c r="Y1007" s="3">
        <v>924.06</v>
      </c>
      <c r="Z1007" s="3">
        <v>396.02</v>
      </c>
      <c r="AA1007" s="3">
        <v>0</v>
      </c>
    </row>
    <row r="1008" spans="1:27" ht="60.75" x14ac:dyDescent="0.25">
      <c r="A1008" s="3" t="s">
        <v>28</v>
      </c>
      <c r="B1008" s="3" t="s">
        <v>29</v>
      </c>
      <c r="C1008" s="3" t="s">
        <v>30</v>
      </c>
      <c r="D1008" s="3" t="s">
        <v>49</v>
      </c>
      <c r="E1008" s="3" t="s">
        <v>32</v>
      </c>
      <c r="F1008" s="3" t="s">
        <v>78</v>
      </c>
      <c r="G1008" s="3">
        <v>2025</v>
      </c>
      <c r="H1008" s="3" t="str">
        <f>CONCATENATE("54240592599")</f>
        <v>54240592599</v>
      </c>
      <c r="I1008" s="3" t="s">
        <v>34</v>
      </c>
      <c r="J1008" s="3" t="s">
        <v>35</v>
      </c>
      <c r="K1008" s="3"/>
      <c r="L1008" s="3" t="s">
        <v>36</v>
      </c>
      <c r="M1008" s="3" t="str">
        <f>CONCATENATE("MRSMNL82E51H501P")</f>
        <v>MRSMNL82E51H501P</v>
      </c>
      <c r="N1008" s="3" t="s">
        <v>1131</v>
      </c>
      <c r="O1008" s="3" t="s">
        <v>38</v>
      </c>
      <c r="P1008" s="3"/>
      <c r="Q1008" s="4">
        <v>45944</v>
      </c>
      <c r="R1008" s="3" t="s">
        <v>39</v>
      </c>
      <c r="S1008" s="3" t="s">
        <v>38</v>
      </c>
      <c r="T1008" s="3" t="s">
        <v>40</v>
      </c>
      <c r="U1008" s="3"/>
      <c r="V1008" s="3" t="s">
        <v>41</v>
      </c>
      <c r="W1008" s="5">
        <v>9340.51</v>
      </c>
      <c r="X1008" s="5">
        <v>7005.38</v>
      </c>
      <c r="Y1008" s="5">
        <v>1634.59</v>
      </c>
      <c r="Z1008" s="3">
        <v>700.54</v>
      </c>
      <c r="AA1008" s="3">
        <v>0</v>
      </c>
    </row>
    <row r="1009" spans="1:27" ht="72.75" x14ac:dyDescent="0.25">
      <c r="A1009" s="3" t="s">
        <v>28</v>
      </c>
      <c r="B1009" s="3" t="s">
        <v>29</v>
      </c>
      <c r="C1009" s="3" t="s">
        <v>30</v>
      </c>
      <c r="D1009" s="3" t="s">
        <v>31</v>
      </c>
      <c r="E1009" s="3" t="s">
        <v>53</v>
      </c>
      <c r="F1009" s="3" t="s">
        <v>233</v>
      </c>
      <c r="G1009" s="3">
        <v>2025</v>
      </c>
      <c r="H1009" s="3" t="str">
        <f>CONCATENATE("54240586724")</f>
        <v>54240586724</v>
      </c>
      <c r="I1009" s="3" t="s">
        <v>34</v>
      </c>
      <c r="J1009" s="3" t="s">
        <v>35</v>
      </c>
      <c r="K1009" s="3"/>
      <c r="L1009" s="3" t="s">
        <v>36</v>
      </c>
      <c r="M1009" s="3" t="str">
        <f>CONCATENATE("RFFMHL61A69A332V")</f>
        <v>RFFMHL61A69A332V</v>
      </c>
      <c r="N1009" s="3" t="s">
        <v>1132</v>
      </c>
      <c r="O1009" s="3" t="s">
        <v>38</v>
      </c>
      <c r="P1009" s="3"/>
      <c r="Q1009" s="4">
        <v>45944</v>
      </c>
      <c r="R1009" s="3" t="s">
        <v>39</v>
      </c>
      <c r="S1009" s="3" t="s">
        <v>38</v>
      </c>
      <c r="T1009" s="3" t="s">
        <v>40</v>
      </c>
      <c r="U1009" s="3"/>
      <c r="V1009" s="3" t="s">
        <v>41</v>
      </c>
      <c r="W1009" s="5">
        <v>4328.6099999999997</v>
      </c>
      <c r="X1009" s="5">
        <v>3246.46</v>
      </c>
      <c r="Y1009" s="3">
        <v>757.51</v>
      </c>
      <c r="Z1009" s="3">
        <v>324.64</v>
      </c>
      <c r="AA1009" s="3">
        <v>0</v>
      </c>
    </row>
    <row r="1010" spans="1:27" ht="36.75" x14ac:dyDescent="0.25">
      <c r="A1010" s="3" t="s">
        <v>28</v>
      </c>
      <c r="B1010" s="3" t="s">
        <v>29</v>
      </c>
      <c r="C1010" s="3" t="s">
        <v>30</v>
      </c>
      <c r="D1010" s="3" t="s">
        <v>31</v>
      </c>
      <c r="E1010" s="3" t="s">
        <v>32</v>
      </c>
      <c r="F1010" s="3" t="s">
        <v>178</v>
      </c>
      <c r="G1010" s="3">
        <v>2025</v>
      </c>
      <c r="H1010" s="3" t="str">
        <f>CONCATENATE("54240586971")</f>
        <v>54240586971</v>
      </c>
      <c r="I1010" s="3" t="s">
        <v>34</v>
      </c>
      <c r="J1010" s="3" t="s">
        <v>35</v>
      </c>
      <c r="K1010" s="3"/>
      <c r="L1010" s="3" t="s">
        <v>36</v>
      </c>
      <c r="M1010" s="3" t="str">
        <f>CONCATENATE("02374490411")</f>
        <v>02374490411</v>
      </c>
      <c r="N1010" s="3" t="s">
        <v>1133</v>
      </c>
      <c r="O1010" s="3" t="s">
        <v>38</v>
      </c>
      <c r="P1010" s="3"/>
      <c r="Q1010" s="4">
        <v>45944</v>
      </c>
      <c r="R1010" s="3" t="s">
        <v>39</v>
      </c>
      <c r="S1010" s="3" t="s">
        <v>38</v>
      </c>
      <c r="T1010" s="3" t="s">
        <v>40</v>
      </c>
      <c r="U1010" s="3"/>
      <c r="V1010" s="3" t="s">
        <v>41</v>
      </c>
      <c r="W1010" s="5">
        <v>4243.55</v>
      </c>
      <c r="X1010" s="5">
        <v>3182.66</v>
      </c>
      <c r="Y1010" s="3">
        <v>742.62</v>
      </c>
      <c r="Z1010" s="3">
        <v>318.27</v>
      </c>
      <c r="AA1010" s="3">
        <v>0</v>
      </c>
    </row>
    <row r="1011" spans="1:27" ht="72.75" x14ac:dyDescent="0.25">
      <c r="A1011" s="3" t="s">
        <v>28</v>
      </c>
      <c r="B1011" s="3" t="s">
        <v>29</v>
      </c>
      <c r="C1011" s="3" t="s">
        <v>30</v>
      </c>
      <c r="D1011" s="3" t="s">
        <v>58</v>
      </c>
      <c r="E1011" s="3" t="s">
        <v>53</v>
      </c>
      <c r="F1011" s="3" t="s">
        <v>59</v>
      </c>
      <c r="G1011" s="3">
        <v>2025</v>
      </c>
      <c r="H1011" s="3" t="str">
        <f>CONCATENATE("54240586955")</f>
        <v>54240586955</v>
      </c>
      <c r="I1011" s="3" t="s">
        <v>34</v>
      </c>
      <c r="J1011" s="3" t="s">
        <v>35</v>
      </c>
      <c r="K1011" s="3"/>
      <c r="L1011" s="3" t="s">
        <v>36</v>
      </c>
      <c r="M1011" s="3" t="str">
        <f>CONCATENATE("STLMSM63D22A462T")</f>
        <v>STLMSM63D22A462T</v>
      </c>
      <c r="N1011" s="3" t="s">
        <v>1134</v>
      </c>
      <c r="O1011" s="3" t="s">
        <v>38</v>
      </c>
      <c r="P1011" s="3"/>
      <c r="Q1011" s="4">
        <v>45944</v>
      </c>
      <c r="R1011" s="3" t="s">
        <v>39</v>
      </c>
      <c r="S1011" s="3" t="s">
        <v>38</v>
      </c>
      <c r="T1011" s="3" t="s">
        <v>40</v>
      </c>
      <c r="U1011" s="3"/>
      <c r="V1011" s="3" t="s">
        <v>41</v>
      </c>
      <c r="W1011" s="5">
        <v>2359.37</v>
      </c>
      <c r="X1011" s="5">
        <v>1769.53</v>
      </c>
      <c r="Y1011" s="3">
        <v>412.89</v>
      </c>
      <c r="Z1011" s="3">
        <v>176.95</v>
      </c>
      <c r="AA1011" s="3">
        <v>0</v>
      </c>
    </row>
    <row r="1012" spans="1:27" ht="60.75" x14ac:dyDescent="0.25">
      <c r="A1012" s="3" t="s">
        <v>28</v>
      </c>
      <c r="B1012" s="3" t="s">
        <v>29</v>
      </c>
      <c r="C1012" s="3" t="s">
        <v>30</v>
      </c>
      <c r="D1012" s="3" t="s">
        <v>49</v>
      </c>
      <c r="E1012" s="3" t="s">
        <v>32</v>
      </c>
      <c r="F1012" s="3" t="s">
        <v>71</v>
      </c>
      <c r="G1012" s="3">
        <v>2025</v>
      </c>
      <c r="H1012" s="3" t="str">
        <f>CONCATENATE("54240587508")</f>
        <v>54240587508</v>
      </c>
      <c r="I1012" s="3" t="s">
        <v>34</v>
      </c>
      <c r="J1012" s="3" t="s">
        <v>35</v>
      </c>
      <c r="K1012" s="3"/>
      <c r="L1012" s="3" t="s">
        <v>36</v>
      </c>
      <c r="M1012" s="3" t="str">
        <f>CONCATENATE("ZZIGNN76S06I436J")</f>
        <v>ZZIGNN76S06I436J</v>
      </c>
      <c r="N1012" s="3" t="s">
        <v>1135</v>
      </c>
      <c r="O1012" s="3" t="s">
        <v>38</v>
      </c>
      <c r="P1012" s="3"/>
      <c r="Q1012" s="4">
        <v>45944</v>
      </c>
      <c r="R1012" s="3" t="s">
        <v>39</v>
      </c>
      <c r="S1012" s="3" t="s">
        <v>38</v>
      </c>
      <c r="T1012" s="3" t="s">
        <v>40</v>
      </c>
      <c r="U1012" s="3"/>
      <c r="V1012" s="3" t="s">
        <v>41</v>
      </c>
      <c r="W1012" s="5">
        <v>2030.08</v>
      </c>
      <c r="X1012" s="5">
        <v>1522.56</v>
      </c>
      <c r="Y1012" s="3">
        <v>355.26</v>
      </c>
      <c r="Z1012" s="3">
        <v>152.26</v>
      </c>
      <c r="AA1012" s="3">
        <v>0</v>
      </c>
    </row>
    <row r="1013" spans="1:27" ht="60.75" x14ac:dyDescent="0.25">
      <c r="A1013" s="3" t="s">
        <v>28</v>
      </c>
      <c r="B1013" s="3" t="s">
        <v>29</v>
      </c>
      <c r="C1013" s="3" t="s">
        <v>30</v>
      </c>
      <c r="D1013" s="3" t="s">
        <v>49</v>
      </c>
      <c r="E1013" s="3" t="s">
        <v>91</v>
      </c>
      <c r="F1013" s="3" t="s">
        <v>92</v>
      </c>
      <c r="G1013" s="3">
        <v>2025</v>
      </c>
      <c r="H1013" s="3" t="str">
        <f>CONCATENATE("54240587839")</f>
        <v>54240587839</v>
      </c>
      <c r="I1013" s="3" t="s">
        <v>34</v>
      </c>
      <c r="J1013" s="3" t="s">
        <v>35</v>
      </c>
      <c r="K1013" s="3"/>
      <c r="L1013" s="3" t="s">
        <v>36</v>
      </c>
      <c r="M1013" s="3" t="str">
        <f>CONCATENATE("PGGLCU76P22E783Z")</f>
        <v>PGGLCU76P22E783Z</v>
      </c>
      <c r="N1013" s="3" t="s">
        <v>1136</v>
      </c>
      <c r="O1013" s="3" t="s">
        <v>38</v>
      </c>
      <c r="P1013" s="3"/>
      <c r="Q1013" s="4">
        <v>45944</v>
      </c>
      <c r="R1013" s="3" t="s">
        <v>39</v>
      </c>
      <c r="S1013" s="3" t="s">
        <v>38</v>
      </c>
      <c r="T1013" s="3" t="s">
        <v>40</v>
      </c>
      <c r="U1013" s="3"/>
      <c r="V1013" s="3" t="s">
        <v>41</v>
      </c>
      <c r="W1013" s="5">
        <v>2236.02</v>
      </c>
      <c r="X1013" s="5">
        <v>1677.02</v>
      </c>
      <c r="Y1013" s="3">
        <v>391.3</v>
      </c>
      <c r="Z1013" s="3">
        <v>167.7</v>
      </c>
      <c r="AA1013" s="3">
        <v>0</v>
      </c>
    </row>
    <row r="1014" spans="1:27" ht="60.75" x14ac:dyDescent="0.25">
      <c r="A1014" s="3" t="s">
        <v>28</v>
      </c>
      <c r="B1014" s="3" t="s">
        <v>29</v>
      </c>
      <c r="C1014" s="3" t="s">
        <v>30</v>
      </c>
      <c r="D1014" s="3" t="s">
        <v>58</v>
      </c>
      <c r="E1014" s="3" t="s">
        <v>53</v>
      </c>
      <c r="F1014" s="3" t="s">
        <v>123</v>
      </c>
      <c r="G1014" s="3">
        <v>2025</v>
      </c>
      <c r="H1014" s="3" t="str">
        <f>CONCATENATE("54240587912")</f>
        <v>54240587912</v>
      </c>
      <c r="I1014" s="3" t="s">
        <v>34</v>
      </c>
      <c r="J1014" s="3" t="s">
        <v>35</v>
      </c>
      <c r="K1014" s="3"/>
      <c r="L1014" s="3" t="s">
        <v>36</v>
      </c>
      <c r="M1014" s="3" t="str">
        <f>CONCATENATE("GGLSFN75T24D211V")</f>
        <v>GGLSFN75T24D211V</v>
      </c>
      <c r="N1014" s="3" t="s">
        <v>1137</v>
      </c>
      <c r="O1014" s="3" t="s">
        <v>38</v>
      </c>
      <c r="P1014" s="3"/>
      <c r="Q1014" s="4">
        <v>45944</v>
      </c>
      <c r="R1014" s="3" t="s">
        <v>39</v>
      </c>
      <c r="S1014" s="3" t="s">
        <v>38</v>
      </c>
      <c r="T1014" s="3" t="s">
        <v>40</v>
      </c>
      <c r="U1014" s="3"/>
      <c r="V1014" s="3" t="s">
        <v>41</v>
      </c>
      <c r="W1014" s="5">
        <v>9775.5300000000007</v>
      </c>
      <c r="X1014" s="5">
        <v>7331.65</v>
      </c>
      <c r="Y1014" s="5">
        <v>1710.72</v>
      </c>
      <c r="Z1014" s="3">
        <v>733.16</v>
      </c>
      <c r="AA1014" s="3">
        <v>0</v>
      </c>
    </row>
    <row r="1015" spans="1:27" ht="60.75" x14ac:dyDescent="0.25">
      <c r="A1015" s="3" t="s">
        <v>28</v>
      </c>
      <c r="B1015" s="3" t="s">
        <v>29</v>
      </c>
      <c r="C1015" s="3" t="s">
        <v>30</v>
      </c>
      <c r="D1015" s="3" t="s">
        <v>49</v>
      </c>
      <c r="E1015" s="3" t="s">
        <v>32</v>
      </c>
      <c r="F1015" s="3" t="s">
        <v>71</v>
      </c>
      <c r="G1015" s="3">
        <v>2025</v>
      </c>
      <c r="H1015" s="3" t="str">
        <f>CONCATENATE("54240588217")</f>
        <v>54240588217</v>
      </c>
      <c r="I1015" s="3" t="s">
        <v>34</v>
      </c>
      <c r="J1015" s="3" t="s">
        <v>35</v>
      </c>
      <c r="K1015" s="3"/>
      <c r="L1015" s="3" t="s">
        <v>36</v>
      </c>
      <c r="M1015" s="3" t="str">
        <f>CONCATENATE("BRRGRG94A28I156Q")</f>
        <v>BRRGRG94A28I156Q</v>
      </c>
      <c r="N1015" s="3" t="s">
        <v>1138</v>
      </c>
      <c r="O1015" s="3" t="s">
        <v>38</v>
      </c>
      <c r="P1015" s="3"/>
      <c r="Q1015" s="4">
        <v>45944</v>
      </c>
      <c r="R1015" s="3" t="s">
        <v>39</v>
      </c>
      <c r="S1015" s="3" t="s">
        <v>38</v>
      </c>
      <c r="T1015" s="3" t="s">
        <v>40</v>
      </c>
      <c r="U1015" s="3"/>
      <c r="V1015" s="3" t="s">
        <v>41</v>
      </c>
      <c r="W1015" s="5">
        <v>3291.1</v>
      </c>
      <c r="X1015" s="5">
        <v>2468.33</v>
      </c>
      <c r="Y1015" s="3">
        <v>575.94000000000005</v>
      </c>
      <c r="Z1015" s="3">
        <v>246.83</v>
      </c>
      <c r="AA1015" s="3">
        <v>0</v>
      </c>
    </row>
    <row r="1016" spans="1:27" ht="60.75" x14ac:dyDescent="0.25">
      <c r="A1016" s="3" t="s">
        <v>28</v>
      </c>
      <c r="B1016" s="3" t="s">
        <v>29</v>
      </c>
      <c r="C1016" s="3" t="s">
        <v>30</v>
      </c>
      <c r="D1016" s="3" t="s">
        <v>49</v>
      </c>
      <c r="E1016" s="3" t="s">
        <v>32</v>
      </c>
      <c r="F1016" s="3" t="s">
        <v>78</v>
      </c>
      <c r="G1016" s="3">
        <v>2025</v>
      </c>
      <c r="H1016" s="3" t="str">
        <f>CONCATENATE("54240592573")</f>
        <v>54240592573</v>
      </c>
      <c r="I1016" s="3" t="s">
        <v>34</v>
      </c>
      <c r="J1016" s="3" t="s">
        <v>35</v>
      </c>
      <c r="K1016" s="3"/>
      <c r="L1016" s="3" t="s">
        <v>36</v>
      </c>
      <c r="M1016" s="3" t="str">
        <f>CONCATENATE("PLDFNC39T15I569K")</f>
        <v>PLDFNC39T15I569K</v>
      </c>
      <c r="N1016" s="3" t="s">
        <v>1139</v>
      </c>
      <c r="O1016" s="3" t="s">
        <v>38</v>
      </c>
      <c r="P1016" s="3"/>
      <c r="Q1016" s="4">
        <v>45944</v>
      </c>
      <c r="R1016" s="3" t="s">
        <v>39</v>
      </c>
      <c r="S1016" s="3" t="s">
        <v>38</v>
      </c>
      <c r="T1016" s="3" t="s">
        <v>40</v>
      </c>
      <c r="U1016" s="3"/>
      <c r="V1016" s="3" t="s">
        <v>41</v>
      </c>
      <c r="W1016" s="5">
        <v>9652.01</v>
      </c>
      <c r="X1016" s="5">
        <v>7239.01</v>
      </c>
      <c r="Y1016" s="5">
        <v>1689.1</v>
      </c>
      <c r="Z1016" s="3">
        <v>723.9</v>
      </c>
      <c r="AA1016" s="3">
        <v>0</v>
      </c>
    </row>
    <row r="1017" spans="1:27" ht="60.75" x14ac:dyDescent="0.25">
      <c r="A1017" s="3" t="s">
        <v>28</v>
      </c>
      <c r="B1017" s="3" t="s">
        <v>29</v>
      </c>
      <c r="C1017" s="3" t="s">
        <v>30</v>
      </c>
      <c r="D1017" s="3" t="s">
        <v>63</v>
      </c>
      <c r="E1017" s="3" t="s">
        <v>32</v>
      </c>
      <c r="F1017" s="3" t="s">
        <v>142</v>
      </c>
      <c r="G1017" s="3">
        <v>2025</v>
      </c>
      <c r="H1017" s="3" t="str">
        <f>CONCATENATE("54240589231")</f>
        <v>54240589231</v>
      </c>
      <c r="I1017" s="3" t="s">
        <v>34</v>
      </c>
      <c r="J1017" s="3" t="s">
        <v>35</v>
      </c>
      <c r="K1017" s="3"/>
      <c r="L1017" s="3" t="s">
        <v>36</v>
      </c>
      <c r="M1017" s="3" t="str">
        <f>CONCATENATE("PLMGRG61C01I315Y")</f>
        <v>PLMGRG61C01I315Y</v>
      </c>
      <c r="N1017" s="3" t="s">
        <v>1140</v>
      </c>
      <c r="O1017" s="3" t="s">
        <v>38</v>
      </c>
      <c r="P1017" s="3"/>
      <c r="Q1017" s="4">
        <v>45944</v>
      </c>
      <c r="R1017" s="3" t="s">
        <v>39</v>
      </c>
      <c r="S1017" s="3" t="s">
        <v>38</v>
      </c>
      <c r="T1017" s="3" t="s">
        <v>40</v>
      </c>
      <c r="U1017" s="3"/>
      <c r="V1017" s="3" t="s">
        <v>41</v>
      </c>
      <c r="W1017" s="5">
        <v>7779.68</v>
      </c>
      <c r="X1017" s="5">
        <v>5834.76</v>
      </c>
      <c r="Y1017" s="5">
        <v>1361.44</v>
      </c>
      <c r="Z1017" s="3">
        <v>583.48</v>
      </c>
      <c r="AA1017" s="3">
        <v>0</v>
      </c>
    </row>
    <row r="1018" spans="1:27" ht="60.75" x14ac:dyDescent="0.25">
      <c r="A1018" s="3" t="s">
        <v>28</v>
      </c>
      <c r="B1018" s="3" t="s">
        <v>29</v>
      </c>
      <c r="C1018" s="3" t="s">
        <v>30</v>
      </c>
      <c r="D1018" s="3" t="s">
        <v>49</v>
      </c>
      <c r="E1018" s="3" t="s">
        <v>32</v>
      </c>
      <c r="F1018" s="3" t="s">
        <v>69</v>
      </c>
      <c r="G1018" s="3">
        <v>2025</v>
      </c>
      <c r="H1018" s="3" t="str">
        <f>CONCATENATE("54240589165")</f>
        <v>54240589165</v>
      </c>
      <c r="I1018" s="3" t="s">
        <v>34</v>
      </c>
      <c r="J1018" s="3" t="s">
        <v>35</v>
      </c>
      <c r="K1018" s="3"/>
      <c r="L1018" s="3" t="s">
        <v>36</v>
      </c>
      <c r="M1018" s="3" t="str">
        <f>CONCATENATE("MNNGLC74S07E783T")</f>
        <v>MNNGLC74S07E783T</v>
      </c>
      <c r="N1018" s="3" t="s">
        <v>1141</v>
      </c>
      <c r="O1018" s="3" t="s">
        <v>38</v>
      </c>
      <c r="P1018" s="3"/>
      <c r="Q1018" s="4">
        <v>45944</v>
      </c>
      <c r="R1018" s="3" t="s">
        <v>39</v>
      </c>
      <c r="S1018" s="3" t="s">
        <v>38</v>
      </c>
      <c r="T1018" s="3" t="s">
        <v>40</v>
      </c>
      <c r="U1018" s="3"/>
      <c r="V1018" s="3" t="s">
        <v>41</v>
      </c>
      <c r="W1018" s="5">
        <v>2117.42</v>
      </c>
      <c r="X1018" s="5">
        <v>1588.07</v>
      </c>
      <c r="Y1018" s="3">
        <v>370.55</v>
      </c>
      <c r="Z1018" s="3">
        <v>158.80000000000001</v>
      </c>
      <c r="AA1018" s="3">
        <v>0</v>
      </c>
    </row>
    <row r="1019" spans="1:27" ht="60.75" x14ac:dyDescent="0.25">
      <c r="A1019" s="3" t="s">
        <v>28</v>
      </c>
      <c r="B1019" s="3" t="s">
        <v>29</v>
      </c>
      <c r="C1019" s="3" t="s">
        <v>30</v>
      </c>
      <c r="D1019" s="3" t="s">
        <v>31</v>
      </c>
      <c r="E1019" s="3" t="s">
        <v>53</v>
      </c>
      <c r="F1019" s="3" t="s">
        <v>82</v>
      </c>
      <c r="G1019" s="3">
        <v>2025</v>
      </c>
      <c r="H1019" s="3" t="str">
        <f>CONCATENATE("54240589199")</f>
        <v>54240589199</v>
      </c>
      <c r="I1019" s="3" t="s">
        <v>149</v>
      </c>
      <c r="J1019" s="3" t="s">
        <v>35</v>
      </c>
      <c r="K1019" s="3"/>
      <c r="L1019" s="3" t="s">
        <v>36</v>
      </c>
      <c r="M1019" s="3" t="str">
        <f>CONCATENATE("RCCLCU92T28L500E")</f>
        <v>RCCLCU92T28L500E</v>
      </c>
      <c r="N1019" s="3" t="s">
        <v>1142</v>
      </c>
      <c r="O1019" s="3" t="s">
        <v>38</v>
      </c>
      <c r="P1019" s="3"/>
      <c r="Q1019" s="4">
        <v>45944</v>
      </c>
      <c r="R1019" s="3" t="s">
        <v>39</v>
      </c>
      <c r="S1019" s="3" t="s">
        <v>38</v>
      </c>
      <c r="T1019" s="3" t="s">
        <v>40</v>
      </c>
      <c r="U1019" s="3"/>
      <c r="V1019" s="3" t="s">
        <v>41</v>
      </c>
      <c r="W1019" s="5">
        <v>19239.240000000002</v>
      </c>
      <c r="X1019" s="5">
        <v>14429.43</v>
      </c>
      <c r="Y1019" s="5">
        <v>3366.87</v>
      </c>
      <c r="Z1019" s="5">
        <v>1442.94</v>
      </c>
      <c r="AA1019" s="3">
        <v>0</v>
      </c>
    </row>
    <row r="1020" spans="1:27" ht="36.75" x14ac:dyDescent="0.25">
      <c r="A1020" s="3" t="s">
        <v>28</v>
      </c>
      <c r="B1020" s="3" t="s">
        <v>29</v>
      </c>
      <c r="C1020" s="3" t="s">
        <v>30</v>
      </c>
      <c r="D1020" s="3" t="s">
        <v>49</v>
      </c>
      <c r="E1020" s="3" t="s">
        <v>32</v>
      </c>
      <c r="F1020" s="3" t="s">
        <v>78</v>
      </c>
      <c r="G1020" s="3">
        <v>2025</v>
      </c>
      <c r="H1020" s="3" t="str">
        <f>CONCATENATE("54240589371")</f>
        <v>54240589371</v>
      </c>
      <c r="I1020" s="3" t="s">
        <v>34</v>
      </c>
      <c r="J1020" s="3" t="s">
        <v>35</v>
      </c>
      <c r="K1020" s="3"/>
      <c r="L1020" s="3" t="s">
        <v>36</v>
      </c>
      <c r="M1020" s="3" t="str">
        <f>CONCATENATE("01641480437")</f>
        <v>01641480437</v>
      </c>
      <c r="N1020" s="3" t="s">
        <v>1143</v>
      </c>
      <c r="O1020" s="3" t="s">
        <v>38</v>
      </c>
      <c r="P1020" s="3"/>
      <c r="Q1020" s="4">
        <v>45944</v>
      </c>
      <c r="R1020" s="3" t="s">
        <v>39</v>
      </c>
      <c r="S1020" s="3" t="s">
        <v>38</v>
      </c>
      <c r="T1020" s="3" t="s">
        <v>40</v>
      </c>
      <c r="U1020" s="3"/>
      <c r="V1020" s="3" t="s">
        <v>41</v>
      </c>
      <c r="W1020" s="5">
        <v>4298.05</v>
      </c>
      <c r="X1020" s="5">
        <v>3223.54</v>
      </c>
      <c r="Y1020" s="3">
        <v>752.16</v>
      </c>
      <c r="Z1020" s="3">
        <v>322.35000000000002</v>
      </c>
      <c r="AA1020" s="3">
        <v>0</v>
      </c>
    </row>
    <row r="1021" spans="1:27" ht="36.75" x14ac:dyDescent="0.25">
      <c r="A1021" s="3" t="s">
        <v>28</v>
      </c>
      <c r="B1021" s="3" t="s">
        <v>29</v>
      </c>
      <c r="C1021" s="3" t="s">
        <v>30</v>
      </c>
      <c r="D1021" s="3" t="s">
        <v>58</v>
      </c>
      <c r="E1021" s="3" t="s">
        <v>74</v>
      </c>
      <c r="F1021" s="3" t="s">
        <v>84</v>
      </c>
      <c r="G1021" s="3">
        <v>2025</v>
      </c>
      <c r="H1021" s="3" t="str">
        <f>CONCATENATE("54240589488")</f>
        <v>54240589488</v>
      </c>
      <c r="I1021" s="3" t="s">
        <v>34</v>
      </c>
      <c r="J1021" s="3" t="s">
        <v>35</v>
      </c>
      <c r="K1021" s="3"/>
      <c r="L1021" s="3" t="s">
        <v>36</v>
      </c>
      <c r="M1021" s="3" t="str">
        <f>CONCATENATE("00160550422")</f>
        <v>00160550422</v>
      </c>
      <c r="N1021" s="3" t="s">
        <v>1144</v>
      </c>
      <c r="O1021" s="3" t="s">
        <v>38</v>
      </c>
      <c r="P1021" s="3"/>
      <c r="Q1021" s="4">
        <v>45944</v>
      </c>
      <c r="R1021" s="3" t="s">
        <v>39</v>
      </c>
      <c r="S1021" s="3" t="s">
        <v>38</v>
      </c>
      <c r="T1021" s="3" t="s">
        <v>40</v>
      </c>
      <c r="U1021" s="3"/>
      <c r="V1021" s="3" t="s">
        <v>41</v>
      </c>
      <c r="W1021" s="5">
        <v>8724.15</v>
      </c>
      <c r="X1021" s="5">
        <v>6543.11</v>
      </c>
      <c r="Y1021" s="5">
        <v>1526.73</v>
      </c>
      <c r="Z1021" s="3">
        <v>654.30999999999995</v>
      </c>
      <c r="AA1021" s="3">
        <v>0</v>
      </c>
    </row>
    <row r="1022" spans="1:27" ht="60.75" x14ac:dyDescent="0.25">
      <c r="A1022" s="3" t="s">
        <v>28</v>
      </c>
      <c r="B1022" s="3" t="s">
        <v>29</v>
      </c>
      <c r="C1022" s="3" t="s">
        <v>30</v>
      </c>
      <c r="D1022" s="3" t="s">
        <v>49</v>
      </c>
      <c r="E1022" s="3" t="s">
        <v>32</v>
      </c>
      <c r="F1022" s="3" t="s">
        <v>86</v>
      </c>
      <c r="G1022" s="3">
        <v>2025</v>
      </c>
      <c r="H1022" s="3" t="str">
        <f>CONCATENATE("54240590445")</f>
        <v>54240590445</v>
      </c>
      <c r="I1022" s="3" t="s">
        <v>34</v>
      </c>
      <c r="J1022" s="3" t="s">
        <v>35</v>
      </c>
      <c r="K1022" s="3"/>
      <c r="L1022" s="3" t="s">
        <v>36</v>
      </c>
      <c r="M1022" s="3" t="str">
        <f>CONCATENATE("ZGGPLB66S30I156Z")</f>
        <v>ZGGPLB66S30I156Z</v>
      </c>
      <c r="N1022" s="3" t="s">
        <v>1145</v>
      </c>
      <c r="O1022" s="3" t="s">
        <v>38</v>
      </c>
      <c r="P1022" s="3"/>
      <c r="Q1022" s="4">
        <v>45944</v>
      </c>
      <c r="R1022" s="3" t="s">
        <v>39</v>
      </c>
      <c r="S1022" s="3" t="s">
        <v>38</v>
      </c>
      <c r="T1022" s="3" t="s">
        <v>40</v>
      </c>
      <c r="U1022" s="3"/>
      <c r="V1022" s="3" t="s">
        <v>41</v>
      </c>
      <c r="W1022" s="5">
        <v>9454.7900000000009</v>
      </c>
      <c r="X1022" s="5">
        <v>7091.09</v>
      </c>
      <c r="Y1022" s="5">
        <v>1654.59</v>
      </c>
      <c r="Z1022" s="3">
        <v>709.11</v>
      </c>
      <c r="AA1022" s="3">
        <v>0</v>
      </c>
    </row>
    <row r="1023" spans="1:27" ht="60.75" x14ac:dyDescent="0.25">
      <c r="A1023" s="3" t="s">
        <v>28</v>
      </c>
      <c r="B1023" s="3" t="s">
        <v>29</v>
      </c>
      <c r="C1023" s="3" t="s">
        <v>30</v>
      </c>
      <c r="D1023" s="3" t="s">
        <v>31</v>
      </c>
      <c r="E1023" s="3" t="s">
        <v>53</v>
      </c>
      <c r="F1023" s="3" t="s">
        <v>82</v>
      </c>
      <c r="G1023" s="3">
        <v>2025</v>
      </c>
      <c r="H1023" s="3" t="str">
        <f>CONCATENATE("54240591062")</f>
        <v>54240591062</v>
      </c>
      <c r="I1023" s="3" t="s">
        <v>34</v>
      </c>
      <c r="J1023" s="3" t="s">
        <v>35</v>
      </c>
      <c r="K1023" s="3"/>
      <c r="L1023" s="3" t="s">
        <v>36</v>
      </c>
      <c r="M1023" s="3" t="str">
        <f>CONCATENATE("RTNGNN64L17G514A")</f>
        <v>RTNGNN64L17G514A</v>
      </c>
      <c r="N1023" s="3" t="s">
        <v>1146</v>
      </c>
      <c r="O1023" s="3" t="s">
        <v>38</v>
      </c>
      <c r="P1023" s="3"/>
      <c r="Q1023" s="4">
        <v>45944</v>
      </c>
      <c r="R1023" s="3" t="s">
        <v>39</v>
      </c>
      <c r="S1023" s="3" t="s">
        <v>38</v>
      </c>
      <c r="T1023" s="3" t="s">
        <v>40</v>
      </c>
      <c r="U1023" s="3"/>
      <c r="V1023" s="3" t="s">
        <v>41</v>
      </c>
      <c r="W1023" s="5">
        <v>1749.81</v>
      </c>
      <c r="X1023" s="5">
        <v>1312.36</v>
      </c>
      <c r="Y1023" s="3">
        <v>306.22000000000003</v>
      </c>
      <c r="Z1023" s="3">
        <v>131.22999999999999</v>
      </c>
      <c r="AA1023" s="3">
        <v>0</v>
      </c>
    </row>
    <row r="1024" spans="1:27" ht="36.75" x14ac:dyDescent="0.25">
      <c r="A1024" s="3" t="s">
        <v>28</v>
      </c>
      <c r="B1024" s="3" t="s">
        <v>29</v>
      </c>
      <c r="C1024" s="3" t="s">
        <v>30</v>
      </c>
      <c r="D1024" s="3" t="s">
        <v>58</v>
      </c>
      <c r="E1024" s="3" t="s">
        <v>32</v>
      </c>
      <c r="F1024" s="3" t="s">
        <v>102</v>
      </c>
      <c r="G1024" s="3">
        <v>2025</v>
      </c>
      <c r="H1024" s="3" t="str">
        <f>CONCATENATE("54240591104")</f>
        <v>54240591104</v>
      </c>
      <c r="I1024" s="3" t="s">
        <v>34</v>
      </c>
      <c r="J1024" s="3" t="s">
        <v>35</v>
      </c>
      <c r="K1024" s="3"/>
      <c r="L1024" s="3" t="s">
        <v>36</v>
      </c>
      <c r="M1024" s="3" t="str">
        <f>CONCATENATE("02781570425")</f>
        <v>02781570425</v>
      </c>
      <c r="N1024" s="3" t="s">
        <v>1147</v>
      </c>
      <c r="O1024" s="3" t="s">
        <v>38</v>
      </c>
      <c r="P1024" s="3"/>
      <c r="Q1024" s="4">
        <v>45944</v>
      </c>
      <c r="R1024" s="3" t="s">
        <v>39</v>
      </c>
      <c r="S1024" s="3" t="s">
        <v>38</v>
      </c>
      <c r="T1024" s="3" t="s">
        <v>40</v>
      </c>
      <c r="U1024" s="3"/>
      <c r="V1024" s="3" t="s">
        <v>41</v>
      </c>
      <c r="W1024" s="5">
        <v>6654.89</v>
      </c>
      <c r="X1024" s="5">
        <v>4991.17</v>
      </c>
      <c r="Y1024" s="5">
        <v>1164.6099999999999</v>
      </c>
      <c r="Z1024" s="3">
        <v>499.11</v>
      </c>
      <c r="AA1024" s="3">
        <v>0</v>
      </c>
    </row>
    <row r="1025" spans="1:27" ht="36.75" x14ac:dyDescent="0.25">
      <c r="A1025" s="3" t="s">
        <v>28</v>
      </c>
      <c r="B1025" s="3" t="s">
        <v>29</v>
      </c>
      <c r="C1025" s="3" t="s">
        <v>30</v>
      </c>
      <c r="D1025" s="3" t="s">
        <v>31</v>
      </c>
      <c r="E1025" s="3" t="s">
        <v>91</v>
      </c>
      <c r="F1025" s="3" t="s">
        <v>111</v>
      </c>
      <c r="G1025" s="3">
        <v>2025</v>
      </c>
      <c r="H1025" s="3" t="str">
        <f>CONCATENATE("54240627932")</f>
        <v>54240627932</v>
      </c>
      <c r="I1025" s="3" t="s">
        <v>34</v>
      </c>
      <c r="J1025" s="3" t="s">
        <v>35</v>
      </c>
      <c r="K1025" s="3"/>
      <c r="L1025" s="3" t="s">
        <v>36</v>
      </c>
      <c r="M1025" s="3" t="str">
        <f>CONCATENATE("00346350416")</f>
        <v>00346350416</v>
      </c>
      <c r="N1025" s="3" t="s">
        <v>1148</v>
      </c>
      <c r="O1025" s="3" t="s">
        <v>38</v>
      </c>
      <c r="P1025" s="3"/>
      <c r="Q1025" s="4">
        <v>45944</v>
      </c>
      <c r="R1025" s="3" t="s">
        <v>39</v>
      </c>
      <c r="S1025" s="3" t="s">
        <v>38</v>
      </c>
      <c r="T1025" s="3" t="s">
        <v>40</v>
      </c>
      <c r="U1025" s="3"/>
      <c r="V1025" s="3" t="s">
        <v>41</v>
      </c>
      <c r="W1025" s="5">
        <v>3879.94</v>
      </c>
      <c r="X1025" s="5">
        <v>2909.96</v>
      </c>
      <c r="Y1025" s="3">
        <v>678.99</v>
      </c>
      <c r="Z1025" s="3">
        <v>290.99</v>
      </c>
      <c r="AA1025" s="3">
        <v>0</v>
      </c>
    </row>
    <row r="1026" spans="1:27" ht="60.75" x14ac:dyDescent="0.25">
      <c r="A1026" s="3" t="s">
        <v>28</v>
      </c>
      <c r="B1026" s="3" t="s">
        <v>29</v>
      </c>
      <c r="C1026" s="3" t="s">
        <v>30</v>
      </c>
      <c r="D1026" s="3" t="s">
        <v>49</v>
      </c>
      <c r="E1026" s="3" t="s">
        <v>53</v>
      </c>
      <c r="F1026" s="3" t="s">
        <v>136</v>
      </c>
      <c r="G1026" s="3">
        <v>2025</v>
      </c>
      <c r="H1026" s="3" t="str">
        <f>CONCATENATE("54240563632")</f>
        <v>54240563632</v>
      </c>
      <c r="I1026" s="3" t="s">
        <v>34</v>
      </c>
      <c r="J1026" s="3" t="s">
        <v>35</v>
      </c>
      <c r="K1026" s="3"/>
      <c r="L1026" s="3" t="s">
        <v>36</v>
      </c>
      <c r="M1026" s="3" t="str">
        <f>CONCATENATE("RFFGLI91D70I608T")</f>
        <v>RFFGLI91D70I608T</v>
      </c>
      <c r="N1026" s="3" t="s">
        <v>1149</v>
      </c>
      <c r="O1026" s="3" t="s">
        <v>38</v>
      </c>
      <c r="P1026" s="3"/>
      <c r="Q1026" s="4">
        <v>45944</v>
      </c>
      <c r="R1026" s="3" t="s">
        <v>39</v>
      </c>
      <c r="S1026" s="3" t="s">
        <v>38</v>
      </c>
      <c r="T1026" s="3" t="s">
        <v>40</v>
      </c>
      <c r="U1026" s="3"/>
      <c r="V1026" s="3" t="s">
        <v>41</v>
      </c>
      <c r="W1026" s="5">
        <v>11130.8</v>
      </c>
      <c r="X1026" s="5">
        <v>8348.1</v>
      </c>
      <c r="Y1026" s="5">
        <v>1947.89</v>
      </c>
      <c r="Z1026" s="3">
        <v>834.81</v>
      </c>
      <c r="AA1026" s="3">
        <v>0</v>
      </c>
    </row>
    <row r="1027" spans="1:27" ht="36.75" x14ac:dyDescent="0.25">
      <c r="A1027" s="3" t="s">
        <v>28</v>
      </c>
      <c r="B1027" s="3" t="s">
        <v>29</v>
      </c>
      <c r="C1027" s="3" t="s">
        <v>30</v>
      </c>
      <c r="D1027" s="3" t="s">
        <v>49</v>
      </c>
      <c r="E1027" s="3" t="s">
        <v>46</v>
      </c>
      <c r="F1027" s="3" t="s">
        <v>129</v>
      </c>
      <c r="G1027" s="3">
        <v>2025</v>
      </c>
      <c r="H1027" s="3" t="str">
        <f>CONCATENATE("54240563343")</f>
        <v>54240563343</v>
      </c>
      <c r="I1027" s="3" t="s">
        <v>34</v>
      </c>
      <c r="J1027" s="3" t="s">
        <v>35</v>
      </c>
      <c r="K1027" s="3"/>
      <c r="L1027" s="3" t="s">
        <v>36</v>
      </c>
      <c r="M1027" s="3" t="str">
        <f>CONCATENATE("00751340431")</f>
        <v>00751340431</v>
      </c>
      <c r="N1027" s="3" t="s">
        <v>1150</v>
      </c>
      <c r="O1027" s="3" t="s">
        <v>38</v>
      </c>
      <c r="P1027" s="3"/>
      <c r="Q1027" s="4">
        <v>45944</v>
      </c>
      <c r="R1027" s="3" t="s">
        <v>39</v>
      </c>
      <c r="S1027" s="3" t="s">
        <v>38</v>
      </c>
      <c r="T1027" s="3" t="s">
        <v>40</v>
      </c>
      <c r="U1027" s="3"/>
      <c r="V1027" s="3" t="s">
        <v>41</v>
      </c>
      <c r="W1027" s="3">
        <v>646.82000000000005</v>
      </c>
      <c r="X1027" s="3">
        <v>485.12</v>
      </c>
      <c r="Y1027" s="3">
        <v>113.19</v>
      </c>
      <c r="Z1027" s="3">
        <v>48.51</v>
      </c>
      <c r="AA1027" s="3">
        <v>0</v>
      </c>
    </row>
    <row r="1028" spans="1:27" ht="60.75" x14ac:dyDescent="0.25">
      <c r="A1028" s="3" t="s">
        <v>28</v>
      </c>
      <c r="B1028" s="3" t="s">
        <v>29</v>
      </c>
      <c r="C1028" s="3" t="s">
        <v>30</v>
      </c>
      <c r="D1028" s="3" t="s">
        <v>58</v>
      </c>
      <c r="E1028" s="3" t="s">
        <v>32</v>
      </c>
      <c r="F1028" s="3" t="s">
        <v>1151</v>
      </c>
      <c r="G1028" s="3">
        <v>2025</v>
      </c>
      <c r="H1028" s="3" t="str">
        <f>CONCATENATE("54240563848")</f>
        <v>54240563848</v>
      </c>
      <c r="I1028" s="3" t="s">
        <v>34</v>
      </c>
      <c r="J1028" s="3" t="s">
        <v>35</v>
      </c>
      <c r="K1028" s="3"/>
      <c r="L1028" s="3" t="s">
        <v>36</v>
      </c>
      <c r="M1028" s="3" t="str">
        <f>CONCATENATE("RMZNDR65S21A271W")</f>
        <v>RMZNDR65S21A271W</v>
      </c>
      <c r="N1028" s="3" t="s">
        <v>1152</v>
      </c>
      <c r="O1028" s="3" t="s">
        <v>38</v>
      </c>
      <c r="P1028" s="3"/>
      <c r="Q1028" s="4">
        <v>45944</v>
      </c>
      <c r="R1028" s="3" t="s">
        <v>39</v>
      </c>
      <c r="S1028" s="3" t="s">
        <v>38</v>
      </c>
      <c r="T1028" s="3" t="s">
        <v>40</v>
      </c>
      <c r="U1028" s="3"/>
      <c r="V1028" s="3" t="s">
        <v>41</v>
      </c>
      <c r="W1028" s="3">
        <v>797.28</v>
      </c>
      <c r="X1028" s="3">
        <v>597.96</v>
      </c>
      <c r="Y1028" s="3">
        <v>139.52000000000001</v>
      </c>
      <c r="Z1028" s="3">
        <v>59.8</v>
      </c>
      <c r="AA1028" s="3">
        <v>0</v>
      </c>
    </row>
    <row r="1029" spans="1:27" ht="60.75" x14ac:dyDescent="0.25">
      <c r="A1029" s="3" t="s">
        <v>28</v>
      </c>
      <c r="B1029" s="3" t="s">
        <v>29</v>
      </c>
      <c r="C1029" s="3" t="s">
        <v>30</v>
      </c>
      <c r="D1029" s="3" t="s">
        <v>31</v>
      </c>
      <c r="E1029" s="3" t="s">
        <v>32</v>
      </c>
      <c r="F1029" s="3" t="s">
        <v>153</v>
      </c>
      <c r="G1029" s="3">
        <v>2025</v>
      </c>
      <c r="H1029" s="3" t="str">
        <f>CONCATENATE("54240564226")</f>
        <v>54240564226</v>
      </c>
      <c r="I1029" s="3" t="s">
        <v>34</v>
      </c>
      <c r="J1029" s="3" t="s">
        <v>35</v>
      </c>
      <c r="K1029" s="3"/>
      <c r="L1029" s="3" t="s">
        <v>36</v>
      </c>
      <c r="M1029" s="3" t="str">
        <f>CONCATENATE("GRRFNN58E65D749Q")</f>
        <v>GRRFNN58E65D749Q</v>
      </c>
      <c r="N1029" s="3" t="s">
        <v>1153</v>
      </c>
      <c r="O1029" s="3" t="s">
        <v>38</v>
      </c>
      <c r="P1029" s="3"/>
      <c r="Q1029" s="4">
        <v>45944</v>
      </c>
      <c r="R1029" s="3" t="s">
        <v>39</v>
      </c>
      <c r="S1029" s="3" t="s">
        <v>38</v>
      </c>
      <c r="T1029" s="3" t="s">
        <v>40</v>
      </c>
      <c r="U1029" s="3"/>
      <c r="V1029" s="3" t="s">
        <v>41</v>
      </c>
      <c r="W1029" s="5">
        <v>7523.71</v>
      </c>
      <c r="X1029" s="5">
        <v>5642.78</v>
      </c>
      <c r="Y1029" s="5">
        <v>1316.65</v>
      </c>
      <c r="Z1029" s="3">
        <v>564.28</v>
      </c>
      <c r="AA1029" s="3">
        <v>0</v>
      </c>
    </row>
    <row r="1030" spans="1:27" ht="36.75" x14ac:dyDescent="0.25">
      <c r="A1030" s="3" t="s">
        <v>28</v>
      </c>
      <c r="B1030" s="3" t="s">
        <v>29</v>
      </c>
      <c r="C1030" s="3" t="s">
        <v>30</v>
      </c>
      <c r="D1030" s="3" t="s">
        <v>63</v>
      </c>
      <c r="E1030" s="3" t="s">
        <v>145</v>
      </c>
      <c r="F1030" s="3" t="s">
        <v>260</v>
      </c>
      <c r="G1030" s="3">
        <v>2025</v>
      </c>
      <c r="H1030" s="3" t="str">
        <f>CONCATENATE("54240575818")</f>
        <v>54240575818</v>
      </c>
      <c r="I1030" s="3" t="s">
        <v>34</v>
      </c>
      <c r="J1030" s="3" t="s">
        <v>35</v>
      </c>
      <c r="K1030" s="3"/>
      <c r="L1030" s="3" t="s">
        <v>36</v>
      </c>
      <c r="M1030" s="3" t="str">
        <f>CONCATENATE("01453120436")</f>
        <v>01453120436</v>
      </c>
      <c r="N1030" s="3" t="s">
        <v>1154</v>
      </c>
      <c r="O1030" s="3" t="s">
        <v>38</v>
      </c>
      <c r="P1030" s="3"/>
      <c r="Q1030" s="4">
        <v>45944</v>
      </c>
      <c r="R1030" s="3" t="s">
        <v>39</v>
      </c>
      <c r="S1030" s="3" t="s">
        <v>38</v>
      </c>
      <c r="T1030" s="3" t="s">
        <v>40</v>
      </c>
      <c r="U1030" s="3"/>
      <c r="V1030" s="3" t="s">
        <v>41</v>
      </c>
      <c r="W1030" s="5">
        <v>1736.53</v>
      </c>
      <c r="X1030" s="5">
        <v>1302.4000000000001</v>
      </c>
      <c r="Y1030" s="3">
        <v>303.89</v>
      </c>
      <c r="Z1030" s="3">
        <v>130.24</v>
      </c>
      <c r="AA1030" s="3">
        <v>0</v>
      </c>
    </row>
    <row r="1031" spans="1:27" ht="36.75" x14ac:dyDescent="0.25">
      <c r="A1031" s="3" t="s">
        <v>28</v>
      </c>
      <c r="B1031" s="3" t="s">
        <v>29</v>
      </c>
      <c r="C1031" s="3" t="s">
        <v>30</v>
      </c>
      <c r="D1031" s="3" t="s">
        <v>63</v>
      </c>
      <c r="E1031" s="3" t="s">
        <v>145</v>
      </c>
      <c r="F1031" s="3" t="s">
        <v>260</v>
      </c>
      <c r="G1031" s="3">
        <v>2025</v>
      </c>
      <c r="H1031" s="3" t="str">
        <f>CONCATENATE("54240605490")</f>
        <v>54240605490</v>
      </c>
      <c r="I1031" s="3" t="s">
        <v>34</v>
      </c>
      <c r="J1031" s="3" t="s">
        <v>35</v>
      </c>
      <c r="K1031" s="3"/>
      <c r="L1031" s="3" t="s">
        <v>36</v>
      </c>
      <c r="M1031" s="3" t="str">
        <f>CONCATENATE("02181370442")</f>
        <v>02181370442</v>
      </c>
      <c r="N1031" s="3" t="s">
        <v>1155</v>
      </c>
      <c r="O1031" s="3" t="s">
        <v>38</v>
      </c>
      <c r="P1031" s="3"/>
      <c r="Q1031" s="4">
        <v>45944</v>
      </c>
      <c r="R1031" s="3" t="s">
        <v>39</v>
      </c>
      <c r="S1031" s="3" t="s">
        <v>38</v>
      </c>
      <c r="T1031" s="3" t="s">
        <v>40</v>
      </c>
      <c r="U1031" s="3"/>
      <c r="V1031" s="3" t="s">
        <v>41</v>
      </c>
      <c r="W1031" s="5">
        <v>6013.44</v>
      </c>
      <c r="X1031" s="5">
        <v>4510.08</v>
      </c>
      <c r="Y1031" s="5">
        <v>1052.3499999999999</v>
      </c>
      <c r="Z1031" s="3">
        <v>451.01</v>
      </c>
      <c r="AA1031" s="3">
        <v>0</v>
      </c>
    </row>
    <row r="1032" spans="1:27" ht="36.75" x14ac:dyDescent="0.25">
      <c r="A1032" s="3" t="s">
        <v>28</v>
      </c>
      <c r="B1032" s="3" t="s">
        <v>29</v>
      </c>
      <c r="C1032" s="3" t="s">
        <v>30</v>
      </c>
      <c r="D1032" s="3" t="s">
        <v>58</v>
      </c>
      <c r="E1032" s="3" t="s">
        <v>32</v>
      </c>
      <c r="F1032" s="3" t="s">
        <v>100</v>
      </c>
      <c r="G1032" s="3">
        <v>2025</v>
      </c>
      <c r="H1032" s="3" t="str">
        <f>CONCATENATE("54240564762")</f>
        <v>54240564762</v>
      </c>
      <c r="I1032" s="3" t="s">
        <v>34</v>
      </c>
      <c r="J1032" s="3" t="s">
        <v>35</v>
      </c>
      <c r="K1032" s="3"/>
      <c r="L1032" s="3" t="s">
        <v>36</v>
      </c>
      <c r="M1032" s="3" t="str">
        <f>CONCATENATE("01310430424")</f>
        <v>01310430424</v>
      </c>
      <c r="N1032" s="3" t="s">
        <v>1156</v>
      </c>
      <c r="O1032" s="3" t="s">
        <v>38</v>
      </c>
      <c r="P1032" s="3"/>
      <c r="Q1032" s="4">
        <v>45944</v>
      </c>
      <c r="R1032" s="3" t="s">
        <v>39</v>
      </c>
      <c r="S1032" s="3" t="s">
        <v>38</v>
      </c>
      <c r="T1032" s="3" t="s">
        <v>40</v>
      </c>
      <c r="U1032" s="3"/>
      <c r="V1032" s="3" t="s">
        <v>41</v>
      </c>
      <c r="W1032" s="5">
        <v>8934.77</v>
      </c>
      <c r="X1032" s="5">
        <v>6701.08</v>
      </c>
      <c r="Y1032" s="5">
        <v>1563.58</v>
      </c>
      <c r="Z1032" s="3">
        <v>670.11</v>
      </c>
      <c r="AA1032" s="3">
        <v>0</v>
      </c>
    </row>
    <row r="1033" spans="1:27" ht="60.75" x14ac:dyDescent="0.25">
      <c r="A1033" s="3" t="s">
        <v>28</v>
      </c>
      <c r="B1033" s="3" t="s">
        <v>29</v>
      </c>
      <c r="C1033" s="3" t="s">
        <v>30</v>
      </c>
      <c r="D1033" s="3" t="s">
        <v>49</v>
      </c>
      <c r="E1033" s="3" t="s">
        <v>91</v>
      </c>
      <c r="F1033" s="3" t="s">
        <v>92</v>
      </c>
      <c r="G1033" s="3">
        <v>2025</v>
      </c>
      <c r="H1033" s="3" t="str">
        <f>CONCATENATE("54240564341")</f>
        <v>54240564341</v>
      </c>
      <c r="I1033" s="3" t="s">
        <v>34</v>
      </c>
      <c r="J1033" s="3" t="s">
        <v>35</v>
      </c>
      <c r="K1033" s="3"/>
      <c r="L1033" s="3" t="s">
        <v>36</v>
      </c>
      <c r="M1033" s="3" t="str">
        <f>CONCATENATE("CRVGLC98S13C770Q")</f>
        <v>CRVGLC98S13C770Q</v>
      </c>
      <c r="N1033" s="3" t="s">
        <v>1157</v>
      </c>
      <c r="O1033" s="3" t="s">
        <v>38</v>
      </c>
      <c r="P1033" s="3"/>
      <c r="Q1033" s="4">
        <v>45944</v>
      </c>
      <c r="R1033" s="3" t="s">
        <v>39</v>
      </c>
      <c r="S1033" s="3" t="s">
        <v>38</v>
      </c>
      <c r="T1033" s="3" t="s">
        <v>40</v>
      </c>
      <c r="U1033" s="3"/>
      <c r="V1033" s="3" t="s">
        <v>41</v>
      </c>
      <c r="W1033" s="3">
        <v>948.16</v>
      </c>
      <c r="X1033" s="3">
        <v>711.12</v>
      </c>
      <c r="Y1033" s="3">
        <v>165.93</v>
      </c>
      <c r="Z1033" s="3">
        <v>71.11</v>
      </c>
      <c r="AA1033" s="3">
        <v>0</v>
      </c>
    </row>
    <row r="1034" spans="1:27" ht="60.75" x14ac:dyDescent="0.25">
      <c r="A1034" s="3" t="s">
        <v>28</v>
      </c>
      <c r="B1034" s="3" t="s">
        <v>29</v>
      </c>
      <c r="C1034" s="3" t="s">
        <v>30</v>
      </c>
      <c r="D1034" s="3" t="s">
        <v>49</v>
      </c>
      <c r="E1034" s="3" t="s">
        <v>32</v>
      </c>
      <c r="F1034" s="3" t="s">
        <v>71</v>
      </c>
      <c r="G1034" s="3">
        <v>2025</v>
      </c>
      <c r="H1034" s="3" t="str">
        <f>CONCATENATE("54240565967")</f>
        <v>54240565967</v>
      </c>
      <c r="I1034" s="3" t="s">
        <v>34</v>
      </c>
      <c r="J1034" s="3" t="s">
        <v>35</v>
      </c>
      <c r="K1034" s="3"/>
      <c r="L1034" s="3" t="s">
        <v>36</v>
      </c>
      <c r="M1034" s="3" t="str">
        <f>CONCATENATE("RFFMSL60A54C886F")</f>
        <v>RFFMSL60A54C886F</v>
      </c>
      <c r="N1034" s="3" t="s">
        <v>1158</v>
      </c>
      <c r="O1034" s="3" t="s">
        <v>38</v>
      </c>
      <c r="P1034" s="3"/>
      <c r="Q1034" s="4">
        <v>45944</v>
      </c>
      <c r="R1034" s="3" t="s">
        <v>39</v>
      </c>
      <c r="S1034" s="3" t="s">
        <v>38</v>
      </c>
      <c r="T1034" s="3" t="s">
        <v>40</v>
      </c>
      <c r="U1034" s="3"/>
      <c r="V1034" s="3" t="s">
        <v>41</v>
      </c>
      <c r="W1034" s="5">
        <v>3773.48</v>
      </c>
      <c r="X1034" s="5">
        <v>2830.11</v>
      </c>
      <c r="Y1034" s="3">
        <v>660.36</v>
      </c>
      <c r="Z1034" s="3">
        <v>283.01</v>
      </c>
      <c r="AA1034" s="3">
        <v>0</v>
      </c>
    </row>
    <row r="1035" spans="1:27" ht="60.75" x14ac:dyDescent="0.25">
      <c r="A1035" s="3" t="s">
        <v>28</v>
      </c>
      <c r="B1035" s="3" t="s">
        <v>29</v>
      </c>
      <c r="C1035" s="3" t="s">
        <v>30</v>
      </c>
      <c r="D1035" s="3" t="s">
        <v>31</v>
      </c>
      <c r="E1035" s="3" t="s">
        <v>53</v>
      </c>
      <c r="F1035" s="3" t="s">
        <v>82</v>
      </c>
      <c r="G1035" s="3">
        <v>2025</v>
      </c>
      <c r="H1035" s="3" t="str">
        <f>CONCATENATE("54240564515")</f>
        <v>54240564515</v>
      </c>
      <c r="I1035" s="3" t="s">
        <v>34</v>
      </c>
      <c r="J1035" s="3" t="s">
        <v>35</v>
      </c>
      <c r="K1035" s="3"/>
      <c r="L1035" s="3" t="s">
        <v>36</v>
      </c>
      <c r="M1035" s="3" t="str">
        <f>CONCATENATE("FDDMCH54M25A895I")</f>
        <v>FDDMCH54M25A895I</v>
      </c>
      <c r="N1035" s="3" t="s">
        <v>1159</v>
      </c>
      <c r="O1035" s="3" t="s">
        <v>38</v>
      </c>
      <c r="P1035" s="3"/>
      <c r="Q1035" s="4">
        <v>45944</v>
      </c>
      <c r="R1035" s="3" t="s">
        <v>39</v>
      </c>
      <c r="S1035" s="3" t="s">
        <v>38</v>
      </c>
      <c r="T1035" s="3" t="s">
        <v>40</v>
      </c>
      <c r="U1035" s="3"/>
      <c r="V1035" s="3" t="s">
        <v>41</v>
      </c>
      <c r="W1035" s="5">
        <v>8449.33</v>
      </c>
      <c r="X1035" s="5">
        <v>6337</v>
      </c>
      <c r="Y1035" s="5">
        <v>1478.63</v>
      </c>
      <c r="Z1035" s="3">
        <v>633.70000000000005</v>
      </c>
      <c r="AA1035" s="3">
        <v>0</v>
      </c>
    </row>
    <row r="1036" spans="1:27" ht="72.75" x14ac:dyDescent="0.25">
      <c r="A1036" s="3" t="s">
        <v>28</v>
      </c>
      <c r="B1036" s="3" t="s">
        <v>29</v>
      </c>
      <c r="C1036" s="3" t="s">
        <v>30</v>
      </c>
      <c r="D1036" s="3" t="s">
        <v>63</v>
      </c>
      <c r="E1036" s="3" t="s">
        <v>32</v>
      </c>
      <c r="F1036" s="3" t="s">
        <v>158</v>
      </c>
      <c r="G1036" s="3">
        <v>2025</v>
      </c>
      <c r="H1036" s="3" t="str">
        <f>CONCATENATE("54240564598")</f>
        <v>54240564598</v>
      </c>
      <c r="I1036" s="3" t="s">
        <v>34</v>
      </c>
      <c r="J1036" s="3" t="s">
        <v>35</v>
      </c>
      <c r="K1036" s="3"/>
      <c r="L1036" s="3" t="s">
        <v>36</v>
      </c>
      <c r="M1036" s="3" t="str">
        <f>CONCATENATE("MRCSFN74M23H769B")</f>
        <v>MRCSFN74M23H769B</v>
      </c>
      <c r="N1036" s="3" t="s">
        <v>1160</v>
      </c>
      <c r="O1036" s="3" t="s">
        <v>38</v>
      </c>
      <c r="P1036" s="3"/>
      <c r="Q1036" s="4">
        <v>45944</v>
      </c>
      <c r="R1036" s="3" t="s">
        <v>39</v>
      </c>
      <c r="S1036" s="3" t="s">
        <v>38</v>
      </c>
      <c r="T1036" s="3" t="s">
        <v>40</v>
      </c>
      <c r="U1036" s="3"/>
      <c r="V1036" s="3" t="s">
        <v>41</v>
      </c>
      <c r="W1036" s="5">
        <v>2348.4</v>
      </c>
      <c r="X1036" s="5">
        <v>1761.3</v>
      </c>
      <c r="Y1036" s="3">
        <v>410.97</v>
      </c>
      <c r="Z1036" s="3">
        <v>176.13</v>
      </c>
      <c r="AA1036" s="3">
        <v>0</v>
      </c>
    </row>
    <row r="1037" spans="1:27" ht="60.75" x14ac:dyDescent="0.25">
      <c r="A1037" s="3" t="s">
        <v>28</v>
      </c>
      <c r="B1037" s="3" t="s">
        <v>29</v>
      </c>
      <c r="C1037" s="3" t="s">
        <v>30</v>
      </c>
      <c r="D1037" s="3" t="s">
        <v>63</v>
      </c>
      <c r="E1037" s="3" t="s">
        <v>145</v>
      </c>
      <c r="F1037" s="3" t="s">
        <v>260</v>
      </c>
      <c r="G1037" s="3">
        <v>2025</v>
      </c>
      <c r="H1037" s="3" t="str">
        <f>CONCATENATE("54240613809")</f>
        <v>54240613809</v>
      </c>
      <c r="I1037" s="3" t="s">
        <v>34</v>
      </c>
      <c r="J1037" s="3" t="s">
        <v>35</v>
      </c>
      <c r="K1037" s="3"/>
      <c r="L1037" s="3" t="s">
        <v>36</v>
      </c>
      <c r="M1037" s="3" t="str">
        <f>CONCATENATE("SLNSMN73P26E783M")</f>
        <v>SLNSMN73P26E783M</v>
      </c>
      <c r="N1037" s="3" t="s">
        <v>1161</v>
      </c>
      <c r="O1037" s="3" t="s">
        <v>38</v>
      </c>
      <c r="P1037" s="3"/>
      <c r="Q1037" s="4">
        <v>45944</v>
      </c>
      <c r="R1037" s="3" t="s">
        <v>39</v>
      </c>
      <c r="S1037" s="3" t="s">
        <v>38</v>
      </c>
      <c r="T1037" s="3" t="s">
        <v>40</v>
      </c>
      <c r="U1037" s="3"/>
      <c r="V1037" s="3" t="s">
        <v>41</v>
      </c>
      <c r="W1037" s="3">
        <v>701.08</v>
      </c>
      <c r="X1037" s="3">
        <v>525.80999999999995</v>
      </c>
      <c r="Y1037" s="3">
        <v>122.69</v>
      </c>
      <c r="Z1037" s="3">
        <v>52.58</v>
      </c>
      <c r="AA1037" s="3">
        <v>0</v>
      </c>
    </row>
    <row r="1038" spans="1:27" ht="60.75" x14ac:dyDescent="0.25">
      <c r="A1038" s="3" t="s">
        <v>28</v>
      </c>
      <c r="B1038" s="3" t="s">
        <v>29</v>
      </c>
      <c r="C1038" s="3" t="s">
        <v>30</v>
      </c>
      <c r="D1038" s="3" t="s">
        <v>49</v>
      </c>
      <c r="E1038" s="3" t="s">
        <v>46</v>
      </c>
      <c r="F1038" s="3" t="s">
        <v>129</v>
      </c>
      <c r="G1038" s="3">
        <v>2025</v>
      </c>
      <c r="H1038" s="3" t="str">
        <f>CONCATENATE("54240565314")</f>
        <v>54240565314</v>
      </c>
      <c r="I1038" s="3" t="s">
        <v>34</v>
      </c>
      <c r="J1038" s="3" t="s">
        <v>35</v>
      </c>
      <c r="K1038" s="3"/>
      <c r="L1038" s="3" t="s">
        <v>36</v>
      </c>
      <c r="M1038" s="3" t="str">
        <f>CONCATENATE("SGLSML92A59I156R")</f>
        <v>SGLSML92A59I156R</v>
      </c>
      <c r="N1038" s="3" t="s">
        <v>1162</v>
      </c>
      <c r="O1038" s="3" t="s">
        <v>38</v>
      </c>
      <c r="P1038" s="3"/>
      <c r="Q1038" s="4">
        <v>45944</v>
      </c>
      <c r="R1038" s="3" t="s">
        <v>39</v>
      </c>
      <c r="S1038" s="3" t="s">
        <v>38</v>
      </c>
      <c r="T1038" s="3" t="s">
        <v>40</v>
      </c>
      <c r="U1038" s="3"/>
      <c r="V1038" s="3" t="s">
        <v>41</v>
      </c>
      <c r="W1038" s="5">
        <v>16571.11</v>
      </c>
      <c r="X1038" s="5">
        <v>12428.33</v>
      </c>
      <c r="Y1038" s="5">
        <v>2899.94</v>
      </c>
      <c r="Z1038" s="5">
        <v>1242.8399999999999</v>
      </c>
      <c r="AA1038" s="3">
        <v>0</v>
      </c>
    </row>
    <row r="1039" spans="1:27" ht="60.75" x14ac:dyDescent="0.25">
      <c r="A1039" s="3" t="s">
        <v>28</v>
      </c>
      <c r="B1039" s="3" t="s">
        <v>29</v>
      </c>
      <c r="C1039" s="3" t="s">
        <v>30</v>
      </c>
      <c r="D1039" s="3" t="s">
        <v>58</v>
      </c>
      <c r="E1039" s="3" t="s">
        <v>74</v>
      </c>
      <c r="F1039" s="3" t="s">
        <v>688</v>
      </c>
      <c r="G1039" s="3">
        <v>2025</v>
      </c>
      <c r="H1039" s="3" t="str">
        <f>CONCATENATE("54240567625")</f>
        <v>54240567625</v>
      </c>
      <c r="I1039" s="3" t="s">
        <v>34</v>
      </c>
      <c r="J1039" s="3" t="s">
        <v>35</v>
      </c>
      <c r="K1039" s="3"/>
      <c r="L1039" s="3" t="s">
        <v>36</v>
      </c>
      <c r="M1039" s="3" t="str">
        <f>CONCATENATE("MNCGRL80S30E388E")</f>
        <v>MNCGRL80S30E388E</v>
      </c>
      <c r="N1039" s="3" t="s">
        <v>1163</v>
      </c>
      <c r="O1039" s="3" t="s">
        <v>38</v>
      </c>
      <c r="P1039" s="3"/>
      <c r="Q1039" s="4">
        <v>45944</v>
      </c>
      <c r="R1039" s="3" t="s">
        <v>39</v>
      </c>
      <c r="S1039" s="3" t="s">
        <v>38</v>
      </c>
      <c r="T1039" s="3" t="s">
        <v>40</v>
      </c>
      <c r="U1039" s="3"/>
      <c r="V1039" s="3" t="s">
        <v>41</v>
      </c>
      <c r="W1039" s="5">
        <v>1917.97</v>
      </c>
      <c r="X1039" s="5">
        <v>1438.48</v>
      </c>
      <c r="Y1039" s="3">
        <v>335.64</v>
      </c>
      <c r="Z1039" s="3">
        <v>143.85</v>
      </c>
      <c r="AA1039" s="3">
        <v>0</v>
      </c>
    </row>
    <row r="1040" spans="1:27" ht="60.75" x14ac:dyDescent="0.25">
      <c r="A1040" s="3" t="s">
        <v>28</v>
      </c>
      <c r="B1040" s="3" t="s">
        <v>29</v>
      </c>
      <c r="C1040" s="3" t="s">
        <v>30</v>
      </c>
      <c r="D1040" s="3" t="s">
        <v>31</v>
      </c>
      <c r="E1040" s="3" t="s">
        <v>32</v>
      </c>
      <c r="F1040" s="3" t="s">
        <v>115</v>
      </c>
      <c r="G1040" s="3">
        <v>2025</v>
      </c>
      <c r="H1040" s="3" t="str">
        <f>CONCATENATE("54240565611")</f>
        <v>54240565611</v>
      </c>
      <c r="I1040" s="3" t="s">
        <v>34</v>
      </c>
      <c r="J1040" s="3" t="s">
        <v>35</v>
      </c>
      <c r="K1040" s="3"/>
      <c r="L1040" s="3" t="s">
        <v>36</v>
      </c>
      <c r="M1040" s="3" t="str">
        <f>CONCATENATE("PLNGPP36C58D541Q")</f>
        <v>PLNGPP36C58D541Q</v>
      </c>
      <c r="N1040" s="3" t="s">
        <v>1164</v>
      </c>
      <c r="O1040" s="3" t="s">
        <v>38</v>
      </c>
      <c r="P1040" s="3"/>
      <c r="Q1040" s="4">
        <v>45944</v>
      </c>
      <c r="R1040" s="3" t="s">
        <v>39</v>
      </c>
      <c r="S1040" s="3" t="s">
        <v>38</v>
      </c>
      <c r="T1040" s="3" t="s">
        <v>40</v>
      </c>
      <c r="U1040" s="3"/>
      <c r="V1040" s="3" t="s">
        <v>41</v>
      </c>
      <c r="W1040" s="5">
        <v>5635.72</v>
      </c>
      <c r="X1040" s="5">
        <v>4226.79</v>
      </c>
      <c r="Y1040" s="3">
        <v>986.25</v>
      </c>
      <c r="Z1040" s="3">
        <v>422.68</v>
      </c>
      <c r="AA1040" s="3">
        <v>0</v>
      </c>
    </row>
    <row r="1041" spans="1:27" ht="60.75" x14ac:dyDescent="0.25">
      <c r="A1041" s="3" t="s">
        <v>28</v>
      </c>
      <c r="B1041" s="3" t="s">
        <v>29</v>
      </c>
      <c r="C1041" s="3" t="s">
        <v>30</v>
      </c>
      <c r="D1041" s="3" t="s">
        <v>31</v>
      </c>
      <c r="E1041" s="3" t="s">
        <v>32</v>
      </c>
      <c r="F1041" s="3" t="s">
        <v>115</v>
      </c>
      <c r="G1041" s="3">
        <v>2025</v>
      </c>
      <c r="H1041" s="3" t="str">
        <f>CONCATENATE("54240565793")</f>
        <v>54240565793</v>
      </c>
      <c r="I1041" s="3" t="s">
        <v>34</v>
      </c>
      <c r="J1041" s="3" t="s">
        <v>35</v>
      </c>
      <c r="K1041" s="3"/>
      <c r="L1041" s="3" t="s">
        <v>36</v>
      </c>
      <c r="M1041" s="3" t="str">
        <f>CONCATENATE("PLZFRZ56M19D541Y")</f>
        <v>PLZFRZ56M19D541Y</v>
      </c>
      <c r="N1041" s="3" t="s">
        <v>1165</v>
      </c>
      <c r="O1041" s="3" t="s">
        <v>38</v>
      </c>
      <c r="P1041" s="3"/>
      <c r="Q1041" s="4">
        <v>45944</v>
      </c>
      <c r="R1041" s="3" t="s">
        <v>39</v>
      </c>
      <c r="S1041" s="3" t="s">
        <v>38</v>
      </c>
      <c r="T1041" s="3" t="s">
        <v>40</v>
      </c>
      <c r="U1041" s="3"/>
      <c r="V1041" s="3" t="s">
        <v>41</v>
      </c>
      <c r="W1041" s="5">
        <v>2253.04</v>
      </c>
      <c r="X1041" s="5">
        <v>1689.78</v>
      </c>
      <c r="Y1041" s="3">
        <v>394.28</v>
      </c>
      <c r="Z1041" s="3">
        <v>168.98</v>
      </c>
      <c r="AA1041" s="3">
        <v>0</v>
      </c>
    </row>
    <row r="1042" spans="1:27" ht="36.75" x14ac:dyDescent="0.25">
      <c r="A1042" s="3" t="s">
        <v>28</v>
      </c>
      <c r="B1042" s="3" t="s">
        <v>29</v>
      </c>
      <c r="C1042" s="3" t="s">
        <v>30</v>
      </c>
      <c r="D1042" s="3" t="s">
        <v>49</v>
      </c>
      <c r="E1042" s="3" t="s">
        <v>46</v>
      </c>
      <c r="F1042" s="3" t="s">
        <v>129</v>
      </c>
      <c r="G1042" s="3">
        <v>2025</v>
      </c>
      <c r="H1042" s="3" t="str">
        <f>CONCATENATE("54240566189")</f>
        <v>54240566189</v>
      </c>
      <c r="I1042" s="3" t="s">
        <v>34</v>
      </c>
      <c r="J1042" s="3" t="s">
        <v>35</v>
      </c>
      <c r="K1042" s="3"/>
      <c r="L1042" s="3" t="s">
        <v>36</v>
      </c>
      <c r="M1042" s="3" t="str">
        <f>CONCATENATE("01331500437")</f>
        <v>01331500437</v>
      </c>
      <c r="N1042" s="3" t="s">
        <v>1166</v>
      </c>
      <c r="O1042" s="3" t="s">
        <v>38</v>
      </c>
      <c r="P1042" s="3"/>
      <c r="Q1042" s="4">
        <v>45944</v>
      </c>
      <c r="R1042" s="3" t="s">
        <v>39</v>
      </c>
      <c r="S1042" s="3" t="s">
        <v>38</v>
      </c>
      <c r="T1042" s="3" t="s">
        <v>40</v>
      </c>
      <c r="U1042" s="3"/>
      <c r="V1042" s="3" t="s">
        <v>41</v>
      </c>
      <c r="W1042" s="3">
        <v>435.23</v>
      </c>
      <c r="X1042" s="3">
        <v>326.42</v>
      </c>
      <c r="Y1042" s="3">
        <v>76.17</v>
      </c>
      <c r="Z1042" s="3">
        <v>32.64</v>
      </c>
      <c r="AA1042" s="3">
        <v>0</v>
      </c>
    </row>
    <row r="1043" spans="1:27" ht="60.75" x14ac:dyDescent="0.25">
      <c r="A1043" s="3" t="s">
        <v>28</v>
      </c>
      <c r="B1043" s="3" t="s">
        <v>29</v>
      </c>
      <c r="C1043" s="3" t="s">
        <v>30</v>
      </c>
      <c r="D1043" s="3" t="s">
        <v>31</v>
      </c>
      <c r="E1043" s="3" t="s">
        <v>53</v>
      </c>
      <c r="F1043" s="3" t="s">
        <v>82</v>
      </c>
      <c r="G1043" s="3">
        <v>2025</v>
      </c>
      <c r="H1043" s="3" t="str">
        <f>CONCATENATE("54240566445")</f>
        <v>54240566445</v>
      </c>
      <c r="I1043" s="3" t="s">
        <v>149</v>
      </c>
      <c r="J1043" s="3" t="s">
        <v>35</v>
      </c>
      <c r="K1043" s="3"/>
      <c r="L1043" s="3" t="s">
        <v>36</v>
      </c>
      <c r="M1043" s="3" t="str">
        <f>CONCATENATE("TLLCRN47H69E259R")</f>
        <v>TLLCRN47H69E259R</v>
      </c>
      <c r="N1043" s="3" t="s">
        <v>1167</v>
      </c>
      <c r="O1043" s="3" t="s">
        <v>38</v>
      </c>
      <c r="P1043" s="3"/>
      <c r="Q1043" s="4">
        <v>45944</v>
      </c>
      <c r="R1043" s="3" t="s">
        <v>39</v>
      </c>
      <c r="S1043" s="3" t="s">
        <v>38</v>
      </c>
      <c r="T1043" s="3" t="s">
        <v>40</v>
      </c>
      <c r="U1043" s="3"/>
      <c r="V1043" s="3" t="s">
        <v>41</v>
      </c>
      <c r="W1043" s="5">
        <v>5512.77</v>
      </c>
      <c r="X1043" s="5">
        <v>4134.58</v>
      </c>
      <c r="Y1043" s="3">
        <v>964.73</v>
      </c>
      <c r="Z1043" s="3">
        <v>413.46</v>
      </c>
      <c r="AA1043" s="3">
        <v>0</v>
      </c>
    </row>
    <row r="1044" spans="1:27" ht="60.75" x14ac:dyDescent="0.25">
      <c r="A1044" s="3" t="s">
        <v>28</v>
      </c>
      <c r="B1044" s="3" t="s">
        <v>29</v>
      </c>
      <c r="C1044" s="3" t="s">
        <v>30</v>
      </c>
      <c r="D1044" s="3" t="s">
        <v>31</v>
      </c>
      <c r="E1044" s="3" t="s">
        <v>53</v>
      </c>
      <c r="F1044" s="3" t="s">
        <v>82</v>
      </c>
      <c r="G1044" s="3">
        <v>2025</v>
      </c>
      <c r="H1044" s="3" t="str">
        <f>CONCATENATE("54240566536")</f>
        <v>54240566536</v>
      </c>
      <c r="I1044" s="3" t="s">
        <v>34</v>
      </c>
      <c r="J1044" s="3" t="s">
        <v>35</v>
      </c>
      <c r="K1044" s="3"/>
      <c r="L1044" s="3" t="s">
        <v>36</v>
      </c>
      <c r="M1044" s="3" t="str">
        <f>CONCATENATE("GNNRFO55D11L500N")</f>
        <v>GNNRFO55D11L500N</v>
      </c>
      <c r="N1044" s="3" t="s">
        <v>1168</v>
      </c>
      <c r="O1044" s="3" t="s">
        <v>38</v>
      </c>
      <c r="P1044" s="3"/>
      <c r="Q1044" s="4">
        <v>45944</v>
      </c>
      <c r="R1044" s="3" t="s">
        <v>39</v>
      </c>
      <c r="S1044" s="3" t="s">
        <v>38</v>
      </c>
      <c r="T1044" s="3" t="s">
        <v>40</v>
      </c>
      <c r="U1044" s="3"/>
      <c r="V1044" s="3" t="s">
        <v>41</v>
      </c>
      <c r="W1044" s="5">
        <v>1820.21</v>
      </c>
      <c r="X1044" s="5">
        <v>1365.16</v>
      </c>
      <c r="Y1044" s="3">
        <v>318.54000000000002</v>
      </c>
      <c r="Z1044" s="3">
        <v>136.51</v>
      </c>
      <c r="AA1044" s="3">
        <v>0</v>
      </c>
    </row>
    <row r="1045" spans="1:27" ht="60.75" x14ac:dyDescent="0.25">
      <c r="A1045" s="3" t="s">
        <v>28</v>
      </c>
      <c r="B1045" s="3" t="s">
        <v>29</v>
      </c>
      <c r="C1045" s="3" t="s">
        <v>30</v>
      </c>
      <c r="D1045" s="3" t="s">
        <v>49</v>
      </c>
      <c r="E1045" s="3" t="s">
        <v>46</v>
      </c>
      <c r="F1045" s="3" t="s">
        <v>129</v>
      </c>
      <c r="G1045" s="3">
        <v>2025</v>
      </c>
      <c r="H1045" s="3" t="str">
        <f>CONCATENATE("54240572351")</f>
        <v>54240572351</v>
      </c>
      <c r="I1045" s="3" t="s">
        <v>34</v>
      </c>
      <c r="J1045" s="3" t="s">
        <v>35</v>
      </c>
      <c r="K1045" s="3"/>
      <c r="L1045" s="3" t="s">
        <v>36</v>
      </c>
      <c r="M1045" s="3" t="str">
        <f>CONCATENATE("SPRGLI66A10I156B")</f>
        <v>SPRGLI66A10I156B</v>
      </c>
      <c r="N1045" s="3" t="s">
        <v>1169</v>
      </c>
      <c r="O1045" s="3" t="s">
        <v>38</v>
      </c>
      <c r="P1045" s="3"/>
      <c r="Q1045" s="4">
        <v>45944</v>
      </c>
      <c r="R1045" s="3" t="s">
        <v>39</v>
      </c>
      <c r="S1045" s="3" t="s">
        <v>38</v>
      </c>
      <c r="T1045" s="3" t="s">
        <v>40</v>
      </c>
      <c r="U1045" s="3"/>
      <c r="V1045" s="3" t="s">
        <v>41</v>
      </c>
      <c r="W1045" s="5">
        <v>1585.73</v>
      </c>
      <c r="X1045" s="5">
        <v>1189.3</v>
      </c>
      <c r="Y1045" s="3">
        <v>277.5</v>
      </c>
      <c r="Z1045" s="3">
        <v>118.93</v>
      </c>
      <c r="AA1045" s="3">
        <v>0</v>
      </c>
    </row>
    <row r="1046" spans="1:27" ht="60.75" x14ac:dyDescent="0.25">
      <c r="A1046" s="3" t="s">
        <v>28</v>
      </c>
      <c r="B1046" s="3" t="s">
        <v>29</v>
      </c>
      <c r="C1046" s="3" t="s">
        <v>30</v>
      </c>
      <c r="D1046" s="3" t="s">
        <v>31</v>
      </c>
      <c r="E1046" s="3" t="s">
        <v>53</v>
      </c>
      <c r="F1046" s="3" t="s">
        <v>82</v>
      </c>
      <c r="G1046" s="3">
        <v>2025</v>
      </c>
      <c r="H1046" s="3" t="str">
        <f>CONCATENATE("54240567377")</f>
        <v>54240567377</v>
      </c>
      <c r="I1046" s="3" t="s">
        <v>34</v>
      </c>
      <c r="J1046" s="3" t="s">
        <v>35</v>
      </c>
      <c r="K1046" s="3"/>
      <c r="L1046" s="3" t="s">
        <v>36</v>
      </c>
      <c r="M1046" s="3" t="str">
        <f>CONCATENATE("GNSVNC51T18L500A")</f>
        <v>GNSVNC51T18L500A</v>
      </c>
      <c r="N1046" s="3" t="s">
        <v>1170</v>
      </c>
      <c r="O1046" s="3" t="s">
        <v>38</v>
      </c>
      <c r="P1046" s="3"/>
      <c r="Q1046" s="4">
        <v>45944</v>
      </c>
      <c r="R1046" s="3" t="s">
        <v>39</v>
      </c>
      <c r="S1046" s="3" t="s">
        <v>38</v>
      </c>
      <c r="T1046" s="3" t="s">
        <v>40</v>
      </c>
      <c r="U1046" s="3"/>
      <c r="V1046" s="3" t="s">
        <v>41</v>
      </c>
      <c r="W1046" s="5">
        <v>1248.28</v>
      </c>
      <c r="X1046" s="3">
        <v>936.21</v>
      </c>
      <c r="Y1046" s="3">
        <v>218.45</v>
      </c>
      <c r="Z1046" s="3">
        <v>93.62</v>
      </c>
      <c r="AA1046" s="3">
        <v>0</v>
      </c>
    </row>
    <row r="1047" spans="1:27" ht="36.75" x14ac:dyDescent="0.25">
      <c r="A1047" s="3" t="s">
        <v>28</v>
      </c>
      <c r="B1047" s="3" t="s">
        <v>29</v>
      </c>
      <c r="C1047" s="3" t="s">
        <v>30</v>
      </c>
      <c r="D1047" s="3" t="s">
        <v>31</v>
      </c>
      <c r="E1047" s="3" t="s">
        <v>32</v>
      </c>
      <c r="F1047" s="3" t="s">
        <v>153</v>
      </c>
      <c r="G1047" s="3">
        <v>2025</v>
      </c>
      <c r="H1047" s="3" t="str">
        <f>CONCATENATE("54240567609")</f>
        <v>54240567609</v>
      </c>
      <c r="I1047" s="3" t="s">
        <v>34</v>
      </c>
      <c r="J1047" s="3" t="s">
        <v>35</v>
      </c>
      <c r="K1047" s="3"/>
      <c r="L1047" s="3" t="s">
        <v>36</v>
      </c>
      <c r="M1047" s="3" t="str">
        <f>CONCATENATE("08434340967")</f>
        <v>08434340967</v>
      </c>
      <c r="N1047" s="3" t="s">
        <v>1171</v>
      </c>
      <c r="O1047" s="3" t="s">
        <v>38</v>
      </c>
      <c r="P1047" s="3"/>
      <c r="Q1047" s="4">
        <v>45944</v>
      </c>
      <c r="R1047" s="3" t="s">
        <v>39</v>
      </c>
      <c r="S1047" s="3" t="s">
        <v>38</v>
      </c>
      <c r="T1047" s="3" t="s">
        <v>40</v>
      </c>
      <c r="U1047" s="3"/>
      <c r="V1047" s="3" t="s">
        <v>41</v>
      </c>
      <c r="W1047" s="5">
        <v>2007.58</v>
      </c>
      <c r="X1047" s="5">
        <v>1505.69</v>
      </c>
      <c r="Y1047" s="3">
        <v>351.33</v>
      </c>
      <c r="Z1047" s="3">
        <v>150.56</v>
      </c>
      <c r="AA1047" s="3">
        <v>0</v>
      </c>
    </row>
    <row r="1048" spans="1:27" ht="60.75" x14ac:dyDescent="0.25">
      <c r="A1048" s="3" t="s">
        <v>28</v>
      </c>
      <c r="B1048" s="3" t="s">
        <v>29</v>
      </c>
      <c r="C1048" s="3" t="s">
        <v>30</v>
      </c>
      <c r="D1048" s="3" t="s">
        <v>31</v>
      </c>
      <c r="E1048" s="3" t="s">
        <v>32</v>
      </c>
      <c r="F1048" s="3" t="s">
        <v>44</v>
      </c>
      <c r="G1048" s="3">
        <v>2025</v>
      </c>
      <c r="H1048" s="3" t="str">
        <f>CONCATENATE("54240633567")</f>
        <v>54240633567</v>
      </c>
      <c r="I1048" s="3" t="s">
        <v>34</v>
      </c>
      <c r="J1048" s="3" t="s">
        <v>35</v>
      </c>
      <c r="K1048" s="3"/>
      <c r="L1048" s="3" t="s">
        <v>36</v>
      </c>
      <c r="M1048" s="3" t="str">
        <f>CONCATENATE("STRDVD92A26L500R")</f>
        <v>STRDVD92A26L500R</v>
      </c>
      <c r="N1048" s="3" t="s">
        <v>1172</v>
      </c>
      <c r="O1048" s="3" t="s">
        <v>38</v>
      </c>
      <c r="P1048" s="3"/>
      <c r="Q1048" s="4">
        <v>45944</v>
      </c>
      <c r="R1048" s="3" t="s">
        <v>39</v>
      </c>
      <c r="S1048" s="3" t="s">
        <v>38</v>
      </c>
      <c r="T1048" s="3" t="s">
        <v>40</v>
      </c>
      <c r="U1048" s="3"/>
      <c r="V1048" s="3" t="s">
        <v>41</v>
      </c>
      <c r="W1048" s="5">
        <v>10792.77</v>
      </c>
      <c r="X1048" s="5">
        <v>8094.58</v>
      </c>
      <c r="Y1048" s="5">
        <v>1888.73</v>
      </c>
      <c r="Z1048" s="3">
        <v>809.46</v>
      </c>
      <c r="AA1048" s="3">
        <v>0</v>
      </c>
    </row>
    <row r="1049" spans="1:27" ht="60.75" x14ac:dyDescent="0.25">
      <c r="A1049" s="3" t="s">
        <v>28</v>
      </c>
      <c r="B1049" s="3" t="s">
        <v>29</v>
      </c>
      <c r="C1049" s="3" t="s">
        <v>30</v>
      </c>
      <c r="D1049" s="3" t="s">
        <v>31</v>
      </c>
      <c r="E1049" s="3" t="s">
        <v>53</v>
      </c>
      <c r="F1049" s="3" t="s">
        <v>82</v>
      </c>
      <c r="G1049" s="3">
        <v>2025</v>
      </c>
      <c r="H1049" s="3" t="str">
        <f>CONCATENATE("54240568557")</f>
        <v>54240568557</v>
      </c>
      <c r="I1049" s="3" t="s">
        <v>34</v>
      </c>
      <c r="J1049" s="3" t="s">
        <v>35</v>
      </c>
      <c r="K1049" s="3"/>
      <c r="L1049" s="3" t="s">
        <v>36</v>
      </c>
      <c r="M1049" s="3" t="str">
        <f>CONCATENATE("LBNNRC68B11L219G")</f>
        <v>LBNNRC68B11L219G</v>
      </c>
      <c r="N1049" s="3" t="s">
        <v>1173</v>
      </c>
      <c r="O1049" s="3" t="s">
        <v>38</v>
      </c>
      <c r="P1049" s="3"/>
      <c r="Q1049" s="4">
        <v>45944</v>
      </c>
      <c r="R1049" s="3" t="s">
        <v>39</v>
      </c>
      <c r="S1049" s="3" t="s">
        <v>38</v>
      </c>
      <c r="T1049" s="3" t="s">
        <v>40</v>
      </c>
      <c r="U1049" s="3"/>
      <c r="V1049" s="3" t="s">
        <v>41</v>
      </c>
      <c r="W1049" s="5">
        <v>1883.01</v>
      </c>
      <c r="X1049" s="5">
        <v>1412.26</v>
      </c>
      <c r="Y1049" s="3">
        <v>329.53</v>
      </c>
      <c r="Z1049" s="3">
        <v>141.22</v>
      </c>
      <c r="AA1049" s="3">
        <v>0</v>
      </c>
    </row>
    <row r="1050" spans="1:27" ht="60.75" x14ac:dyDescent="0.25">
      <c r="A1050" s="3" t="s">
        <v>28</v>
      </c>
      <c r="B1050" s="3" t="s">
        <v>29</v>
      </c>
      <c r="C1050" s="3" t="s">
        <v>30</v>
      </c>
      <c r="D1050" s="3" t="s">
        <v>31</v>
      </c>
      <c r="E1050" s="3" t="s">
        <v>32</v>
      </c>
      <c r="F1050" s="3" t="s">
        <v>153</v>
      </c>
      <c r="G1050" s="3">
        <v>2025</v>
      </c>
      <c r="H1050" s="3" t="str">
        <f>CONCATENATE("54240568235")</f>
        <v>54240568235</v>
      </c>
      <c r="I1050" s="3" t="s">
        <v>34</v>
      </c>
      <c r="J1050" s="3" t="s">
        <v>35</v>
      </c>
      <c r="K1050" s="3"/>
      <c r="L1050" s="3" t="s">
        <v>36</v>
      </c>
      <c r="M1050" s="3" t="str">
        <f>CONCATENATE("CNCRND75M13F347O")</f>
        <v>CNCRND75M13F347O</v>
      </c>
      <c r="N1050" s="3" t="s">
        <v>1174</v>
      </c>
      <c r="O1050" s="3" t="s">
        <v>38</v>
      </c>
      <c r="P1050" s="3"/>
      <c r="Q1050" s="4">
        <v>45944</v>
      </c>
      <c r="R1050" s="3" t="s">
        <v>39</v>
      </c>
      <c r="S1050" s="3" t="s">
        <v>38</v>
      </c>
      <c r="T1050" s="3" t="s">
        <v>40</v>
      </c>
      <c r="U1050" s="3"/>
      <c r="V1050" s="3" t="s">
        <v>41</v>
      </c>
      <c r="W1050" s="5">
        <v>2764.06</v>
      </c>
      <c r="X1050" s="5">
        <v>2073.0500000000002</v>
      </c>
      <c r="Y1050" s="3">
        <v>483.71</v>
      </c>
      <c r="Z1050" s="3">
        <v>207.3</v>
      </c>
      <c r="AA1050" s="3">
        <v>0</v>
      </c>
    </row>
    <row r="1051" spans="1:27" ht="60.75" x14ac:dyDescent="0.25">
      <c r="A1051" s="3" t="s">
        <v>28</v>
      </c>
      <c r="B1051" s="3" t="s">
        <v>29</v>
      </c>
      <c r="C1051" s="3" t="s">
        <v>30</v>
      </c>
      <c r="D1051" s="3" t="s">
        <v>49</v>
      </c>
      <c r="E1051" s="3" t="s">
        <v>46</v>
      </c>
      <c r="F1051" s="3" t="s">
        <v>205</v>
      </c>
      <c r="G1051" s="3">
        <v>2025</v>
      </c>
      <c r="H1051" s="3" t="str">
        <f>CONCATENATE("54240568292")</f>
        <v>54240568292</v>
      </c>
      <c r="I1051" s="3" t="s">
        <v>34</v>
      </c>
      <c r="J1051" s="3" t="s">
        <v>35</v>
      </c>
      <c r="K1051" s="3"/>
      <c r="L1051" s="3" t="s">
        <v>36</v>
      </c>
      <c r="M1051" s="3" t="str">
        <f>CONCATENATE("VTIFPP90S08E783D")</f>
        <v>VTIFPP90S08E783D</v>
      </c>
      <c r="N1051" s="3" t="s">
        <v>1175</v>
      </c>
      <c r="O1051" s="3" t="s">
        <v>38</v>
      </c>
      <c r="P1051" s="3"/>
      <c r="Q1051" s="4">
        <v>45944</v>
      </c>
      <c r="R1051" s="3" t="s">
        <v>39</v>
      </c>
      <c r="S1051" s="3" t="s">
        <v>38</v>
      </c>
      <c r="T1051" s="3" t="s">
        <v>40</v>
      </c>
      <c r="U1051" s="3"/>
      <c r="V1051" s="3" t="s">
        <v>41</v>
      </c>
      <c r="W1051" s="5">
        <v>2913.88</v>
      </c>
      <c r="X1051" s="5">
        <v>2185.41</v>
      </c>
      <c r="Y1051" s="3">
        <v>509.93</v>
      </c>
      <c r="Z1051" s="3">
        <v>218.54</v>
      </c>
      <c r="AA1051" s="3">
        <v>0</v>
      </c>
    </row>
    <row r="1052" spans="1:27" ht="60.75" x14ac:dyDescent="0.25">
      <c r="A1052" s="3" t="s">
        <v>28</v>
      </c>
      <c r="B1052" s="3" t="s">
        <v>29</v>
      </c>
      <c r="C1052" s="3" t="s">
        <v>30</v>
      </c>
      <c r="D1052" s="3" t="s">
        <v>31</v>
      </c>
      <c r="E1052" s="3" t="s">
        <v>32</v>
      </c>
      <c r="F1052" s="3" t="s">
        <v>178</v>
      </c>
      <c r="G1052" s="3">
        <v>2025</v>
      </c>
      <c r="H1052" s="3" t="str">
        <f>CONCATENATE("54240568961")</f>
        <v>54240568961</v>
      </c>
      <c r="I1052" s="3" t="s">
        <v>34</v>
      </c>
      <c r="J1052" s="3" t="s">
        <v>35</v>
      </c>
      <c r="K1052" s="3"/>
      <c r="L1052" s="3" t="s">
        <v>36</v>
      </c>
      <c r="M1052" s="3" t="str">
        <f>CONCATENATE("VNNMTT89E10D749Q")</f>
        <v>VNNMTT89E10D749Q</v>
      </c>
      <c r="N1052" s="3" t="s">
        <v>1176</v>
      </c>
      <c r="O1052" s="3" t="s">
        <v>38</v>
      </c>
      <c r="P1052" s="3"/>
      <c r="Q1052" s="4">
        <v>45944</v>
      </c>
      <c r="R1052" s="3" t="s">
        <v>39</v>
      </c>
      <c r="S1052" s="3" t="s">
        <v>38</v>
      </c>
      <c r="T1052" s="3" t="s">
        <v>40</v>
      </c>
      <c r="U1052" s="3"/>
      <c r="V1052" s="3" t="s">
        <v>41</v>
      </c>
      <c r="W1052" s="5">
        <v>12591.53</v>
      </c>
      <c r="X1052" s="5">
        <v>9443.65</v>
      </c>
      <c r="Y1052" s="5">
        <v>2203.52</v>
      </c>
      <c r="Z1052" s="3">
        <v>944.36</v>
      </c>
      <c r="AA1052" s="3">
        <v>0</v>
      </c>
    </row>
    <row r="1053" spans="1:27" ht="60.75" x14ac:dyDescent="0.25">
      <c r="A1053" s="3" t="s">
        <v>28</v>
      </c>
      <c r="B1053" s="3" t="s">
        <v>29</v>
      </c>
      <c r="C1053" s="3" t="s">
        <v>30</v>
      </c>
      <c r="D1053" s="3" t="s">
        <v>63</v>
      </c>
      <c r="E1053" s="3" t="s">
        <v>32</v>
      </c>
      <c r="F1053" s="3" t="s">
        <v>243</v>
      </c>
      <c r="G1053" s="3">
        <v>2025</v>
      </c>
      <c r="H1053" s="3" t="str">
        <f>CONCATENATE("54240569605")</f>
        <v>54240569605</v>
      </c>
      <c r="I1053" s="3" t="s">
        <v>34</v>
      </c>
      <c r="J1053" s="3" t="s">
        <v>35</v>
      </c>
      <c r="K1053" s="3"/>
      <c r="L1053" s="3" t="s">
        <v>36</v>
      </c>
      <c r="M1053" s="3" t="str">
        <f>CONCATENATE("MCARSR46M11F830Z")</f>
        <v>MCARSR46M11F830Z</v>
      </c>
      <c r="N1053" s="3" t="s">
        <v>1177</v>
      </c>
      <c r="O1053" s="3" t="s">
        <v>38</v>
      </c>
      <c r="P1053" s="3"/>
      <c r="Q1053" s="4">
        <v>45944</v>
      </c>
      <c r="R1053" s="3" t="s">
        <v>39</v>
      </c>
      <c r="S1053" s="3" t="s">
        <v>38</v>
      </c>
      <c r="T1053" s="3" t="s">
        <v>40</v>
      </c>
      <c r="U1053" s="3"/>
      <c r="V1053" s="3" t="s">
        <v>41</v>
      </c>
      <c r="W1053" s="5">
        <v>3253.85</v>
      </c>
      <c r="X1053" s="5">
        <v>2440.39</v>
      </c>
      <c r="Y1053" s="3">
        <v>569.41999999999996</v>
      </c>
      <c r="Z1053" s="3">
        <v>244.04</v>
      </c>
      <c r="AA1053" s="3">
        <v>0</v>
      </c>
    </row>
    <row r="1054" spans="1:27" ht="60.75" x14ac:dyDescent="0.25">
      <c r="A1054" s="3" t="s">
        <v>28</v>
      </c>
      <c r="B1054" s="3" t="s">
        <v>29</v>
      </c>
      <c r="C1054" s="3" t="s">
        <v>30</v>
      </c>
      <c r="D1054" s="3" t="s">
        <v>63</v>
      </c>
      <c r="E1054" s="3" t="s">
        <v>32</v>
      </c>
      <c r="F1054" s="3" t="s">
        <v>243</v>
      </c>
      <c r="G1054" s="3">
        <v>2025</v>
      </c>
      <c r="H1054" s="3" t="str">
        <f>CONCATENATE("54240569720")</f>
        <v>54240569720</v>
      </c>
      <c r="I1054" s="3" t="s">
        <v>34</v>
      </c>
      <c r="J1054" s="3" t="s">
        <v>35</v>
      </c>
      <c r="K1054" s="3"/>
      <c r="L1054" s="3" t="s">
        <v>36</v>
      </c>
      <c r="M1054" s="3" t="str">
        <f>CONCATENATE("CCCNDR76S06E783F")</f>
        <v>CCCNDR76S06E783F</v>
      </c>
      <c r="N1054" s="3" t="s">
        <v>1178</v>
      </c>
      <c r="O1054" s="3" t="s">
        <v>38</v>
      </c>
      <c r="P1054" s="3"/>
      <c r="Q1054" s="4">
        <v>45944</v>
      </c>
      <c r="R1054" s="3" t="s">
        <v>39</v>
      </c>
      <c r="S1054" s="3" t="s">
        <v>38</v>
      </c>
      <c r="T1054" s="3" t="s">
        <v>40</v>
      </c>
      <c r="U1054" s="3"/>
      <c r="V1054" s="3" t="s">
        <v>41</v>
      </c>
      <c r="W1054" s="5">
        <v>1257.8</v>
      </c>
      <c r="X1054" s="3">
        <v>943.35</v>
      </c>
      <c r="Y1054" s="3">
        <v>220.12</v>
      </c>
      <c r="Z1054" s="3">
        <v>94.33</v>
      </c>
      <c r="AA1054" s="3">
        <v>0</v>
      </c>
    </row>
    <row r="1055" spans="1:27" ht="60.75" x14ac:dyDescent="0.25">
      <c r="A1055" s="3" t="s">
        <v>28</v>
      </c>
      <c r="B1055" s="3" t="s">
        <v>29</v>
      </c>
      <c r="C1055" s="3" t="s">
        <v>30</v>
      </c>
      <c r="D1055" s="3" t="s">
        <v>31</v>
      </c>
      <c r="E1055" s="3" t="s">
        <v>53</v>
      </c>
      <c r="F1055" s="3" t="s">
        <v>233</v>
      </c>
      <c r="G1055" s="3">
        <v>2025</v>
      </c>
      <c r="H1055" s="3" t="str">
        <f>CONCATENATE("54240569829")</f>
        <v>54240569829</v>
      </c>
      <c r="I1055" s="3" t="s">
        <v>34</v>
      </c>
      <c r="J1055" s="3" t="s">
        <v>35</v>
      </c>
      <c r="K1055" s="3"/>
      <c r="L1055" s="3" t="s">
        <v>36</v>
      </c>
      <c r="M1055" s="3" t="str">
        <f>CONCATENATE("PTRSRA60C16F347V")</f>
        <v>PTRSRA60C16F347V</v>
      </c>
      <c r="N1055" s="3" t="s">
        <v>1179</v>
      </c>
      <c r="O1055" s="3" t="s">
        <v>38</v>
      </c>
      <c r="P1055" s="3"/>
      <c r="Q1055" s="4">
        <v>45944</v>
      </c>
      <c r="R1055" s="3" t="s">
        <v>39</v>
      </c>
      <c r="S1055" s="3" t="s">
        <v>38</v>
      </c>
      <c r="T1055" s="3" t="s">
        <v>40</v>
      </c>
      <c r="U1055" s="3"/>
      <c r="V1055" s="3" t="s">
        <v>41</v>
      </c>
      <c r="W1055" s="5">
        <v>1151.31</v>
      </c>
      <c r="X1055" s="3">
        <v>863.48</v>
      </c>
      <c r="Y1055" s="3">
        <v>201.48</v>
      </c>
      <c r="Z1055" s="3">
        <v>86.35</v>
      </c>
      <c r="AA1055" s="3">
        <v>0</v>
      </c>
    </row>
    <row r="1056" spans="1:27" ht="60.75" x14ac:dyDescent="0.25">
      <c r="A1056" s="3" t="s">
        <v>28</v>
      </c>
      <c r="B1056" s="3" t="s">
        <v>29</v>
      </c>
      <c r="C1056" s="3" t="s">
        <v>30</v>
      </c>
      <c r="D1056" s="3" t="s">
        <v>49</v>
      </c>
      <c r="E1056" s="3" t="s">
        <v>32</v>
      </c>
      <c r="F1056" s="3" t="s">
        <v>78</v>
      </c>
      <c r="G1056" s="3">
        <v>2025</v>
      </c>
      <c r="H1056" s="3" t="str">
        <f>CONCATENATE("54240593829")</f>
        <v>54240593829</v>
      </c>
      <c r="I1056" s="3" t="s">
        <v>34</v>
      </c>
      <c r="J1056" s="3" t="s">
        <v>35</v>
      </c>
      <c r="K1056" s="3"/>
      <c r="L1056" s="3" t="s">
        <v>36</v>
      </c>
      <c r="M1056" s="3" t="str">
        <f>CONCATENATE("NCOMLA48H51H501E")</f>
        <v>NCOMLA48H51H501E</v>
      </c>
      <c r="N1056" s="3" t="s">
        <v>1180</v>
      </c>
      <c r="O1056" s="3" t="s">
        <v>38</v>
      </c>
      <c r="P1056" s="3"/>
      <c r="Q1056" s="4">
        <v>45944</v>
      </c>
      <c r="R1056" s="3" t="s">
        <v>39</v>
      </c>
      <c r="S1056" s="3" t="s">
        <v>38</v>
      </c>
      <c r="T1056" s="3" t="s">
        <v>40</v>
      </c>
      <c r="U1056" s="3"/>
      <c r="V1056" s="3" t="s">
        <v>41</v>
      </c>
      <c r="W1056" s="3">
        <v>712.25</v>
      </c>
      <c r="X1056" s="3">
        <v>534.19000000000005</v>
      </c>
      <c r="Y1056" s="3">
        <v>124.64</v>
      </c>
      <c r="Z1056" s="3">
        <v>53.42</v>
      </c>
      <c r="AA1056" s="3">
        <v>0</v>
      </c>
    </row>
    <row r="1057" spans="1:27" ht="60.75" x14ac:dyDescent="0.25">
      <c r="A1057" s="3" t="s">
        <v>28</v>
      </c>
      <c r="B1057" s="3" t="s">
        <v>29</v>
      </c>
      <c r="C1057" s="3" t="s">
        <v>30</v>
      </c>
      <c r="D1057" s="3" t="s">
        <v>63</v>
      </c>
      <c r="E1057" s="3" t="s">
        <v>32</v>
      </c>
      <c r="F1057" s="3" t="s">
        <v>243</v>
      </c>
      <c r="G1057" s="3">
        <v>2025</v>
      </c>
      <c r="H1057" s="3" t="str">
        <f>CONCATENATE("54240574639")</f>
        <v>54240574639</v>
      </c>
      <c r="I1057" s="3" t="s">
        <v>34</v>
      </c>
      <c r="J1057" s="3" t="s">
        <v>35</v>
      </c>
      <c r="K1057" s="3"/>
      <c r="L1057" s="3" t="s">
        <v>36</v>
      </c>
      <c r="M1057" s="3" t="str">
        <f>CONCATENATE("DLTRRT76D19I324Y")</f>
        <v>DLTRRT76D19I324Y</v>
      </c>
      <c r="N1057" s="3" t="s">
        <v>1181</v>
      </c>
      <c r="O1057" s="3" t="s">
        <v>38</v>
      </c>
      <c r="P1057" s="3"/>
      <c r="Q1057" s="4">
        <v>45944</v>
      </c>
      <c r="R1057" s="3" t="s">
        <v>39</v>
      </c>
      <c r="S1057" s="3" t="s">
        <v>38</v>
      </c>
      <c r="T1057" s="3" t="s">
        <v>40</v>
      </c>
      <c r="U1057" s="3"/>
      <c r="V1057" s="3" t="s">
        <v>41</v>
      </c>
      <c r="W1057" s="5">
        <v>1960.54</v>
      </c>
      <c r="X1057" s="5">
        <v>1470.41</v>
      </c>
      <c r="Y1057" s="3">
        <v>343.09</v>
      </c>
      <c r="Z1057" s="3">
        <v>147.04</v>
      </c>
      <c r="AA1057" s="3">
        <v>0</v>
      </c>
    </row>
    <row r="1058" spans="1:27" ht="60.75" x14ac:dyDescent="0.25">
      <c r="A1058" s="3" t="s">
        <v>28</v>
      </c>
      <c r="B1058" s="3" t="s">
        <v>29</v>
      </c>
      <c r="C1058" s="3" t="s">
        <v>30</v>
      </c>
      <c r="D1058" s="3" t="s">
        <v>49</v>
      </c>
      <c r="E1058" s="3" t="s">
        <v>32</v>
      </c>
      <c r="F1058" s="3" t="s">
        <v>78</v>
      </c>
      <c r="G1058" s="3">
        <v>2025</v>
      </c>
      <c r="H1058" s="3" t="str">
        <f>CONCATENATE("54240613882")</f>
        <v>54240613882</v>
      </c>
      <c r="I1058" s="3" t="s">
        <v>34</v>
      </c>
      <c r="J1058" s="3" t="s">
        <v>35</v>
      </c>
      <c r="K1058" s="3"/>
      <c r="L1058" s="3" t="s">
        <v>36</v>
      </c>
      <c r="M1058" s="3" t="str">
        <f>CONCATENATE("DBLSRA82T48D972C")</f>
        <v>DBLSRA82T48D972C</v>
      </c>
      <c r="N1058" s="3" t="s">
        <v>1182</v>
      </c>
      <c r="O1058" s="3" t="s">
        <v>38</v>
      </c>
      <c r="P1058" s="3"/>
      <c r="Q1058" s="4">
        <v>45944</v>
      </c>
      <c r="R1058" s="3" t="s">
        <v>39</v>
      </c>
      <c r="S1058" s="3" t="s">
        <v>38</v>
      </c>
      <c r="T1058" s="3" t="s">
        <v>40</v>
      </c>
      <c r="U1058" s="3"/>
      <c r="V1058" s="3" t="s">
        <v>41</v>
      </c>
      <c r="W1058" s="3">
        <v>414.66</v>
      </c>
      <c r="X1058" s="3">
        <v>311</v>
      </c>
      <c r="Y1058" s="3">
        <v>72.569999999999993</v>
      </c>
      <c r="Z1058" s="3">
        <v>31.09</v>
      </c>
      <c r="AA1058" s="3">
        <v>0</v>
      </c>
    </row>
    <row r="1059" spans="1:27" ht="60.75" x14ac:dyDescent="0.25">
      <c r="A1059" s="3" t="s">
        <v>28</v>
      </c>
      <c r="B1059" s="3" t="s">
        <v>29</v>
      </c>
      <c r="C1059" s="3" t="s">
        <v>30</v>
      </c>
      <c r="D1059" s="3" t="s">
        <v>58</v>
      </c>
      <c r="E1059" s="3" t="s">
        <v>53</v>
      </c>
      <c r="F1059" s="3" t="s">
        <v>59</v>
      </c>
      <c r="G1059" s="3">
        <v>2025</v>
      </c>
      <c r="H1059" s="3" t="str">
        <f>CONCATENATE("54240572856")</f>
        <v>54240572856</v>
      </c>
      <c r="I1059" s="3" t="s">
        <v>34</v>
      </c>
      <c r="J1059" s="3" t="s">
        <v>35</v>
      </c>
      <c r="K1059" s="3"/>
      <c r="L1059" s="3" t="s">
        <v>36</v>
      </c>
      <c r="M1059" s="3" t="str">
        <f>CONCATENATE("MNCVBR60D02I461U")</f>
        <v>MNCVBR60D02I461U</v>
      </c>
      <c r="N1059" s="3" t="s">
        <v>1183</v>
      </c>
      <c r="O1059" s="3" t="s">
        <v>38</v>
      </c>
      <c r="P1059" s="3"/>
      <c r="Q1059" s="4">
        <v>45944</v>
      </c>
      <c r="R1059" s="3" t="s">
        <v>39</v>
      </c>
      <c r="S1059" s="3" t="s">
        <v>38</v>
      </c>
      <c r="T1059" s="3" t="s">
        <v>40</v>
      </c>
      <c r="U1059" s="3"/>
      <c r="V1059" s="3" t="s">
        <v>41</v>
      </c>
      <c r="W1059" s="5">
        <v>7344.71</v>
      </c>
      <c r="X1059" s="5">
        <v>5508.53</v>
      </c>
      <c r="Y1059" s="5">
        <v>1285.32</v>
      </c>
      <c r="Z1059" s="3">
        <v>550.86</v>
      </c>
      <c r="AA1059" s="3">
        <v>0</v>
      </c>
    </row>
    <row r="1060" spans="1:27" ht="60.75" x14ac:dyDescent="0.25">
      <c r="A1060" s="3" t="s">
        <v>28</v>
      </c>
      <c r="B1060" s="3" t="s">
        <v>29</v>
      </c>
      <c r="C1060" s="3" t="s">
        <v>30</v>
      </c>
      <c r="D1060" s="3" t="s">
        <v>31</v>
      </c>
      <c r="E1060" s="3" t="s">
        <v>32</v>
      </c>
      <c r="F1060" s="3" t="s">
        <v>115</v>
      </c>
      <c r="G1060" s="3">
        <v>2025</v>
      </c>
      <c r="H1060" s="3" t="str">
        <f>CONCATENATE("54240570868")</f>
        <v>54240570868</v>
      </c>
      <c r="I1060" s="3" t="s">
        <v>34</v>
      </c>
      <c r="J1060" s="3" t="s">
        <v>35</v>
      </c>
      <c r="K1060" s="3"/>
      <c r="L1060" s="3" t="s">
        <v>36</v>
      </c>
      <c r="M1060" s="3" t="str">
        <f>CONCATENATE("MRCGTT80D64L500P")</f>
        <v>MRCGTT80D64L500P</v>
      </c>
      <c r="N1060" s="3" t="s">
        <v>1184</v>
      </c>
      <c r="O1060" s="3" t="s">
        <v>38</v>
      </c>
      <c r="P1060" s="3"/>
      <c r="Q1060" s="4">
        <v>45944</v>
      </c>
      <c r="R1060" s="3" t="s">
        <v>39</v>
      </c>
      <c r="S1060" s="3" t="s">
        <v>38</v>
      </c>
      <c r="T1060" s="3" t="s">
        <v>40</v>
      </c>
      <c r="U1060" s="3"/>
      <c r="V1060" s="3" t="s">
        <v>41</v>
      </c>
      <c r="W1060" s="5">
        <v>1062.56</v>
      </c>
      <c r="X1060" s="3">
        <v>796.92</v>
      </c>
      <c r="Y1060" s="3">
        <v>185.95</v>
      </c>
      <c r="Z1060" s="3">
        <v>79.69</v>
      </c>
      <c r="AA1060" s="3">
        <v>0</v>
      </c>
    </row>
    <row r="1061" spans="1:27" ht="60.75" x14ac:dyDescent="0.25">
      <c r="A1061" s="3" t="s">
        <v>28</v>
      </c>
      <c r="B1061" s="3" t="s">
        <v>29</v>
      </c>
      <c r="C1061" s="3" t="s">
        <v>30</v>
      </c>
      <c r="D1061" s="3" t="s">
        <v>49</v>
      </c>
      <c r="E1061" s="3" t="s">
        <v>32</v>
      </c>
      <c r="F1061" s="3" t="s">
        <v>71</v>
      </c>
      <c r="G1061" s="3">
        <v>2025</v>
      </c>
      <c r="H1061" s="3" t="str">
        <f>CONCATENATE("54240572658")</f>
        <v>54240572658</v>
      </c>
      <c r="I1061" s="3" t="s">
        <v>34</v>
      </c>
      <c r="J1061" s="3" t="s">
        <v>35</v>
      </c>
      <c r="K1061" s="3"/>
      <c r="L1061" s="3" t="s">
        <v>36</v>
      </c>
      <c r="M1061" s="3" t="str">
        <f>CONCATENATE("FRTSRN65L70H501F")</f>
        <v>FRTSRN65L70H501F</v>
      </c>
      <c r="N1061" s="3" t="s">
        <v>1185</v>
      </c>
      <c r="O1061" s="3" t="s">
        <v>38</v>
      </c>
      <c r="P1061" s="3"/>
      <c r="Q1061" s="4">
        <v>45944</v>
      </c>
      <c r="R1061" s="3" t="s">
        <v>39</v>
      </c>
      <c r="S1061" s="3" t="s">
        <v>38</v>
      </c>
      <c r="T1061" s="3" t="s">
        <v>40</v>
      </c>
      <c r="U1061" s="3"/>
      <c r="V1061" s="3" t="s">
        <v>41</v>
      </c>
      <c r="W1061" s="5">
        <v>3036.67</v>
      </c>
      <c r="X1061" s="5">
        <v>2277.5</v>
      </c>
      <c r="Y1061" s="3">
        <v>531.41999999999996</v>
      </c>
      <c r="Z1061" s="3">
        <v>227.75</v>
      </c>
      <c r="AA1061" s="3">
        <v>0</v>
      </c>
    </row>
    <row r="1062" spans="1:27" ht="36.75" x14ac:dyDescent="0.25">
      <c r="A1062" s="3" t="s">
        <v>28</v>
      </c>
      <c r="B1062" s="3" t="s">
        <v>29</v>
      </c>
      <c r="C1062" s="3" t="s">
        <v>30</v>
      </c>
      <c r="D1062" s="3" t="s">
        <v>31</v>
      </c>
      <c r="E1062" s="3" t="s">
        <v>32</v>
      </c>
      <c r="F1062" s="3" t="s">
        <v>115</v>
      </c>
      <c r="G1062" s="3">
        <v>2025</v>
      </c>
      <c r="H1062" s="3" t="str">
        <f>CONCATENATE("54240570975")</f>
        <v>54240570975</v>
      </c>
      <c r="I1062" s="3" t="s">
        <v>34</v>
      </c>
      <c r="J1062" s="3" t="s">
        <v>35</v>
      </c>
      <c r="K1062" s="3"/>
      <c r="L1062" s="3" t="s">
        <v>36</v>
      </c>
      <c r="M1062" s="3" t="str">
        <f>CONCATENATE("02635080415")</f>
        <v>02635080415</v>
      </c>
      <c r="N1062" s="3" t="s">
        <v>1186</v>
      </c>
      <c r="O1062" s="3" t="s">
        <v>38</v>
      </c>
      <c r="P1062" s="3"/>
      <c r="Q1062" s="4">
        <v>45944</v>
      </c>
      <c r="R1062" s="3" t="s">
        <v>39</v>
      </c>
      <c r="S1062" s="3" t="s">
        <v>38</v>
      </c>
      <c r="T1062" s="3" t="s">
        <v>40</v>
      </c>
      <c r="U1062" s="3"/>
      <c r="V1062" s="3" t="s">
        <v>41</v>
      </c>
      <c r="W1062" s="5">
        <v>6257.9</v>
      </c>
      <c r="X1062" s="5">
        <v>4693.43</v>
      </c>
      <c r="Y1062" s="5">
        <v>1095.1300000000001</v>
      </c>
      <c r="Z1062" s="3">
        <v>469.34</v>
      </c>
      <c r="AA1062" s="3">
        <v>0</v>
      </c>
    </row>
    <row r="1063" spans="1:27" ht="72.75" x14ac:dyDescent="0.25">
      <c r="A1063" s="3" t="s">
        <v>28</v>
      </c>
      <c r="B1063" s="3" t="s">
        <v>29</v>
      </c>
      <c r="C1063" s="3" t="s">
        <v>30</v>
      </c>
      <c r="D1063" s="3" t="s">
        <v>58</v>
      </c>
      <c r="E1063" s="3" t="s">
        <v>53</v>
      </c>
      <c r="F1063" s="3" t="s">
        <v>59</v>
      </c>
      <c r="G1063" s="3">
        <v>2025</v>
      </c>
      <c r="H1063" s="3" t="str">
        <f>CONCATENATE("54240571593")</f>
        <v>54240571593</v>
      </c>
      <c r="I1063" s="3" t="s">
        <v>34</v>
      </c>
      <c r="J1063" s="3" t="s">
        <v>35</v>
      </c>
      <c r="K1063" s="3"/>
      <c r="L1063" s="3" t="s">
        <v>36</v>
      </c>
      <c r="M1063" s="3" t="str">
        <f>CONCATENATE("MTTDNL67B04A366O")</f>
        <v>MTTDNL67B04A366O</v>
      </c>
      <c r="N1063" s="3" t="s">
        <v>1187</v>
      </c>
      <c r="O1063" s="3" t="s">
        <v>38</v>
      </c>
      <c r="P1063" s="3"/>
      <c r="Q1063" s="4">
        <v>45944</v>
      </c>
      <c r="R1063" s="3" t="s">
        <v>39</v>
      </c>
      <c r="S1063" s="3" t="s">
        <v>38</v>
      </c>
      <c r="T1063" s="3" t="s">
        <v>40</v>
      </c>
      <c r="U1063" s="3"/>
      <c r="V1063" s="3" t="s">
        <v>41</v>
      </c>
      <c r="W1063" s="5">
        <v>3100.09</v>
      </c>
      <c r="X1063" s="5">
        <v>2325.0700000000002</v>
      </c>
      <c r="Y1063" s="3">
        <v>542.52</v>
      </c>
      <c r="Z1063" s="3">
        <v>232.5</v>
      </c>
      <c r="AA1063" s="3">
        <v>0</v>
      </c>
    </row>
    <row r="1064" spans="1:27" ht="60.75" x14ac:dyDescent="0.25">
      <c r="A1064" s="3" t="s">
        <v>28</v>
      </c>
      <c r="B1064" s="3" t="s">
        <v>29</v>
      </c>
      <c r="C1064" s="3" t="s">
        <v>30</v>
      </c>
      <c r="D1064" s="3" t="s">
        <v>31</v>
      </c>
      <c r="E1064" s="3" t="s">
        <v>32</v>
      </c>
      <c r="F1064" s="3" t="s">
        <v>115</v>
      </c>
      <c r="G1064" s="3">
        <v>2025</v>
      </c>
      <c r="H1064" s="3" t="str">
        <f>CONCATENATE("54240571684")</f>
        <v>54240571684</v>
      </c>
      <c r="I1064" s="3" t="s">
        <v>34</v>
      </c>
      <c r="J1064" s="3" t="s">
        <v>35</v>
      </c>
      <c r="K1064" s="3"/>
      <c r="L1064" s="3" t="s">
        <v>36</v>
      </c>
      <c r="M1064" s="3" t="str">
        <f>CONCATENATE("SRFMRC84M05L500N")</f>
        <v>SRFMRC84M05L500N</v>
      </c>
      <c r="N1064" s="3" t="s">
        <v>1188</v>
      </c>
      <c r="O1064" s="3" t="s">
        <v>38</v>
      </c>
      <c r="P1064" s="3"/>
      <c r="Q1064" s="4">
        <v>45944</v>
      </c>
      <c r="R1064" s="3" t="s">
        <v>39</v>
      </c>
      <c r="S1064" s="3" t="s">
        <v>38</v>
      </c>
      <c r="T1064" s="3" t="s">
        <v>40</v>
      </c>
      <c r="U1064" s="3"/>
      <c r="V1064" s="3" t="s">
        <v>41</v>
      </c>
      <c r="W1064" s="5">
        <v>5333.04</v>
      </c>
      <c r="X1064" s="5">
        <v>3999.78</v>
      </c>
      <c r="Y1064" s="3">
        <v>933.28</v>
      </c>
      <c r="Z1064" s="3">
        <v>399.98</v>
      </c>
      <c r="AA1064" s="3">
        <v>0</v>
      </c>
    </row>
    <row r="1065" spans="1:27" ht="60.75" x14ac:dyDescent="0.25">
      <c r="A1065" s="3" t="s">
        <v>28</v>
      </c>
      <c r="B1065" s="3" t="s">
        <v>29</v>
      </c>
      <c r="C1065" s="3" t="s">
        <v>30</v>
      </c>
      <c r="D1065" s="3" t="s">
        <v>49</v>
      </c>
      <c r="E1065" s="3" t="s">
        <v>46</v>
      </c>
      <c r="F1065" s="3" t="s">
        <v>205</v>
      </c>
      <c r="G1065" s="3">
        <v>2025</v>
      </c>
      <c r="H1065" s="3" t="str">
        <f>CONCATENATE("54240571858")</f>
        <v>54240571858</v>
      </c>
      <c r="I1065" s="3" t="s">
        <v>34</v>
      </c>
      <c r="J1065" s="3" t="s">
        <v>35</v>
      </c>
      <c r="K1065" s="3"/>
      <c r="L1065" s="3" t="s">
        <v>36</v>
      </c>
      <c r="M1065" s="3" t="str">
        <f>CONCATENATE("SVGMRC70T22Z112J")</f>
        <v>SVGMRC70T22Z112J</v>
      </c>
      <c r="N1065" s="3" t="s">
        <v>1189</v>
      </c>
      <c r="O1065" s="3" t="s">
        <v>38</v>
      </c>
      <c r="P1065" s="3"/>
      <c r="Q1065" s="4">
        <v>45944</v>
      </c>
      <c r="R1065" s="3" t="s">
        <v>39</v>
      </c>
      <c r="S1065" s="3" t="s">
        <v>38</v>
      </c>
      <c r="T1065" s="3" t="s">
        <v>40</v>
      </c>
      <c r="U1065" s="3"/>
      <c r="V1065" s="3" t="s">
        <v>41</v>
      </c>
      <c r="W1065" s="3">
        <v>412.68</v>
      </c>
      <c r="X1065" s="3">
        <v>309.51</v>
      </c>
      <c r="Y1065" s="3">
        <v>72.22</v>
      </c>
      <c r="Z1065" s="3">
        <v>30.95</v>
      </c>
      <c r="AA1065" s="3">
        <v>0</v>
      </c>
    </row>
    <row r="1066" spans="1:27" ht="60.75" x14ac:dyDescent="0.25">
      <c r="A1066" s="3" t="s">
        <v>28</v>
      </c>
      <c r="B1066" s="3" t="s">
        <v>29</v>
      </c>
      <c r="C1066" s="3" t="s">
        <v>30</v>
      </c>
      <c r="D1066" s="3" t="s">
        <v>49</v>
      </c>
      <c r="E1066" s="3" t="s">
        <v>46</v>
      </c>
      <c r="F1066" s="3" t="s">
        <v>126</v>
      </c>
      <c r="G1066" s="3">
        <v>2025</v>
      </c>
      <c r="H1066" s="3" t="str">
        <f>CONCATENATE("54240572724")</f>
        <v>54240572724</v>
      </c>
      <c r="I1066" s="3" t="s">
        <v>34</v>
      </c>
      <c r="J1066" s="3" t="s">
        <v>35</v>
      </c>
      <c r="K1066" s="3"/>
      <c r="L1066" s="3" t="s">
        <v>36</v>
      </c>
      <c r="M1066" s="3" t="str">
        <f>CONCATENATE("CSTMLL67B53E783E")</f>
        <v>CSTMLL67B53E783E</v>
      </c>
      <c r="N1066" s="3" t="s">
        <v>1190</v>
      </c>
      <c r="O1066" s="3" t="s">
        <v>38</v>
      </c>
      <c r="P1066" s="3"/>
      <c r="Q1066" s="4">
        <v>45944</v>
      </c>
      <c r="R1066" s="3" t="s">
        <v>39</v>
      </c>
      <c r="S1066" s="3" t="s">
        <v>38</v>
      </c>
      <c r="T1066" s="3" t="s">
        <v>40</v>
      </c>
      <c r="U1066" s="3"/>
      <c r="V1066" s="3" t="s">
        <v>41</v>
      </c>
      <c r="W1066" s="5">
        <v>1970.64</v>
      </c>
      <c r="X1066" s="5">
        <v>1477.98</v>
      </c>
      <c r="Y1066" s="3">
        <v>344.86</v>
      </c>
      <c r="Z1066" s="3">
        <v>147.80000000000001</v>
      </c>
      <c r="AA1066" s="3">
        <v>0</v>
      </c>
    </row>
    <row r="1067" spans="1:27" ht="60.75" x14ac:dyDescent="0.25">
      <c r="A1067" s="3" t="s">
        <v>28</v>
      </c>
      <c r="B1067" s="3" t="s">
        <v>29</v>
      </c>
      <c r="C1067" s="3" t="s">
        <v>30</v>
      </c>
      <c r="D1067" s="3" t="s">
        <v>49</v>
      </c>
      <c r="E1067" s="3" t="s">
        <v>32</v>
      </c>
      <c r="F1067" s="3" t="s">
        <v>71</v>
      </c>
      <c r="G1067" s="3">
        <v>2025</v>
      </c>
      <c r="H1067" s="3" t="str">
        <f>CONCATENATE("54240573599")</f>
        <v>54240573599</v>
      </c>
      <c r="I1067" s="3" t="s">
        <v>34</v>
      </c>
      <c r="J1067" s="3" t="s">
        <v>35</v>
      </c>
      <c r="K1067" s="3"/>
      <c r="L1067" s="3" t="s">
        <v>36</v>
      </c>
      <c r="M1067" s="3" t="str">
        <f>CONCATENATE("CRDNTN77M19I436M")</f>
        <v>CRDNTN77M19I436M</v>
      </c>
      <c r="N1067" s="3" t="s">
        <v>1191</v>
      </c>
      <c r="O1067" s="3" t="s">
        <v>38</v>
      </c>
      <c r="P1067" s="3"/>
      <c r="Q1067" s="4">
        <v>45944</v>
      </c>
      <c r="R1067" s="3" t="s">
        <v>39</v>
      </c>
      <c r="S1067" s="3" t="s">
        <v>38</v>
      </c>
      <c r="T1067" s="3" t="s">
        <v>40</v>
      </c>
      <c r="U1067" s="3"/>
      <c r="V1067" s="3" t="s">
        <v>41</v>
      </c>
      <c r="W1067" s="3">
        <v>718.39</v>
      </c>
      <c r="X1067" s="3">
        <v>538.79</v>
      </c>
      <c r="Y1067" s="3">
        <v>125.72</v>
      </c>
      <c r="Z1067" s="3">
        <v>53.88</v>
      </c>
      <c r="AA1067" s="3">
        <v>0</v>
      </c>
    </row>
    <row r="1068" spans="1:27" ht="36.75" x14ac:dyDescent="0.25">
      <c r="A1068" s="3" t="s">
        <v>28</v>
      </c>
      <c r="B1068" s="3" t="s">
        <v>29</v>
      </c>
      <c r="C1068" s="3" t="s">
        <v>30</v>
      </c>
      <c r="D1068" s="3" t="s">
        <v>49</v>
      </c>
      <c r="E1068" s="3" t="s">
        <v>46</v>
      </c>
      <c r="F1068" s="3" t="s">
        <v>205</v>
      </c>
      <c r="G1068" s="3">
        <v>2025</v>
      </c>
      <c r="H1068" s="3" t="str">
        <f>CONCATENATE("54240573060")</f>
        <v>54240573060</v>
      </c>
      <c r="I1068" s="3" t="s">
        <v>34</v>
      </c>
      <c r="J1068" s="3" t="s">
        <v>35</v>
      </c>
      <c r="K1068" s="3"/>
      <c r="L1068" s="3" t="s">
        <v>36</v>
      </c>
      <c r="M1068" s="3" t="str">
        <f>CONCATENATE("01941350439")</f>
        <v>01941350439</v>
      </c>
      <c r="N1068" s="3" t="s">
        <v>1192</v>
      </c>
      <c r="O1068" s="3" t="s">
        <v>38</v>
      </c>
      <c r="P1068" s="3"/>
      <c r="Q1068" s="4">
        <v>45944</v>
      </c>
      <c r="R1068" s="3" t="s">
        <v>39</v>
      </c>
      <c r="S1068" s="3" t="s">
        <v>38</v>
      </c>
      <c r="T1068" s="3" t="s">
        <v>40</v>
      </c>
      <c r="U1068" s="3"/>
      <c r="V1068" s="3" t="s">
        <v>41</v>
      </c>
      <c r="W1068" s="5">
        <v>4008.9</v>
      </c>
      <c r="X1068" s="5">
        <v>3006.68</v>
      </c>
      <c r="Y1068" s="3">
        <v>701.56</v>
      </c>
      <c r="Z1068" s="3">
        <v>300.66000000000003</v>
      </c>
      <c r="AA1068" s="3">
        <v>0</v>
      </c>
    </row>
    <row r="1069" spans="1:27" ht="36.75" x14ac:dyDescent="0.25">
      <c r="A1069" s="3" t="s">
        <v>28</v>
      </c>
      <c r="B1069" s="3" t="s">
        <v>29</v>
      </c>
      <c r="C1069" s="3" t="s">
        <v>30</v>
      </c>
      <c r="D1069" s="3" t="s">
        <v>58</v>
      </c>
      <c r="E1069" s="3" t="s">
        <v>53</v>
      </c>
      <c r="F1069" s="3" t="s">
        <v>59</v>
      </c>
      <c r="G1069" s="3">
        <v>2025</v>
      </c>
      <c r="H1069" s="3" t="str">
        <f>CONCATENATE("54240573243")</f>
        <v>54240573243</v>
      </c>
      <c r="I1069" s="3" t="s">
        <v>34</v>
      </c>
      <c r="J1069" s="3" t="s">
        <v>35</v>
      </c>
      <c r="K1069" s="3"/>
      <c r="L1069" s="3" t="s">
        <v>36</v>
      </c>
      <c r="M1069" s="3" t="str">
        <f>CONCATENATE("02817500420")</f>
        <v>02817500420</v>
      </c>
      <c r="N1069" s="3" t="s">
        <v>1193</v>
      </c>
      <c r="O1069" s="3" t="s">
        <v>38</v>
      </c>
      <c r="P1069" s="3"/>
      <c r="Q1069" s="4">
        <v>45944</v>
      </c>
      <c r="R1069" s="3" t="s">
        <v>39</v>
      </c>
      <c r="S1069" s="3" t="s">
        <v>38</v>
      </c>
      <c r="T1069" s="3" t="s">
        <v>40</v>
      </c>
      <c r="U1069" s="3"/>
      <c r="V1069" s="3" t="s">
        <v>41</v>
      </c>
      <c r="W1069" s="5">
        <v>1110.45</v>
      </c>
      <c r="X1069" s="3">
        <v>832.84</v>
      </c>
      <c r="Y1069" s="3">
        <v>194.33</v>
      </c>
      <c r="Z1069" s="3">
        <v>83.28</v>
      </c>
      <c r="AA1069" s="3">
        <v>0</v>
      </c>
    </row>
    <row r="1070" spans="1:27" ht="60.75" x14ac:dyDescent="0.25">
      <c r="A1070" s="3" t="s">
        <v>28</v>
      </c>
      <c r="B1070" s="3" t="s">
        <v>29</v>
      </c>
      <c r="C1070" s="3" t="s">
        <v>30</v>
      </c>
      <c r="D1070" s="3" t="s">
        <v>49</v>
      </c>
      <c r="E1070" s="3" t="s">
        <v>32</v>
      </c>
      <c r="F1070" s="3" t="s">
        <v>69</v>
      </c>
      <c r="G1070" s="3">
        <v>2025</v>
      </c>
      <c r="H1070" s="3" t="str">
        <f>CONCATENATE("54240573383")</f>
        <v>54240573383</v>
      </c>
      <c r="I1070" s="3" t="s">
        <v>34</v>
      </c>
      <c r="J1070" s="3" t="s">
        <v>35</v>
      </c>
      <c r="K1070" s="3"/>
      <c r="L1070" s="3" t="s">
        <v>36</v>
      </c>
      <c r="M1070" s="3" t="str">
        <f>CONCATENATE("VSSGZL61B60L191T")</f>
        <v>VSSGZL61B60L191T</v>
      </c>
      <c r="N1070" s="3" t="s">
        <v>1194</v>
      </c>
      <c r="O1070" s="3" t="s">
        <v>38</v>
      </c>
      <c r="P1070" s="3"/>
      <c r="Q1070" s="4">
        <v>45944</v>
      </c>
      <c r="R1070" s="3" t="s">
        <v>39</v>
      </c>
      <c r="S1070" s="3" t="s">
        <v>38</v>
      </c>
      <c r="T1070" s="3" t="s">
        <v>40</v>
      </c>
      <c r="U1070" s="3"/>
      <c r="V1070" s="3" t="s">
        <v>41</v>
      </c>
      <c r="W1070" s="5">
        <v>7105.68</v>
      </c>
      <c r="X1070" s="5">
        <v>5329.26</v>
      </c>
      <c r="Y1070" s="5">
        <v>1243.49</v>
      </c>
      <c r="Z1070" s="3">
        <v>532.92999999999995</v>
      </c>
      <c r="AA1070" s="3">
        <v>0</v>
      </c>
    </row>
    <row r="1071" spans="1:27" ht="36.75" x14ac:dyDescent="0.25">
      <c r="A1071" s="3" t="s">
        <v>28</v>
      </c>
      <c r="B1071" s="3" t="s">
        <v>29</v>
      </c>
      <c r="C1071" s="3" t="s">
        <v>30</v>
      </c>
      <c r="D1071" s="3" t="s">
        <v>49</v>
      </c>
      <c r="E1071" s="3" t="s">
        <v>46</v>
      </c>
      <c r="F1071" s="3" t="s">
        <v>205</v>
      </c>
      <c r="G1071" s="3">
        <v>2025</v>
      </c>
      <c r="H1071" s="3" t="str">
        <f>CONCATENATE("54240573581")</f>
        <v>54240573581</v>
      </c>
      <c r="I1071" s="3" t="s">
        <v>34</v>
      </c>
      <c r="J1071" s="3" t="s">
        <v>35</v>
      </c>
      <c r="K1071" s="3"/>
      <c r="L1071" s="3" t="s">
        <v>36</v>
      </c>
      <c r="M1071" s="3" t="str">
        <f>CONCATENATE("02364090445")</f>
        <v>02364090445</v>
      </c>
      <c r="N1071" s="3" t="s">
        <v>1195</v>
      </c>
      <c r="O1071" s="3" t="s">
        <v>38</v>
      </c>
      <c r="P1071" s="3"/>
      <c r="Q1071" s="4">
        <v>45944</v>
      </c>
      <c r="R1071" s="3" t="s">
        <v>39</v>
      </c>
      <c r="S1071" s="3" t="s">
        <v>38</v>
      </c>
      <c r="T1071" s="3" t="s">
        <v>40</v>
      </c>
      <c r="U1071" s="3"/>
      <c r="V1071" s="3" t="s">
        <v>41</v>
      </c>
      <c r="W1071" s="5">
        <v>4284.5200000000004</v>
      </c>
      <c r="X1071" s="5">
        <v>3213.39</v>
      </c>
      <c r="Y1071" s="3">
        <v>749.79</v>
      </c>
      <c r="Z1071" s="3">
        <v>321.33999999999997</v>
      </c>
      <c r="AA1071" s="3">
        <v>0</v>
      </c>
    </row>
    <row r="1072" spans="1:27" ht="36.75" x14ac:dyDescent="0.25">
      <c r="A1072" s="3" t="s">
        <v>28</v>
      </c>
      <c r="B1072" s="3" t="s">
        <v>29</v>
      </c>
      <c r="C1072" s="3" t="s">
        <v>30</v>
      </c>
      <c r="D1072" s="3" t="s">
        <v>49</v>
      </c>
      <c r="E1072" s="3" t="s">
        <v>46</v>
      </c>
      <c r="F1072" s="3" t="s">
        <v>140</v>
      </c>
      <c r="G1072" s="3">
        <v>2025</v>
      </c>
      <c r="H1072" s="3" t="str">
        <f>CONCATENATE("54240573607")</f>
        <v>54240573607</v>
      </c>
      <c r="I1072" s="3" t="s">
        <v>34</v>
      </c>
      <c r="J1072" s="3" t="s">
        <v>35</v>
      </c>
      <c r="K1072" s="3"/>
      <c r="L1072" s="3" t="s">
        <v>36</v>
      </c>
      <c r="M1072" s="3" t="str">
        <f>CONCATENATE("01926590439")</f>
        <v>01926590439</v>
      </c>
      <c r="N1072" s="3" t="s">
        <v>1196</v>
      </c>
      <c r="O1072" s="3" t="s">
        <v>38</v>
      </c>
      <c r="P1072" s="3"/>
      <c r="Q1072" s="4">
        <v>45944</v>
      </c>
      <c r="R1072" s="3" t="s">
        <v>39</v>
      </c>
      <c r="S1072" s="3" t="s">
        <v>38</v>
      </c>
      <c r="T1072" s="3" t="s">
        <v>40</v>
      </c>
      <c r="U1072" s="3"/>
      <c r="V1072" s="3" t="s">
        <v>41</v>
      </c>
      <c r="W1072" s="5">
        <v>6314.66</v>
      </c>
      <c r="X1072" s="5">
        <v>4736</v>
      </c>
      <c r="Y1072" s="5">
        <v>1105.07</v>
      </c>
      <c r="Z1072" s="3">
        <v>473.59</v>
      </c>
      <c r="AA1072" s="3">
        <v>0</v>
      </c>
    </row>
    <row r="1073" spans="1:27" ht="36.75" x14ac:dyDescent="0.25">
      <c r="A1073" s="3" t="s">
        <v>28</v>
      </c>
      <c r="B1073" s="3" t="s">
        <v>29</v>
      </c>
      <c r="C1073" s="3" t="s">
        <v>30</v>
      </c>
      <c r="D1073" s="3" t="s">
        <v>58</v>
      </c>
      <c r="E1073" s="3" t="s">
        <v>32</v>
      </c>
      <c r="F1073" s="3" t="s">
        <v>96</v>
      </c>
      <c r="G1073" s="3">
        <v>2025</v>
      </c>
      <c r="H1073" s="3" t="str">
        <f>CONCATENATE("54240573946")</f>
        <v>54240573946</v>
      </c>
      <c r="I1073" s="3" t="s">
        <v>34</v>
      </c>
      <c r="J1073" s="3" t="s">
        <v>35</v>
      </c>
      <c r="K1073" s="3"/>
      <c r="L1073" s="3" t="s">
        <v>36</v>
      </c>
      <c r="M1073" s="3" t="str">
        <f>CONCATENATE("02711460424")</f>
        <v>02711460424</v>
      </c>
      <c r="N1073" s="3" t="s">
        <v>1197</v>
      </c>
      <c r="O1073" s="3" t="s">
        <v>38</v>
      </c>
      <c r="P1073" s="3"/>
      <c r="Q1073" s="4">
        <v>45944</v>
      </c>
      <c r="R1073" s="3" t="s">
        <v>39</v>
      </c>
      <c r="S1073" s="3" t="s">
        <v>38</v>
      </c>
      <c r="T1073" s="3" t="s">
        <v>40</v>
      </c>
      <c r="U1073" s="3"/>
      <c r="V1073" s="3" t="s">
        <v>41</v>
      </c>
      <c r="W1073" s="5">
        <v>16624.96</v>
      </c>
      <c r="X1073" s="5">
        <v>12468.72</v>
      </c>
      <c r="Y1073" s="5">
        <v>2909.37</v>
      </c>
      <c r="Z1073" s="5">
        <v>1246.8699999999999</v>
      </c>
      <c r="AA1073" s="3">
        <v>0</v>
      </c>
    </row>
    <row r="1074" spans="1:27" ht="36.75" x14ac:dyDescent="0.25">
      <c r="A1074" s="3" t="s">
        <v>28</v>
      </c>
      <c r="B1074" s="3" t="s">
        <v>29</v>
      </c>
      <c r="C1074" s="3" t="s">
        <v>30</v>
      </c>
      <c r="D1074" s="3" t="s">
        <v>49</v>
      </c>
      <c r="E1074" s="3" t="s">
        <v>46</v>
      </c>
      <c r="F1074" s="3" t="s">
        <v>205</v>
      </c>
      <c r="G1074" s="3">
        <v>2025</v>
      </c>
      <c r="H1074" s="3" t="str">
        <f>CONCATENATE("54240573920")</f>
        <v>54240573920</v>
      </c>
      <c r="I1074" s="3" t="s">
        <v>34</v>
      </c>
      <c r="J1074" s="3" t="s">
        <v>35</v>
      </c>
      <c r="K1074" s="3"/>
      <c r="L1074" s="3" t="s">
        <v>36</v>
      </c>
      <c r="M1074" s="3" t="str">
        <f>CONCATENATE("02018790432")</f>
        <v>02018790432</v>
      </c>
      <c r="N1074" s="3" t="s">
        <v>1198</v>
      </c>
      <c r="O1074" s="3" t="s">
        <v>38</v>
      </c>
      <c r="P1074" s="3"/>
      <c r="Q1074" s="4">
        <v>45944</v>
      </c>
      <c r="R1074" s="3" t="s">
        <v>39</v>
      </c>
      <c r="S1074" s="3" t="s">
        <v>38</v>
      </c>
      <c r="T1074" s="3" t="s">
        <v>40</v>
      </c>
      <c r="U1074" s="3"/>
      <c r="V1074" s="3" t="s">
        <v>41</v>
      </c>
      <c r="W1074" s="5">
        <v>1885.95</v>
      </c>
      <c r="X1074" s="5">
        <v>1414.46</v>
      </c>
      <c r="Y1074" s="3">
        <v>330.04</v>
      </c>
      <c r="Z1074" s="3">
        <v>141.44999999999999</v>
      </c>
      <c r="AA1074" s="3">
        <v>0</v>
      </c>
    </row>
    <row r="1075" spans="1:27" ht="60.75" x14ac:dyDescent="0.25">
      <c r="A1075" s="3" t="s">
        <v>28</v>
      </c>
      <c r="B1075" s="3" t="s">
        <v>29</v>
      </c>
      <c r="C1075" s="3" t="s">
        <v>30</v>
      </c>
      <c r="D1075" s="3" t="s">
        <v>31</v>
      </c>
      <c r="E1075" s="3" t="s">
        <v>53</v>
      </c>
      <c r="F1075" s="3" t="s">
        <v>82</v>
      </c>
      <c r="G1075" s="3">
        <v>2025</v>
      </c>
      <c r="H1075" s="3" t="str">
        <f>CONCATENATE("54240574514")</f>
        <v>54240574514</v>
      </c>
      <c r="I1075" s="3" t="s">
        <v>34</v>
      </c>
      <c r="J1075" s="3" t="s">
        <v>35</v>
      </c>
      <c r="K1075" s="3"/>
      <c r="L1075" s="3" t="s">
        <v>36</v>
      </c>
      <c r="M1075" s="3" t="str">
        <f>CONCATENATE("PCSMNL78B08L500Z")</f>
        <v>PCSMNL78B08L500Z</v>
      </c>
      <c r="N1075" s="3" t="s">
        <v>1199</v>
      </c>
      <c r="O1075" s="3" t="s">
        <v>38</v>
      </c>
      <c r="P1075" s="3"/>
      <c r="Q1075" s="4">
        <v>45944</v>
      </c>
      <c r="R1075" s="3" t="s">
        <v>39</v>
      </c>
      <c r="S1075" s="3" t="s">
        <v>38</v>
      </c>
      <c r="T1075" s="3" t="s">
        <v>40</v>
      </c>
      <c r="U1075" s="3"/>
      <c r="V1075" s="3" t="s">
        <v>41</v>
      </c>
      <c r="W1075" s="5">
        <v>3943.23</v>
      </c>
      <c r="X1075" s="5">
        <v>2957.42</v>
      </c>
      <c r="Y1075" s="3">
        <v>690.07</v>
      </c>
      <c r="Z1075" s="3">
        <v>295.74</v>
      </c>
      <c r="AA1075" s="3">
        <v>0</v>
      </c>
    </row>
    <row r="1076" spans="1:27" ht="60.75" x14ac:dyDescent="0.25">
      <c r="A1076" s="3" t="s">
        <v>28</v>
      </c>
      <c r="B1076" s="3" t="s">
        <v>29</v>
      </c>
      <c r="C1076" s="3" t="s">
        <v>30</v>
      </c>
      <c r="D1076" s="3" t="s">
        <v>63</v>
      </c>
      <c r="E1076" s="3" t="s">
        <v>32</v>
      </c>
      <c r="F1076" s="3" t="s">
        <v>243</v>
      </c>
      <c r="G1076" s="3">
        <v>2025</v>
      </c>
      <c r="H1076" s="3" t="str">
        <f>CONCATENATE("54240574761")</f>
        <v>54240574761</v>
      </c>
      <c r="I1076" s="3" t="s">
        <v>34</v>
      </c>
      <c r="J1076" s="3" t="s">
        <v>35</v>
      </c>
      <c r="K1076" s="3"/>
      <c r="L1076" s="3" t="s">
        <v>36</v>
      </c>
      <c r="M1076" s="3" t="str">
        <f>CONCATENATE("MRZLEA42T41F614H")</f>
        <v>MRZLEA42T41F614H</v>
      </c>
      <c r="N1076" s="3" t="s">
        <v>1200</v>
      </c>
      <c r="O1076" s="3" t="s">
        <v>38</v>
      </c>
      <c r="P1076" s="3"/>
      <c r="Q1076" s="4">
        <v>45944</v>
      </c>
      <c r="R1076" s="3" t="s">
        <v>39</v>
      </c>
      <c r="S1076" s="3" t="s">
        <v>38</v>
      </c>
      <c r="T1076" s="3" t="s">
        <v>40</v>
      </c>
      <c r="U1076" s="3"/>
      <c r="V1076" s="3" t="s">
        <v>41</v>
      </c>
      <c r="W1076" s="3">
        <v>910.77</v>
      </c>
      <c r="X1076" s="3">
        <v>683.08</v>
      </c>
      <c r="Y1076" s="3">
        <v>159.38</v>
      </c>
      <c r="Z1076" s="3">
        <v>68.31</v>
      </c>
      <c r="AA1076" s="3">
        <v>0</v>
      </c>
    </row>
    <row r="1077" spans="1:27" ht="60.75" x14ac:dyDescent="0.25">
      <c r="A1077" s="3" t="s">
        <v>28</v>
      </c>
      <c r="B1077" s="3" t="s">
        <v>29</v>
      </c>
      <c r="C1077" s="3" t="s">
        <v>30</v>
      </c>
      <c r="D1077" s="3" t="s">
        <v>63</v>
      </c>
      <c r="E1077" s="3" t="s">
        <v>32</v>
      </c>
      <c r="F1077" s="3" t="s">
        <v>243</v>
      </c>
      <c r="G1077" s="3">
        <v>2025</v>
      </c>
      <c r="H1077" s="3" t="str">
        <f>CONCATENATE("54240574969")</f>
        <v>54240574969</v>
      </c>
      <c r="I1077" s="3" t="s">
        <v>34</v>
      </c>
      <c r="J1077" s="3" t="s">
        <v>35</v>
      </c>
      <c r="K1077" s="3"/>
      <c r="L1077" s="3" t="s">
        <v>36</v>
      </c>
      <c r="M1077" s="3" t="str">
        <f>CONCATENATE("SCRLNZ59H10E447X")</f>
        <v>SCRLNZ59H10E447X</v>
      </c>
      <c r="N1077" s="3" t="s">
        <v>1201</v>
      </c>
      <c r="O1077" s="3" t="s">
        <v>38</v>
      </c>
      <c r="P1077" s="3"/>
      <c r="Q1077" s="4">
        <v>45944</v>
      </c>
      <c r="R1077" s="3" t="s">
        <v>39</v>
      </c>
      <c r="S1077" s="3" t="s">
        <v>38</v>
      </c>
      <c r="T1077" s="3" t="s">
        <v>40</v>
      </c>
      <c r="U1077" s="3"/>
      <c r="V1077" s="3" t="s">
        <v>41</v>
      </c>
      <c r="W1077" s="5">
        <v>8008.75</v>
      </c>
      <c r="X1077" s="5">
        <v>6006.56</v>
      </c>
      <c r="Y1077" s="5">
        <v>1401.53</v>
      </c>
      <c r="Z1077" s="3">
        <v>600.66</v>
      </c>
      <c r="AA1077" s="3">
        <v>0</v>
      </c>
    </row>
    <row r="1078" spans="1:27" ht="60.75" x14ac:dyDescent="0.25">
      <c r="A1078" s="3" t="s">
        <v>28</v>
      </c>
      <c r="B1078" s="3" t="s">
        <v>29</v>
      </c>
      <c r="C1078" s="3" t="s">
        <v>30</v>
      </c>
      <c r="D1078" s="3" t="s">
        <v>31</v>
      </c>
      <c r="E1078" s="3" t="s">
        <v>32</v>
      </c>
      <c r="F1078" s="3" t="s">
        <v>115</v>
      </c>
      <c r="G1078" s="3">
        <v>2025</v>
      </c>
      <c r="H1078" s="3" t="str">
        <f>CONCATENATE("54240574746")</f>
        <v>54240574746</v>
      </c>
      <c r="I1078" s="3" t="s">
        <v>149</v>
      </c>
      <c r="J1078" s="3" t="s">
        <v>35</v>
      </c>
      <c r="K1078" s="3"/>
      <c r="L1078" s="3" t="s">
        <v>36</v>
      </c>
      <c r="M1078" s="3" t="str">
        <f>CONCATENATE("TRCMRA58M43L500B")</f>
        <v>TRCMRA58M43L500B</v>
      </c>
      <c r="N1078" s="3" t="s">
        <v>1202</v>
      </c>
      <c r="O1078" s="3" t="s">
        <v>38</v>
      </c>
      <c r="P1078" s="3"/>
      <c r="Q1078" s="4">
        <v>45944</v>
      </c>
      <c r="R1078" s="3" t="s">
        <v>39</v>
      </c>
      <c r="S1078" s="3" t="s">
        <v>38</v>
      </c>
      <c r="T1078" s="3" t="s">
        <v>40</v>
      </c>
      <c r="U1078" s="3"/>
      <c r="V1078" s="3" t="s">
        <v>41</v>
      </c>
      <c r="W1078" s="5">
        <v>1554.75</v>
      </c>
      <c r="X1078" s="5">
        <v>1166.06</v>
      </c>
      <c r="Y1078" s="3">
        <v>272.08</v>
      </c>
      <c r="Z1078" s="3">
        <v>116.61</v>
      </c>
      <c r="AA1078" s="3">
        <v>0</v>
      </c>
    </row>
    <row r="1079" spans="1:27" ht="60.75" x14ac:dyDescent="0.25">
      <c r="A1079" s="3" t="s">
        <v>28</v>
      </c>
      <c r="B1079" s="3" t="s">
        <v>29</v>
      </c>
      <c r="C1079" s="3" t="s">
        <v>30</v>
      </c>
      <c r="D1079" s="3" t="s">
        <v>31</v>
      </c>
      <c r="E1079" s="3" t="s">
        <v>53</v>
      </c>
      <c r="F1079" s="3" t="s">
        <v>82</v>
      </c>
      <c r="G1079" s="3">
        <v>2025</v>
      </c>
      <c r="H1079" s="3" t="str">
        <f>CONCATENATE("54240574886")</f>
        <v>54240574886</v>
      </c>
      <c r="I1079" s="3" t="s">
        <v>34</v>
      </c>
      <c r="J1079" s="3" t="s">
        <v>35</v>
      </c>
      <c r="K1079" s="3"/>
      <c r="L1079" s="3" t="s">
        <v>36</v>
      </c>
      <c r="M1079" s="3" t="str">
        <f>CONCATENATE("PNDVSC59D06L500X")</f>
        <v>PNDVSC59D06L500X</v>
      </c>
      <c r="N1079" s="3" t="s">
        <v>1203</v>
      </c>
      <c r="O1079" s="3" t="s">
        <v>38</v>
      </c>
      <c r="P1079" s="3"/>
      <c r="Q1079" s="4">
        <v>45944</v>
      </c>
      <c r="R1079" s="3" t="s">
        <v>39</v>
      </c>
      <c r="S1079" s="3" t="s">
        <v>38</v>
      </c>
      <c r="T1079" s="3" t="s">
        <v>40</v>
      </c>
      <c r="U1079" s="3"/>
      <c r="V1079" s="3" t="s">
        <v>41</v>
      </c>
      <c r="W1079" s="5">
        <v>7247.21</v>
      </c>
      <c r="X1079" s="5">
        <v>5435.41</v>
      </c>
      <c r="Y1079" s="5">
        <v>1268.26</v>
      </c>
      <c r="Z1079" s="3">
        <v>543.54</v>
      </c>
      <c r="AA1079" s="3">
        <v>0</v>
      </c>
    </row>
    <row r="1080" spans="1:27" ht="36.75" x14ac:dyDescent="0.25">
      <c r="A1080" s="3" t="s">
        <v>28</v>
      </c>
      <c r="B1080" s="3" t="s">
        <v>29</v>
      </c>
      <c r="C1080" s="3" t="s">
        <v>30</v>
      </c>
      <c r="D1080" s="3" t="s">
        <v>31</v>
      </c>
      <c r="E1080" s="3" t="s">
        <v>32</v>
      </c>
      <c r="F1080" s="3" t="s">
        <v>115</v>
      </c>
      <c r="G1080" s="3">
        <v>2025</v>
      </c>
      <c r="H1080" s="3" t="str">
        <f>CONCATENATE("54240574621")</f>
        <v>54240574621</v>
      </c>
      <c r="I1080" s="3" t="s">
        <v>149</v>
      </c>
      <c r="J1080" s="3" t="s">
        <v>35</v>
      </c>
      <c r="K1080" s="3"/>
      <c r="L1080" s="3" t="s">
        <v>36</v>
      </c>
      <c r="M1080" s="3" t="str">
        <f>CONCATENATE("00800390411")</f>
        <v>00800390411</v>
      </c>
      <c r="N1080" s="3" t="s">
        <v>1204</v>
      </c>
      <c r="O1080" s="3" t="s">
        <v>38</v>
      </c>
      <c r="P1080" s="3"/>
      <c r="Q1080" s="4">
        <v>45944</v>
      </c>
      <c r="R1080" s="3" t="s">
        <v>39</v>
      </c>
      <c r="S1080" s="3" t="s">
        <v>38</v>
      </c>
      <c r="T1080" s="3" t="s">
        <v>40</v>
      </c>
      <c r="U1080" s="3"/>
      <c r="V1080" s="3" t="s">
        <v>41</v>
      </c>
      <c r="W1080" s="5">
        <v>2924.54</v>
      </c>
      <c r="X1080" s="5">
        <v>2193.41</v>
      </c>
      <c r="Y1080" s="3">
        <v>511.79</v>
      </c>
      <c r="Z1080" s="3">
        <v>219.34</v>
      </c>
      <c r="AA1080" s="3">
        <v>0</v>
      </c>
    </row>
    <row r="1081" spans="1:27" ht="60.75" x14ac:dyDescent="0.25">
      <c r="A1081" s="3" t="s">
        <v>28</v>
      </c>
      <c r="B1081" s="3" t="s">
        <v>29</v>
      </c>
      <c r="C1081" s="3" t="s">
        <v>30</v>
      </c>
      <c r="D1081" s="3" t="s">
        <v>63</v>
      </c>
      <c r="E1081" s="3" t="s">
        <v>32</v>
      </c>
      <c r="F1081" s="3" t="s">
        <v>158</v>
      </c>
      <c r="G1081" s="3">
        <v>2025</v>
      </c>
      <c r="H1081" s="3" t="str">
        <f>CONCATENATE("54240574852")</f>
        <v>54240574852</v>
      </c>
      <c r="I1081" s="3" t="s">
        <v>34</v>
      </c>
      <c r="J1081" s="3" t="s">
        <v>35</v>
      </c>
      <c r="K1081" s="3"/>
      <c r="L1081" s="3" t="s">
        <v>36</v>
      </c>
      <c r="M1081" s="3" t="str">
        <f>CONCATENATE("RBNGNN64E71H769Y")</f>
        <v>RBNGNN64E71H769Y</v>
      </c>
      <c r="N1081" s="3" t="s">
        <v>1205</v>
      </c>
      <c r="O1081" s="3" t="s">
        <v>38</v>
      </c>
      <c r="P1081" s="3"/>
      <c r="Q1081" s="4">
        <v>45944</v>
      </c>
      <c r="R1081" s="3" t="s">
        <v>39</v>
      </c>
      <c r="S1081" s="3" t="s">
        <v>38</v>
      </c>
      <c r="T1081" s="3" t="s">
        <v>40</v>
      </c>
      <c r="U1081" s="3"/>
      <c r="V1081" s="3" t="s">
        <v>41</v>
      </c>
      <c r="W1081" s="3">
        <v>893.31</v>
      </c>
      <c r="X1081" s="3">
        <v>669.98</v>
      </c>
      <c r="Y1081" s="3">
        <v>156.33000000000001</v>
      </c>
      <c r="Z1081" s="3">
        <v>67</v>
      </c>
      <c r="AA1081" s="3">
        <v>0</v>
      </c>
    </row>
    <row r="1082" spans="1:27" ht="60.75" x14ac:dyDescent="0.25">
      <c r="A1082" s="3" t="s">
        <v>28</v>
      </c>
      <c r="B1082" s="3" t="s">
        <v>29</v>
      </c>
      <c r="C1082" s="3" t="s">
        <v>30</v>
      </c>
      <c r="D1082" s="3" t="s">
        <v>31</v>
      </c>
      <c r="E1082" s="3" t="s">
        <v>53</v>
      </c>
      <c r="F1082" s="3" t="s">
        <v>82</v>
      </c>
      <c r="G1082" s="3">
        <v>2025</v>
      </c>
      <c r="H1082" s="3" t="str">
        <f>CONCATENATE("54240574993")</f>
        <v>54240574993</v>
      </c>
      <c r="I1082" s="3" t="s">
        <v>34</v>
      </c>
      <c r="J1082" s="3" t="s">
        <v>35</v>
      </c>
      <c r="K1082" s="3"/>
      <c r="L1082" s="3" t="s">
        <v>36</v>
      </c>
      <c r="M1082" s="3" t="str">
        <f>CONCATENATE("PRSRME56T16F497E")</f>
        <v>PRSRME56T16F497E</v>
      </c>
      <c r="N1082" s="3" t="s">
        <v>1206</v>
      </c>
      <c r="O1082" s="3" t="s">
        <v>38</v>
      </c>
      <c r="P1082" s="3"/>
      <c r="Q1082" s="4">
        <v>45944</v>
      </c>
      <c r="R1082" s="3" t="s">
        <v>39</v>
      </c>
      <c r="S1082" s="3" t="s">
        <v>38</v>
      </c>
      <c r="T1082" s="3" t="s">
        <v>40</v>
      </c>
      <c r="U1082" s="3"/>
      <c r="V1082" s="3" t="s">
        <v>41</v>
      </c>
      <c r="W1082" s="5">
        <v>9638.2900000000009</v>
      </c>
      <c r="X1082" s="5">
        <v>7228.72</v>
      </c>
      <c r="Y1082" s="5">
        <v>1686.7</v>
      </c>
      <c r="Z1082" s="3">
        <v>722.87</v>
      </c>
      <c r="AA1082" s="3">
        <v>0</v>
      </c>
    </row>
    <row r="1083" spans="1:27" ht="36.75" x14ac:dyDescent="0.25">
      <c r="A1083" s="3" t="s">
        <v>28</v>
      </c>
      <c r="B1083" s="3" t="s">
        <v>29</v>
      </c>
      <c r="C1083" s="3" t="s">
        <v>30</v>
      </c>
      <c r="D1083" s="3" t="s">
        <v>31</v>
      </c>
      <c r="E1083" s="3" t="s">
        <v>53</v>
      </c>
      <c r="F1083" s="3" t="s">
        <v>82</v>
      </c>
      <c r="G1083" s="3">
        <v>2025</v>
      </c>
      <c r="H1083" s="3" t="str">
        <f>CONCATENATE("54240575230")</f>
        <v>54240575230</v>
      </c>
      <c r="I1083" s="3" t="s">
        <v>34</v>
      </c>
      <c r="J1083" s="3" t="s">
        <v>35</v>
      </c>
      <c r="K1083" s="3"/>
      <c r="L1083" s="3" t="s">
        <v>36</v>
      </c>
      <c r="M1083" s="3" t="str">
        <f>CONCATENATE("02508110414")</f>
        <v>02508110414</v>
      </c>
      <c r="N1083" s="3" t="s">
        <v>1207</v>
      </c>
      <c r="O1083" s="3" t="s">
        <v>38</v>
      </c>
      <c r="P1083" s="3"/>
      <c r="Q1083" s="4">
        <v>45944</v>
      </c>
      <c r="R1083" s="3" t="s">
        <v>39</v>
      </c>
      <c r="S1083" s="3" t="s">
        <v>38</v>
      </c>
      <c r="T1083" s="3" t="s">
        <v>40</v>
      </c>
      <c r="U1083" s="3"/>
      <c r="V1083" s="3" t="s">
        <v>41</v>
      </c>
      <c r="W1083" s="5">
        <v>3229.68</v>
      </c>
      <c r="X1083" s="5">
        <v>2422.2600000000002</v>
      </c>
      <c r="Y1083" s="3">
        <v>565.19000000000005</v>
      </c>
      <c r="Z1083" s="3">
        <v>242.23</v>
      </c>
      <c r="AA1083" s="3">
        <v>0</v>
      </c>
    </row>
    <row r="1084" spans="1:27" ht="60.75" x14ac:dyDescent="0.25">
      <c r="A1084" s="3" t="s">
        <v>28</v>
      </c>
      <c r="B1084" s="3" t="s">
        <v>29</v>
      </c>
      <c r="C1084" s="3" t="s">
        <v>30</v>
      </c>
      <c r="D1084" s="3" t="s">
        <v>31</v>
      </c>
      <c r="E1084" s="3" t="s">
        <v>53</v>
      </c>
      <c r="F1084" s="3" t="s">
        <v>82</v>
      </c>
      <c r="G1084" s="3">
        <v>2025</v>
      </c>
      <c r="H1084" s="3" t="str">
        <f>CONCATENATE("54240575610")</f>
        <v>54240575610</v>
      </c>
      <c r="I1084" s="3" t="s">
        <v>34</v>
      </c>
      <c r="J1084" s="3" t="s">
        <v>35</v>
      </c>
      <c r="K1084" s="3"/>
      <c r="L1084" s="3" t="s">
        <v>36</v>
      </c>
      <c r="M1084" s="3" t="str">
        <f>CONCATENATE("RGNNNS78B48L500C")</f>
        <v>RGNNNS78B48L500C</v>
      </c>
      <c r="N1084" s="3" t="s">
        <v>1208</v>
      </c>
      <c r="O1084" s="3" t="s">
        <v>38</v>
      </c>
      <c r="P1084" s="3"/>
      <c r="Q1084" s="4">
        <v>45944</v>
      </c>
      <c r="R1084" s="3" t="s">
        <v>39</v>
      </c>
      <c r="S1084" s="3" t="s">
        <v>38</v>
      </c>
      <c r="T1084" s="3" t="s">
        <v>40</v>
      </c>
      <c r="U1084" s="3"/>
      <c r="V1084" s="3" t="s">
        <v>41</v>
      </c>
      <c r="W1084" s="5">
        <v>8526.93</v>
      </c>
      <c r="X1084" s="5">
        <v>6395.2</v>
      </c>
      <c r="Y1084" s="5">
        <v>1492.21</v>
      </c>
      <c r="Z1084" s="3">
        <v>639.52</v>
      </c>
      <c r="AA1084" s="3">
        <v>0</v>
      </c>
    </row>
    <row r="1085" spans="1:27" ht="60.75" x14ac:dyDescent="0.25">
      <c r="A1085" s="3" t="s">
        <v>28</v>
      </c>
      <c r="B1085" s="3" t="s">
        <v>29</v>
      </c>
      <c r="C1085" s="3" t="s">
        <v>30</v>
      </c>
      <c r="D1085" s="3" t="s">
        <v>31</v>
      </c>
      <c r="E1085" s="3" t="s">
        <v>53</v>
      </c>
      <c r="F1085" s="3" t="s">
        <v>172</v>
      </c>
      <c r="G1085" s="3">
        <v>2025</v>
      </c>
      <c r="H1085" s="3" t="str">
        <f>CONCATENATE("54240583705")</f>
        <v>54240583705</v>
      </c>
      <c r="I1085" s="3" t="s">
        <v>34</v>
      </c>
      <c r="J1085" s="3" t="s">
        <v>35</v>
      </c>
      <c r="K1085" s="3"/>
      <c r="L1085" s="3" t="s">
        <v>36</v>
      </c>
      <c r="M1085" s="3" t="str">
        <f>CONCATENATE("CMLVTR41C01A639X")</f>
        <v>CMLVTR41C01A639X</v>
      </c>
      <c r="N1085" s="3" t="s">
        <v>1209</v>
      </c>
      <c r="O1085" s="3" t="s">
        <v>38</v>
      </c>
      <c r="P1085" s="3"/>
      <c r="Q1085" s="4">
        <v>45944</v>
      </c>
      <c r="R1085" s="3" t="s">
        <v>39</v>
      </c>
      <c r="S1085" s="3" t="s">
        <v>38</v>
      </c>
      <c r="T1085" s="3" t="s">
        <v>40</v>
      </c>
      <c r="U1085" s="3"/>
      <c r="V1085" s="3" t="s">
        <v>41</v>
      </c>
      <c r="W1085" s="5">
        <v>4713.68</v>
      </c>
      <c r="X1085" s="5">
        <v>3535.26</v>
      </c>
      <c r="Y1085" s="3">
        <v>824.89</v>
      </c>
      <c r="Z1085" s="3">
        <v>353.53</v>
      </c>
      <c r="AA1085" s="3">
        <v>0</v>
      </c>
    </row>
    <row r="1086" spans="1:27" ht="36.75" x14ac:dyDescent="0.25">
      <c r="A1086" s="3" t="s">
        <v>28</v>
      </c>
      <c r="B1086" s="3" t="s">
        <v>29</v>
      </c>
      <c r="C1086" s="3" t="s">
        <v>30</v>
      </c>
      <c r="D1086" s="3" t="s">
        <v>63</v>
      </c>
      <c r="E1086" s="3" t="s">
        <v>32</v>
      </c>
      <c r="F1086" s="3" t="s">
        <v>158</v>
      </c>
      <c r="G1086" s="3">
        <v>2025</v>
      </c>
      <c r="H1086" s="3" t="str">
        <f>CONCATENATE("54240575347")</f>
        <v>54240575347</v>
      </c>
      <c r="I1086" s="3" t="s">
        <v>34</v>
      </c>
      <c r="J1086" s="3" t="s">
        <v>35</v>
      </c>
      <c r="K1086" s="3"/>
      <c r="L1086" s="3" t="s">
        <v>36</v>
      </c>
      <c r="M1086" s="3" t="str">
        <f>CONCATENATE("02535850446")</f>
        <v>02535850446</v>
      </c>
      <c r="N1086" s="3" t="s">
        <v>1210</v>
      </c>
      <c r="O1086" s="3" t="s">
        <v>38</v>
      </c>
      <c r="P1086" s="3"/>
      <c r="Q1086" s="4">
        <v>45944</v>
      </c>
      <c r="R1086" s="3" t="s">
        <v>39</v>
      </c>
      <c r="S1086" s="3" t="s">
        <v>38</v>
      </c>
      <c r="T1086" s="3" t="s">
        <v>40</v>
      </c>
      <c r="U1086" s="3"/>
      <c r="V1086" s="3" t="s">
        <v>41</v>
      </c>
      <c r="W1086" s="5">
        <v>2338.75</v>
      </c>
      <c r="X1086" s="5">
        <v>1754.06</v>
      </c>
      <c r="Y1086" s="3">
        <v>409.28</v>
      </c>
      <c r="Z1086" s="3">
        <v>175.41</v>
      </c>
      <c r="AA1086" s="3">
        <v>0</v>
      </c>
    </row>
    <row r="1087" spans="1:27" ht="36.75" x14ac:dyDescent="0.25">
      <c r="A1087" s="3" t="s">
        <v>28</v>
      </c>
      <c r="B1087" s="3" t="s">
        <v>29</v>
      </c>
      <c r="C1087" s="3" t="s">
        <v>30</v>
      </c>
      <c r="D1087" s="3" t="s">
        <v>49</v>
      </c>
      <c r="E1087" s="3" t="s">
        <v>32</v>
      </c>
      <c r="F1087" s="3" t="s">
        <v>78</v>
      </c>
      <c r="G1087" s="3">
        <v>2025</v>
      </c>
      <c r="H1087" s="3" t="str">
        <f>CONCATENATE("54240575529")</f>
        <v>54240575529</v>
      </c>
      <c r="I1087" s="3" t="s">
        <v>34</v>
      </c>
      <c r="J1087" s="3" t="s">
        <v>35</v>
      </c>
      <c r="K1087" s="3"/>
      <c r="L1087" s="3" t="s">
        <v>36</v>
      </c>
      <c r="M1087" s="3" t="str">
        <f>CONCATENATE("01789960430")</f>
        <v>01789960430</v>
      </c>
      <c r="N1087" s="3" t="s">
        <v>1211</v>
      </c>
      <c r="O1087" s="3" t="s">
        <v>38</v>
      </c>
      <c r="P1087" s="3"/>
      <c r="Q1087" s="4">
        <v>45944</v>
      </c>
      <c r="R1087" s="3" t="s">
        <v>39</v>
      </c>
      <c r="S1087" s="3" t="s">
        <v>38</v>
      </c>
      <c r="T1087" s="3" t="s">
        <v>40</v>
      </c>
      <c r="U1087" s="3"/>
      <c r="V1087" s="3" t="s">
        <v>41</v>
      </c>
      <c r="W1087" s="5">
        <v>1226.52</v>
      </c>
      <c r="X1087" s="3">
        <v>919.89</v>
      </c>
      <c r="Y1087" s="3">
        <v>214.64</v>
      </c>
      <c r="Z1087" s="3">
        <v>91.99</v>
      </c>
      <c r="AA1087" s="3">
        <v>0</v>
      </c>
    </row>
    <row r="1088" spans="1:27" ht="60.75" x14ac:dyDescent="0.25">
      <c r="A1088" s="3" t="s">
        <v>28</v>
      </c>
      <c r="B1088" s="3" t="s">
        <v>29</v>
      </c>
      <c r="C1088" s="3" t="s">
        <v>30</v>
      </c>
      <c r="D1088" s="3" t="s">
        <v>49</v>
      </c>
      <c r="E1088" s="3" t="s">
        <v>32</v>
      </c>
      <c r="F1088" s="3" t="s">
        <v>69</v>
      </c>
      <c r="G1088" s="3">
        <v>2025</v>
      </c>
      <c r="H1088" s="3" t="str">
        <f>CONCATENATE("54240551066")</f>
        <v>54240551066</v>
      </c>
      <c r="I1088" s="3" t="s">
        <v>34</v>
      </c>
      <c r="J1088" s="3" t="s">
        <v>35</v>
      </c>
      <c r="K1088" s="3"/>
      <c r="L1088" s="3" t="s">
        <v>36</v>
      </c>
      <c r="M1088" s="3" t="str">
        <f>CONCATENATE("TMBMLC61R54H501Y")</f>
        <v>TMBMLC61R54H501Y</v>
      </c>
      <c r="N1088" s="3" t="s">
        <v>1212</v>
      </c>
      <c r="O1088" s="3" t="s">
        <v>38</v>
      </c>
      <c r="P1088" s="3"/>
      <c r="Q1088" s="4">
        <v>45944</v>
      </c>
      <c r="R1088" s="3" t="s">
        <v>39</v>
      </c>
      <c r="S1088" s="3" t="s">
        <v>38</v>
      </c>
      <c r="T1088" s="3" t="s">
        <v>40</v>
      </c>
      <c r="U1088" s="3"/>
      <c r="V1088" s="3" t="s">
        <v>41</v>
      </c>
      <c r="W1088" s="5">
        <v>8832.7099999999991</v>
      </c>
      <c r="X1088" s="5">
        <v>6624.53</v>
      </c>
      <c r="Y1088" s="5">
        <v>1545.72</v>
      </c>
      <c r="Z1088" s="3">
        <v>662.46</v>
      </c>
      <c r="AA1088" s="3">
        <v>0</v>
      </c>
    </row>
    <row r="1089" spans="1:27" ht="60.75" x14ac:dyDescent="0.25">
      <c r="A1089" s="3" t="s">
        <v>28</v>
      </c>
      <c r="B1089" s="3" t="s">
        <v>29</v>
      </c>
      <c r="C1089" s="3" t="s">
        <v>30</v>
      </c>
      <c r="D1089" s="3" t="s">
        <v>31</v>
      </c>
      <c r="E1089" s="3" t="s">
        <v>32</v>
      </c>
      <c r="F1089" s="3" t="s">
        <v>178</v>
      </c>
      <c r="G1089" s="3">
        <v>2025</v>
      </c>
      <c r="H1089" s="3" t="str">
        <f>CONCATENATE("54240551181")</f>
        <v>54240551181</v>
      </c>
      <c r="I1089" s="3" t="s">
        <v>34</v>
      </c>
      <c r="J1089" s="3" t="s">
        <v>35</v>
      </c>
      <c r="K1089" s="3"/>
      <c r="L1089" s="3" t="s">
        <v>36</v>
      </c>
      <c r="M1089" s="3" t="str">
        <f>CONCATENATE("CTNDNC59A16I654P")</f>
        <v>CTNDNC59A16I654P</v>
      </c>
      <c r="N1089" s="3" t="s">
        <v>1213</v>
      </c>
      <c r="O1089" s="3" t="s">
        <v>38</v>
      </c>
      <c r="P1089" s="3"/>
      <c r="Q1089" s="4">
        <v>45944</v>
      </c>
      <c r="R1089" s="3" t="s">
        <v>39</v>
      </c>
      <c r="S1089" s="3" t="s">
        <v>38</v>
      </c>
      <c r="T1089" s="3" t="s">
        <v>40</v>
      </c>
      <c r="U1089" s="3"/>
      <c r="V1089" s="3" t="s">
        <v>41</v>
      </c>
      <c r="W1089" s="5">
        <v>1618.19</v>
      </c>
      <c r="X1089" s="5">
        <v>1213.6400000000001</v>
      </c>
      <c r="Y1089" s="3">
        <v>283.18</v>
      </c>
      <c r="Z1089" s="3">
        <v>121.37</v>
      </c>
      <c r="AA1089" s="3">
        <v>0</v>
      </c>
    </row>
    <row r="1090" spans="1:27" ht="72.75" x14ac:dyDescent="0.25">
      <c r="A1090" s="3" t="s">
        <v>28</v>
      </c>
      <c r="B1090" s="3" t="s">
        <v>29</v>
      </c>
      <c r="C1090" s="3" t="s">
        <v>30</v>
      </c>
      <c r="D1090" s="3" t="s">
        <v>63</v>
      </c>
      <c r="E1090" s="3" t="s">
        <v>74</v>
      </c>
      <c r="F1090" s="3" t="s">
        <v>252</v>
      </c>
      <c r="G1090" s="3">
        <v>2025</v>
      </c>
      <c r="H1090" s="3" t="str">
        <f>CONCATENATE("54240561412")</f>
        <v>54240561412</v>
      </c>
      <c r="I1090" s="3" t="s">
        <v>34</v>
      </c>
      <c r="J1090" s="3" t="s">
        <v>35</v>
      </c>
      <c r="K1090" s="3"/>
      <c r="L1090" s="3" t="s">
        <v>36</v>
      </c>
      <c r="M1090" s="3" t="str">
        <f>CONCATENATE("GSTMRN63S68H769E")</f>
        <v>GSTMRN63S68H769E</v>
      </c>
      <c r="N1090" s="3" t="s">
        <v>1214</v>
      </c>
      <c r="O1090" s="3" t="s">
        <v>38</v>
      </c>
      <c r="P1090" s="3"/>
      <c r="Q1090" s="4">
        <v>45944</v>
      </c>
      <c r="R1090" s="3" t="s">
        <v>39</v>
      </c>
      <c r="S1090" s="3" t="s">
        <v>38</v>
      </c>
      <c r="T1090" s="3" t="s">
        <v>40</v>
      </c>
      <c r="U1090" s="3"/>
      <c r="V1090" s="3" t="s">
        <v>41</v>
      </c>
      <c r="W1090" s="5">
        <v>1417.66</v>
      </c>
      <c r="X1090" s="5">
        <v>1063.25</v>
      </c>
      <c r="Y1090" s="3">
        <v>248.09</v>
      </c>
      <c r="Z1090" s="3">
        <v>106.32</v>
      </c>
      <c r="AA1090" s="3">
        <v>0</v>
      </c>
    </row>
    <row r="1091" spans="1:27" ht="60.75" x14ac:dyDescent="0.25">
      <c r="A1091" s="3" t="s">
        <v>28</v>
      </c>
      <c r="B1091" s="3" t="s">
        <v>29</v>
      </c>
      <c r="C1091" s="3" t="s">
        <v>30</v>
      </c>
      <c r="D1091" s="3" t="s">
        <v>49</v>
      </c>
      <c r="E1091" s="3" t="s">
        <v>32</v>
      </c>
      <c r="F1091" s="3" t="s">
        <v>368</v>
      </c>
      <c r="G1091" s="3">
        <v>2025</v>
      </c>
      <c r="H1091" s="3" t="str">
        <f>CONCATENATE("54240609609")</f>
        <v>54240609609</v>
      </c>
      <c r="I1091" s="3" t="s">
        <v>34</v>
      </c>
      <c r="J1091" s="3" t="s">
        <v>35</v>
      </c>
      <c r="K1091" s="3"/>
      <c r="L1091" s="3" t="s">
        <v>36</v>
      </c>
      <c r="M1091" s="3" t="str">
        <f>CONCATENATE("PRSRFL39R22A329E")</f>
        <v>PRSRFL39R22A329E</v>
      </c>
      <c r="N1091" s="3" t="s">
        <v>1215</v>
      </c>
      <c r="O1091" s="3" t="s">
        <v>38</v>
      </c>
      <c r="P1091" s="3"/>
      <c r="Q1091" s="4">
        <v>45944</v>
      </c>
      <c r="R1091" s="3" t="s">
        <v>39</v>
      </c>
      <c r="S1091" s="3" t="s">
        <v>38</v>
      </c>
      <c r="T1091" s="3" t="s">
        <v>40</v>
      </c>
      <c r="U1091" s="3"/>
      <c r="V1091" s="3" t="s">
        <v>41</v>
      </c>
      <c r="W1091" s="5">
        <v>7852.01</v>
      </c>
      <c r="X1091" s="5">
        <v>5889.01</v>
      </c>
      <c r="Y1091" s="5">
        <v>1374.1</v>
      </c>
      <c r="Z1091" s="3">
        <v>588.9</v>
      </c>
      <c r="AA1091" s="3">
        <v>0</v>
      </c>
    </row>
    <row r="1092" spans="1:27" ht="72.75" x14ac:dyDescent="0.25">
      <c r="A1092" s="3" t="s">
        <v>28</v>
      </c>
      <c r="B1092" s="3" t="s">
        <v>29</v>
      </c>
      <c r="C1092" s="3" t="s">
        <v>30</v>
      </c>
      <c r="D1092" s="3" t="s">
        <v>49</v>
      </c>
      <c r="E1092" s="3" t="s">
        <v>32</v>
      </c>
      <c r="F1092" s="3" t="s">
        <v>368</v>
      </c>
      <c r="G1092" s="3">
        <v>2025</v>
      </c>
      <c r="H1092" s="3" t="str">
        <f>CONCATENATE("54240601150")</f>
        <v>54240601150</v>
      </c>
      <c r="I1092" s="3" t="s">
        <v>34</v>
      </c>
      <c r="J1092" s="3" t="s">
        <v>35</v>
      </c>
      <c r="K1092" s="3"/>
      <c r="L1092" s="3" t="s">
        <v>36</v>
      </c>
      <c r="M1092" s="3" t="str">
        <f>CONCATENATE("MGGGCR51A25C704V")</f>
        <v>MGGGCR51A25C704V</v>
      </c>
      <c r="N1092" s="3" t="s">
        <v>1216</v>
      </c>
      <c r="O1092" s="3" t="s">
        <v>38</v>
      </c>
      <c r="P1092" s="3"/>
      <c r="Q1092" s="4">
        <v>45944</v>
      </c>
      <c r="R1092" s="3" t="s">
        <v>39</v>
      </c>
      <c r="S1092" s="3" t="s">
        <v>38</v>
      </c>
      <c r="T1092" s="3" t="s">
        <v>40</v>
      </c>
      <c r="U1092" s="3"/>
      <c r="V1092" s="3" t="s">
        <v>41</v>
      </c>
      <c r="W1092" s="5">
        <v>3499.43</v>
      </c>
      <c r="X1092" s="5">
        <v>2624.57</v>
      </c>
      <c r="Y1092" s="3">
        <v>612.4</v>
      </c>
      <c r="Z1092" s="3">
        <v>262.45999999999998</v>
      </c>
      <c r="AA1092" s="3">
        <v>0</v>
      </c>
    </row>
    <row r="1093" spans="1:27" ht="60.75" x14ac:dyDescent="0.25">
      <c r="A1093" s="3" t="s">
        <v>28</v>
      </c>
      <c r="B1093" s="3" t="s">
        <v>29</v>
      </c>
      <c r="C1093" s="3" t="s">
        <v>30</v>
      </c>
      <c r="D1093" s="3" t="s">
        <v>58</v>
      </c>
      <c r="E1093" s="3" t="s">
        <v>53</v>
      </c>
      <c r="F1093" s="3" t="s">
        <v>59</v>
      </c>
      <c r="G1093" s="3">
        <v>2025</v>
      </c>
      <c r="H1093" s="3" t="str">
        <f>CONCATENATE("54240552288")</f>
        <v>54240552288</v>
      </c>
      <c r="I1093" s="3" t="s">
        <v>34</v>
      </c>
      <c r="J1093" s="3" t="s">
        <v>35</v>
      </c>
      <c r="K1093" s="3"/>
      <c r="L1093" s="3" t="s">
        <v>36</v>
      </c>
      <c r="M1093" s="3" t="str">
        <f>CONCATENATE("CBCMCL63M04I461D")</f>
        <v>CBCMCL63M04I461D</v>
      </c>
      <c r="N1093" s="3" t="s">
        <v>1217</v>
      </c>
      <c r="O1093" s="3" t="s">
        <v>38</v>
      </c>
      <c r="P1093" s="3"/>
      <c r="Q1093" s="4">
        <v>45944</v>
      </c>
      <c r="R1093" s="3" t="s">
        <v>39</v>
      </c>
      <c r="S1093" s="3" t="s">
        <v>38</v>
      </c>
      <c r="T1093" s="3" t="s">
        <v>40</v>
      </c>
      <c r="U1093" s="3"/>
      <c r="V1093" s="3" t="s">
        <v>41</v>
      </c>
      <c r="W1093" s="5">
        <v>12073.6</v>
      </c>
      <c r="X1093" s="5">
        <v>9055.2000000000007</v>
      </c>
      <c r="Y1093" s="5">
        <v>2112.88</v>
      </c>
      <c r="Z1093" s="3">
        <v>905.52</v>
      </c>
      <c r="AA1093" s="3">
        <v>0</v>
      </c>
    </row>
    <row r="1094" spans="1:27" ht="36.75" x14ac:dyDescent="0.25">
      <c r="A1094" s="3" t="s">
        <v>28</v>
      </c>
      <c r="B1094" s="3" t="s">
        <v>29</v>
      </c>
      <c r="C1094" s="3" t="s">
        <v>30</v>
      </c>
      <c r="D1094" s="3" t="s">
        <v>49</v>
      </c>
      <c r="E1094" s="3" t="s">
        <v>46</v>
      </c>
      <c r="F1094" s="3" t="s">
        <v>205</v>
      </c>
      <c r="G1094" s="3">
        <v>2025</v>
      </c>
      <c r="H1094" s="3" t="str">
        <f>CONCATENATE("54240551793")</f>
        <v>54240551793</v>
      </c>
      <c r="I1094" s="3" t="s">
        <v>34</v>
      </c>
      <c r="J1094" s="3" t="s">
        <v>35</v>
      </c>
      <c r="K1094" s="3"/>
      <c r="L1094" s="3" t="s">
        <v>36</v>
      </c>
      <c r="M1094" s="3" t="str">
        <f>CONCATENATE("02367740442")</f>
        <v>02367740442</v>
      </c>
      <c r="N1094" s="3" t="s">
        <v>1218</v>
      </c>
      <c r="O1094" s="3" t="s">
        <v>38</v>
      </c>
      <c r="P1094" s="3"/>
      <c r="Q1094" s="4">
        <v>45944</v>
      </c>
      <c r="R1094" s="3" t="s">
        <v>39</v>
      </c>
      <c r="S1094" s="3" t="s">
        <v>38</v>
      </c>
      <c r="T1094" s="3" t="s">
        <v>40</v>
      </c>
      <c r="U1094" s="3"/>
      <c r="V1094" s="3" t="s">
        <v>41</v>
      </c>
      <c r="W1094" s="3">
        <v>557.13</v>
      </c>
      <c r="X1094" s="3">
        <v>417.85</v>
      </c>
      <c r="Y1094" s="3">
        <v>97.5</v>
      </c>
      <c r="Z1094" s="3">
        <v>41.78</v>
      </c>
      <c r="AA1094" s="3">
        <v>0</v>
      </c>
    </row>
    <row r="1095" spans="1:27" ht="60.75" x14ac:dyDescent="0.25">
      <c r="A1095" s="3" t="s">
        <v>28</v>
      </c>
      <c r="B1095" s="3" t="s">
        <v>29</v>
      </c>
      <c r="C1095" s="3" t="s">
        <v>30</v>
      </c>
      <c r="D1095" s="3" t="s">
        <v>63</v>
      </c>
      <c r="E1095" s="3" t="s">
        <v>46</v>
      </c>
      <c r="F1095" s="3" t="s">
        <v>131</v>
      </c>
      <c r="G1095" s="3">
        <v>2025</v>
      </c>
      <c r="H1095" s="3" t="str">
        <f>CONCATENATE("54240552908")</f>
        <v>54240552908</v>
      </c>
      <c r="I1095" s="3" t="s">
        <v>34</v>
      </c>
      <c r="J1095" s="3" t="s">
        <v>35</v>
      </c>
      <c r="K1095" s="3"/>
      <c r="L1095" s="3" t="s">
        <v>36</v>
      </c>
      <c r="M1095" s="3" t="str">
        <f>CONCATENATE("CRTCLD95H16D542Z")</f>
        <v>CRTCLD95H16D542Z</v>
      </c>
      <c r="N1095" s="3" t="s">
        <v>1219</v>
      </c>
      <c r="O1095" s="3" t="s">
        <v>38</v>
      </c>
      <c r="P1095" s="3"/>
      <c r="Q1095" s="4">
        <v>45944</v>
      </c>
      <c r="R1095" s="3" t="s">
        <v>39</v>
      </c>
      <c r="S1095" s="3" t="s">
        <v>38</v>
      </c>
      <c r="T1095" s="3" t="s">
        <v>40</v>
      </c>
      <c r="U1095" s="3"/>
      <c r="V1095" s="3" t="s">
        <v>41</v>
      </c>
      <c r="W1095" s="5">
        <v>17781.900000000001</v>
      </c>
      <c r="X1095" s="5">
        <v>13336.43</v>
      </c>
      <c r="Y1095" s="5">
        <v>3111.83</v>
      </c>
      <c r="Z1095" s="5">
        <v>1333.64</v>
      </c>
      <c r="AA1095" s="3">
        <v>0</v>
      </c>
    </row>
    <row r="1096" spans="1:27" ht="36.75" x14ac:dyDescent="0.25">
      <c r="A1096" s="3" t="s">
        <v>28</v>
      </c>
      <c r="B1096" s="3" t="s">
        <v>29</v>
      </c>
      <c r="C1096" s="3" t="s">
        <v>30</v>
      </c>
      <c r="D1096" s="3" t="s">
        <v>49</v>
      </c>
      <c r="E1096" s="3" t="s">
        <v>46</v>
      </c>
      <c r="F1096" s="3" t="s">
        <v>131</v>
      </c>
      <c r="G1096" s="3">
        <v>2025</v>
      </c>
      <c r="H1096" s="3" t="str">
        <f>CONCATENATE("54240552866")</f>
        <v>54240552866</v>
      </c>
      <c r="I1096" s="3" t="s">
        <v>34</v>
      </c>
      <c r="J1096" s="3" t="s">
        <v>35</v>
      </c>
      <c r="K1096" s="3"/>
      <c r="L1096" s="3" t="s">
        <v>36</v>
      </c>
      <c r="M1096" s="3" t="str">
        <f>CONCATENATE("01913780431")</f>
        <v>01913780431</v>
      </c>
      <c r="N1096" s="3" t="s">
        <v>1220</v>
      </c>
      <c r="O1096" s="3" t="s">
        <v>38</v>
      </c>
      <c r="P1096" s="3"/>
      <c r="Q1096" s="4">
        <v>45944</v>
      </c>
      <c r="R1096" s="3" t="s">
        <v>39</v>
      </c>
      <c r="S1096" s="3" t="s">
        <v>38</v>
      </c>
      <c r="T1096" s="3" t="s">
        <v>40</v>
      </c>
      <c r="U1096" s="3"/>
      <c r="V1096" s="3" t="s">
        <v>41</v>
      </c>
      <c r="W1096" s="5">
        <v>16173.27</v>
      </c>
      <c r="X1096" s="5">
        <v>12129.95</v>
      </c>
      <c r="Y1096" s="5">
        <v>2830.32</v>
      </c>
      <c r="Z1096" s="5">
        <v>1213</v>
      </c>
      <c r="AA1096" s="3">
        <v>0</v>
      </c>
    </row>
    <row r="1097" spans="1:27" ht="72.75" x14ac:dyDescent="0.25">
      <c r="A1097" s="3" t="s">
        <v>28</v>
      </c>
      <c r="B1097" s="3" t="s">
        <v>29</v>
      </c>
      <c r="C1097" s="3" t="s">
        <v>30</v>
      </c>
      <c r="D1097" s="3" t="s">
        <v>49</v>
      </c>
      <c r="E1097" s="3" t="s">
        <v>46</v>
      </c>
      <c r="F1097" s="3" t="s">
        <v>205</v>
      </c>
      <c r="G1097" s="3">
        <v>2025</v>
      </c>
      <c r="H1097" s="3" t="str">
        <f>CONCATENATE("54240553203")</f>
        <v>54240553203</v>
      </c>
      <c r="I1097" s="3" t="s">
        <v>34</v>
      </c>
      <c r="J1097" s="3" t="s">
        <v>35</v>
      </c>
      <c r="K1097" s="3"/>
      <c r="L1097" s="3" t="s">
        <v>36</v>
      </c>
      <c r="M1097" s="3" t="str">
        <f>CONCATENATE("MRNNLL62D61E783T")</f>
        <v>MRNNLL62D61E783T</v>
      </c>
      <c r="N1097" s="3" t="s">
        <v>1221</v>
      </c>
      <c r="O1097" s="3" t="s">
        <v>38</v>
      </c>
      <c r="P1097" s="3"/>
      <c r="Q1097" s="4">
        <v>45944</v>
      </c>
      <c r="R1097" s="3" t="s">
        <v>39</v>
      </c>
      <c r="S1097" s="3" t="s">
        <v>38</v>
      </c>
      <c r="T1097" s="3" t="s">
        <v>40</v>
      </c>
      <c r="U1097" s="3"/>
      <c r="V1097" s="3" t="s">
        <v>41</v>
      </c>
      <c r="W1097" s="3">
        <v>290.35000000000002</v>
      </c>
      <c r="X1097" s="3">
        <v>217.76</v>
      </c>
      <c r="Y1097" s="3">
        <v>50.81</v>
      </c>
      <c r="Z1097" s="3">
        <v>21.78</v>
      </c>
      <c r="AA1097" s="3">
        <v>0</v>
      </c>
    </row>
    <row r="1098" spans="1:27" ht="60.75" x14ac:dyDescent="0.25">
      <c r="A1098" s="3" t="s">
        <v>28</v>
      </c>
      <c r="B1098" s="3" t="s">
        <v>29</v>
      </c>
      <c r="C1098" s="3" t="s">
        <v>30</v>
      </c>
      <c r="D1098" s="3" t="s">
        <v>31</v>
      </c>
      <c r="E1098" s="3" t="s">
        <v>32</v>
      </c>
      <c r="F1098" s="3" t="s">
        <v>153</v>
      </c>
      <c r="G1098" s="3">
        <v>2025</v>
      </c>
      <c r="H1098" s="3" t="str">
        <f>CONCATENATE("54240552833")</f>
        <v>54240552833</v>
      </c>
      <c r="I1098" s="3" t="s">
        <v>34</v>
      </c>
      <c r="J1098" s="3" t="s">
        <v>35</v>
      </c>
      <c r="K1098" s="3"/>
      <c r="L1098" s="3" t="s">
        <v>36</v>
      </c>
      <c r="M1098" s="3" t="str">
        <f>CONCATENATE("VLNTLI55P17E351X")</f>
        <v>VLNTLI55P17E351X</v>
      </c>
      <c r="N1098" s="3" t="s">
        <v>1222</v>
      </c>
      <c r="O1098" s="3" t="s">
        <v>38</v>
      </c>
      <c r="P1098" s="3"/>
      <c r="Q1098" s="4">
        <v>45944</v>
      </c>
      <c r="R1098" s="3" t="s">
        <v>39</v>
      </c>
      <c r="S1098" s="3" t="s">
        <v>38</v>
      </c>
      <c r="T1098" s="3" t="s">
        <v>40</v>
      </c>
      <c r="U1098" s="3"/>
      <c r="V1098" s="3" t="s">
        <v>41</v>
      </c>
      <c r="W1098" s="3">
        <v>942.06</v>
      </c>
      <c r="X1098" s="3">
        <v>706.55</v>
      </c>
      <c r="Y1098" s="3">
        <v>164.86</v>
      </c>
      <c r="Z1098" s="3">
        <v>70.650000000000006</v>
      </c>
      <c r="AA1098" s="3">
        <v>0</v>
      </c>
    </row>
    <row r="1099" spans="1:27" ht="60.75" x14ac:dyDescent="0.25">
      <c r="A1099" s="3" t="s">
        <v>28</v>
      </c>
      <c r="B1099" s="3" t="s">
        <v>29</v>
      </c>
      <c r="C1099" s="3" t="s">
        <v>30</v>
      </c>
      <c r="D1099" s="3" t="s">
        <v>49</v>
      </c>
      <c r="E1099" s="3" t="s">
        <v>46</v>
      </c>
      <c r="F1099" s="3" t="s">
        <v>129</v>
      </c>
      <c r="G1099" s="3">
        <v>2025</v>
      </c>
      <c r="H1099" s="3" t="str">
        <f>CONCATENATE("54240553302")</f>
        <v>54240553302</v>
      </c>
      <c r="I1099" s="3" t="s">
        <v>34</v>
      </c>
      <c r="J1099" s="3" t="s">
        <v>35</v>
      </c>
      <c r="K1099" s="3"/>
      <c r="L1099" s="3" t="s">
        <v>36</v>
      </c>
      <c r="M1099" s="3" t="str">
        <f>CONCATENATE("GDEGNN63L24I156X")</f>
        <v>GDEGNN63L24I156X</v>
      </c>
      <c r="N1099" s="3" t="s">
        <v>1223</v>
      </c>
      <c r="O1099" s="3" t="s">
        <v>38</v>
      </c>
      <c r="P1099" s="3"/>
      <c r="Q1099" s="4">
        <v>45944</v>
      </c>
      <c r="R1099" s="3" t="s">
        <v>39</v>
      </c>
      <c r="S1099" s="3" t="s">
        <v>38</v>
      </c>
      <c r="T1099" s="3" t="s">
        <v>40</v>
      </c>
      <c r="U1099" s="3"/>
      <c r="V1099" s="3" t="s">
        <v>41</v>
      </c>
      <c r="W1099" s="5">
        <v>9204.0499999999993</v>
      </c>
      <c r="X1099" s="5">
        <v>6903.04</v>
      </c>
      <c r="Y1099" s="5">
        <v>1610.71</v>
      </c>
      <c r="Z1099" s="3">
        <v>690.3</v>
      </c>
      <c r="AA1099" s="3">
        <v>0</v>
      </c>
    </row>
    <row r="1100" spans="1:27" ht="60.75" x14ac:dyDescent="0.25">
      <c r="A1100" s="3" t="s">
        <v>28</v>
      </c>
      <c r="B1100" s="3" t="s">
        <v>29</v>
      </c>
      <c r="C1100" s="3" t="s">
        <v>30</v>
      </c>
      <c r="D1100" s="3" t="s">
        <v>49</v>
      </c>
      <c r="E1100" s="3" t="s">
        <v>91</v>
      </c>
      <c r="F1100" s="3" t="s">
        <v>92</v>
      </c>
      <c r="G1100" s="3">
        <v>2025</v>
      </c>
      <c r="H1100" s="3" t="str">
        <f>CONCATENATE("54240557592")</f>
        <v>54240557592</v>
      </c>
      <c r="I1100" s="3" t="s">
        <v>34</v>
      </c>
      <c r="J1100" s="3" t="s">
        <v>35</v>
      </c>
      <c r="K1100" s="3"/>
      <c r="L1100" s="3" t="s">
        <v>36</v>
      </c>
      <c r="M1100" s="3" t="str">
        <f>CONCATENATE("BCCLCU96H09B474E")</f>
        <v>BCCLCU96H09B474E</v>
      </c>
      <c r="N1100" s="3" t="s">
        <v>1224</v>
      </c>
      <c r="O1100" s="3" t="s">
        <v>38</v>
      </c>
      <c r="P1100" s="3"/>
      <c r="Q1100" s="4">
        <v>45944</v>
      </c>
      <c r="R1100" s="3" t="s">
        <v>39</v>
      </c>
      <c r="S1100" s="3" t="s">
        <v>38</v>
      </c>
      <c r="T1100" s="3" t="s">
        <v>40</v>
      </c>
      <c r="U1100" s="3"/>
      <c r="V1100" s="3" t="s">
        <v>41</v>
      </c>
      <c r="W1100" s="5">
        <v>2788.65</v>
      </c>
      <c r="X1100" s="5">
        <v>2091.4899999999998</v>
      </c>
      <c r="Y1100" s="3">
        <v>488.01</v>
      </c>
      <c r="Z1100" s="3">
        <v>209.15</v>
      </c>
      <c r="AA1100" s="3">
        <v>0</v>
      </c>
    </row>
    <row r="1101" spans="1:27" ht="36.75" x14ac:dyDescent="0.25">
      <c r="A1101" s="3" t="s">
        <v>28</v>
      </c>
      <c r="B1101" s="3" t="s">
        <v>29</v>
      </c>
      <c r="C1101" s="3" t="s">
        <v>30</v>
      </c>
      <c r="D1101" s="3" t="s">
        <v>58</v>
      </c>
      <c r="E1101" s="3" t="s">
        <v>74</v>
      </c>
      <c r="F1101" s="3" t="s">
        <v>688</v>
      </c>
      <c r="G1101" s="3">
        <v>2025</v>
      </c>
      <c r="H1101" s="3" t="str">
        <f>CONCATENATE("54240553492")</f>
        <v>54240553492</v>
      </c>
      <c r="I1101" s="3" t="s">
        <v>34</v>
      </c>
      <c r="J1101" s="3" t="s">
        <v>35</v>
      </c>
      <c r="K1101" s="3"/>
      <c r="L1101" s="3" t="s">
        <v>36</v>
      </c>
      <c r="M1101" s="3" t="str">
        <f>CONCATENATE("02688590427")</f>
        <v>02688590427</v>
      </c>
      <c r="N1101" s="3" t="s">
        <v>1225</v>
      </c>
      <c r="O1101" s="3" t="s">
        <v>38</v>
      </c>
      <c r="P1101" s="3"/>
      <c r="Q1101" s="4">
        <v>45944</v>
      </c>
      <c r="R1101" s="3" t="s">
        <v>39</v>
      </c>
      <c r="S1101" s="3" t="s">
        <v>38</v>
      </c>
      <c r="T1101" s="3" t="s">
        <v>40</v>
      </c>
      <c r="U1101" s="3"/>
      <c r="V1101" s="3" t="s">
        <v>41</v>
      </c>
      <c r="W1101" s="3">
        <v>508.9</v>
      </c>
      <c r="X1101" s="3">
        <v>381.68</v>
      </c>
      <c r="Y1101" s="3">
        <v>89.06</v>
      </c>
      <c r="Z1101" s="3">
        <v>38.159999999999997</v>
      </c>
      <c r="AA1101" s="3">
        <v>0</v>
      </c>
    </row>
    <row r="1102" spans="1:27" ht="36.75" x14ac:dyDescent="0.25">
      <c r="A1102" s="3" t="s">
        <v>28</v>
      </c>
      <c r="B1102" s="3" t="s">
        <v>29</v>
      </c>
      <c r="C1102" s="3" t="s">
        <v>30</v>
      </c>
      <c r="D1102" s="3" t="s">
        <v>49</v>
      </c>
      <c r="E1102" s="3" t="s">
        <v>32</v>
      </c>
      <c r="F1102" s="3" t="s">
        <v>78</v>
      </c>
      <c r="G1102" s="3">
        <v>2025</v>
      </c>
      <c r="H1102" s="3" t="str">
        <f>CONCATENATE("54240553526")</f>
        <v>54240553526</v>
      </c>
      <c r="I1102" s="3" t="s">
        <v>34</v>
      </c>
      <c r="J1102" s="3" t="s">
        <v>35</v>
      </c>
      <c r="K1102" s="3"/>
      <c r="L1102" s="3" t="s">
        <v>36</v>
      </c>
      <c r="M1102" s="3" t="str">
        <f>CONCATENATE("01931040438")</f>
        <v>01931040438</v>
      </c>
      <c r="N1102" s="3" t="s">
        <v>1226</v>
      </c>
      <c r="O1102" s="3" t="s">
        <v>38</v>
      </c>
      <c r="P1102" s="3"/>
      <c r="Q1102" s="4">
        <v>45944</v>
      </c>
      <c r="R1102" s="3" t="s">
        <v>39</v>
      </c>
      <c r="S1102" s="3" t="s">
        <v>38</v>
      </c>
      <c r="T1102" s="3" t="s">
        <v>40</v>
      </c>
      <c r="U1102" s="3"/>
      <c r="V1102" s="3" t="s">
        <v>41</v>
      </c>
      <c r="W1102" s="5">
        <v>1264.1199999999999</v>
      </c>
      <c r="X1102" s="3">
        <v>948.09</v>
      </c>
      <c r="Y1102" s="3">
        <v>221.22</v>
      </c>
      <c r="Z1102" s="3">
        <v>94.81</v>
      </c>
      <c r="AA1102" s="3">
        <v>0</v>
      </c>
    </row>
    <row r="1103" spans="1:27" ht="36.75" x14ac:dyDescent="0.25">
      <c r="A1103" s="3" t="s">
        <v>28</v>
      </c>
      <c r="B1103" s="3" t="s">
        <v>29</v>
      </c>
      <c r="C1103" s="3" t="s">
        <v>30</v>
      </c>
      <c r="D1103" s="3" t="s">
        <v>49</v>
      </c>
      <c r="E1103" s="3" t="s">
        <v>32</v>
      </c>
      <c r="F1103" s="3" t="s">
        <v>78</v>
      </c>
      <c r="G1103" s="3">
        <v>2025</v>
      </c>
      <c r="H1103" s="3" t="str">
        <f>CONCATENATE("54240583267")</f>
        <v>54240583267</v>
      </c>
      <c r="I1103" s="3" t="s">
        <v>34</v>
      </c>
      <c r="J1103" s="3" t="s">
        <v>35</v>
      </c>
      <c r="K1103" s="3"/>
      <c r="L1103" s="3" t="s">
        <v>36</v>
      </c>
      <c r="M1103" s="3" t="str">
        <f>CONCATENATE("01704950433")</f>
        <v>01704950433</v>
      </c>
      <c r="N1103" s="3" t="s">
        <v>1227</v>
      </c>
      <c r="O1103" s="3" t="s">
        <v>38</v>
      </c>
      <c r="P1103" s="3"/>
      <c r="Q1103" s="4">
        <v>45944</v>
      </c>
      <c r="R1103" s="3" t="s">
        <v>39</v>
      </c>
      <c r="S1103" s="3" t="s">
        <v>38</v>
      </c>
      <c r="T1103" s="3" t="s">
        <v>40</v>
      </c>
      <c r="U1103" s="3"/>
      <c r="V1103" s="3" t="s">
        <v>41</v>
      </c>
      <c r="W1103" s="3">
        <v>635.96</v>
      </c>
      <c r="X1103" s="3">
        <v>476.97</v>
      </c>
      <c r="Y1103" s="3">
        <v>111.29</v>
      </c>
      <c r="Z1103" s="3">
        <v>47.7</v>
      </c>
      <c r="AA1103" s="3">
        <v>0</v>
      </c>
    </row>
    <row r="1104" spans="1:27" ht="36.75" x14ac:dyDescent="0.25">
      <c r="A1104" s="3" t="s">
        <v>28</v>
      </c>
      <c r="B1104" s="3" t="s">
        <v>29</v>
      </c>
      <c r="C1104" s="3" t="s">
        <v>30</v>
      </c>
      <c r="D1104" s="3" t="s">
        <v>49</v>
      </c>
      <c r="E1104" s="3" t="s">
        <v>46</v>
      </c>
      <c r="F1104" s="3" t="s">
        <v>131</v>
      </c>
      <c r="G1104" s="3">
        <v>2025</v>
      </c>
      <c r="H1104" s="3" t="str">
        <f>CONCATENATE("54240553567")</f>
        <v>54240553567</v>
      </c>
      <c r="I1104" s="3" t="s">
        <v>34</v>
      </c>
      <c r="J1104" s="3" t="s">
        <v>35</v>
      </c>
      <c r="K1104" s="3"/>
      <c r="L1104" s="3" t="s">
        <v>36</v>
      </c>
      <c r="M1104" s="3" t="str">
        <f>CONCATENATE("01914070436")</f>
        <v>01914070436</v>
      </c>
      <c r="N1104" s="3" t="s">
        <v>1228</v>
      </c>
      <c r="O1104" s="3" t="s">
        <v>38</v>
      </c>
      <c r="P1104" s="3"/>
      <c r="Q1104" s="4">
        <v>45944</v>
      </c>
      <c r="R1104" s="3" t="s">
        <v>39</v>
      </c>
      <c r="S1104" s="3" t="s">
        <v>38</v>
      </c>
      <c r="T1104" s="3" t="s">
        <v>40</v>
      </c>
      <c r="U1104" s="3"/>
      <c r="V1104" s="3" t="s">
        <v>41</v>
      </c>
      <c r="W1104" s="5">
        <v>2648.2</v>
      </c>
      <c r="X1104" s="5">
        <v>1986.15</v>
      </c>
      <c r="Y1104" s="3">
        <v>463.44</v>
      </c>
      <c r="Z1104" s="3">
        <v>198.61</v>
      </c>
      <c r="AA1104" s="3">
        <v>0</v>
      </c>
    </row>
    <row r="1105" spans="1:27" ht="36.75" x14ac:dyDescent="0.25">
      <c r="A1105" s="3" t="s">
        <v>28</v>
      </c>
      <c r="B1105" s="3" t="s">
        <v>29</v>
      </c>
      <c r="C1105" s="3" t="s">
        <v>30</v>
      </c>
      <c r="D1105" s="3" t="s">
        <v>31</v>
      </c>
      <c r="E1105" s="3" t="s">
        <v>46</v>
      </c>
      <c r="F1105" s="3" t="s">
        <v>131</v>
      </c>
      <c r="G1105" s="3">
        <v>2025</v>
      </c>
      <c r="H1105" s="3" t="str">
        <f>CONCATENATE("54240554581")</f>
        <v>54240554581</v>
      </c>
      <c r="I1105" s="3" t="s">
        <v>34</v>
      </c>
      <c r="J1105" s="3" t="s">
        <v>35</v>
      </c>
      <c r="K1105" s="3"/>
      <c r="L1105" s="3" t="s">
        <v>36</v>
      </c>
      <c r="M1105" s="3" t="str">
        <f>CONCATENATE("02629240413")</f>
        <v>02629240413</v>
      </c>
      <c r="N1105" s="3" t="s">
        <v>1229</v>
      </c>
      <c r="O1105" s="3" t="s">
        <v>38</v>
      </c>
      <c r="P1105" s="3"/>
      <c r="Q1105" s="4">
        <v>45944</v>
      </c>
      <c r="R1105" s="3" t="s">
        <v>39</v>
      </c>
      <c r="S1105" s="3" t="s">
        <v>38</v>
      </c>
      <c r="T1105" s="3" t="s">
        <v>40</v>
      </c>
      <c r="U1105" s="3"/>
      <c r="V1105" s="3" t="s">
        <v>41</v>
      </c>
      <c r="W1105" s="5">
        <v>6705.21</v>
      </c>
      <c r="X1105" s="5">
        <v>5028.91</v>
      </c>
      <c r="Y1105" s="5">
        <v>1173.4100000000001</v>
      </c>
      <c r="Z1105" s="3">
        <v>502.89</v>
      </c>
      <c r="AA1105" s="3">
        <v>0</v>
      </c>
    </row>
    <row r="1106" spans="1:27" ht="60.75" x14ac:dyDescent="0.25">
      <c r="A1106" s="3" t="s">
        <v>28</v>
      </c>
      <c r="B1106" s="3" t="s">
        <v>29</v>
      </c>
      <c r="C1106" s="3" t="s">
        <v>30</v>
      </c>
      <c r="D1106" s="3" t="s">
        <v>49</v>
      </c>
      <c r="E1106" s="3" t="s">
        <v>46</v>
      </c>
      <c r="F1106" s="3" t="s">
        <v>129</v>
      </c>
      <c r="G1106" s="3">
        <v>2025</v>
      </c>
      <c r="H1106" s="3" t="str">
        <f>CONCATENATE("54240553989")</f>
        <v>54240553989</v>
      </c>
      <c r="I1106" s="3" t="s">
        <v>34</v>
      </c>
      <c r="J1106" s="3" t="s">
        <v>35</v>
      </c>
      <c r="K1106" s="3"/>
      <c r="L1106" s="3" t="s">
        <v>36</v>
      </c>
      <c r="M1106" s="3" t="str">
        <f>CONCATENATE("NSNMLE25E19D628C")</f>
        <v>NSNMLE25E19D628C</v>
      </c>
      <c r="N1106" s="3" t="s">
        <v>1230</v>
      </c>
      <c r="O1106" s="3" t="s">
        <v>38</v>
      </c>
      <c r="P1106" s="3"/>
      <c r="Q1106" s="4">
        <v>45944</v>
      </c>
      <c r="R1106" s="3" t="s">
        <v>39</v>
      </c>
      <c r="S1106" s="3" t="s">
        <v>38</v>
      </c>
      <c r="T1106" s="3" t="s">
        <v>40</v>
      </c>
      <c r="U1106" s="3"/>
      <c r="V1106" s="3" t="s">
        <v>41</v>
      </c>
      <c r="W1106" s="5">
        <v>19335.89</v>
      </c>
      <c r="X1106" s="5">
        <v>14501.92</v>
      </c>
      <c r="Y1106" s="5">
        <v>3383.78</v>
      </c>
      <c r="Z1106" s="5">
        <v>1450.19</v>
      </c>
      <c r="AA1106" s="3">
        <v>0</v>
      </c>
    </row>
    <row r="1107" spans="1:27" ht="60.75" x14ac:dyDescent="0.25">
      <c r="A1107" s="3" t="s">
        <v>28</v>
      </c>
      <c r="B1107" s="3" t="s">
        <v>29</v>
      </c>
      <c r="C1107" s="3" t="s">
        <v>30</v>
      </c>
      <c r="D1107" s="3" t="s">
        <v>49</v>
      </c>
      <c r="E1107" s="3" t="s">
        <v>46</v>
      </c>
      <c r="F1107" s="3" t="s">
        <v>129</v>
      </c>
      <c r="G1107" s="3">
        <v>2025</v>
      </c>
      <c r="H1107" s="3" t="str">
        <f>CONCATENATE("54240554003")</f>
        <v>54240554003</v>
      </c>
      <c r="I1107" s="3" t="s">
        <v>34</v>
      </c>
      <c r="J1107" s="3" t="s">
        <v>35</v>
      </c>
      <c r="K1107" s="3"/>
      <c r="L1107" s="3" t="s">
        <v>36</v>
      </c>
      <c r="M1107" s="3" t="str">
        <f>CONCATENATE("MCHCRL78A29E783N")</f>
        <v>MCHCRL78A29E783N</v>
      </c>
      <c r="N1107" s="3" t="s">
        <v>1231</v>
      </c>
      <c r="O1107" s="3" t="s">
        <v>38</v>
      </c>
      <c r="P1107" s="3"/>
      <c r="Q1107" s="4">
        <v>45944</v>
      </c>
      <c r="R1107" s="3" t="s">
        <v>39</v>
      </c>
      <c r="S1107" s="3" t="s">
        <v>38</v>
      </c>
      <c r="T1107" s="3" t="s">
        <v>40</v>
      </c>
      <c r="U1107" s="3"/>
      <c r="V1107" s="3" t="s">
        <v>41</v>
      </c>
      <c r="W1107" s="5">
        <v>2968.13</v>
      </c>
      <c r="X1107" s="5">
        <v>2226.1</v>
      </c>
      <c r="Y1107" s="3">
        <v>519.41999999999996</v>
      </c>
      <c r="Z1107" s="3">
        <v>222.61</v>
      </c>
      <c r="AA1107" s="3">
        <v>0</v>
      </c>
    </row>
    <row r="1108" spans="1:27" ht="36.75" x14ac:dyDescent="0.25">
      <c r="A1108" s="3" t="s">
        <v>28</v>
      </c>
      <c r="B1108" s="3" t="s">
        <v>29</v>
      </c>
      <c r="C1108" s="3" t="s">
        <v>30</v>
      </c>
      <c r="D1108" s="3" t="s">
        <v>49</v>
      </c>
      <c r="E1108" s="3" t="s">
        <v>46</v>
      </c>
      <c r="F1108" s="3" t="s">
        <v>131</v>
      </c>
      <c r="G1108" s="3">
        <v>2025</v>
      </c>
      <c r="H1108" s="3" t="str">
        <f>CONCATENATE("54240554029")</f>
        <v>54240554029</v>
      </c>
      <c r="I1108" s="3" t="s">
        <v>34</v>
      </c>
      <c r="J1108" s="3" t="s">
        <v>35</v>
      </c>
      <c r="K1108" s="3"/>
      <c r="L1108" s="3" t="s">
        <v>36</v>
      </c>
      <c r="M1108" s="3" t="str">
        <f>CONCATENATE("01794500437")</f>
        <v>01794500437</v>
      </c>
      <c r="N1108" s="3" t="s">
        <v>1232</v>
      </c>
      <c r="O1108" s="3" t="s">
        <v>38</v>
      </c>
      <c r="P1108" s="3"/>
      <c r="Q1108" s="4">
        <v>45944</v>
      </c>
      <c r="R1108" s="3" t="s">
        <v>39</v>
      </c>
      <c r="S1108" s="3" t="s">
        <v>38</v>
      </c>
      <c r="T1108" s="3" t="s">
        <v>40</v>
      </c>
      <c r="U1108" s="3"/>
      <c r="V1108" s="3" t="s">
        <v>41</v>
      </c>
      <c r="W1108" s="5">
        <v>5609.5</v>
      </c>
      <c r="X1108" s="5">
        <v>4207.13</v>
      </c>
      <c r="Y1108" s="3">
        <v>981.66</v>
      </c>
      <c r="Z1108" s="3">
        <v>420.71</v>
      </c>
      <c r="AA1108" s="3">
        <v>0</v>
      </c>
    </row>
    <row r="1109" spans="1:27" ht="36.75" x14ac:dyDescent="0.25">
      <c r="A1109" s="3" t="s">
        <v>28</v>
      </c>
      <c r="B1109" s="3" t="s">
        <v>29</v>
      </c>
      <c r="C1109" s="3" t="s">
        <v>30</v>
      </c>
      <c r="D1109" s="3" t="s">
        <v>63</v>
      </c>
      <c r="E1109" s="3" t="s">
        <v>32</v>
      </c>
      <c r="F1109" s="3" t="s">
        <v>158</v>
      </c>
      <c r="G1109" s="3">
        <v>2025</v>
      </c>
      <c r="H1109" s="3" t="str">
        <f>CONCATENATE("54240554615")</f>
        <v>54240554615</v>
      </c>
      <c r="I1109" s="3" t="s">
        <v>34</v>
      </c>
      <c r="J1109" s="3" t="s">
        <v>35</v>
      </c>
      <c r="K1109" s="3"/>
      <c r="L1109" s="3" t="s">
        <v>36</v>
      </c>
      <c r="M1109" s="3" t="str">
        <f>CONCATENATE("02384970444")</f>
        <v>02384970444</v>
      </c>
      <c r="N1109" s="3" t="s">
        <v>1233</v>
      </c>
      <c r="O1109" s="3" t="s">
        <v>38</v>
      </c>
      <c r="P1109" s="3"/>
      <c r="Q1109" s="4">
        <v>45944</v>
      </c>
      <c r="R1109" s="3" t="s">
        <v>39</v>
      </c>
      <c r="S1109" s="3" t="s">
        <v>38</v>
      </c>
      <c r="T1109" s="3" t="s">
        <v>40</v>
      </c>
      <c r="U1109" s="3"/>
      <c r="V1109" s="3" t="s">
        <v>41</v>
      </c>
      <c r="W1109" s="3">
        <v>957.53</v>
      </c>
      <c r="X1109" s="3">
        <v>718.15</v>
      </c>
      <c r="Y1109" s="3">
        <v>167.57</v>
      </c>
      <c r="Z1109" s="3">
        <v>71.81</v>
      </c>
      <c r="AA1109" s="3">
        <v>0</v>
      </c>
    </row>
    <row r="1110" spans="1:27" ht="60.75" x14ac:dyDescent="0.25">
      <c r="A1110" s="3" t="s">
        <v>28</v>
      </c>
      <c r="B1110" s="3" t="s">
        <v>29</v>
      </c>
      <c r="C1110" s="3" t="s">
        <v>30</v>
      </c>
      <c r="D1110" s="3" t="s">
        <v>63</v>
      </c>
      <c r="E1110" s="3" t="s">
        <v>32</v>
      </c>
      <c r="F1110" s="3" t="s">
        <v>158</v>
      </c>
      <c r="G1110" s="3">
        <v>2025</v>
      </c>
      <c r="H1110" s="3" t="str">
        <f>CONCATENATE("54240554623")</f>
        <v>54240554623</v>
      </c>
      <c r="I1110" s="3" t="s">
        <v>149</v>
      </c>
      <c r="J1110" s="3" t="s">
        <v>35</v>
      </c>
      <c r="K1110" s="3"/>
      <c r="L1110" s="3" t="s">
        <v>36</v>
      </c>
      <c r="M1110" s="3" t="str">
        <f>CONCATENATE("LNCLCN63R11H501U")</f>
        <v>LNCLCN63R11H501U</v>
      </c>
      <c r="N1110" s="3" t="s">
        <v>1234</v>
      </c>
      <c r="O1110" s="3" t="s">
        <v>38</v>
      </c>
      <c r="P1110" s="3"/>
      <c r="Q1110" s="4">
        <v>45944</v>
      </c>
      <c r="R1110" s="3" t="s">
        <v>39</v>
      </c>
      <c r="S1110" s="3" t="s">
        <v>38</v>
      </c>
      <c r="T1110" s="3" t="s">
        <v>40</v>
      </c>
      <c r="U1110" s="3"/>
      <c r="V1110" s="3" t="s">
        <v>41</v>
      </c>
      <c r="W1110" s="5">
        <v>5381.78</v>
      </c>
      <c r="X1110" s="5">
        <v>4036.34</v>
      </c>
      <c r="Y1110" s="3">
        <v>941.81</v>
      </c>
      <c r="Z1110" s="3">
        <v>403.63</v>
      </c>
      <c r="AA1110" s="3">
        <v>0</v>
      </c>
    </row>
    <row r="1111" spans="1:27" ht="60.75" x14ac:dyDescent="0.25">
      <c r="A1111" s="3" t="s">
        <v>28</v>
      </c>
      <c r="B1111" s="3" t="s">
        <v>29</v>
      </c>
      <c r="C1111" s="3" t="s">
        <v>30</v>
      </c>
      <c r="D1111" s="3" t="s">
        <v>31</v>
      </c>
      <c r="E1111" s="3" t="s">
        <v>91</v>
      </c>
      <c r="F1111" s="3" t="s">
        <v>111</v>
      </c>
      <c r="G1111" s="3">
        <v>2025</v>
      </c>
      <c r="H1111" s="3" t="str">
        <f>CONCATENATE("54240557626")</f>
        <v>54240557626</v>
      </c>
      <c r="I1111" s="3" t="s">
        <v>34</v>
      </c>
      <c r="J1111" s="3" t="s">
        <v>35</v>
      </c>
      <c r="K1111" s="3"/>
      <c r="L1111" s="3" t="s">
        <v>36</v>
      </c>
      <c r="M1111" s="3" t="str">
        <f>CONCATENATE("CMLCLD67C25D488H")</f>
        <v>CMLCLD67C25D488H</v>
      </c>
      <c r="N1111" s="3" t="s">
        <v>1235</v>
      </c>
      <c r="O1111" s="3" t="s">
        <v>38</v>
      </c>
      <c r="P1111" s="3"/>
      <c r="Q1111" s="4">
        <v>45944</v>
      </c>
      <c r="R1111" s="3" t="s">
        <v>39</v>
      </c>
      <c r="S1111" s="3" t="s">
        <v>38</v>
      </c>
      <c r="T1111" s="3" t="s">
        <v>40</v>
      </c>
      <c r="U1111" s="3"/>
      <c r="V1111" s="3" t="s">
        <v>41</v>
      </c>
      <c r="W1111" s="5">
        <v>2980.72</v>
      </c>
      <c r="X1111" s="5">
        <v>2235.54</v>
      </c>
      <c r="Y1111" s="3">
        <v>521.63</v>
      </c>
      <c r="Z1111" s="3">
        <v>223.55</v>
      </c>
      <c r="AA1111" s="3">
        <v>0</v>
      </c>
    </row>
    <row r="1112" spans="1:27" ht="60.75" x14ac:dyDescent="0.25">
      <c r="A1112" s="3" t="s">
        <v>28</v>
      </c>
      <c r="B1112" s="3" t="s">
        <v>29</v>
      </c>
      <c r="C1112" s="3" t="s">
        <v>30</v>
      </c>
      <c r="D1112" s="3" t="s">
        <v>31</v>
      </c>
      <c r="E1112" s="3" t="s">
        <v>32</v>
      </c>
      <c r="F1112" s="3" t="s">
        <v>153</v>
      </c>
      <c r="G1112" s="3">
        <v>2025</v>
      </c>
      <c r="H1112" s="3" t="str">
        <f>CONCATENATE("54240555364")</f>
        <v>54240555364</v>
      </c>
      <c r="I1112" s="3" t="s">
        <v>34</v>
      </c>
      <c r="J1112" s="3" t="s">
        <v>35</v>
      </c>
      <c r="K1112" s="3"/>
      <c r="L1112" s="3" t="s">
        <v>36</v>
      </c>
      <c r="M1112" s="3" t="str">
        <f>CONCATENATE("VDDNZE47B08D749K")</f>
        <v>VDDNZE47B08D749K</v>
      </c>
      <c r="N1112" s="3" t="s">
        <v>1236</v>
      </c>
      <c r="O1112" s="3" t="s">
        <v>38</v>
      </c>
      <c r="P1112" s="3"/>
      <c r="Q1112" s="4">
        <v>45944</v>
      </c>
      <c r="R1112" s="3" t="s">
        <v>39</v>
      </c>
      <c r="S1112" s="3" t="s">
        <v>38</v>
      </c>
      <c r="T1112" s="3" t="s">
        <v>40</v>
      </c>
      <c r="U1112" s="3"/>
      <c r="V1112" s="3" t="s">
        <v>41</v>
      </c>
      <c r="W1112" s="5">
        <v>1309.98</v>
      </c>
      <c r="X1112" s="3">
        <v>982.49</v>
      </c>
      <c r="Y1112" s="3">
        <v>229.25</v>
      </c>
      <c r="Z1112" s="3">
        <v>98.24</v>
      </c>
      <c r="AA1112" s="3">
        <v>0</v>
      </c>
    </row>
    <row r="1113" spans="1:27" ht="60.75" x14ac:dyDescent="0.25">
      <c r="A1113" s="3" t="s">
        <v>28</v>
      </c>
      <c r="B1113" s="3" t="s">
        <v>29</v>
      </c>
      <c r="C1113" s="3" t="s">
        <v>30</v>
      </c>
      <c r="D1113" s="3" t="s">
        <v>49</v>
      </c>
      <c r="E1113" s="3" t="s">
        <v>46</v>
      </c>
      <c r="F1113" s="3" t="s">
        <v>205</v>
      </c>
      <c r="G1113" s="3">
        <v>2025</v>
      </c>
      <c r="H1113" s="3" t="str">
        <f>CONCATENATE("54240555562")</f>
        <v>54240555562</v>
      </c>
      <c r="I1113" s="3" t="s">
        <v>34</v>
      </c>
      <c r="J1113" s="3" t="s">
        <v>35</v>
      </c>
      <c r="K1113" s="3"/>
      <c r="L1113" s="3" t="s">
        <v>36</v>
      </c>
      <c r="M1113" s="3" t="str">
        <f>CONCATENATE("ZTTMRC94A05E783X")</f>
        <v>ZTTMRC94A05E783X</v>
      </c>
      <c r="N1113" s="3" t="s">
        <v>1237</v>
      </c>
      <c r="O1113" s="3" t="s">
        <v>38</v>
      </c>
      <c r="P1113" s="3"/>
      <c r="Q1113" s="4">
        <v>45944</v>
      </c>
      <c r="R1113" s="3" t="s">
        <v>39</v>
      </c>
      <c r="S1113" s="3" t="s">
        <v>38</v>
      </c>
      <c r="T1113" s="3" t="s">
        <v>40</v>
      </c>
      <c r="U1113" s="3"/>
      <c r="V1113" s="3" t="s">
        <v>41</v>
      </c>
      <c r="W1113" s="5">
        <v>1719.58</v>
      </c>
      <c r="X1113" s="5">
        <v>1289.69</v>
      </c>
      <c r="Y1113" s="3">
        <v>300.93</v>
      </c>
      <c r="Z1113" s="3">
        <v>128.96</v>
      </c>
      <c r="AA1113" s="3">
        <v>0</v>
      </c>
    </row>
    <row r="1114" spans="1:27" ht="60.75" x14ac:dyDescent="0.25">
      <c r="A1114" s="3" t="s">
        <v>28</v>
      </c>
      <c r="B1114" s="3" t="s">
        <v>29</v>
      </c>
      <c r="C1114" s="3" t="s">
        <v>30</v>
      </c>
      <c r="D1114" s="3" t="s">
        <v>49</v>
      </c>
      <c r="E1114" s="3" t="s">
        <v>46</v>
      </c>
      <c r="F1114" s="3" t="s">
        <v>129</v>
      </c>
      <c r="G1114" s="3">
        <v>2025</v>
      </c>
      <c r="H1114" s="3" t="str">
        <f>CONCATENATE("54240555885")</f>
        <v>54240555885</v>
      </c>
      <c r="I1114" s="3" t="s">
        <v>34</v>
      </c>
      <c r="J1114" s="3" t="s">
        <v>35</v>
      </c>
      <c r="K1114" s="3"/>
      <c r="L1114" s="3" t="s">
        <v>36</v>
      </c>
      <c r="M1114" s="3" t="str">
        <f>CONCATENATE("NTLMRA55B43I651Q")</f>
        <v>NTLMRA55B43I651Q</v>
      </c>
      <c r="N1114" s="3" t="s">
        <v>1238</v>
      </c>
      <c r="O1114" s="3" t="s">
        <v>38</v>
      </c>
      <c r="P1114" s="3"/>
      <c r="Q1114" s="4">
        <v>45944</v>
      </c>
      <c r="R1114" s="3" t="s">
        <v>39</v>
      </c>
      <c r="S1114" s="3" t="s">
        <v>38</v>
      </c>
      <c r="T1114" s="3" t="s">
        <v>40</v>
      </c>
      <c r="U1114" s="3"/>
      <c r="V1114" s="3" t="s">
        <v>41</v>
      </c>
      <c r="W1114" s="5">
        <v>4648.95</v>
      </c>
      <c r="X1114" s="5">
        <v>3486.71</v>
      </c>
      <c r="Y1114" s="3">
        <v>813.57</v>
      </c>
      <c r="Z1114" s="3">
        <v>348.67</v>
      </c>
      <c r="AA1114" s="3">
        <v>0</v>
      </c>
    </row>
    <row r="1115" spans="1:27" ht="60.75" x14ac:dyDescent="0.25">
      <c r="A1115" s="3" t="s">
        <v>28</v>
      </c>
      <c r="B1115" s="3" t="s">
        <v>29</v>
      </c>
      <c r="C1115" s="3" t="s">
        <v>30</v>
      </c>
      <c r="D1115" s="3" t="s">
        <v>58</v>
      </c>
      <c r="E1115" s="3" t="s">
        <v>32</v>
      </c>
      <c r="F1115" s="3" t="s">
        <v>178</v>
      </c>
      <c r="G1115" s="3">
        <v>2025</v>
      </c>
      <c r="H1115" s="3" t="str">
        <f>CONCATENATE("54240556495")</f>
        <v>54240556495</v>
      </c>
      <c r="I1115" s="3" t="s">
        <v>34</v>
      </c>
      <c r="J1115" s="3" t="s">
        <v>35</v>
      </c>
      <c r="K1115" s="3"/>
      <c r="L1115" s="3" t="s">
        <v>36</v>
      </c>
      <c r="M1115" s="3" t="str">
        <f>CONCATENATE("TTVDTT55M69I461J")</f>
        <v>TTVDTT55M69I461J</v>
      </c>
      <c r="N1115" s="3" t="s">
        <v>1239</v>
      </c>
      <c r="O1115" s="3" t="s">
        <v>38</v>
      </c>
      <c r="P1115" s="3"/>
      <c r="Q1115" s="4">
        <v>45944</v>
      </c>
      <c r="R1115" s="3" t="s">
        <v>39</v>
      </c>
      <c r="S1115" s="3" t="s">
        <v>38</v>
      </c>
      <c r="T1115" s="3" t="s">
        <v>40</v>
      </c>
      <c r="U1115" s="3"/>
      <c r="V1115" s="3" t="s">
        <v>41</v>
      </c>
      <c r="W1115" s="5">
        <v>1990.84</v>
      </c>
      <c r="X1115" s="5">
        <v>1493.13</v>
      </c>
      <c r="Y1115" s="3">
        <v>348.4</v>
      </c>
      <c r="Z1115" s="3">
        <v>149.31</v>
      </c>
      <c r="AA1115" s="3">
        <v>0</v>
      </c>
    </row>
    <row r="1116" spans="1:27" ht="60.75" x14ac:dyDescent="0.25">
      <c r="A1116" s="3" t="s">
        <v>28</v>
      </c>
      <c r="B1116" s="3" t="s">
        <v>29</v>
      </c>
      <c r="C1116" s="3" t="s">
        <v>30</v>
      </c>
      <c r="D1116" s="3" t="s">
        <v>49</v>
      </c>
      <c r="E1116" s="3" t="s">
        <v>32</v>
      </c>
      <c r="F1116" s="3" t="s">
        <v>71</v>
      </c>
      <c r="G1116" s="3">
        <v>2025</v>
      </c>
      <c r="H1116" s="3" t="str">
        <f>CONCATENATE("54240556834")</f>
        <v>54240556834</v>
      </c>
      <c r="I1116" s="3" t="s">
        <v>34</v>
      </c>
      <c r="J1116" s="3" t="s">
        <v>35</v>
      </c>
      <c r="K1116" s="3"/>
      <c r="L1116" s="3" t="s">
        <v>36</v>
      </c>
      <c r="M1116" s="3" t="str">
        <f>CONCATENATE("MTTGNZ59S29A252S")</f>
        <v>MTTGNZ59S29A252S</v>
      </c>
      <c r="N1116" s="3" t="s">
        <v>1240</v>
      </c>
      <c r="O1116" s="3" t="s">
        <v>38</v>
      </c>
      <c r="P1116" s="3"/>
      <c r="Q1116" s="4">
        <v>45944</v>
      </c>
      <c r="R1116" s="3" t="s">
        <v>39</v>
      </c>
      <c r="S1116" s="3" t="s">
        <v>38</v>
      </c>
      <c r="T1116" s="3" t="s">
        <v>40</v>
      </c>
      <c r="U1116" s="3"/>
      <c r="V1116" s="3" t="s">
        <v>41</v>
      </c>
      <c r="W1116" s="5">
        <v>3452.31</v>
      </c>
      <c r="X1116" s="5">
        <v>2589.23</v>
      </c>
      <c r="Y1116" s="3">
        <v>604.15</v>
      </c>
      <c r="Z1116" s="3">
        <v>258.93</v>
      </c>
      <c r="AA1116" s="3">
        <v>0</v>
      </c>
    </row>
    <row r="1117" spans="1:27" ht="60.75" x14ac:dyDescent="0.25">
      <c r="A1117" s="3" t="s">
        <v>28</v>
      </c>
      <c r="B1117" s="3" t="s">
        <v>29</v>
      </c>
      <c r="C1117" s="3" t="s">
        <v>30</v>
      </c>
      <c r="D1117" s="3" t="s">
        <v>49</v>
      </c>
      <c r="E1117" s="3" t="s">
        <v>46</v>
      </c>
      <c r="F1117" s="3" t="s">
        <v>129</v>
      </c>
      <c r="G1117" s="3">
        <v>2025</v>
      </c>
      <c r="H1117" s="3" t="str">
        <f>CONCATENATE("54240556917")</f>
        <v>54240556917</v>
      </c>
      <c r="I1117" s="3" t="s">
        <v>34</v>
      </c>
      <c r="J1117" s="3" t="s">
        <v>35</v>
      </c>
      <c r="K1117" s="3"/>
      <c r="L1117" s="3" t="s">
        <v>36</v>
      </c>
      <c r="M1117" s="3" t="str">
        <f>CONCATENATE("PRNMRA52S06I156A")</f>
        <v>PRNMRA52S06I156A</v>
      </c>
      <c r="N1117" s="3" t="s">
        <v>1241</v>
      </c>
      <c r="O1117" s="3" t="s">
        <v>38</v>
      </c>
      <c r="P1117" s="3"/>
      <c r="Q1117" s="4">
        <v>45944</v>
      </c>
      <c r="R1117" s="3" t="s">
        <v>39</v>
      </c>
      <c r="S1117" s="3" t="s">
        <v>38</v>
      </c>
      <c r="T1117" s="3" t="s">
        <v>40</v>
      </c>
      <c r="U1117" s="3"/>
      <c r="V1117" s="3" t="s">
        <v>41</v>
      </c>
      <c r="W1117" s="5">
        <v>3216.34</v>
      </c>
      <c r="X1117" s="5">
        <v>2412.2600000000002</v>
      </c>
      <c r="Y1117" s="3">
        <v>562.86</v>
      </c>
      <c r="Z1117" s="3">
        <v>241.22</v>
      </c>
      <c r="AA1117" s="3">
        <v>0</v>
      </c>
    </row>
    <row r="1118" spans="1:27" ht="60.75" x14ac:dyDescent="0.25">
      <c r="A1118" s="3" t="s">
        <v>28</v>
      </c>
      <c r="B1118" s="3" t="s">
        <v>29</v>
      </c>
      <c r="C1118" s="3" t="s">
        <v>30</v>
      </c>
      <c r="D1118" s="3" t="s">
        <v>31</v>
      </c>
      <c r="E1118" s="3" t="s">
        <v>53</v>
      </c>
      <c r="F1118" s="3" t="s">
        <v>172</v>
      </c>
      <c r="G1118" s="3">
        <v>2025</v>
      </c>
      <c r="H1118" s="3" t="str">
        <f>CONCATENATE("54240556933")</f>
        <v>54240556933</v>
      </c>
      <c r="I1118" s="3" t="s">
        <v>34</v>
      </c>
      <c r="J1118" s="3" t="s">
        <v>35</v>
      </c>
      <c r="K1118" s="3"/>
      <c r="L1118" s="3" t="s">
        <v>36</v>
      </c>
      <c r="M1118" s="3" t="str">
        <f>CONCATENATE("GZZMRZ62E21D749Z")</f>
        <v>GZZMRZ62E21D749Z</v>
      </c>
      <c r="N1118" s="3" t="s">
        <v>1242</v>
      </c>
      <c r="O1118" s="3" t="s">
        <v>38</v>
      </c>
      <c r="P1118" s="3"/>
      <c r="Q1118" s="4">
        <v>45944</v>
      </c>
      <c r="R1118" s="3" t="s">
        <v>39</v>
      </c>
      <c r="S1118" s="3" t="s">
        <v>38</v>
      </c>
      <c r="T1118" s="3" t="s">
        <v>40</v>
      </c>
      <c r="U1118" s="3"/>
      <c r="V1118" s="3" t="s">
        <v>41</v>
      </c>
      <c r="W1118" s="5">
        <v>7541.2</v>
      </c>
      <c r="X1118" s="5">
        <v>5655.9</v>
      </c>
      <c r="Y1118" s="5">
        <v>1319.71</v>
      </c>
      <c r="Z1118" s="3">
        <v>565.59</v>
      </c>
      <c r="AA1118" s="3">
        <v>0</v>
      </c>
    </row>
    <row r="1119" spans="1:27" ht="60.75" x14ac:dyDescent="0.25">
      <c r="A1119" s="3" t="s">
        <v>28</v>
      </c>
      <c r="B1119" s="3" t="s">
        <v>29</v>
      </c>
      <c r="C1119" s="3" t="s">
        <v>30</v>
      </c>
      <c r="D1119" s="3" t="s">
        <v>49</v>
      </c>
      <c r="E1119" s="3" t="s">
        <v>32</v>
      </c>
      <c r="F1119" s="3" t="s">
        <v>71</v>
      </c>
      <c r="G1119" s="3">
        <v>2025</v>
      </c>
      <c r="H1119" s="3" t="str">
        <f>CONCATENATE("54240557345")</f>
        <v>54240557345</v>
      </c>
      <c r="I1119" s="3" t="s">
        <v>34</v>
      </c>
      <c r="J1119" s="3" t="s">
        <v>35</v>
      </c>
      <c r="K1119" s="3"/>
      <c r="L1119" s="3" t="s">
        <v>36</v>
      </c>
      <c r="M1119" s="3" t="str">
        <f>CONCATENATE("PSRLCU97E28B474T")</f>
        <v>PSRLCU97E28B474T</v>
      </c>
      <c r="N1119" s="3" t="s">
        <v>1243</v>
      </c>
      <c r="O1119" s="3" t="s">
        <v>38</v>
      </c>
      <c r="P1119" s="3"/>
      <c r="Q1119" s="4">
        <v>45944</v>
      </c>
      <c r="R1119" s="3" t="s">
        <v>39</v>
      </c>
      <c r="S1119" s="3" t="s">
        <v>38</v>
      </c>
      <c r="T1119" s="3" t="s">
        <v>40</v>
      </c>
      <c r="U1119" s="3"/>
      <c r="V1119" s="3" t="s">
        <v>41</v>
      </c>
      <c r="W1119" s="5">
        <v>2742.87</v>
      </c>
      <c r="X1119" s="5">
        <v>2057.15</v>
      </c>
      <c r="Y1119" s="3">
        <v>480</v>
      </c>
      <c r="Z1119" s="3">
        <v>205.72</v>
      </c>
      <c r="AA1119" s="3">
        <v>0</v>
      </c>
    </row>
    <row r="1120" spans="1:27" ht="60.75" x14ac:dyDescent="0.25">
      <c r="A1120" s="3" t="s">
        <v>28</v>
      </c>
      <c r="B1120" s="3" t="s">
        <v>29</v>
      </c>
      <c r="C1120" s="3" t="s">
        <v>30</v>
      </c>
      <c r="D1120" s="3" t="s">
        <v>58</v>
      </c>
      <c r="E1120" s="3" t="s">
        <v>91</v>
      </c>
      <c r="F1120" s="3" t="s">
        <v>106</v>
      </c>
      <c r="G1120" s="3">
        <v>2025</v>
      </c>
      <c r="H1120" s="3" t="str">
        <f>CONCATENATE("54240557733")</f>
        <v>54240557733</v>
      </c>
      <c r="I1120" s="3" t="s">
        <v>34</v>
      </c>
      <c r="J1120" s="3" t="s">
        <v>35</v>
      </c>
      <c r="K1120" s="3"/>
      <c r="L1120" s="3" t="s">
        <v>36</v>
      </c>
      <c r="M1120" s="3" t="str">
        <f>CONCATENATE("LMBNNT68R70A271P")</f>
        <v>LMBNNT68R70A271P</v>
      </c>
      <c r="N1120" s="3" t="s">
        <v>107</v>
      </c>
      <c r="O1120" s="3" t="s">
        <v>38</v>
      </c>
      <c r="P1120" s="3"/>
      <c r="Q1120" s="4">
        <v>45944</v>
      </c>
      <c r="R1120" s="3" t="s">
        <v>39</v>
      </c>
      <c r="S1120" s="3" t="s">
        <v>38</v>
      </c>
      <c r="T1120" s="3" t="s">
        <v>40</v>
      </c>
      <c r="U1120" s="3"/>
      <c r="V1120" s="3" t="s">
        <v>41</v>
      </c>
      <c r="W1120" s="5">
        <v>6062.72</v>
      </c>
      <c r="X1120" s="5">
        <v>4547.04</v>
      </c>
      <c r="Y1120" s="5">
        <v>1060.98</v>
      </c>
      <c r="Z1120" s="3">
        <v>454.7</v>
      </c>
      <c r="AA1120" s="3">
        <v>0</v>
      </c>
    </row>
    <row r="1121" spans="1:27" ht="60.75" x14ac:dyDescent="0.25">
      <c r="A1121" s="3" t="s">
        <v>28</v>
      </c>
      <c r="B1121" s="3" t="s">
        <v>29</v>
      </c>
      <c r="C1121" s="3" t="s">
        <v>30</v>
      </c>
      <c r="D1121" s="3" t="s">
        <v>63</v>
      </c>
      <c r="E1121" s="3" t="s">
        <v>64</v>
      </c>
      <c r="F1121" s="3" t="s">
        <v>65</v>
      </c>
      <c r="G1121" s="3">
        <v>2025</v>
      </c>
      <c r="H1121" s="3" t="str">
        <f>CONCATENATE("54240649985")</f>
        <v>54240649985</v>
      </c>
      <c r="I1121" s="3" t="s">
        <v>34</v>
      </c>
      <c r="J1121" s="3" t="s">
        <v>35</v>
      </c>
      <c r="K1121" s="3"/>
      <c r="L1121" s="3" t="s">
        <v>36</v>
      </c>
      <c r="M1121" s="3" t="str">
        <f>CONCATENATE("CNTPPL93C20A462J")</f>
        <v>CNTPPL93C20A462J</v>
      </c>
      <c r="N1121" s="3" t="s">
        <v>1244</v>
      </c>
      <c r="O1121" s="3" t="s">
        <v>38</v>
      </c>
      <c r="P1121" s="3"/>
      <c r="Q1121" s="4">
        <v>45944</v>
      </c>
      <c r="R1121" s="3" t="s">
        <v>39</v>
      </c>
      <c r="S1121" s="3" t="s">
        <v>38</v>
      </c>
      <c r="T1121" s="3" t="s">
        <v>40</v>
      </c>
      <c r="U1121" s="3"/>
      <c r="V1121" s="3" t="s">
        <v>41</v>
      </c>
      <c r="W1121" s="5">
        <v>3050.46</v>
      </c>
      <c r="X1121" s="5">
        <v>2287.85</v>
      </c>
      <c r="Y1121" s="3">
        <v>533.83000000000004</v>
      </c>
      <c r="Z1121" s="3">
        <v>228.78</v>
      </c>
      <c r="AA1121" s="3">
        <v>0</v>
      </c>
    </row>
    <row r="1122" spans="1:27" ht="60.75" x14ac:dyDescent="0.25">
      <c r="A1122" s="3" t="s">
        <v>28</v>
      </c>
      <c r="B1122" s="3" t="s">
        <v>29</v>
      </c>
      <c r="C1122" s="3" t="s">
        <v>30</v>
      </c>
      <c r="D1122" s="3" t="s">
        <v>31</v>
      </c>
      <c r="E1122" s="3" t="s">
        <v>53</v>
      </c>
      <c r="F1122" s="3" t="s">
        <v>172</v>
      </c>
      <c r="G1122" s="3">
        <v>2025</v>
      </c>
      <c r="H1122" s="3" t="str">
        <f>CONCATENATE("54240557675")</f>
        <v>54240557675</v>
      </c>
      <c r="I1122" s="3" t="s">
        <v>34</v>
      </c>
      <c r="J1122" s="3" t="s">
        <v>35</v>
      </c>
      <c r="K1122" s="3"/>
      <c r="L1122" s="3" t="s">
        <v>36</v>
      </c>
      <c r="M1122" s="3" t="str">
        <f>CONCATENATE("PRMRRT84R05L500V")</f>
        <v>PRMRRT84R05L500V</v>
      </c>
      <c r="N1122" s="3" t="s">
        <v>1245</v>
      </c>
      <c r="O1122" s="3" t="s">
        <v>38</v>
      </c>
      <c r="P1122" s="3"/>
      <c r="Q1122" s="4">
        <v>45944</v>
      </c>
      <c r="R1122" s="3" t="s">
        <v>39</v>
      </c>
      <c r="S1122" s="3" t="s">
        <v>38</v>
      </c>
      <c r="T1122" s="3" t="s">
        <v>40</v>
      </c>
      <c r="U1122" s="3"/>
      <c r="V1122" s="3" t="s">
        <v>41</v>
      </c>
      <c r="W1122" s="3">
        <v>961.83</v>
      </c>
      <c r="X1122" s="3">
        <v>721.37</v>
      </c>
      <c r="Y1122" s="3">
        <v>168.32</v>
      </c>
      <c r="Z1122" s="3">
        <v>72.14</v>
      </c>
      <c r="AA1122" s="3">
        <v>0</v>
      </c>
    </row>
    <row r="1123" spans="1:27" ht="60.75" x14ac:dyDescent="0.25">
      <c r="A1123" s="3" t="s">
        <v>28</v>
      </c>
      <c r="B1123" s="3" t="s">
        <v>29</v>
      </c>
      <c r="C1123" s="3" t="s">
        <v>30</v>
      </c>
      <c r="D1123" s="3" t="s">
        <v>31</v>
      </c>
      <c r="E1123" s="3" t="s">
        <v>53</v>
      </c>
      <c r="F1123" s="3" t="s">
        <v>172</v>
      </c>
      <c r="G1123" s="3">
        <v>2025</v>
      </c>
      <c r="H1123" s="3" t="str">
        <f>CONCATENATE("54240558020")</f>
        <v>54240558020</v>
      </c>
      <c r="I1123" s="3" t="s">
        <v>34</v>
      </c>
      <c r="J1123" s="3" t="s">
        <v>35</v>
      </c>
      <c r="K1123" s="3"/>
      <c r="L1123" s="3" t="s">
        <v>36</v>
      </c>
      <c r="M1123" s="3" t="str">
        <f>CONCATENATE("CSGSDR35T22D749C")</f>
        <v>CSGSDR35T22D749C</v>
      </c>
      <c r="N1123" s="3" t="s">
        <v>1246</v>
      </c>
      <c r="O1123" s="3" t="s">
        <v>38</v>
      </c>
      <c r="P1123" s="3"/>
      <c r="Q1123" s="4">
        <v>45944</v>
      </c>
      <c r="R1123" s="3" t="s">
        <v>39</v>
      </c>
      <c r="S1123" s="3" t="s">
        <v>38</v>
      </c>
      <c r="T1123" s="3" t="s">
        <v>40</v>
      </c>
      <c r="U1123" s="3"/>
      <c r="V1123" s="3" t="s">
        <v>41</v>
      </c>
      <c r="W1123" s="5">
        <v>4570.93</v>
      </c>
      <c r="X1123" s="5">
        <v>3428.2</v>
      </c>
      <c r="Y1123" s="3">
        <v>799.91</v>
      </c>
      <c r="Z1123" s="3">
        <v>342.82</v>
      </c>
      <c r="AA1123" s="3">
        <v>0</v>
      </c>
    </row>
    <row r="1124" spans="1:27" ht="36.75" x14ac:dyDescent="0.25">
      <c r="A1124" s="3" t="s">
        <v>28</v>
      </c>
      <c r="B1124" s="3" t="s">
        <v>29</v>
      </c>
      <c r="C1124" s="3" t="s">
        <v>30</v>
      </c>
      <c r="D1124" s="3" t="s">
        <v>49</v>
      </c>
      <c r="E1124" s="3" t="s">
        <v>32</v>
      </c>
      <c r="F1124" s="3" t="s">
        <v>69</v>
      </c>
      <c r="G1124" s="3">
        <v>2025</v>
      </c>
      <c r="H1124" s="3" t="str">
        <f>CONCATENATE("54240557972")</f>
        <v>54240557972</v>
      </c>
      <c r="I1124" s="3" t="s">
        <v>34</v>
      </c>
      <c r="J1124" s="3" t="s">
        <v>35</v>
      </c>
      <c r="K1124" s="3"/>
      <c r="L1124" s="3" t="s">
        <v>36</v>
      </c>
      <c r="M1124" s="3" t="str">
        <f>CONCATENATE("01104210438")</f>
        <v>01104210438</v>
      </c>
      <c r="N1124" s="3" t="s">
        <v>1247</v>
      </c>
      <c r="O1124" s="3" t="s">
        <v>38</v>
      </c>
      <c r="P1124" s="3"/>
      <c r="Q1124" s="4">
        <v>45944</v>
      </c>
      <c r="R1124" s="3" t="s">
        <v>39</v>
      </c>
      <c r="S1124" s="3" t="s">
        <v>38</v>
      </c>
      <c r="T1124" s="3" t="s">
        <v>40</v>
      </c>
      <c r="U1124" s="3"/>
      <c r="V1124" s="3" t="s">
        <v>41</v>
      </c>
      <c r="W1124" s="5">
        <v>8067.66</v>
      </c>
      <c r="X1124" s="5">
        <v>6050.75</v>
      </c>
      <c r="Y1124" s="5">
        <v>1411.84</v>
      </c>
      <c r="Z1124" s="3">
        <v>605.07000000000005</v>
      </c>
      <c r="AA1124" s="3">
        <v>0</v>
      </c>
    </row>
    <row r="1125" spans="1:27" ht="72.75" x14ac:dyDescent="0.25">
      <c r="A1125" s="3" t="s">
        <v>28</v>
      </c>
      <c r="B1125" s="3" t="s">
        <v>29</v>
      </c>
      <c r="C1125" s="3" t="s">
        <v>30</v>
      </c>
      <c r="D1125" s="3" t="s">
        <v>58</v>
      </c>
      <c r="E1125" s="3" t="s">
        <v>53</v>
      </c>
      <c r="F1125" s="3" t="s">
        <v>59</v>
      </c>
      <c r="G1125" s="3">
        <v>2025</v>
      </c>
      <c r="H1125" s="3" t="str">
        <f>CONCATENATE("54240558335")</f>
        <v>54240558335</v>
      </c>
      <c r="I1125" s="3" t="s">
        <v>34</v>
      </c>
      <c r="J1125" s="3" t="s">
        <v>35</v>
      </c>
      <c r="K1125" s="3"/>
      <c r="L1125" s="3" t="s">
        <v>36</v>
      </c>
      <c r="M1125" s="3" t="str">
        <f>CONCATENATE("LCRNDR74B14A366G")</f>
        <v>LCRNDR74B14A366G</v>
      </c>
      <c r="N1125" s="3" t="s">
        <v>1248</v>
      </c>
      <c r="O1125" s="3" t="s">
        <v>38</v>
      </c>
      <c r="P1125" s="3"/>
      <c r="Q1125" s="4">
        <v>45944</v>
      </c>
      <c r="R1125" s="3" t="s">
        <v>39</v>
      </c>
      <c r="S1125" s="3" t="s">
        <v>38</v>
      </c>
      <c r="T1125" s="3" t="s">
        <v>40</v>
      </c>
      <c r="U1125" s="3"/>
      <c r="V1125" s="3" t="s">
        <v>41</v>
      </c>
      <c r="W1125" s="3">
        <v>546.29999999999995</v>
      </c>
      <c r="X1125" s="3">
        <v>409.73</v>
      </c>
      <c r="Y1125" s="3">
        <v>95.6</v>
      </c>
      <c r="Z1125" s="3">
        <v>40.97</v>
      </c>
      <c r="AA1125" s="3">
        <v>0</v>
      </c>
    </row>
    <row r="1126" spans="1:27" ht="60.75" x14ac:dyDescent="0.25">
      <c r="A1126" s="3" t="s">
        <v>28</v>
      </c>
      <c r="B1126" s="3" t="s">
        <v>29</v>
      </c>
      <c r="C1126" s="3" t="s">
        <v>30</v>
      </c>
      <c r="D1126" s="3" t="s">
        <v>49</v>
      </c>
      <c r="E1126" s="3" t="s">
        <v>46</v>
      </c>
      <c r="F1126" s="3" t="s">
        <v>129</v>
      </c>
      <c r="G1126" s="3">
        <v>2025</v>
      </c>
      <c r="H1126" s="3" t="str">
        <f>CONCATENATE("54240558244")</f>
        <v>54240558244</v>
      </c>
      <c r="I1126" s="3" t="s">
        <v>34</v>
      </c>
      <c r="J1126" s="3" t="s">
        <v>35</v>
      </c>
      <c r="K1126" s="3"/>
      <c r="L1126" s="3" t="s">
        <v>36</v>
      </c>
      <c r="M1126" s="3" t="str">
        <f>CONCATENATE("SNTGNN51H22I156O")</f>
        <v>SNTGNN51H22I156O</v>
      </c>
      <c r="N1126" s="3" t="s">
        <v>1249</v>
      </c>
      <c r="O1126" s="3" t="s">
        <v>38</v>
      </c>
      <c r="P1126" s="3"/>
      <c r="Q1126" s="4">
        <v>45944</v>
      </c>
      <c r="R1126" s="3" t="s">
        <v>39</v>
      </c>
      <c r="S1126" s="3" t="s">
        <v>38</v>
      </c>
      <c r="T1126" s="3" t="s">
        <v>40</v>
      </c>
      <c r="U1126" s="3"/>
      <c r="V1126" s="3" t="s">
        <v>41</v>
      </c>
      <c r="W1126" s="5">
        <v>3159.31</v>
      </c>
      <c r="X1126" s="5">
        <v>2369.48</v>
      </c>
      <c r="Y1126" s="3">
        <v>552.88</v>
      </c>
      <c r="Z1126" s="3">
        <v>236.95</v>
      </c>
      <c r="AA1126" s="3">
        <v>0</v>
      </c>
    </row>
    <row r="1127" spans="1:27" ht="36.75" x14ac:dyDescent="0.25">
      <c r="A1127" s="3" t="s">
        <v>28</v>
      </c>
      <c r="B1127" s="3" t="s">
        <v>29</v>
      </c>
      <c r="C1127" s="3" t="s">
        <v>30</v>
      </c>
      <c r="D1127" s="3" t="s">
        <v>58</v>
      </c>
      <c r="E1127" s="3" t="s">
        <v>53</v>
      </c>
      <c r="F1127" s="3" t="s">
        <v>59</v>
      </c>
      <c r="G1127" s="3">
        <v>2025</v>
      </c>
      <c r="H1127" s="3" t="str">
        <f>CONCATENATE("54240558905")</f>
        <v>54240558905</v>
      </c>
      <c r="I1127" s="3" t="s">
        <v>34</v>
      </c>
      <c r="J1127" s="3" t="s">
        <v>35</v>
      </c>
      <c r="K1127" s="3"/>
      <c r="L1127" s="3" t="s">
        <v>36</v>
      </c>
      <c r="M1127" s="3" t="str">
        <f>CONCATENATE("02330640422")</f>
        <v>02330640422</v>
      </c>
      <c r="N1127" s="3" t="s">
        <v>1250</v>
      </c>
      <c r="O1127" s="3" t="s">
        <v>38</v>
      </c>
      <c r="P1127" s="3"/>
      <c r="Q1127" s="4">
        <v>45944</v>
      </c>
      <c r="R1127" s="3" t="s">
        <v>39</v>
      </c>
      <c r="S1127" s="3" t="s">
        <v>38</v>
      </c>
      <c r="T1127" s="3" t="s">
        <v>40</v>
      </c>
      <c r="U1127" s="3"/>
      <c r="V1127" s="3" t="s">
        <v>41</v>
      </c>
      <c r="W1127" s="5">
        <v>1085.5899999999999</v>
      </c>
      <c r="X1127" s="3">
        <v>814.19</v>
      </c>
      <c r="Y1127" s="3">
        <v>189.98</v>
      </c>
      <c r="Z1127" s="3">
        <v>81.42</v>
      </c>
      <c r="AA1127" s="3">
        <v>0</v>
      </c>
    </row>
    <row r="1128" spans="1:27" ht="72.75" x14ac:dyDescent="0.25">
      <c r="A1128" s="3" t="s">
        <v>28</v>
      </c>
      <c r="B1128" s="3" t="s">
        <v>29</v>
      </c>
      <c r="C1128" s="3" t="s">
        <v>30</v>
      </c>
      <c r="D1128" s="3" t="s">
        <v>31</v>
      </c>
      <c r="E1128" s="3" t="s">
        <v>91</v>
      </c>
      <c r="F1128" s="3" t="s">
        <v>111</v>
      </c>
      <c r="G1128" s="3">
        <v>2025</v>
      </c>
      <c r="H1128" s="3" t="str">
        <f>CONCATENATE("54240558764")</f>
        <v>54240558764</v>
      </c>
      <c r="I1128" s="3" t="s">
        <v>34</v>
      </c>
      <c r="J1128" s="3" t="s">
        <v>35</v>
      </c>
      <c r="K1128" s="3"/>
      <c r="L1128" s="3" t="s">
        <v>36</v>
      </c>
      <c r="M1128" s="3" t="str">
        <f>CONCATENATE("MRNLRA64P54G479X")</f>
        <v>MRNLRA64P54G479X</v>
      </c>
      <c r="N1128" s="3" t="s">
        <v>1251</v>
      </c>
      <c r="O1128" s="3" t="s">
        <v>38</v>
      </c>
      <c r="P1128" s="3"/>
      <c r="Q1128" s="4">
        <v>45944</v>
      </c>
      <c r="R1128" s="3" t="s">
        <v>39</v>
      </c>
      <c r="S1128" s="3" t="s">
        <v>38</v>
      </c>
      <c r="T1128" s="3" t="s">
        <v>40</v>
      </c>
      <c r="U1128" s="3"/>
      <c r="V1128" s="3" t="s">
        <v>41</v>
      </c>
      <c r="W1128" s="5">
        <v>1131.2</v>
      </c>
      <c r="X1128" s="3">
        <v>848.4</v>
      </c>
      <c r="Y1128" s="3">
        <v>197.96</v>
      </c>
      <c r="Z1128" s="3">
        <v>84.84</v>
      </c>
      <c r="AA1128" s="3">
        <v>0</v>
      </c>
    </row>
    <row r="1129" spans="1:27" ht="60.75" x14ac:dyDescent="0.25">
      <c r="A1129" s="3" t="s">
        <v>28</v>
      </c>
      <c r="B1129" s="3" t="s">
        <v>29</v>
      </c>
      <c r="C1129" s="3" t="s">
        <v>30</v>
      </c>
      <c r="D1129" s="3" t="s">
        <v>49</v>
      </c>
      <c r="E1129" s="3" t="s">
        <v>32</v>
      </c>
      <c r="F1129" s="3" t="s">
        <v>69</v>
      </c>
      <c r="G1129" s="3">
        <v>2025</v>
      </c>
      <c r="H1129" s="3" t="str">
        <f>CONCATENATE("54240574407")</f>
        <v>54240574407</v>
      </c>
      <c r="I1129" s="3" t="s">
        <v>34</v>
      </c>
      <c r="J1129" s="3" t="s">
        <v>35</v>
      </c>
      <c r="K1129" s="3"/>
      <c r="L1129" s="3" t="s">
        <v>36</v>
      </c>
      <c r="M1129" s="3" t="str">
        <f>CONCATENATE("CRFLLD50R29B550N")</f>
        <v>CRFLLD50R29B550N</v>
      </c>
      <c r="N1129" s="3" t="s">
        <v>1252</v>
      </c>
      <c r="O1129" s="3" t="s">
        <v>38</v>
      </c>
      <c r="P1129" s="3"/>
      <c r="Q1129" s="4">
        <v>45944</v>
      </c>
      <c r="R1129" s="3" t="s">
        <v>39</v>
      </c>
      <c r="S1129" s="3" t="s">
        <v>38</v>
      </c>
      <c r="T1129" s="3" t="s">
        <v>40</v>
      </c>
      <c r="U1129" s="3"/>
      <c r="V1129" s="3" t="s">
        <v>41</v>
      </c>
      <c r="W1129" s="3">
        <v>952.51</v>
      </c>
      <c r="X1129" s="3">
        <v>714.38</v>
      </c>
      <c r="Y1129" s="3">
        <v>166.69</v>
      </c>
      <c r="Z1129" s="3">
        <v>71.44</v>
      </c>
      <c r="AA1129" s="3">
        <v>0</v>
      </c>
    </row>
    <row r="1130" spans="1:27" ht="60.75" x14ac:dyDescent="0.25">
      <c r="A1130" s="3" t="s">
        <v>28</v>
      </c>
      <c r="B1130" s="3" t="s">
        <v>29</v>
      </c>
      <c r="C1130" s="3" t="s">
        <v>30</v>
      </c>
      <c r="D1130" s="3" t="s">
        <v>58</v>
      </c>
      <c r="E1130" s="3" t="s">
        <v>32</v>
      </c>
      <c r="F1130" s="3" t="s">
        <v>1151</v>
      </c>
      <c r="G1130" s="3">
        <v>2025</v>
      </c>
      <c r="H1130" s="3" t="str">
        <f>CONCATENATE("54240559085")</f>
        <v>54240559085</v>
      </c>
      <c r="I1130" s="3" t="s">
        <v>34</v>
      </c>
      <c r="J1130" s="3" t="s">
        <v>35</v>
      </c>
      <c r="K1130" s="3"/>
      <c r="L1130" s="3" t="s">
        <v>36</v>
      </c>
      <c r="M1130" s="3" t="str">
        <f>CONCATENATE("FNINDR63A09A271E")</f>
        <v>FNINDR63A09A271E</v>
      </c>
      <c r="N1130" s="3" t="s">
        <v>1253</v>
      </c>
      <c r="O1130" s="3" t="s">
        <v>38</v>
      </c>
      <c r="P1130" s="3"/>
      <c r="Q1130" s="4">
        <v>45944</v>
      </c>
      <c r="R1130" s="3" t="s">
        <v>39</v>
      </c>
      <c r="S1130" s="3" t="s">
        <v>38</v>
      </c>
      <c r="T1130" s="3" t="s">
        <v>40</v>
      </c>
      <c r="U1130" s="3"/>
      <c r="V1130" s="3" t="s">
        <v>41</v>
      </c>
      <c r="W1130" s="3">
        <v>889.72</v>
      </c>
      <c r="X1130" s="3">
        <v>667.29</v>
      </c>
      <c r="Y1130" s="3">
        <v>155.69999999999999</v>
      </c>
      <c r="Z1130" s="3">
        <v>66.73</v>
      </c>
      <c r="AA1130" s="3">
        <v>0</v>
      </c>
    </row>
    <row r="1131" spans="1:27" ht="60.75" x14ac:dyDescent="0.25">
      <c r="A1131" s="3" t="s">
        <v>28</v>
      </c>
      <c r="B1131" s="3" t="s">
        <v>29</v>
      </c>
      <c r="C1131" s="3" t="s">
        <v>30</v>
      </c>
      <c r="D1131" s="3" t="s">
        <v>49</v>
      </c>
      <c r="E1131" s="3" t="s">
        <v>32</v>
      </c>
      <c r="F1131" s="3" t="s">
        <v>78</v>
      </c>
      <c r="G1131" s="3">
        <v>2025</v>
      </c>
      <c r="H1131" s="3" t="str">
        <f>CONCATENATE("54240560455")</f>
        <v>54240560455</v>
      </c>
      <c r="I1131" s="3" t="s">
        <v>34</v>
      </c>
      <c r="J1131" s="3" t="s">
        <v>35</v>
      </c>
      <c r="K1131" s="3"/>
      <c r="L1131" s="3" t="s">
        <v>36</v>
      </c>
      <c r="M1131" s="3" t="str">
        <f>CONCATENATE("PYRBNR42D18L219T")</f>
        <v>PYRBNR42D18L219T</v>
      </c>
      <c r="N1131" s="3" t="s">
        <v>1254</v>
      </c>
      <c r="O1131" s="3" t="s">
        <v>38</v>
      </c>
      <c r="P1131" s="3"/>
      <c r="Q1131" s="4">
        <v>45944</v>
      </c>
      <c r="R1131" s="3" t="s">
        <v>39</v>
      </c>
      <c r="S1131" s="3" t="s">
        <v>38</v>
      </c>
      <c r="T1131" s="3" t="s">
        <v>40</v>
      </c>
      <c r="U1131" s="3"/>
      <c r="V1131" s="3" t="s">
        <v>41</v>
      </c>
      <c r="W1131" s="5">
        <v>18529.75</v>
      </c>
      <c r="X1131" s="5">
        <v>13897.31</v>
      </c>
      <c r="Y1131" s="5">
        <v>3242.71</v>
      </c>
      <c r="Z1131" s="5">
        <v>1389.73</v>
      </c>
      <c r="AA1131" s="3">
        <v>0</v>
      </c>
    </row>
    <row r="1132" spans="1:27" ht="60.75" x14ac:dyDescent="0.25">
      <c r="A1132" s="3" t="s">
        <v>28</v>
      </c>
      <c r="B1132" s="3" t="s">
        <v>29</v>
      </c>
      <c r="C1132" s="3" t="s">
        <v>30</v>
      </c>
      <c r="D1132" s="3" t="s">
        <v>49</v>
      </c>
      <c r="E1132" s="3" t="s">
        <v>32</v>
      </c>
      <c r="F1132" s="3" t="s">
        <v>69</v>
      </c>
      <c r="G1132" s="3">
        <v>2025</v>
      </c>
      <c r="H1132" s="3" t="str">
        <f>CONCATENATE("54240559069")</f>
        <v>54240559069</v>
      </c>
      <c r="I1132" s="3" t="s">
        <v>34</v>
      </c>
      <c r="J1132" s="3" t="s">
        <v>35</v>
      </c>
      <c r="K1132" s="3"/>
      <c r="L1132" s="3" t="s">
        <v>36</v>
      </c>
      <c r="M1132" s="3" t="str">
        <f>CONCATENATE("PLNMLA40H62E783T")</f>
        <v>PLNMLA40H62E783T</v>
      </c>
      <c r="N1132" s="3" t="s">
        <v>1255</v>
      </c>
      <c r="O1132" s="3" t="s">
        <v>38</v>
      </c>
      <c r="P1132" s="3"/>
      <c r="Q1132" s="4">
        <v>45944</v>
      </c>
      <c r="R1132" s="3" t="s">
        <v>39</v>
      </c>
      <c r="S1132" s="3" t="s">
        <v>38</v>
      </c>
      <c r="T1132" s="3" t="s">
        <v>40</v>
      </c>
      <c r="U1132" s="3"/>
      <c r="V1132" s="3" t="s">
        <v>41</v>
      </c>
      <c r="W1132" s="5">
        <v>9331.93</v>
      </c>
      <c r="X1132" s="5">
        <v>6998.95</v>
      </c>
      <c r="Y1132" s="5">
        <v>1633.09</v>
      </c>
      <c r="Z1132" s="3">
        <v>699.89</v>
      </c>
      <c r="AA1132" s="3">
        <v>0</v>
      </c>
    </row>
    <row r="1133" spans="1:27" ht="60.75" x14ac:dyDescent="0.25">
      <c r="A1133" s="3" t="s">
        <v>28</v>
      </c>
      <c r="B1133" s="3" t="s">
        <v>29</v>
      </c>
      <c r="C1133" s="3" t="s">
        <v>30</v>
      </c>
      <c r="D1133" s="3" t="s">
        <v>58</v>
      </c>
      <c r="E1133" s="3" t="s">
        <v>53</v>
      </c>
      <c r="F1133" s="3" t="s">
        <v>59</v>
      </c>
      <c r="G1133" s="3">
        <v>2025</v>
      </c>
      <c r="H1133" s="3" t="str">
        <f>CONCATENATE("54240559861")</f>
        <v>54240559861</v>
      </c>
      <c r="I1133" s="3" t="s">
        <v>34</v>
      </c>
      <c r="J1133" s="3" t="s">
        <v>35</v>
      </c>
      <c r="K1133" s="3"/>
      <c r="L1133" s="3" t="s">
        <v>36</v>
      </c>
      <c r="M1133" s="3" t="str">
        <f>CONCATENATE("CNGCST98S30D451Y")</f>
        <v>CNGCST98S30D451Y</v>
      </c>
      <c r="N1133" s="3" t="s">
        <v>1256</v>
      </c>
      <c r="O1133" s="3" t="s">
        <v>38</v>
      </c>
      <c r="P1133" s="3"/>
      <c r="Q1133" s="4">
        <v>45944</v>
      </c>
      <c r="R1133" s="3" t="s">
        <v>39</v>
      </c>
      <c r="S1133" s="3" t="s">
        <v>38</v>
      </c>
      <c r="T1133" s="3" t="s">
        <v>40</v>
      </c>
      <c r="U1133" s="3"/>
      <c r="V1133" s="3" t="s">
        <v>41</v>
      </c>
      <c r="W1133" s="5">
        <v>3620.74</v>
      </c>
      <c r="X1133" s="5">
        <v>2715.56</v>
      </c>
      <c r="Y1133" s="3">
        <v>633.63</v>
      </c>
      <c r="Z1133" s="3">
        <v>271.55</v>
      </c>
      <c r="AA1133" s="3">
        <v>0</v>
      </c>
    </row>
    <row r="1134" spans="1:27" ht="60.75" x14ac:dyDescent="0.25">
      <c r="A1134" s="3" t="s">
        <v>28</v>
      </c>
      <c r="B1134" s="3" t="s">
        <v>29</v>
      </c>
      <c r="C1134" s="3" t="s">
        <v>30</v>
      </c>
      <c r="D1134" s="3" t="s">
        <v>58</v>
      </c>
      <c r="E1134" s="3" t="s">
        <v>53</v>
      </c>
      <c r="F1134" s="3" t="s">
        <v>123</v>
      </c>
      <c r="G1134" s="3">
        <v>2025</v>
      </c>
      <c r="H1134" s="3" t="str">
        <f>CONCATENATE("54240560067")</f>
        <v>54240560067</v>
      </c>
      <c r="I1134" s="3" t="s">
        <v>34</v>
      </c>
      <c r="J1134" s="3" t="s">
        <v>35</v>
      </c>
      <c r="K1134" s="3"/>
      <c r="L1134" s="3" t="s">
        <v>36</v>
      </c>
      <c r="M1134" s="3" t="str">
        <f>CONCATENATE("SMNMRS54B49I653D")</f>
        <v>SMNMRS54B49I653D</v>
      </c>
      <c r="N1134" s="3" t="s">
        <v>1257</v>
      </c>
      <c r="O1134" s="3" t="s">
        <v>38</v>
      </c>
      <c r="P1134" s="3"/>
      <c r="Q1134" s="4">
        <v>45944</v>
      </c>
      <c r="R1134" s="3" t="s">
        <v>39</v>
      </c>
      <c r="S1134" s="3" t="s">
        <v>38</v>
      </c>
      <c r="T1134" s="3" t="s">
        <v>40</v>
      </c>
      <c r="U1134" s="3"/>
      <c r="V1134" s="3" t="s">
        <v>41</v>
      </c>
      <c r="W1134" s="5">
        <v>3501.29</v>
      </c>
      <c r="X1134" s="5">
        <v>2625.97</v>
      </c>
      <c r="Y1134" s="3">
        <v>612.73</v>
      </c>
      <c r="Z1134" s="3">
        <v>262.58999999999997</v>
      </c>
      <c r="AA1134" s="3">
        <v>0</v>
      </c>
    </row>
    <row r="1135" spans="1:27" ht="36.75" x14ac:dyDescent="0.25">
      <c r="A1135" s="3" t="s">
        <v>28</v>
      </c>
      <c r="B1135" s="3" t="s">
        <v>29</v>
      </c>
      <c r="C1135" s="3" t="s">
        <v>30</v>
      </c>
      <c r="D1135" s="3" t="s">
        <v>58</v>
      </c>
      <c r="E1135" s="3" t="s">
        <v>32</v>
      </c>
      <c r="F1135" s="3" t="s">
        <v>102</v>
      </c>
      <c r="G1135" s="3">
        <v>2025</v>
      </c>
      <c r="H1135" s="3" t="str">
        <f>CONCATENATE("54240579315")</f>
        <v>54240579315</v>
      </c>
      <c r="I1135" s="3" t="s">
        <v>34</v>
      </c>
      <c r="J1135" s="3" t="s">
        <v>35</v>
      </c>
      <c r="K1135" s="3"/>
      <c r="L1135" s="3" t="s">
        <v>36</v>
      </c>
      <c r="M1135" s="3" t="str">
        <f>CONCATENATE("02921120420")</f>
        <v>02921120420</v>
      </c>
      <c r="N1135" s="3" t="s">
        <v>1258</v>
      </c>
      <c r="O1135" s="3" t="s">
        <v>38</v>
      </c>
      <c r="P1135" s="3"/>
      <c r="Q1135" s="4">
        <v>45944</v>
      </c>
      <c r="R1135" s="3" t="s">
        <v>39</v>
      </c>
      <c r="S1135" s="3" t="s">
        <v>38</v>
      </c>
      <c r="T1135" s="3" t="s">
        <v>40</v>
      </c>
      <c r="U1135" s="3"/>
      <c r="V1135" s="3" t="s">
        <v>41</v>
      </c>
      <c r="W1135" s="5">
        <v>2452.9499999999998</v>
      </c>
      <c r="X1135" s="5">
        <v>1839.71</v>
      </c>
      <c r="Y1135" s="3">
        <v>429.27</v>
      </c>
      <c r="Z1135" s="3">
        <v>183.97</v>
      </c>
      <c r="AA1135" s="3">
        <v>0</v>
      </c>
    </row>
    <row r="1136" spans="1:27" ht="36.75" x14ac:dyDescent="0.25">
      <c r="A1136" s="3" t="s">
        <v>28</v>
      </c>
      <c r="B1136" s="3" t="s">
        <v>29</v>
      </c>
      <c r="C1136" s="3" t="s">
        <v>30</v>
      </c>
      <c r="D1136" s="3" t="s">
        <v>58</v>
      </c>
      <c r="E1136" s="3" t="s">
        <v>32</v>
      </c>
      <c r="F1136" s="3" t="s">
        <v>100</v>
      </c>
      <c r="G1136" s="3">
        <v>2025</v>
      </c>
      <c r="H1136" s="3" t="str">
        <f>CONCATENATE("54240560778")</f>
        <v>54240560778</v>
      </c>
      <c r="I1136" s="3" t="s">
        <v>34</v>
      </c>
      <c r="J1136" s="3" t="s">
        <v>35</v>
      </c>
      <c r="K1136" s="3"/>
      <c r="L1136" s="3" t="s">
        <v>36</v>
      </c>
      <c r="M1136" s="3" t="str">
        <f>CONCATENATE("01036390423")</f>
        <v>01036390423</v>
      </c>
      <c r="N1136" s="3" t="s">
        <v>1259</v>
      </c>
      <c r="O1136" s="3" t="s">
        <v>38</v>
      </c>
      <c r="P1136" s="3"/>
      <c r="Q1136" s="4">
        <v>45944</v>
      </c>
      <c r="R1136" s="3" t="s">
        <v>39</v>
      </c>
      <c r="S1136" s="3" t="s">
        <v>38</v>
      </c>
      <c r="T1136" s="3" t="s">
        <v>40</v>
      </c>
      <c r="U1136" s="3"/>
      <c r="V1136" s="3" t="s">
        <v>41</v>
      </c>
      <c r="W1136" s="5">
        <v>5327.65</v>
      </c>
      <c r="X1136" s="5">
        <v>3995.74</v>
      </c>
      <c r="Y1136" s="3">
        <v>932.34</v>
      </c>
      <c r="Z1136" s="3">
        <v>399.57</v>
      </c>
      <c r="AA1136" s="3">
        <v>0</v>
      </c>
    </row>
    <row r="1137" spans="1:27" ht="60.75" x14ac:dyDescent="0.25">
      <c r="A1137" s="3" t="s">
        <v>28</v>
      </c>
      <c r="B1137" s="3" t="s">
        <v>29</v>
      </c>
      <c r="C1137" s="3" t="s">
        <v>30</v>
      </c>
      <c r="D1137" s="3" t="s">
        <v>49</v>
      </c>
      <c r="E1137" s="3" t="s">
        <v>46</v>
      </c>
      <c r="F1137" s="3" t="s">
        <v>129</v>
      </c>
      <c r="G1137" s="3">
        <v>2025</v>
      </c>
      <c r="H1137" s="3" t="str">
        <f>CONCATENATE("54240560927")</f>
        <v>54240560927</v>
      </c>
      <c r="I1137" s="3" t="s">
        <v>34</v>
      </c>
      <c r="J1137" s="3" t="s">
        <v>35</v>
      </c>
      <c r="K1137" s="3"/>
      <c r="L1137" s="3" t="s">
        <v>36</v>
      </c>
      <c r="M1137" s="3" t="str">
        <f>CONCATENATE("ZZZFNC88L02I156G")</f>
        <v>ZZZFNC88L02I156G</v>
      </c>
      <c r="N1137" s="3" t="s">
        <v>1260</v>
      </c>
      <c r="O1137" s="3" t="s">
        <v>38</v>
      </c>
      <c r="P1137" s="3"/>
      <c r="Q1137" s="4">
        <v>45944</v>
      </c>
      <c r="R1137" s="3" t="s">
        <v>39</v>
      </c>
      <c r="S1137" s="3" t="s">
        <v>38</v>
      </c>
      <c r="T1137" s="3" t="s">
        <v>40</v>
      </c>
      <c r="U1137" s="3"/>
      <c r="V1137" s="3" t="s">
        <v>41</v>
      </c>
      <c r="W1137" s="5">
        <v>5588.78</v>
      </c>
      <c r="X1137" s="5">
        <v>4191.59</v>
      </c>
      <c r="Y1137" s="3">
        <v>978.04</v>
      </c>
      <c r="Z1137" s="3">
        <v>419.15</v>
      </c>
      <c r="AA1137" s="3">
        <v>0</v>
      </c>
    </row>
    <row r="1138" spans="1:27" ht="72.75" x14ac:dyDescent="0.25">
      <c r="A1138" s="3" t="s">
        <v>28</v>
      </c>
      <c r="B1138" s="3" t="s">
        <v>29</v>
      </c>
      <c r="C1138" s="3" t="s">
        <v>30</v>
      </c>
      <c r="D1138" s="3" t="s">
        <v>31</v>
      </c>
      <c r="E1138" s="3" t="s">
        <v>32</v>
      </c>
      <c r="F1138" s="3" t="s">
        <v>44</v>
      </c>
      <c r="G1138" s="3">
        <v>2025</v>
      </c>
      <c r="H1138" s="3" t="str">
        <f>CONCATENATE("54240560679")</f>
        <v>54240560679</v>
      </c>
      <c r="I1138" s="3" t="s">
        <v>34</v>
      </c>
      <c r="J1138" s="3" t="s">
        <v>35</v>
      </c>
      <c r="K1138" s="3"/>
      <c r="L1138" s="3" t="s">
        <v>36</v>
      </c>
      <c r="M1138" s="3" t="str">
        <f>CONCATENATE("CRLMSM72T07B352A")</f>
        <v>CRLMSM72T07B352A</v>
      </c>
      <c r="N1138" s="3" t="s">
        <v>1261</v>
      </c>
      <c r="O1138" s="3" t="s">
        <v>38</v>
      </c>
      <c r="P1138" s="3"/>
      <c r="Q1138" s="4">
        <v>45944</v>
      </c>
      <c r="R1138" s="3" t="s">
        <v>39</v>
      </c>
      <c r="S1138" s="3" t="s">
        <v>38</v>
      </c>
      <c r="T1138" s="3" t="s">
        <v>40</v>
      </c>
      <c r="U1138" s="3"/>
      <c r="V1138" s="3" t="s">
        <v>41</v>
      </c>
      <c r="W1138" s="5">
        <v>5100.47</v>
      </c>
      <c r="X1138" s="5">
        <v>3825.35</v>
      </c>
      <c r="Y1138" s="3">
        <v>892.58</v>
      </c>
      <c r="Z1138" s="3">
        <v>382.54</v>
      </c>
      <c r="AA1138" s="3">
        <v>0</v>
      </c>
    </row>
    <row r="1139" spans="1:27" ht="60.75" x14ac:dyDescent="0.25">
      <c r="A1139" s="3" t="s">
        <v>28</v>
      </c>
      <c r="B1139" s="3" t="s">
        <v>29</v>
      </c>
      <c r="C1139" s="3" t="s">
        <v>30</v>
      </c>
      <c r="D1139" s="3" t="s">
        <v>31</v>
      </c>
      <c r="E1139" s="3" t="s">
        <v>32</v>
      </c>
      <c r="F1139" s="3" t="s">
        <v>153</v>
      </c>
      <c r="G1139" s="3">
        <v>2025</v>
      </c>
      <c r="H1139" s="3" t="str">
        <f>CONCATENATE("54240560653")</f>
        <v>54240560653</v>
      </c>
      <c r="I1139" s="3" t="s">
        <v>34</v>
      </c>
      <c r="J1139" s="3" t="s">
        <v>35</v>
      </c>
      <c r="K1139" s="3"/>
      <c r="L1139" s="3" t="s">
        <v>36</v>
      </c>
      <c r="M1139" s="3" t="str">
        <f>CONCATENATE("BLDRRT62L27D488L")</f>
        <v>BLDRRT62L27D488L</v>
      </c>
      <c r="N1139" s="3" t="s">
        <v>1262</v>
      </c>
      <c r="O1139" s="3" t="s">
        <v>38</v>
      </c>
      <c r="P1139" s="3"/>
      <c r="Q1139" s="4">
        <v>45944</v>
      </c>
      <c r="R1139" s="3" t="s">
        <v>39</v>
      </c>
      <c r="S1139" s="3" t="s">
        <v>38</v>
      </c>
      <c r="T1139" s="3" t="s">
        <v>40</v>
      </c>
      <c r="U1139" s="3"/>
      <c r="V1139" s="3" t="s">
        <v>41</v>
      </c>
      <c r="W1139" s="5">
        <v>1806.79</v>
      </c>
      <c r="X1139" s="5">
        <v>1355.09</v>
      </c>
      <c r="Y1139" s="3">
        <v>316.19</v>
      </c>
      <c r="Z1139" s="3">
        <v>135.51</v>
      </c>
      <c r="AA1139" s="3">
        <v>0</v>
      </c>
    </row>
    <row r="1140" spans="1:27" ht="60.75" x14ac:dyDescent="0.25">
      <c r="A1140" s="3" t="s">
        <v>28</v>
      </c>
      <c r="B1140" s="3" t="s">
        <v>29</v>
      </c>
      <c r="C1140" s="3" t="s">
        <v>30</v>
      </c>
      <c r="D1140" s="3" t="s">
        <v>31</v>
      </c>
      <c r="E1140" s="3" t="s">
        <v>32</v>
      </c>
      <c r="F1140" s="3" t="s">
        <v>44</v>
      </c>
      <c r="G1140" s="3">
        <v>2025</v>
      </c>
      <c r="H1140" s="3" t="str">
        <f>CONCATENATE("54240561388")</f>
        <v>54240561388</v>
      </c>
      <c r="I1140" s="3" t="s">
        <v>34</v>
      </c>
      <c r="J1140" s="3" t="s">
        <v>35</v>
      </c>
      <c r="K1140" s="3"/>
      <c r="L1140" s="3" t="s">
        <v>36</v>
      </c>
      <c r="M1140" s="3" t="str">
        <f>CONCATENATE("PLNSVN66R07B352J")</f>
        <v>PLNSVN66R07B352J</v>
      </c>
      <c r="N1140" s="3" t="s">
        <v>1263</v>
      </c>
      <c r="O1140" s="3" t="s">
        <v>38</v>
      </c>
      <c r="P1140" s="3"/>
      <c r="Q1140" s="4">
        <v>45944</v>
      </c>
      <c r="R1140" s="3" t="s">
        <v>39</v>
      </c>
      <c r="S1140" s="3" t="s">
        <v>38</v>
      </c>
      <c r="T1140" s="3" t="s">
        <v>40</v>
      </c>
      <c r="U1140" s="3"/>
      <c r="V1140" s="3" t="s">
        <v>41</v>
      </c>
      <c r="W1140" s="5">
        <v>8688.67</v>
      </c>
      <c r="X1140" s="5">
        <v>6516.5</v>
      </c>
      <c r="Y1140" s="5">
        <v>1520.52</v>
      </c>
      <c r="Z1140" s="3">
        <v>651.65</v>
      </c>
      <c r="AA1140" s="3">
        <v>0</v>
      </c>
    </row>
    <row r="1141" spans="1:27" ht="60.75" x14ac:dyDescent="0.25">
      <c r="A1141" s="3" t="s">
        <v>28</v>
      </c>
      <c r="B1141" s="3" t="s">
        <v>29</v>
      </c>
      <c r="C1141" s="3" t="s">
        <v>30</v>
      </c>
      <c r="D1141" s="3" t="s">
        <v>49</v>
      </c>
      <c r="E1141" s="3" t="s">
        <v>32</v>
      </c>
      <c r="F1141" s="3" t="s">
        <v>69</v>
      </c>
      <c r="G1141" s="3">
        <v>2025</v>
      </c>
      <c r="H1141" s="3" t="str">
        <f>CONCATENATE("54240561313")</f>
        <v>54240561313</v>
      </c>
      <c r="I1141" s="3" t="s">
        <v>34</v>
      </c>
      <c r="J1141" s="3" t="s">
        <v>35</v>
      </c>
      <c r="K1141" s="3"/>
      <c r="L1141" s="3" t="s">
        <v>36</v>
      </c>
      <c r="M1141" s="3" t="str">
        <f>CONCATENATE("BLLSRA72D24L191U")</f>
        <v>BLLSRA72D24L191U</v>
      </c>
      <c r="N1141" s="3" t="s">
        <v>1264</v>
      </c>
      <c r="O1141" s="3" t="s">
        <v>38</v>
      </c>
      <c r="P1141" s="3"/>
      <c r="Q1141" s="4">
        <v>45944</v>
      </c>
      <c r="R1141" s="3" t="s">
        <v>39</v>
      </c>
      <c r="S1141" s="3" t="s">
        <v>38</v>
      </c>
      <c r="T1141" s="3" t="s">
        <v>40</v>
      </c>
      <c r="U1141" s="3"/>
      <c r="V1141" s="3" t="s">
        <v>41</v>
      </c>
      <c r="W1141" s="5">
        <v>2370.73</v>
      </c>
      <c r="X1141" s="5">
        <v>1778.05</v>
      </c>
      <c r="Y1141" s="3">
        <v>414.88</v>
      </c>
      <c r="Z1141" s="3">
        <v>177.8</v>
      </c>
      <c r="AA1141" s="3">
        <v>0</v>
      </c>
    </row>
    <row r="1142" spans="1:27" ht="60.75" x14ac:dyDescent="0.25">
      <c r="A1142" s="3" t="s">
        <v>28</v>
      </c>
      <c r="B1142" s="3" t="s">
        <v>29</v>
      </c>
      <c r="C1142" s="3" t="s">
        <v>30</v>
      </c>
      <c r="D1142" s="3" t="s">
        <v>31</v>
      </c>
      <c r="E1142" s="3" t="s">
        <v>53</v>
      </c>
      <c r="F1142" s="3" t="s">
        <v>82</v>
      </c>
      <c r="G1142" s="3">
        <v>2025</v>
      </c>
      <c r="H1142" s="3" t="str">
        <f>CONCATENATE("54240561354")</f>
        <v>54240561354</v>
      </c>
      <c r="I1142" s="3" t="s">
        <v>149</v>
      </c>
      <c r="J1142" s="3" t="s">
        <v>35</v>
      </c>
      <c r="K1142" s="3"/>
      <c r="L1142" s="3" t="s">
        <v>36</v>
      </c>
      <c r="M1142" s="3" t="str">
        <f>CONCATENATE("DCHLVN69T18L500N")</f>
        <v>DCHLVN69T18L500N</v>
      </c>
      <c r="N1142" s="3" t="s">
        <v>1265</v>
      </c>
      <c r="O1142" s="3" t="s">
        <v>38</v>
      </c>
      <c r="P1142" s="3"/>
      <c r="Q1142" s="4">
        <v>45944</v>
      </c>
      <c r="R1142" s="3" t="s">
        <v>39</v>
      </c>
      <c r="S1142" s="3" t="s">
        <v>38</v>
      </c>
      <c r="T1142" s="3" t="s">
        <v>40</v>
      </c>
      <c r="U1142" s="3"/>
      <c r="V1142" s="3" t="s">
        <v>41</v>
      </c>
      <c r="W1142" s="5">
        <v>5151.07</v>
      </c>
      <c r="X1142" s="5">
        <v>3863.3</v>
      </c>
      <c r="Y1142" s="3">
        <v>901.44</v>
      </c>
      <c r="Z1142" s="3">
        <v>386.33</v>
      </c>
      <c r="AA1142" s="3">
        <v>0</v>
      </c>
    </row>
    <row r="1143" spans="1:27" ht="60.75" x14ac:dyDescent="0.25">
      <c r="A1143" s="3" t="s">
        <v>28</v>
      </c>
      <c r="B1143" s="3" t="s">
        <v>29</v>
      </c>
      <c r="C1143" s="3" t="s">
        <v>30</v>
      </c>
      <c r="D1143" s="3" t="s">
        <v>49</v>
      </c>
      <c r="E1143" s="3" t="s">
        <v>46</v>
      </c>
      <c r="F1143" s="3" t="s">
        <v>129</v>
      </c>
      <c r="G1143" s="3">
        <v>2025</v>
      </c>
      <c r="H1143" s="3" t="str">
        <f>CONCATENATE("54240561271")</f>
        <v>54240561271</v>
      </c>
      <c r="I1143" s="3" t="s">
        <v>34</v>
      </c>
      <c r="J1143" s="3" t="s">
        <v>35</v>
      </c>
      <c r="K1143" s="3"/>
      <c r="L1143" s="3" t="s">
        <v>36</v>
      </c>
      <c r="M1143" s="3" t="str">
        <f>CONCATENATE("GNTMYM93C42E783I")</f>
        <v>GNTMYM93C42E783I</v>
      </c>
      <c r="N1143" s="3" t="s">
        <v>1266</v>
      </c>
      <c r="O1143" s="3" t="s">
        <v>38</v>
      </c>
      <c r="P1143" s="3"/>
      <c r="Q1143" s="4">
        <v>45944</v>
      </c>
      <c r="R1143" s="3" t="s">
        <v>39</v>
      </c>
      <c r="S1143" s="3" t="s">
        <v>38</v>
      </c>
      <c r="T1143" s="3" t="s">
        <v>40</v>
      </c>
      <c r="U1143" s="3"/>
      <c r="V1143" s="3" t="s">
        <v>41</v>
      </c>
      <c r="W1143" s="5">
        <v>6133.5</v>
      </c>
      <c r="X1143" s="5">
        <v>4600.13</v>
      </c>
      <c r="Y1143" s="5">
        <v>1073.3599999999999</v>
      </c>
      <c r="Z1143" s="3">
        <v>460.01</v>
      </c>
      <c r="AA1143" s="3">
        <v>0</v>
      </c>
    </row>
    <row r="1144" spans="1:27" ht="60.75" x14ac:dyDescent="0.25">
      <c r="A1144" s="3" t="s">
        <v>28</v>
      </c>
      <c r="B1144" s="3" t="s">
        <v>29</v>
      </c>
      <c r="C1144" s="3" t="s">
        <v>30</v>
      </c>
      <c r="D1144" s="3" t="s">
        <v>63</v>
      </c>
      <c r="E1144" s="3" t="s">
        <v>74</v>
      </c>
      <c r="F1144" s="3" t="s">
        <v>252</v>
      </c>
      <c r="G1144" s="3">
        <v>2025</v>
      </c>
      <c r="H1144" s="3" t="str">
        <f>CONCATENATE("54240569894")</f>
        <v>54240569894</v>
      </c>
      <c r="I1144" s="3" t="s">
        <v>34</v>
      </c>
      <c r="J1144" s="3" t="s">
        <v>35</v>
      </c>
      <c r="K1144" s="3"/>
      <c r="L1144" s="3" t="s">
        <v>36</v>
      </c>
      <c r="M1144" s="3" t="str">
        <f>CONCATENATE("CTNGPP81P15F522A")</f>
        <v>CTNGPP81P15F522A</v>
      </c>
      <c r="N1144" s="3" t="s">
        <v>1267</v>
      </c>
      <c r="O1144" s="3" t="s">
        <v>38</v>
      </c>
      <c r="P1144" s="3"/>
      <c r="Q1144" s="4">
        <v>45944</v>
      </c>
      <c r="R1144" s="3" t="s">
        <v>39</v>
      </c>
      <c r="S1144" s="3" t="s">
        <v>38</v>
      </c>
      <c r="T1144" s="3" t="s">
        <v>40</v>
      </c>
      <c r="U1144" s="3"/>
      <c r="V1144" s="3" t="s">
        <v>41</v>
      </c>
      <c r="W1144" s="5">
        <v>2432.41</v>
      </c>
      <c r="X1144" s="5">
        <v>1824.31</v>
      </c>
      <c r="Y1144" s="3">
        <v>425.67</v>
      </c>
      <c r="Z1144" s="3">
        <v>182.43</v>
      </c>
      <c r="AA1144" s="3">
        <v>0</v>
      </c>
    </row>
    <row r="1145" spans="1:27" ht="36.75" x14ac:dyDescent="0.25">
      <c r="A1145" s="3" t="s">
        <v>28</v>
      </c>
      <c r="B1145" s="3" t="s">
        <v>29</v>
      </c>
      <c r="C1145" s="3" t="s">
        <v>30</v>
      </c>
      <c r="D1145" s="3" t="s">
        <v>49</v>
      </c>
      <c r="E1145" s="3" t="s">
        <v>46</v>
      </c>
      <c r="F1145" s="3" t="s">
        <v>129</v>
      </c>
      <c r="G1145" s="3">
        <v>2025</v>
      </c>
      <c r="H1145" s="3" t="str">
        <f>CONCATENATE("54240561834")</f>
        <v>54240561834</v>
      </c>
      <c r="I1145" s="3" t="s">
        <v>34</v>
      </c>
      <c r="J1145" s="3" t="s">
        <v>35</v>
      </c>
      <c r="K1145" s="3"/>
      <c r="L1145" s="3" t="s">
        <v>36</v>
      </c>
      <c r="M1145" s="3" t="str">
        <f>CONCATENATE("01946650437")</f>
        <v>01946650437</v>
      </c>
      <c r="N1145" s="3" t="s">
        <v>1268</v>
      </c>
      <c r="O1145" s="3" t="s">
        <v>38</v>
      </c>
      <c r="P1145" s="3"/>
      <c r="Q1145" s="4">
        <v>45944</v>
      </c>
      <c r="R1145" s="3" t="s">
        <v>39</v>
      </c>
      <c r="S1145" s="3" t="s">
        <v>38</v>
      </c>
      <c r="T1145" s="3" t="s">
        <v>40</v>
      </c>
      <c r="U1145" s="3"/>
      <c r="V1145" s="3" t="s">
        <v>41</v>
      </c>
      <c r="W1145" s="5">
        <v>4999.47</v>
      </c>
      <c r="X1145" s="5">
        <v>3749.6</v>
      </c>
      <c r="Y1145" s="3">
        <v>874.91</v>
      </c>
      <c r="Z1145" s="3">
        <v>374.96</v>
      </c>
      <c r="AA1145" s="3">
        <v>0</v>
      </c>
    </row>
    <row r="1146" spans="1:27" ht="60.75" x14ac:dyDescent="0.25">
      <c r="A1146" s="3" t="s">
        <v>28</v>
      </c>
      <c r="B1146" s="3" t="s">
        <v>29</v>
      </c>
      <c r="C1146" s="3" t="s">
        <v>30</v>
      </c>
      <c r="D1146" s="3" t="s">
        <v>58</v>
      </c>
      <c r="E1146" s="3" t="s">
        <v>32</v>
      </c>
      <c r="F1146" s="3" t="s">
        <v>100</v>
      </c>
      <c r="G1146" s="3">
        <v>2025</v>
      </c>
      <c r="H1146" s="3" t="str">
        <f>CONCATENATE("54240562139")</f>
        <v>54240562139</v>
      </c>
      <c r="I1146" s="3" t="s">
        <v>149</v>
      </c>
      <c r="J1146" s="3" t="s">
        <v>35</v>
      </c>
      <c r="K1146" s="3"/>
      <c r="L1146" s="3" t="s">
        <v>36</v>
      </c>
      <c r="M1146" s="3" t="str">
        <f>CONCATENATE("SPNRLL42P61E388H")</f>
        <v>SPNRLL42P61E388H</v>
      </c>
      <c r="N1146" s="3" t="s">
        <v>1269</v>
      </c>
      <c r="O1146" s="3" t="s">
        <v>38</v>
      </c>
      <c r="P1146" s="3"/>
      <c r="Q1146" s="4">
        <v>45944</v>
      </c>
      <c r="R1146" s="3" t="s">
        <v>39</v>
      </c>
      <c r="S1146" s="3" t="s">
        <v>38</v>
      </c>
      <c r="T1146" s="3" t="s">
        <v>40</v>
      </c>
      <c r="U1146" s="3"/>
      <c r="V1146" s="3" t="s">
        <v>41</v>
      </c>
      <c r="W1146" s="5">
        <v>2098.08</v>
      </c>
      <c r="X1146" s="5">
        <v>1573.56</v>
      </c>
      <c r="Y1146" s="3">
        <v>367.16</v>
      </c>
      <c r="Z1146" s="3">
        <v>157.36000000000001</v>
      </c>
      <c r="AA1146" s="3">
        <v>0</v>
      </c>
    </row>
    <row r="1147" spans="1:27" ht="60.75" x14ac:dyDescent="0.25">
      <c r="A1147" s="3" t="s">
        <v>28</v>
      </c>
      <c r="B1147" s="3" t="s">
        <v>29</v>
      </c>
      <c r="C1147" s="3" t="s">
        <v>30</v>
      </c>
      <c r="D1147" s="3" t="s">
        <v>49</v>
      </c>
      <c r="E1147" s="3" t="s">
        <v>46</v>
      </c>
      <c r="F1147" s="3" t="s">
        <v>205</v>
      </c>
      <c r="G1147" s="3">
        <v>2025</v>
      </c>
      <c r="H1147" s="3" t="str">
        <f>CONCATENATE("54240562352")</f>
        <v>54240562352</v>
      </c>
      <c r="I1147" s="3" t="s">
        <v>34</v>
      </c>
      <c r="J1147" s="3" t="s">
        <v>35</v>
      </c>
      <c r="K1147" s="3"/>
      <c r="L1147" s="3" t="s">
        <v>36</v>
      </c>
      <c r="M1147" s="3" t="str">
        <f>CONCATENATE("BCCMRA88B09C770Y")</f>
        <v>BCCMRA88B09C770Y</v>
      </c>
      <c r="N1147" s="3" t="s">
        <v>1270</v>
      </c>
      <c r="O1147" s="3" t="s">
        <v>38</v>
      </c>
      <c r="P1147" s="3"/>
      <c r="Q1147" s="4">
        <v>45944</v>
      </c>
      <c r="R1147" s="3" t="s">
        <v>39</v>
      </c>
      <c r="S1147" s="3" t="s">
        <v>38</v>
      </c>
      <c r="T1147" s="3" t="s">
        <v>40</v>
      </c>
      <c r="U1147" s="3"/>
      <c r="V1147" s="3" t="s">
        <v>41</v>
      </c>
      <c r="W1147" s="5">
        <v>1746.57</v>
      </c>
      <c r="X1147" s="5">
        <v>1309.93</v>
      </c>
      <c r="Y1147" s="3">
        <v>305.64999999999998</v>
      </c>
      <c r="Z1147" s="3">
        <v>130.99</v>
      </c>
      <c r="AA1147" s="3">
        <v>0</v>
      </c>
    </row>
    <row r="1148" spans="1:27" ht="72.75" x14ac:dyDescent="0.25">
      <c r="A1148" s="3" t="s">
        <v>28</v>
      </c>
      <c r="B1148" s="3" t="s">
        <v>29</v>
      </c>
      <c r="C1148" s="3" t="s">
        <v>30</v>
      </c>
      <c r="D1148" s="3" t="s">
        <v>63</v>
      </c>
      <c r="E1148" s="3" t="s">
        <v>32</v>
      </c>
      <c r="F1148" s="3" t="s">
        <v>142</v>
      </c>
      <c r="G1148" s="3">
        <v>2025</v>
      </c>
      <c r="H1148" s="3" t="str">
        <f>CONCATENATE("54240562683")</f>
        <v>54240562683</v>
      </c>
      <c r="I1148" s="3" t="s">
        <v>34</v>
      </c>
      <c r="J1148" s="3" t="s">
        <v>35</v>
      </c>
      <c r="K1148" s="3"/>
      <c r="L1148" s="3" t="s">
        <v>36</v>
      </c>
      <c r="M1148" s="3" t="str">
        <f>CONCATENATE("DGRMRN74B11D096A")</f>
        <v>DGRMRN74B11D096A</v>
      </c>
      <c r="N1148" s="3" t="s">
        <v>1271</v>
      </c>
      <c r="O1148" s="3" t="s">
        <v>38</v>
      </c>
      <c r="P1148" s="3"/>
      <c r="Q1148" s="4">
        <v>45944</v>
      </c>
      <c r="R1148" s="3" t="s">
        <v>39</v>
      </c>
      <c r="S1148" s="3" t="s">
        <v>38</v>
      </c>
      <c r="T1148" s="3" t="s">
        <v>40</v>
      </c>
      <c r="U1148" s="3"/>
      <c r="V1148" s="3" t="s">
        <v>41</v>
      </c>
      <c r="W1148" s="5">
        <v>19253.75</v>
      </c>
      <c r="X1148" s="5">
        <v>14440.31</v>
      </c>
      <c r="Y1148" s="5">
        <v>3369.41</v>
      </c>
      <c r="Z1148" s="5">
        <v>1444.03</v>
      </c>
      <c r="AA1148" s="3">
        <v>0</v>
      </c>
    </row>
    <row r="1149" spans="1:27" ht="36.75" x14ac:dyDescent="0.25">
      <c r="A1149" s="3" t="s">
        <v>28</v>
      </c>
      <c r="B1149" s="3" t="s">
        <v>29</v>
      </c>
      <c r="C1149" s="3" t="s">
        <v>30</v>
      </c>
      <c r="D1149" s="3" t="s">
        <v>31</v>
      </c>
      <c r="E1149" s="3" t="s">
        <v>53</v>
      </c>
      <c r="F1149" s="3" t="s">
        <v>306</v>
      </c>
      <c r="G1149" s="3">
        <v>2025</v>
      </c>
      <c r="H1149" s="3" t="str">
        <f>CONCATENATE("54240563467")</f>
        <v>54240563467</v>
      </c>
      <c r="I1149" s="3" t="s">
        <v>34</v>
      </c>
      <c r="J1149" s="3" t="s">
        <v>35</v>
      </c>
      <c r="K1149" s="3"/>
      <c r="L1149" s="3" t="s">
        <v>36</v>
      </c>
      <c r="M1149" s="3" t="str">
        <f>CONCATENATE("02697510416")</f>
        <v>02697510416</v>
      </c>
      <c r="N1149" s="3" t="s">
        <v>1272</v>
      </c>
      <c r="O1149" s="3" t="s">
        <v>38</v>
      </c>
      <c r="P1149" s="3"/>
      <c r="Q1149" s="4">
        <v>45944</v>
      </c>
      <c r="R1149" s="3" t="s">
        <v>39</v>
      </c>
      <c r="S1149" s="3" t="s">
        <v>38</v>
      </c>
      <c r="T1149" s="3" t="s">
        <v>40</v>
      </c>
      <c r="U1149" s="3"/>
      <c r="V1149" s="3" t="s">
        <v>41</v>
      </c>
      <c r="W1149" s="3">
        <v>872.44</v>
      </c>
      <c r="X1149" s="3">
        <v>654.33000000000004</v>
      </c>
      <c r="Y1149" s="3">
        <v>152.68</v>
      </c>
      <c r="Z1149" s="3">
        <v>65.430000000000007</v>
      </c>
      <c r="AA1149" s="3">
        <v>0</v>
      </c>
    </row>
    <row r="1150" spans="1:27" ht="60.75" x14ac:dyDescent="0.25">
      <c r="A1150" s="3" t="s">
        <v>28</v>
      </c>
      <c r="B1150" s="3" t="s">
        <v>29</v>
      </c>
      <c r="C1150" s="3" t="s">
        <v>30</v>
      </c>
      <c r="D1150" s="3" t="s">
        <v>63</v>
      </c>
      <c r="E1150" s="3" t="s">
        <v>46</v>
      </c>
      <c r="F1150" s="3" t="s">
        <v>205</v>
      </c>
      <c r="G1150" s="3">
        <v>2025</v>
      </c>
      <c r="H1150" s="3" t="str">
        <f>CONCATENATE("54240562642")</f>
        <v>54240562642</v>
      </c>
      <c r="I1150" s="3" t="s">
        <v>34</v>
      </c>
      <c r="J1150" s="3" t="s">
        <v>35</v>
      </c>
      <c r="K1150" s="3"/>
      <c r="L1150" s="3" t="s">
        <v>36</v>
      </c>
      <c r="M1150" s="3" t="str">
        <f>CONCATENATE("NGLFNC56S63A462R")</f>
        <v>NGLFNC56S63A462R</v>
      </c>
      <c r="N1150" s="3" t="s">
        <v>1273</v>
      </c>
      <c r="O1150" s="3" t="s">
        <v>38</v>
      </c>
      <c r="P1150" s="3"/>
      <c r="Q1150" s="4">
        <v>45944</v>
      </c>
      <c r="R1150" s="3" t="s">
        <v>39</v>
      </c>
      <c r="S1150" s="3" t="s">
        <v>38</v>
      </c>
      <c r="T1150" s="3" t="s">
        <v>40</v>
      </c>
      <c r="U1150" s="3"/>
      <c r="V1150" s="3" t="s">
        <v>41</v>
      </c>
      <c r="W1150" s="5">
        <v>14579.83</v>
      </c>
      <c r="X1150" s="5">
        <v>10934.87</v>
      </c>
      <c r="Y1150" s="5">
        <v>2551.4699999999998</v>
      </c>
      <c r="Z1150" s="5">
        <v>1093.49</v>
      </c>
      <c r="AA1150" s="3">
        <v>0</v>
      </c>
    </row>
    <row r="1151" spans="1:27" ht="60.75" x14ac:dyDescent="0.25">
      <c r="A1151" s="3" t="s">
        <v>28</v>
      </c>
      <c r="B1151" s="3" t="s">
        <v>29</v>
      </c>
      <c r="C1151" s="3" t="s">
        <v>30</v>
      </c>
      <c r="D1151" s="3" t="s">
        <v>49</v>
      </c>
      <c r="E1151" s="3" t="s">
        <v>53</v>
      </c>
      <c r="F1151" s="3" t="s">
        <v>136</v>
      </c>
      <c r="G1151" s="3">
        <v>2025</v>
      </c>
      <c r="H1151" s="3" t="str">
        <f>CONCATENATE("54240563103")</f>
        <v>54240563103</v>
      </c>
      <c r="I1151" s="3" t="s">
        <v>34</v>
      </c>
      <c r="J1151" s="3" t="s">
        <v>35</v>
      </c>
      <c r="K1151" s="3"/>
      <c r="L1151" s="3" t="s">
        <v>36</v>
      </c>
      <c r="M1151" s="3" t="str">
        <f>CONCATENATE("MTTTRZ60P26B474I")</f>
        <v>MTTTRZ60P26B474I</v>
      </c>
      <c r="N1151" s="3" t="s">
        <v>1274</v>
      </c>
      <c r="O1151" s="3" t="s">
        <v>38</v>
      </c>
      <c r="P1151" s="3"/>
      <c r="Q1151" s="4">
        <v>45944</v>
      </c>
      <c r="R1151" s="3" t="s">
        <v>39</v>
      </c>
      <c r="S1151" s="3" t="s">
        <v>38</v>
      </c>
      <c r="T1151" s="3" t="s">
        <v>40</v>
      </c>
      <c r="U1151" s="3"/>
      <c r="V1151" s="3" t="s">
        <v>41</v>
      </c>
      <c r="W1151" s="5">
        <v>1447.75</v>
      </c>
      <c r="X1151" s="5">
        <v>1085.81</v>
      </c>
      <c r="Y1151" s="3">
        <v>253.36</v>
      </c>
      <c r="Z1151" s="3">
        <v>108.58</v>
      </c>
      <c r="AA1151" s="3">
        <v>0</v>
      </c>
    </row>
    <row r="1152" spans="1:27" ht="36.75" x14ac:dyDescent="0.25">
      <c r="A1152" s="3" t="s">
        <v>28</v>
      </c>
      <c r="B1152" s="3" t="s">
        <v>29</v>
      </c>
      <c r="C1152" s="3" t="s">
        <v>30</v>
      </c>
      <c r="D1152" s="3" t="s">
        <v>31</v>
      </c>
      <c r="E1152" s="3" t="s">
        <v>74</v>
      </c>
      <c r="F1152" s="3" t="s">
        <v>75</v>
      </c>
      <c r="G1152" s="3">
        <v>2025</v>
      </c>
      <c r="H1152" s="3" t="str">
        <f>CONCATENATE("54240541836")</f>
        <v>54240541836</v>
      </c>
      <c r="I1152" s="3" t="s">
        <v>34</v>
      </c>
      <c r="J1152" s="3" t="s">
        <v>35</v>
      </c>
      <c r="K1152" s="3"/>
      <c r="L1152" s="3" t="s">
        <v>36</v>
      </c>
      <c r="M1152" s="3" t="str">
        <f>CONCATENATE("01397120419")</f>
        <v>01397120419</v>
      </c>
      <c r="N1152" s="3" t="s">
        <v>1275</v>
      </c>
      <c r="O1152" s="3" t="s">
        <v>38</v>
      </c>
      <c r="P1152" s="3"/>
      <c r="Q1152" s="4">
        <v>45944</v>
      </c>
      <c r="R1152" s="3" t="s">
        <v>39</v>
      </c>
      <c r="S1152" s="3" t="s">
        <v>38</v>
      </c>
      <c r="T1152" s="3" t="s">
        <v>40</v>
      </c>
      <c r="U1152" s="3"/>
      <c r="V1152" s="3" t="s">
        <v>41</v>
      </c>
      <c r="W1152" s="5">
        <v>12959.03</v>
      </c>
      <c r="X1152" s="5">
        <v>9719.27</v>
      </c>
      <c r="Y1152" s="5">
        <v>2267.83</v>
      </c>
      <c r="Z1152" s="3">
        <v>971.93</v>
      </c>
      <c r="AA1152" s="3">
        <v>0</v>
      </c>
    </row>
    <row r="1153" spans="1:27" ht="60.75" x14ac:dyDescent="0.25">
      <c r="A1153" s="3" t="s">
        <v>28</v>
      </c>
      <c r="B1153" s="3" t="s">
        <v>29</v>
      </c>
      <c r="C1153" s="3" t="s">
        <v>30</v>
      </c>
      <c r="D1153" s="3" t="s">
        <v>31</v>
      </c>
      <c r="E1153" s="3" t="s">
        <v>32</v>
      </c>
      <c r="F1153" s="3" t="s">
        <v>153</v>
      </c>
      <c r="G1153" s="3">
        <v>2025</v>
      </c>
      <c r="H1153" s="3" t="str">
        <f>CONCATENATE("54240541604")</f>
        <v>54240541604</v>
      </c>
      <c r="I1153" s="3" t="s">
        <v>34</v>
      </c>
      <c r="J1153" s="3" t="s">
        <v>35</v>
      </c>
      <c r="K1153" s="3"/>
      <c r="L1153" s="3" t="s">
        <v>36</v>
      </c>
      <c r="M1153" s="3" t="str">
        <f>CONCATENATE("GRRLRA77T65D749F")</f>
        <v>GRRLRA77T65D749F</v>
      </c>
      <c r="N1153" s="3" t="s">
        <v>1276</v>
      </c>
      <c r="O1153" s="3" t="s">
        <v>38</v>
      </c>
      <c r="P1153" s="3"/>
      <c r="Q1153" s="4">
        <v>45944</v>
      </c>
      <c r="R1153" s="3" t="s">
        <v>39</v>
      </c>
      <c r="S1153" s="3" t="s">
        <v>38</v>
      </c>
      <c r="T1153" s="3" t="s">
        <v>40</v>
      </c>
      <c r="U1153" s="3"/>
      <c r="V1153" s="3" t="s">
        <v>41</v>
      </c>
      <c r="W1153" s="5">
        <v>1348.31</v>
      </c>
      <c r="X1153" s="5">
        <v>1011.23</v>
      </c>
      <c r="Y1153" s="3">
        <v>235.95</v>
      </c>
      <c r="Z1153" s="3">
        <v>101.13</v>
      </c>
      <c r="AA1153" s="3">
        <v>0</v>
      </c>
    </row>
    <row r="1154" spans="1:27" ht="60.75" x14ac:dyDescent="0.25">
      <c r="A1154" s="3" t="s">
        <v>28</v>
      </c>
      <c r="B1154" s="3" t="s">
        <v>29</v>
      </c>
      <c r="C1154" s="3" t="s">
        <v>30</v>
      </c>
      <c r="D1154" s="3" t="s">
        <v>49</v>
      </c>
      <c r="E1154" s="3" t="s">
        <v>46</v>
      </c>
      <c r="F1154" s="3" t="s">
        <v>126</v>
      </c>
      <c r="G1154" s="3">
        <v>2025</v>
      </c>
      <c r="H1154" s="3" t="str">
        <f>CONCATENATE("54240542933")</f>
        <v>54240542933</v>
      </c>
      <c r="I1154" s="3" t="s">
        <v>34</v>
      </c>
      <c r="J1154" s="3" t="s">
        <v>35</v>
      </c>
      <c r="K1154" s="3"/>
      <c r="L1154" s="3" t="s">
        <v>36</v>
      </c>
      <c r="M1154" s="3" t="str">
        <f>CONCATENATE("PRZRRT69T22B474C")</f>
        <v>PRZRRT69T22B474C</v>
      </c>
      <c r="N1154" s="3" t="s">
        <v>1277</v>
      </c>
      <c r="O1154" s="3" t="s">
        <v>38</v>
      </c>
      <c r="P1154" s="3"/>
      <c r="Q1154" s="4">
        <v>45944</v>
      </c>
      <c r="R1154" s="3" t="s">
        <v>39</v>
      </c>
      <c r="S1154" s="3" t="s">
        <v>38</v>
      </c>
      <c r="T1154" s="3" t="s">
        <v>40</v>
      </c>
      <c r="U1154" s="3"/>
      <c r="V1154" s="3" t="s">
        <v>41</v>
      </c>
      <c r="W1154" s="5">
        <v>6641.76</v>
      </c>
      <c r="X1154" s="5">
        <v>4981.32</v>
      </c>
      <c r="Y1154" s="5">
        <v>1162.31</v>
      </c>
      <c r="Z1154" s="3">
        <v>498.13</v>
      </c>
      <c r="AA1154" s="3">
        <v>0</v>
      </c>
    </row>
    <row r="1155" spans="1:27" ht="60.75" x14ac:dyDescent="0.25">
      <c r="A1155" s="3" t="s">
        <v>28</v>
      </c>
      <c r="B1155" s="3" t="s">
        <v>29</v>
      </c>
      <c r="C1155" s="3" t="s">
        <v>30</v>
      </c>
      <c r="D1155" s="3" t="s">
        <v>58</v>
      </c>
      <c r="E1155" s="3" t="s">
        <v>32</v>
      </c>
      <c r="F1155" s="3" t="s">
        <v>98</v>
      </c>
      <c r="G1155" s="3">
        <v>2025</v>
      </c>
      <c r="H1155" s="3" t="str">
        <f>CONCATENATE("54240542503")</f>
        <v>54240542503</v>
      </c>
      <c r="I1155" s="3" t="s">
        <v>34</v>
      </c>
      <c r="J1155" s="3" t="s">
        <v>35</v>
      </c>
      <c r="K1155" s="3"/>
      <c r="L1155" s="3" t="s">
        <v>36</v>
      </c>
      <c r="M1155" s="3" t="str">
        <f>CONCATENATE("FRNRFL86A12D749M")</f>
        <v>FRNRFL86A12D749M</v>
      </c>
      <c r="N1155" s="3" t="s">
        <v>1278</v>
      </c>
      <c r="O1155" s="3" t="s">
        <v>38</v>
      </c>
      <c r="P1155" s="3"/>
      <c r="Q1155" s="4">
        <v>45944</v>
      </c>
      <c r="R1155" s="3" t="s">
        <v>39</v>
      </c>
      <c r="S1155" s="3" t="s">
        <v>38</v>
      </c>
      <c r="T1155" s="3" t="s">
        <v>40</v>
      </c>
      <c r="U1155" s="3"/>
      <c r="V1155" s="3" t="s">
        <v>41</v>
      </c>
      <c r="W1155" s="5">
        <v>5148.08</v>
      </c>
      <c r="X1155" s="5">
        <v>3861.06</v>
      </c>
      <c r="Y1155" s="3">
        <v>900.91</v>
      </c>
      <c r="Z1155" s="3">
        <v>386.11</v>
      </c>
      <c r="AA1155" s="3">
        <v>0</v>
      </c>
    </row>
    <row r="1156" spans="1:27" ht="60.75" x14ac:dyDescent="0.25">
      <c r="A1156" s="3" t="s">
        <v>28</v>
      </c>
      <c r="B1156" s="3" t="s">
        <v>29</v>
      </c>
      <c r="C1156" s="3" t="s">
        <v>30</v>
      </c>
      <c r="D1156" s="3" t="s">
        <v>49</v>
      </c>
      <c r="E1156" s="3" t="s">
        <v>46</v>
      </c>
      <c r="F1156" s="3" t="s">
        <v>126</v>
      </c>
      <c r="G1156" s="3">
        <v>2025</v>
      </c>
      <c r="H1156" s="3" t="str">
        <f>CONCATENATE("54240542669")</f>
        <v>54240542669</v>
      </c>
      <c r="I1156" s="3" t="s">
        <v>34</v>
      </c>
      <c r="J1156" s="3" t="s">
        <v>35</v>
      </c>
      <c r="K1156" s="3"/>
      <c r="L1156" s="3" t="s">
        <v>36</v>
      </c>
      <c r="M1156" s="3" t="str">
        <f>CONCATENATE("CRPMHL71R07E783O")</f>
        <v>CRPMHL71R07E783O</v>
      </c>
      <c r="N1156" s="3" t="s">
        <v>1279</v>
      </c>
      <c r="O1156" s="3" t="s">
        <v>38</v>
      </c>
      <c r="P1156" s="3"/>
      <c r="Q1156" s="4">
        <v>45944</v>
      </c>
      <c r="R1156" s="3" t="s">
        <v>39</v>
      </c>
      <c r="S1156" s="3" t="s">
        <v>38</v>
      </c>
      <c r="T1156" s="3" t="s">
        <v>40</v>
      </c>
      <c r="U1156" s="3"/>
      <c r="V1156" s="3" t="s">
        <v>41</v>
      </c>
      <c r="W1156" s="5">
        <v>5147.8100000000004</v>
      </c>
      <c r="X1156" s="5">
        <v>3860.86</v>
      </c>
      <c r="Y1156" s="3">
        <v>900.87</v>
      </c>
      <c r="Z1156" s="3">
        <v>386.08</v>
      </c>
      <c r="AA1156" s="3">
        <v>0</v>
      </c>
    </row>
    <row r="1157" spans="1:27" ht="60.75" x14ac:dyDescent="0.25">
      <c r="A1157" s="3" t="s">
        <v>28</v>
      </c>
      <c r="B1157" s="3" t="s">
        <v>29</v>
      </c>
      <c r="C1157" s="3" t="s">
        <v>30</v>
      </c>
      <c r="D1157" s="3" t="s">
        <v>49</v>
      </c>
      <c r="E1157" s="3" t="s">
        <v>46</v>
      </c>
      <c r="F1157" s="3" t="s">
        <v>126</v>
      </c>
      <c r="G1157" s="3">
        <v>2025</v>
      </c>
      <c r="H1157" s="3" t="str">
        <f>CONCATENATE("54240565181")</f>
        <v>54240565181</v>
      </c>
      <c r="I1157" s="3" t="s">
        <v>34</v>
      </c>
      <c r="J1157" s="3" t="s">
        <v>35</v>
      </c>
      <c r="K1157" s="3"/>
      <c r="L1157" s="3" t="s">
        <v>36</v>
      </c>
      <c r="M1157" s="3" t="str">
        <f>CONCATENATE("VRGCLD79H66E783V")</f>
        <v>VRGCLD79H66E783V</v>
      </c>
      <c r="N1157" s="3" t="s">
        <v>1280</v>
      </c>
      <c r="O1157" s="3" t="s">
        <v>38</v>
      </c>
      <c r="P1157" s="3"/>
      <c r="Q1157" s="4">
        <v>45944</v>
      </c>
      <c r="R1157" s="3" t="s">
        <v>39</v>
      </c>
      <c r="S1157" s="3" t="s">
        <v>38</v>
      </c>
      <c r="T1157" s="3" t="s">
        <v>40</v>
      </c>
      <c r="U1157" s="3"/>
      <c r="V1157" s="3" t="s">
        <v>41</v>
      </c>
      <c r="W1157" s="5">
        <v>2047.41</v>
      </c>
      <c r="X1157" s="5">
        <v>1535.56</v>
      </c>
      <c r="Y1157" s="3">
        <v>358.3</v>
      </c>
      <c r="Z1157" s="3">
        <v>153.55000000000001</v>
      </c>
      <c r="AA1157" s="3">
        <v>0</v>
      </c>
    </row>
    <row r="1158" spans="1:27" ht="36.75" x14ac:dyDescent="0.25">
      <c r="A1158" s="3" t="s">
        <v>28</v>
      </c>
      <c r="B1158" s="3" t="s">
        <v>29</v>
      </c>
      <c r="C1158" s="3" t="s">
        <v>30</v>
      </c>
      <c r="D1158" s="3" t="s">
        <v>49</v>
      </c>
      <c r="E1158" s="3" t="s">
        <v>46</v>
      </c>
      <c r="F1158" s="3" t="s">
        <v>1281</v>
      </c>
      <c r="G1158" s="3">
        <v>2025</v>
      </c>
      <c r="H1158" s="3" t="str">
        <f>CONCATENATE("54240668738")</f>
        <v>54240668738</v>
      </c>
      <c r="I1158" s="3" t="s">
        <v>34</v>
      </c>
      <c r="J1158" s="3" t="s">
        <v>35</v>
      </c>
      <c r="K1158" s="3"/>
      <c r="L1158" s="3" t="s">
        <v>36</v>
      </c>
      <c r="M1158" s="3" t="str">
        <f>CONCATENATE("01505940435")</f>
        <v>01505940435</v>
      </c>
      <c r="N1158" s="3" t="s">
        <v>1282</v>
      </c>
      <c r="O1158" s="3" t="s">
        <v>38</v>
      </c>
      <c r="P1158" s="3"/>
      <c r="Q1158" s="4">
        <v>45944</v>
      </c>
      <c r="R1158" s="3" t="s">
        <v>39</v>
      </c>
      <c r="S1158" s="3" t="s">
        <v>38</v>
      </c>
      <c r="T1158" s="3" t="s">
        <v>40</v>
      </c>
      <c r="U1158" s="3"/>
      <c r="V1158" s="3" t="s">
        <v>41</v>
      </c>
      <c r="W1158" s="5">
        <v>8664.82</v>
      </c>
      <c r="X1158" s="5">
        <v>6498.62</v>
      </c>
      <c r="Y1158" s="5">
        <v>1516.34</v>
      </c>
      <c r="Z1158" s="3">
        <v>649.86</v>
      </c>
      <c r="AA1158" s="3">
        <v>0</v>
      </c>
    </row>
    <row r="1159" spans="1:27" ht="60.75" x14ac:dyDescent="0.25">
      <c r="A1159" s="3" t="s">
        <v>28</v>
      </c>
      <c r="B1159" s="3" t="s">
        <v>29</v>
      </c>
      <c r="C1159" s="3" t="s">
        <v>30</v>
      </c>
      <c r="D1159" s="3" t="s">
        <v>49</v>
      </c>
      <c r="E1159" s="3" t="s">
        <v>74</v>
      </c>
      <c r="F1159" s="3" t="s">
        <v>217</v>
      </c>
      <c r="G1159" s="3">
        <v>2025</v>
      </c>
      <c r="H1159" s="3" t="str">
        <f>CONCATENATE("54240668829")</f>
        <v>54240668829</v>
      </c>
      <c r="I1159" s="3" t="s">
        <v>34</v>
      </c>
      <c r="J1159" s="3" t="s">
        <v>35</v>
      </c>
      <c r="K1159" s="3"/>
      <c r="L1159" s="3" t="s">
        <v>36</v>
      </c>
      <c r="M1159" s="3" t="str">
        <f>CONCATENATE("SLNMRA87T14L191D")</f>
        <v>SLNMRA87T14L191D</v>
      </c>
      <c r="N1159" s="3" t="s">
        <v>1283</v>
      </c>
      <c r="O1159" s="3" t="s">
        <v>38</v>
      </c>
      <c r="P1159" s="3"/>
      <c r="Q1159" s="4">
        <v>45944</v>
      </c>
      <c r="R1159" s="3" t="s">
        <v>39</v>
      </c>
      <c r="S1159" s="3" t="s">
        <v>38</v>
      </c>
      <c r="T1159" s="3" t="s">
        <v>40</v>
      </c>
      <c r="U1159" s="3"/>
      <c r="V1159" s="3" t="s">
        <v>41</v>
      </c>
      <c r="W1159" s="5">
        <v>10122.540000000001</v>
      </c>
      <c r="X1159" s="5">
        <v>7591.91</v>
      </c>
      <c r="Y1159" s="5">
        <v>1771.44</v>
      </c>
      <c r="Z1159" s="3">
        <v>759.19</v>
      </c>
      <c r="AA1159" s="3">
        <v>0</v>
      </c>
    </row>
    <row r="1160" spans="1:27" ht="60.75" x14ac:dyDescent="0.25">
      <c r="A1160" s="3" t="s">
        <v>28</v>
      </c>
      <c r="B1160" s="3" t="s">
        <v>29</v>
      </c>
      <c r="C1160" s="3" t="s">
        <v>30</v>
      </c>
      <c r="D1160" s="3" t="s">
        <v>63</v>
      </c>
      <c r="E1160" s="3" t="s">
        <v>74</v>
      </c>
      <c r="F1160" s="3" t="s">
        <v>252</v>
      </c>
      <c r="G1160" s="3">
        <v>2025</v>
      </c>
      <c r="H1160" s="3" t="str">
        <f>CONCATENATE("54240669181")</f>
        <v>54240669181</v>
      </c>
      <c r="I1160" s="3" t="s">
        <v>34</v>
      </c>
      <c r="J1160" s="3" t="s">
        <v>35</v>
      </c>
      <c r="K1160" s="3"/>
      <c r="L1160" s="3" t="s">
        <v>36</v>
      </c>
      <c r="M1160" s="3" t="str">
        <f>CONCATENATE("MSSLCU04B15A462T")</f>
        <v>MSSLCU04B15A462T</v>
      </c>
      <c r="N1160" s="3" t="s">
        <v>1284</v>
      </c>
      <c r="O1160" s="3" t="s">
        <v>38</v>
      </c>
      <c r="P1160" s="3"/>
      <c r="Q1160" s="4">
        <v>45944</v>
      </c>
      <c r="R1160" s="3" t="s">
        <v>39</v>
      </c>
      <c r="S1160" s="3" t="s">
        <v>38</v>
      </c>
      <c r="T1160" s="3" t="s">
        <v>40</v>
      </c>
      <c r="U1160" s="3"/>
      <c r="V1160" s="3" t="s">
        <v>41</v>
      </c>
      <c r="W1160" s="5">
        <v>1723.53</v>
      </c>
      <c r="X1160" s="5">
        <v>1292.6500000000001</v>
      </c>
      <c r="Y1160" s="3">
        <v>301.62</v>
      </c>
      <c r="Z1160" s="3">
        <v>129.26</v>
      </c>
      <c r="AA1160" s="3">
        <v>0</v>
      </c>
    </row>
    <row r="1161" spans="1:27" ht="36.75" x14ac:dyDescent="0.25">
      <c r="A1161" s="3" t="s">
        <v>28</v>
      </c>
      <c r="B1161" s="3" t="s">
        <v>29</v>
      </c>
      <c r="C1161" s="3" t="s">
        <v>30</v>
      </c>
      <c r="D1161" s="3" t="s">
        <v>63</v>
      </c>
      <c r="E1161" s="3" t="s">
        <v>74</v>
      </c>
      <c r="F1161" s="3" t="s">
        <v>252</v>
      </c>
      <c r="G1161" s="3">
        <v>2025</v>
      </c>
      <c r="H1161" s="3" t="str">
        <f>CONCATENATE("54240669215")</f>
        <v>54240669215</v>
      </c>
      <c r="I1161" s="3" t="s">
        <v>34</v>
      </c>
      <c r="J1161" s="3" t="s">
        <v>35</v>
      </c>
      <c r="K1161" s="3"/>
      <c r="L1161" s="3" t="s">
        <v>36</v>
      </c>
      <c r="M1161" s="3" t="str">
        <f>CONCATENATE("02437780444")</f>
        <v>02437780444</v>
      </c>
      <c r="N1161" s="3" t="s">
        <v>1285</v>
      </c>
      <c r="O1161" s="3" t="s">
        <v>38</v>
      </c>
      <c r="P1161" s="3"/>
      <c r="Q1161" s="4">
        <v>45944</v>
      </c>
      <c r="R1161" s="3" t="s">
        <v>39</v>
      </c>
      <c r="S1161" s="3" t="s">
        <v>38</v>
      </c>
      <c r="T1161" s="3" t="s">
        <v>40</v>
      </c>
      <c r="U1161" s="3"/>
      <c r="V1161" s="3" t="s">
        <v>41</v>
      </c>
      <c r="W1161" s="5">
        <v>6821.36</v>
      </c>
      <c r="X1161" s="5">
        <v>5116.0200000000004</v>
      </c>
      <c r="Y1161" s="5">
        <v>1193.74</v>
      </c>
      <c r="Z1161" s="3">
        <v>511.6</v>
      </c>
      <c r="AA1161" s="3">
        <v>0</v>
      </c>
    </row>
    <row r="1162" spans="1:27" ht="60.75" x14ac:dyDescent="0.25">
      <c r="A1162" s="3" t="s">
        <v>28</v>
      </c>
      <c r="B1162" s="3" t="s">
        <v>29</v>
      </c>
      <c r="C1162" s="3" t="s">
        <v>30</v>
      </c>
      <c r="D1162" s="3" t="s">
        <v>63</v>
      </c>
      <c r="E1162" s="3" t="s">
        <v>74</v>
      </c>
      <c r="F1162" s="3" t="s">
        <v>252</v>
      </c>
      <c r="G1162" s="3">
        <v>2025</v>
      </c>
      <c r="H1162" s="3" t="str">
        <f>CONCATENATE("54240671211")</f>
        <v>54240671211</v>
      </c>
      <c r="I1162" s="3" t="s">
        <v>34</v>
      </c>
      <c r="J1162" s="3" t="s">
        <v>35</v>
      </c>
      <c r="K1162" s="3"/>
      <c r="L1162" s="3" t="s">
        <v>36</v>
      </c>
      <c r="M1162" s="3" t="str">
        <f>CONCATENATE("MZZLCN75A21A462K")</f>
        <v>MZZLCN75A21A462K</v>
      </c>
      <c r="N1162" s="3" t="s">
        <v>1286</v>
      </c>
      <c r="O1162" s="3" t="s">
        <v>38</v>
      </c>
      <c r="P1162" s="3"/>
      <c r="Q1162" s="4">
        <v>45944</v>
      </c>
      <c r="R1162" s="3" t="s">
        <v>39</v>
      </c>
      <c r="S1162" s="3" t="s">
        <v>38</v>
      </c>
      <c r="T1162" s="3" t="s">
        <v>40</v>
      </c>
      <c r="U1162" s="3"/>
      <c r="V1162" s="3" t="s">
        <v>41</v>
      </c>
      <c r="W1162" s="5">
        <v>8832.0400000000009</v>
      </c>
      <c r="X1162" s="5">
        <v>6624.03</v>
      </c>
      <c r="Y1162" s="5">
        <v>1545.61</v>
      </c>
      <c r="Z1162" s="3">
        <v>662.4</v>
      </c>
      <c r="AA1162" s="3">
        <v>0</v>
      </c>
    </row>
    <row r="1163" spans="1:27" ht="60.75" x14ac:dyDescent="0.25">
      <c r="A1163" s="3" t="s">
        <v>28</v>
      </c>
      <c r="B1163" s="3" t="s">
        <v>29</v>
      </c>
      <c r="C1163" s="3" t="s">
        <v>30</v>
      </c>
      <c r="D1163" s="3" t="s">
        <v>63</v>
      </c>
      <c r="E1163" s="3" t="s">
        <v>74</v>
      </c>
      <c r="F1163" s="3" t="s">
        <v>252</v>
      </c>
      <c r="G1163" s="3">
        <v>2025</v>
      </c>
      <c r="H1163" s="3" t="str">
        <f>CONCATENATE("54240669207")</f>
        <v>54240669207</v>
      </c>
      <c r="I1163" s="3" t="s">
        <v>34</v>
      </c>
      <c r="J1163" s="3" t="s">
        <v>35</v>
      </c>
      <c r="K1163" s="3"/>
      <c r="L1163" s="3" t="s">
        <v>36</v>
      </c>
      <c r="M1163" s="3" t="str">
        <f>CONCATENATE("MZZSMN78T07H769O")</f>
        <v>MZZSMN78T07H769O</v>
      </c>
      <c r="N1163" s="3" t="s">
        <v>1287</v>
      </c>
      <c r="O1163" s="3" t="s">
        <v>38</v>
      </c>
      <c r="P1163" s="3"/>
      <c r="Q1163" s="4">
        <v>45944</v>
      </c>
      <c r="R1163" s="3" t="s">
        <v>39</v>
      </c>
      <c r="S1163" s="3" t="s">
        <v>38</v>
      </c>
      <c r="T1163" s="3" t="s">
        <v>40</v>
      </c>
      <c r="U1163" s="3"/>
      <c r="V1163" s="3" t="s">
        <v>41</v>
      </c>
      <c r="W1163" s="5">
        <v>4786.1000000000004</v>
      </c>
      <c r="X1163" s="5">
        <v>3589.58</v>
      </c>
      <c r="Y1163" s="3">
        <v>837.57</v>
      </c>
      <c r="Z1163" s="3">
        <v>358.95</v>
      </c>
      <c r="AA1163" s="3">
        <v>0</v>
      </c>
    </row>
    <row r="1164" spans="1:27" ht="60.75" x14ac:dyDescent="0.25">
      <c r="A1164" s="3" t="s">
        <v>28</v>
      </c>
      <c r="B1164" s="3" t="s">
        <v>29</v>
      </c>
      <c r="C1164" s="3" t="s">
        <v>30</v>
      </c>
      <c r="D1164" s="3" t="s">
        <v>49</v>
      </c>
      <c r="E1164" s="3" t="s">
        <v>53</v>
      </c>
      <c r="F1164" s="3" t="s">
        <v>899</v>
      </c>
      <c r="G1164" s="3">
        <v>2025</v>
      </c>
      <c r="H1164" s="3" t="str">
        <f>CONCATENATE("54240669520")</f>
        <v>54240669520</v>
      </c>
      <c r="I1164" s="3" t="s">
        <v>34</v>
      </c>
      <c r="J1164" s="3" t="s">
        <v>35</v>
      </c>
      <c r="K1164" s="3"/>
      <c r="L1164" s="3" t="s">
        <v>36</v>
      </c>
      <c r="M1164" s="3" t="str">
        <f>CONCATENATE("LNRRTI52R55F570B")</f>
        <v>LNRRTI52R55F570B</v>
      </c>
      <c r="N1164" s="3" t="s">
        <v>1288</v>
      </c>
      <c r="O1164" s="3" t="s">
        <v>38</v>
      </c>
      <c r="P1164" s="3"/>
      <c r="Q1164" s="4">
        <v>45944</v>
      </c>
      <c r="R1164" s="3" t="s">
        <v>39</v>
      </c>
      <c r="S1164" s="3" t="s">
        <v>38</v>
      </c>
      <c r="T1164" s="3" t="s">
        <v>40</v>
      </c>
      <c r="U1164" s="3"/>
      <c r="V1164" s="3" t="s">
        <v>41</v>
      </c>
      <c r="W1164" s="5">
        <v>14062.35</v>
      </c>
      <c r="X1164" s="5">
        <v>10546.76</v>
      </c>
      <c r="Y1164" s="5">
        <v>2460.91</v>
      </c>
      <c r="Z1164" s="5">
        <v>1054.68</v>
      </c>
      <c r="AA1164" s="3">
        <v>0</v>
      </c>
    </row>
    <row r="1165" spans="1:27" ht="60.75" x14ac:dyDescent="0.25">
      <c r="A1165" s="3" t="s">
        <v>28</v>
      </c>
      <c r="B1165" s="3" t="s">
        <v>29</v>
      </c>
      <c r="C1165" s="3" t="s">
        <v>30</v>
      </c>
      <c r="D1165" s="3" t="s">
        <v>31</v>
      </c>
      <c r="E1165" s="3" t="s">
        <v>32</v>
      </c>
      <c r="F1165" s="3" t="s">
        <v>153</v>
      </c>
      <c r="G1165" s="3">
        <v>2025</v>
      </c>
      <c r="H1165" s="3" t="str">
        <f>CONCATENATE("54240670528")</f>
        <v>54240670528</v>
      </c>
      <c r="I1165" s="3" t="s">
        <v>34</v>
      </c>
      <c r="J1165" s="3" t="s">
        <v>35</v>
      </c>
      <c r="K1165" s="3"/>
      <c r="L1165" s="3" t="s">
        <v>36</v>
      </c>
      <c r="M1165" s="3" t="str">
        <f>CONCATENATE("MCHSNT67C42Z120C")</f>
        <v>MCHSNT67C42Z120C</v>
      </c>
      <c r="N1165" s="3" t="s">
        <v>1289</v>
      </c>
      <c r="O1165" s="3" t="s">
        <v>38</v>
      </c>
      <c r="P1165" s="3"/>
      <c r="Q1165" s="4">
        <v>45944</v>
      </c>
      <c r="R1165" s="3" t="s">
        <v>39</v>
      </c>
      <c r="S1165" s="3" t="s">
        <v>38</v>
      </c>
      <c r="T1165" s="3" t="s">
        <v>40</v>
      </c>
      <c r="U1165" s="3"/>
      <c r="V1165" s="3" t="s">
        <v>41</v>
      </c>
      <c r="W1165" s="5">
        <v>7552.6</v>
      </c>
      <c r="X1165" s="5">
        <v>5664.45</v>
      </c>
      <c r="Y1165" s="5">
        <v>1321.71</v>
      </c>
      <c r="Z1165" s="3">
        <v>566.44000000000005</v>
      </c>
      <c r="AA1165" s="3">
        <v>0</v>
      </c>
    </row>
    <row r="1166" spans="1:27" ht="72.75" x14ac:dyDescent="0.25">
      <c r="A1166" s="3" t="s">
        <v>28</v>
      </c>
      <c r="B1166" s="3" t="s">
        <v>29</v>
      </c>
      <c r="C1166" s="3" t="s">
        <v>30</v>
      </c>
      <c r="D1166" s="3" t="s">
        <v>49</v>
      </c>
      <c r="E1166" s="3" t="s">
        <v>46</v>
      </c>
      <c r="F1166" s="3" t="s">
        <v>205</v>
      </c>
      <c r="G1166" s="3">
        <v>2025</v>
      </c>
      <c r="H1166" s="3" t="str">
        <f>CONCATENATE("54240670734")</f>
        <v>54240670734</v>
      </c>
      <c r="I1166" s="3" t="s">
        <v>34</v>
      </c>
      <c r="J1166" s="3" t="s">
        <v>35</v>
      </c>
      <c r="K1166" s="3"/>
      <c r="L1166" s="3" t="s">
        <v>36</v>
      </c>
      <c r="M1166" s="3" t="str">
        <f>CONCATENATE("MRNFNC94L10A271V")</f>
        <v>MRNFNC94L10A271V</v>
      </c>
      <c r="N1166" s="3" t="s">
        <v>1290</v>
      </c>
      <c r="O1166" s="3" t="s">
        <v>38</v>
      </c>
      <c r="P1166" s="3"/>
      <c r="Q1166" s="4">
        <v>45944</v>
      </c>
      <c r="R1166" s="3" t="s">
        <v>39</v>
      </c>
      <c r="S1166" s="3" t="s">
        <v>38</v>
      </c>
      <c r="T1166" s="3" t="s">
        <v>40</v>
      </c>
      <c r="U1166" s="3"/>
      <c r="V1166" s="3" t="s">
        <v>41</v>
      </c>
      <c r="W1166" s="5">
        <v>1687.93</v>
      </c>
      <c r="X1166" s="5">
        <v>1265.95</v>
      </c>
      <c r="Y1166" s="3">
        <v>295.39</v>
      </c>
      <c r="Z1166" s="3">
        <v>126.59</v>
      </c>
      <c r="AA1166" s="3">
        <v>0</v>
      </c>
    </row>
    <row r="1167" spans="1:27" ht="60.75" x14ac:dyDescent="0.25">
      <c r="A1167" s="3" t="s">
        <v>28</v>
      </c>
      <c r="B1167" s="3" t="s">
        <v>29</v>
      </c>
      <c r="C1167" s="3" t="s">
        <v>30</v>
      </c>
      <c r="D1167" s="3" t="s">
        <v>49</v>
      </c>
      <c r="E1167" s="3" t="s">
        <v>53</v>
      </c>
      <c r="F1167" s="3" t="s">
        <v>899</v>
      </c>
      <c r="G1167" s="3">
        <v>2025</v>
      </c>
      <c r="H1167" s="3" t="str">
        <f>CONCATENATE("54240670742")</f>
        <v>54240670742</v>
      </c>
      <c r="I1167" s="3" t="s">
        <v>34</v>
      </c>
      <c r="J1167" s="3" t="s">
        <v>35</v>
      </c>
      <c r="K1167" s="3"/>
      <c r="L1167" s="3" t="s">
        <v>36</v>
      </c>
      <c r="M1167" s="3" t="str">
        <f>CONCATENATE("MRBMLL71M55G436T")</f>
        <v>MRBMLL71M55G436T</v>
      </c>
      <c r="N1167" s="3" t="s">
        <v>1291</v>
      </c>
      <c r="O1167" s="3" t="s">
        <v>38</v>
      </c>
      <c r="P1167" s="3"/>
      <c r="Q1167" s="4">
        <v>45944</v>
      </c>
      <c r="R1167" s="3" t="s">
        <v>39</v>
      </c>
      <c r="S1167" s="3" t="s">
        <v>38</v>
      </c>
      <c r="T1167" s="3" t="s">
        <v>40</v>
      </c>
      <c r="U1167" s="3"/>
      <c r="V1167" s="3" t="s">
        <v>41</v>
      </c>
      <c r="W1167" s="5">
        <v>12791.19</v>
      </c>
      <c r="X1167" s="5">
        <v>9593.39</v>
      </c>
      <c r="Y1167" s="5">
        <v>2238.46</v>
      </c>
      <c r="Z1167" s="3">
        <v>959.34</v>
      </c>
      <c r="AA1167" s="3">
        <v>0</v>
      </c>
    </row>
    <row r="1168" spans="1:27" ht="36.75" x14ac:dyDescent="0.25">
      <c r="A1168" s="3" t="s">
        <v>28</v>
      </c>
      <c r="B1168" s="3" t="s">
        <v>29</v>
      </c>
      <c r="C1168" s="3" t="s">
        <v>30</v>
      </c>
      <c r="D1168" s="3" t="s">
        <v>49</v>
      </c>
      <c r="E1168" s="3" t="s">
        <v>32</v>
      </c>
      <c r="F1168" s="3" t="s">
        <v>78</v>
      </c>
      <c r="G1168" s="3">
        <v>2025</v>
      </c>
      <c r="H1168" s="3" t="str">
        <f>CONCATENATE("54240670940")</f>
        <v>54240670940</v>
      </c>
      <c r="I1168" s="3" t="s">
        <v>34</v>
      </c>
      <c r="J1168" s="3" t="s">
        <v>35</v>
      </c>
      <c r="K1168" s="3"/>
      <c r="L1168" s="3" t="s">
        <v>36</v>
      </c>
      <c r="M1168" s="3" t="str">
        <f>CONCATENATE("01717410433")</f>
        <v>01717410433</v>
      </c>
      <c r="N1168" s="3" t="s">
        <v>1292</v>
      </c>
      <c r="O1168" s="3" t="s">
        <v>38</v>
      </c>
      <c r="P1168" s="3"/>
      <c r="Q1168" s="4">
        <v>45944</v>
      </c>
      <c r="R1168" s="3" t="s">
        <v>39</v>
      </c>
      <c r="S1168" s="3" t="s">
        <v>38</v>
      </c>
      <c r="T1168" s="3" t="s">
        <v>40</v>
      </c>
      <c r="U1168" s="3"/>
      <c r="V1168" s="3" t="s">
        <v>41</v>
      </c>
      <c r="W1168" s="5">
        <v>14433.67</v>
      </c>
      <c r="X1168" s="5">
        <v>10825.25</v>
      </c>
      <c r="Y1168" s="5">
        <v>2525.89</v>
      </c>
      <c r="Z1168" s="5">
        <v>1082.53</v>
      </c>
      <c r="AA1168" s="3">
        <v>0</v>
      </c>
    </row>
    <row r="1169" spans="1:27" ht="60.75" x14ac:dyDescent="0.25">
      <c r="A1169" s="3" t="s">
        <v>28</v>
      </c>
      <c r="B1169" s="3" t="s">
        <v>29</v>
      </c>
      <c r="C1169" s="3" t="s">
        <v>30</v>
      </c>
      <c r="D1169" s="3" t="s">
        <v>31</v>
      </c>
      <c r="E1169" s="3" t="s">
        <v>53</v>
      </c>
      <c r="F1169" s="3" t="s">
        <v>172</v>
      </c>
      <c r="G1169" s="3">
        <v>2025</v>
      </c>
      <c r="H1169" s="3" t="str">
        <f>CONCATENATE("54240671427")</f>
        <v>54240671427</v>
      </c>
      <c r="I1169" s="3" t="s">
        <v>34</v>
      </c>
      <c r="J1169" s="3" t="s">
        <v>35</v>
      </c>
      <c r="K1169" s="3"/>
      <c r="L1169" s="3" t="s">
        <v>36</v>
      </c>
      <c r="M1169" s="3" t="str">
        <f>CONCATENATE("MNCDVD90E08L500W")</f>
        <v>MNCDVD90E08L500W</v>
      </c>
      <c r="N1169" s="3" t="s">
        <v>1293</v>
      </c>
      <c r="O1169" s="3" t="s">
        <v>38</v>
      </c>
      <c r="P1169" s="3"/>
      <c r="Q1169" s="4">
        <v>45944</v>
      </c>
      <c r="R1169" s="3" t="s">
        <v>39</v>
      </c>
      <c r="S1169" s="3" t="s">
        <v>38</v>
      </c>
      <c r="T1169" s="3" t="s">
        <v>40</v>
      </c>
      <c r="U1169" s="3"/>
      <c r="V1169" s="3" t="s">
        <v>41</v>
      </c>
      <c r="W1169" s="5">
        <v>6533.59</v>
      </c>
      <c r="X1169" s="5">
        <v>4900.1899999999996</v>
      </c>
      <c r="Y1169" s="5">
        <v>1143.3800000000001</v>
      </c>
      <c r="Z1169" s="3">
        <v>490.02</v>
      </c>
      <c r="AA1169" s="3">
        <v>0</v>
      </c>
    </row>
    <row r="1170" spans="1:27" ht="36.75" x14ac:dyDescent="0.25">
      <c r="A1170" s="3" t="s">
        <v>28</v>
      </c>
      <c r="B1170" s="3" t="s">
        <v>29</v>
      </c>
      <c r="C1170" s="3" t="s">
        <v>30</v>
      </c>
      <c r="D1170" s="3" t="s">
        <v>49</v>
      </c>
      <c r="E1170" s="3" t="s">
        <v>32</v>
      </c>
      <c r="F1170" s="3" t="s">
        <v>368</v>
      </c>
      <c r="G1170" s="3">
        <v>2025</v>
      </c>
      <c r="H1170" s="3" t="str">
        <f>CONCATENATE("54240672078")</f>
        <v>54240672078</v>
      </c>
      <c r="I1170" s="3" t="s">
        <v>34</v>
      </c>
      <c r="J1170" s="3" t="s">
        <v>35</v>
      </c>
      <c r="K1170" s="3"/>
      <c r="L1170" s="3" t="s">
        <v>36</v>
      </c>
      <c r="M1170" s="3" t="str">
        <f>CONCATENATE("00681620431")</f>
        <v>00681620431</v>
      </c>
      <c r="N1170" s="3" t="s">
        <v>1294</v>
      </c>
      <c r="O1170" s="3" t="s">
        <v>38</v>
      </c>
      <c r="P1170" s="3"/>
      <c r="Q1170" s="4">
        <v>45944</v>
      </c>
      <c r="R1170" s="3" t="s">
        <v>39</v>
      </c>
      <c r="S1170" s="3" t="s">
        <v>38</v>
      </c>
      <c r="T1170" s="3" t="s">
        <v>40</v>
      </c>
      <c r="U1170" s="3"/>
      <c r="V1170" s="3" t="s">
        <v>41</v>
      </c>
      <c r="W1170" s="5">
        <v>3070.58</v>
      </c>
      <c r="X1170" s="5">
        <v>2302.94</v>
      </c>
      <c r="Y1170" s="3">
        <v>537.35</v>
      </c>
      <c r="Z1170" s="3">
        <v>230.29</v>
      </c>
      <c r="AA1170" s="3">
        <v>0</v>
      </c>
    </row>
    <row r="1171" spans="1:27" ht="36.75" x14ac:dyDescent="0.25">
      <c r="A1171" s="3" t="s">
        <v>28</v>
      </c>
      <c r="B1171" s="3" t="s">
        <v>29</v>
      </c>
      <c r="C1171" s="3" t="s">
        <v>30</v>
      </c>
      <c r="D1171" s="3" t="s">
        <v>49</v>
      </c>
      <c r="E1171" s="3" t="s">
        <v>46</v>
      </c>
      <c r="F1171" s="3" t="s">
        <v>205</v>
      </c>
      <c r="G1171" s="3">
        <v>2025</v>
      </c>
      <c r="H1171" s="3" t="str">
        <f>CONCATENATE("54240672656")</f>
        <v>54240672656</v>
      </c>
      <c r="I1171" s="3" t="s">
        <v>34</v>
      </c>
      <c r="J1171" s="3" t="s">
        <v>35</v>
      </c>
      <c r="K1171" s="3"/>
      <c r="L1171" s="3" t="s">
        <v>36</v>
      </c>
      <c r="M1171" s="3" t="str">
        <f>CONCATENATE("02080150432")</f>
        <v>02080150432</v>
      </c>
      <c r="N1171" s="3" t="s">
        <v>1295</v>
      </c>
      <c r="O1171" s="3" t="s">
        <v>38</v>
      </c>
      <c r="P1171" s="3"/>
      <c r="Q1171" s="4">
        <v>45944</v>
      </c>
      <c r="R1171" s="3" t="s">
        <v>39</v>
      </c>
      <c r="S1171" s="3" t="s">
        <v>38</v>
      </c>
      <c r="T1171" s="3" t="s">
        <v>40</v>
      </c>
      <c r="U1171" s="3"/>
      <c r="V1171" s="3" t="s">
        <v>41</v>
      </c>
      <c r="W1171" s="5">
        <v>5222.4399999999996</v>
      </c>
      <c r="X1171" s="5">
        <v>3916.83</v>
      </c>
      <c r="Y1171" s="3">
        <v>913.93</v>
      </c>
      <c r="Z1171" s="3">
        <v>391.68</v>
      </c>
      <c r="AA1171" s="3">
        <v>0</v>
      </c>
    </row>
    <row r="1172" spans="1:27" ht="60.75" x14ac:dyDescent="0.25">
      <c r="A1172" s="3" t="s">
        <v>28</v>
      </c>
      <c r="B1172" s="3" t="s">
        <v>29</v>
      </c>
      <c r="C1172" s="3" t="s">
        <v>30</v>
      </c>
      <c r="D1172" s="3" t="s">
        <v>63</v>
      </c>
      <c r="E1172" s="3" t="s">
        <v>145</v>
      </c>
      <c r="F1172" s="3" t="s">
        <v>146</v>
      </c>
      <c r="G1172" s="3">
        <v>2025</v>
      </c>
      <c r="H1172" s="3" t="str">
        <f>CONCATENATE("54240672748")</f>
        <v>54240672748</v>
      </c>
      <c r="I1172" s="3" t="s">
        <v>34</v>
      </c>
      <c r="J1172" s="3" t="s">
        <v>35</v>
      </c>
      <c r="K1172" s="3"/>
      <c r="L1172" s="3" t="s">
        <v>36</v>
      </c>
      <c r="M1172" s="3" t="str">
        <f>CONCATENATE("CSTFNC43R10G467U")</f>
        <v>CSTFNC43R10G467U</v>
      </c>
      <c r="N1172" s="3" t="s">
        <v>1296</v>
      </c>
      <c r="O1172" s="3" t="s">
        <v>38</v>
      </c>
      <c r="P1172" s="3"/>
      <c r="Q1172" s="4">
        <v>45944</v>
      </c>
      <c r="R1172" s="3" t="s">
        <v>39</v>
      </c>
      <c r="S1172" s="3" t="s">
        <v>38</v>
      </c>
      <c r="T1172" s="3" t="s">
        <v>40</v>
      </c>
      <c r="U1172" s="3"/>
      <c r="V1172" s="3" t="s">
        <v>41</v>
      </c>
      <c r="W1172" s="5">
        <v>1302.97</v>
      </c>
      <c r="X1172" s="3">
        <v>977.23</v>
      </c>
      <c r="Y1172" s="3">
        <v>228.02</v>
      </c>
      <c r="Z1172" s="3">
        <v>97.72</v>
      </c>
      <c r="AA1172" s="3">
        <v>0</v>
      </c>
    </row>
    <row r="1173" spans="1:27" ht="60.75" x14ac:dyDescent="0.25">
      <c r="A1173" s="3" t="s">
        <v>28</v>
      </c>
      <c r="B1173" s="3" t="s">
        <v>29</v>
      </c>
      <c r="C1173" s="3" t="s">
        <v>30</v>
      </c>
      <c r="D1173" s="3" t="s">
        <v>49</v>
      </c>
      <c r="E1173" s="3" t="s">
        <v>46</v>
      </c>
      <c r="F1173" s="3" t="s">
        <v>205</v>
      </c>
      <c r="G1173" s="3">
        <v>2025</v>
      </c>
      <c r="H1173" s="3" t="str">
        <f>CONCATENATE("54240672888")</f>
        <v>54240672888</v>
      </c>
      <c r="I1173" s="3" t="s">
        <v>34</v>
      </c>
      <c r="J1173" s="3" t="s">
        <v>35</v>
      </c>
      <c r="K1173" s="3"/>
      <c r="L1173" s="3" t="s">
        <v>36</v>
      </c>
      <c r="M1173" s="3" t="str">
        <f>CONCATENATE("RMLMRA85M06L191R")</f>
        <v>RMLMRA85M06L191R</v>
      </c>
      <c r="N1173" s="3" t="s">
        <v>1297</v>
      </c>
      <c r="O1173" s="3" t="s">
        <v>38</v>
      </c>
      <c r="P1173" s="3"/>
      <c r="Q1173" s="4">
        <v>45944</v>
      </c>
      <c r="R1173" s="3" t="s">
        <v>39</v>
      </c>
      <c r="S1173" s="3" t="s">
        <v>38</v>
      </c>
      <c r="T1173" s="3" t="s">
        <v>40</v>
      </c>
      <c r="U1173" s="3"/>
      <c r="V1173" s="3" t="s">
        <v>41</v>
      </c>
      <c r="W1173" s="5">
        <v>7250.1</v>
      </c>
      <c r="X1173" s="5">
        <v>5437.58</v>
      </c>
      <c r="Y1173" s="5">
        <v>1268.77</v>
      </c>
      <c r="Z1173" s="3">
        <v>543.75</v>
      </c>
      <c r="AA1173" s="3">
        <v>0</v>
      </c>
    </row>
    <row r="1174" spans="1:27" ht="60.75" x14ac:dyDescent="0.25">
      <c r="A1174" s="3" t="s">
        <v>28</v>
      </c>
      <c r="B1174" s="3" t="s">
        <v>29</v>
      </c>
      <c r="C1174" s="3" t="s">
        <v>30</v>
      </c>
      <c r="D1174" s="3" t="s">
        <v>49</v>
      </c>
      <c r="E1174" s="3" t="s">
        <v>46</v>
      </c>
      <c r="F1174" s="3" t="s">
        <v>126</v>
      </c>
      <c r="G1174" s="3">
        <v>2025</v>
      </c>
      <c r="H1174" s="3" t="str">
        <f>CONCATENATE("54240672946")</f>
        <v>54240672946</v>
      </c>
      <c r="I1174" s="3" t="s">
        <v>34</v>
      </c>
      <c r="J1174" s="3" t="s">
        <v>35</v>
      </c>
      <c r="K1174" s="3"/>
      <c r="L1174" s="3" t="s">
        <v>36</v>
      </c>
      <c r="M1174" s="3" t="str">
        <f>CONCATENATE("GSTLNR80A51E783A")</f>
        <v>GSTLNR80A51E783A</v>
      </c>
      <c r="N1174" s="3" t="s">
        <v>1298</v>
      </c>
      <c r="O1174" s="3" t="s">
        <v>38</v>
      </c>
      <c r="P1174" s="3"/>
      <c r="Q1174" s="4">
        <v>45944</v>
      </c>
      <c r="R1174" s="3" t="s">
        <v>39</v>
      </c>
      <c r="S1174" s="3" t="s">
        <v>38</v>
      </c>
      <c r="T1174" s="3" t="s">
        <v>40</v>
      </c>
      <c r="U1174" s="3"/>
      <c r="V1174" s="3" t="s">
        <v>41</v>
      </c>
      <c r="W1174" s="5">
        <v>1083.72</v>
      </c>
      <c r="X1174" s="3">
        <v>812.79</v>
      </c>
      <c r="Y1174" s="3">
        <v>189.65</v>
      </c>
      <c r="Z1174" s="3">
        <v>81.28</v>
      </c>
      <c r="AA1174" s="3">
        <v>0</v>
      </c>
    </row>
    <row r="1175" spans="1:27" ht="36.75" x14ac:dyDescent="0.25">
      <c r="A1175" s="3" t="s">
        <v>28</v>
      </c>
      <c r="B1175" s="3" t="s">
        <v>29</v>
      </c>
      <c r="C1175" s="3" t="s">
        <v>30</v>
      </c>
      <c r="D1175" s="3" t="s">
        <v>49</v>
      </c>
      <c r="E1175" s="3" t="s">
        <v>74</v>
      </c>
      <c r="F1175" s="3" t="s">
        <v>217</v>
      </c>
      <c r="G1175" s="3">
        <v>2025</v>
      </c>
      <c r="H1175" s="3" t="str">
        <f>CONCATENATE("54240673027")</f>
        <v>54240673027</v>
      </c>
      <c r="I1175" s="3" t="s">
        <v>34</v>
      </c>
      <c r="J1175" s="3" t="s">
        <v>35</v>
      </c>
      <c r="K1175" s="3"/>
      <c r="L1175" s="3" t="s">
        <v>36</v>
      </c>
      <c r="M1175" s="3" t="str">
        <f>CONCATENATE("01945770434")</f>
        <v>01945770434</v>
      </c>
      <c r="N1175" s="3" t="s">
        <v>1299</v>
      </c>
      <c r="O1175" s="3" t="s">
        <v>38</v>
      </c>
      <c r="P1175" s="3"/>
      <c r="Q1175" s="4">
        <v>45944</v>
      </c>
      <c r="R1175" s="3" t="s">
        <v>39</v>
      </c>
      <c r="S1175" s="3" t="s">
        <v>38</v>
      </c>
      <c r="T1175" s="3" t="s">
        <v>40</v>
      </c>
      <c r="U1175" s="3"/>
      <c r="V1175" s="3" t="s">
        <v>41</v>
      </c>
      <c r="W1175" s="5">
        <v>15061.6</v>
      </c>
      <c r="X1175" s="5">
        <v>11296.2</v>
      </c>
      <c r="Y1175" s="5">
        <v>2635.78</v>
      </c>
      <c r="Z1175" s="5">
        <v>1129.6199999999999</v>
      </c>
      <c r="AA1175" s="3">
        <v>0</v>
      </c>
    </row>
    <row r="1176" spans="1:27" ht="60.75" x14ac:dyDescent="0.25">
      <c r="A1176" s="3" t="s">
        <v>28</v>
      </c>
      <c r="B1176" s="3" t="s">
        <v>29</v>
      </c>
      <c r="C1176" s="3" t="s">
        <v>30</v>
      </c>
      <c r="D1176" s="3" t="s">
        <v>63</v>
      </c>
      <c r="E1176" s="3" t="s">
        <v>32</v>
      </c>
      <c r="F1176" s="3" t="s">
        <v>158</v>
      </c>
      <c r="G1176" s="3">
        <v>2025</v>
      </c>
      <c r="H1176" s="3" t="str">
        <f>CONCATENATE("54240673498")</f>
        <v>54240673498</v>
      </c>
      <c r="I1176" s="3" t="s">
        <v>34</v>
      </c>
      <c r="J1176" s="3" t="s">
        <v>35</v>
      </c>
      <c r="K1176" s="3"/>
      <c r="L1176" s="3" t="s">
        <v>36</v>
      </c>
      <c r="M1176" s="3" t="str">
        <f>CONCATENATE("PSQPTR55L21H321J")</f>
        <v>PSQPTR55L21H321J</v>
      </c>
      <c r="N1176" s="3" t="s">
        <v>1300</v>
      </c>
      <c r="O1176" s="3" t="s">
        <v>38</v>
      </c>
      <c r="P1176" s="3"/>
      <c r="Q1176" s="4">
        <v>45944</v>
      </c>
      <c r="R1176" s="3" t="s">
        <v>39</v>
      </c>
      <c r="S1176" s="3" t="s">
        <v>38</v>
      </c>
      <c r="T1176" s="3" t="s">
        <v>40</v>
      </c>
      <c r="U1176" s="3"/>
      <c r="V1176" s="3" t="s">
        <v>41</v>
      </c>
      <c r="W1176" s="5">
        <v>6958.58</v>
      </c>
      <c r="X1176" s="5">
        <v>5218.9399999999996</v>
      </c>
      <c r="Y1176" s="5">
        <v>1217.75</v>
      </c>
      <c r="Z1176" s="3">
        <v>521.89</v>
      </c>
      <c r="AA1176" s="3">
        <v>0</v>
      </c>
    </row>
    <row r="1177" spans="1:27" ht="36.75" x14ac:dyDescent="0.25">
      <c r="A1177" s="3" t="s">
        <v>28</v>
      </c>
      <c r="B1177" s="3" t="s">
        <v>29</v>
      </c>
      <c r="C1177" s="3" t="s">
        <v>30</v>
      </c>
      <c r="D1177" s="3" t="s">
        <v>49</v>
      </c>
      <c r="E1177" s="3" t="s">
        <v>46</v>
      </c>
      <c r="F1177" s="3" t="s">
        <v>126</v>
      </c>
      <c r="G1177" s="3">
        <v>2025</v>
      </c>
      <c r="H1177" s="3" t="str">
        <f>CONCATENATE("54240674108")</f>
        <v>54240674108</v>
      </c>
      <c r="I1177" s="3" t="s">
        <v>34</v>
      </c>
      <c r="J1177" s="3" t="s">
        <v>35</v>
      </c>
      <c r="K1177" s="3"/>
      <c r="L1177" s="3" t="s">
        <v>36</v>
      </c>
      <c r="M1177" s="3" t="str">
        <f>CONCATENATE("00607760436")</f>
        <v>00607760436</v>
      </c>
      <c r="N1177" s="3" t="s">
        <v>1301</v>
      </c>
      <c r="O1177" s="3" t="s">
        <v>38</v>
      </c>
      <c r="P1177" s="3"/>
      <c r="Q1177" s="4">
        <v>45944</v>
      </c>
      <c r="R1177" s="3" t="s">
        <v>39</v>
      </c>
      <c r="S1177" s="3" t="s">
        <v>38</v>
      </c>
      <c r="T1177" s="3" t="s">
        <v>40</v>
      </c>
      <c r="U1177" s="3"/>
      <c r="V1177" s="3" t="s">
        <v>41</v>
      </c>
      <c r="W1177" s="5">
        <v>1866.34</v>
      </c>
      <c r="X1177" s="5">
        <v>1399.76</v>
      </c>
      <c r="Y1177" s="3">
        <v>326.61</v>
      </c>
      <c r="Z1177" s="3">
        <v>139.97</v>
      </c>
      <c r="AA1177" s="3">
        <v>0</v>
      </c>
    </row>
    <row r="1178" spans="1:27" ht="36.75" x14ac:dyDescent="0.25">
      <c r="A1178" s="3" t="s">
        <v>28</v>
      </c>
      <c r="B1178" s="3" t="s">
        <v>29</v>
      </c>
      <c r="C1178" s="3" t="s">
        <v>30</v>
      </c>
      <c r="D1178" s="3" t="s">
        <v>58</v>
      </c>
      <c r="E1178" s="3" t="s">
        <v>32</v>
      </c>
      <c r="F1178" s="3" t="s">
        <v>96</v>
      </c>
      <c r="G1178" s="3">
        <v>2025</v>
      </c>
      <c r="H1178" s="3" t="str">
        <f>CONCATENATE("54240674215")</f>
        <v>54240674215</v>
      </c>
      <c r="I1178" s="3" t="s">
        <v>34</v>
      </c>
      <c r="J1178" s="3" t="s">
        <v>35</v>
      </c>
      <c r="K1178" s="3"/>
      <c r="L1178" s="3" t="s">
        <v>36</v>
      </c>
      <c r="M1178" s="3" t="str">
        <f>CONCATENATE("03001240427")</f>
        <v>03001240427</v>
      </c>
      <c r="N1178" s="3" t="s">
        <v>1302</v>
      </c>
      <c r="O1178" s="3" t="s">
        <v>38</v>
      </c>
      <c r="P1178" s="3"/>
      <c r="Q1178" s="4">
        <v>45944</v>
      </c>
      <c r="R1178" s="3" t="s">
        <v>39</v>
      </c>
      <c r="S1178" s="3" t="s">
        <v>38</v>
      </c>
      <c r="T1178" s="3" t="s">
        <v>40</v>
      </c>
      <c r="U1178" s="3"/>
      <c r="V1178" s="3" t="s">
        <v>41</v>
      </c>
      <c r="W1178" s="5">
        <v>17132.09</v>
      </c>
      <c r="X1178" s="5">
        <v>12849.07</v>
      </c>
      <c r="Y1178" s="5">
        <v>2998.12</v>
      </c>
      <c r="Z1178" s="5">
        <v>1284.9000000000001</v>
      </c>
      <c r="AA1178" s="3">
        <v>0</v>
      </c>
    </row>
    <row r="1179" spans="1:27" ht="36.75" x14ac:dyDescent="0.25">
      <c r="A1179" s="3" t="s">
        <v>28</v>
      </c>
      <c r="B1179" s="3" t="s">
        <v>29</v>
      </c>
      <c r="C1179" s="3" t="s">
        <v>30</v>
      </c>
      <c r="D1179" s="3" t="s">
        <v>63</v>
      </c>
      <c r="E1179" s="3" t="s">
        <v>32</v>
      </c>
      <c r="F1179" s="3" t="s">
        <v>269</v>
      </c>
      <c r="G1179" s="3">
        <v>2025</v>
      </c>
      <c r="H1179" s="3" t="str">
        <f>CONCATENATE("54240674512")</f>
        <v>54240674512</v>
      </c>
      <c r="I1179" s="3" t="s">
        <v>34</v>
      </c>
      <c r="J1179" s="3" t="s">
        <v>35</v>
      </c>
      <c r="K1179" s="3"/>
      <c r="L1179" s="3" t="s">
        <v>36</v>
      </c>
      <c r="M1179" s="3" t="str">
        <f>CONCATENATE("00489370445")</f>
        <v>00489370445</v>
      </c>
      <c r="N1179" s="3" t="s">
        <v>1303</v>
      </c>
      <c r="O1179" s="3" t="s">
        <v>38</v>
      </c>
      <c r="P1179" s="3"/>
      <c r="Q1179" s="4">
        <v>45944</v>
      </c>
      <c r="R1179" s="3" t="s">
        <v>39</v>
      </c>
      <c r="S1179" s="3" t="s">
        <v>38</v>
      </c>
      <c r="T1179" s="3" t="s">
        <v>40</v>
      </c>
      <c r="U1179" s="3"/>
      <c r="V1179" s="3" t="s">
        <v>41</v>
      </c>
      <c r="W1179" s="5">
        <v>3853.94</v>
      </c>
      <c r="X1179" s="5">
        <v>2890.46</v>
      </c>
      <c r="Y1179" s="3">
        <v>674.44</v>
      </c>
      <c r="Z1179" s="3">
        <v>289.04000000000002</v>
      </c>
      <c r="AA1179" s="3">
        <v>0</v>
      </c>
    </row>
    <row r="1180" spans="1:27" ht="60.75" x14ac:dyDescent="0.25">
      <c r="A1180" s="3" t="s">
        <v>28</v>
      </c>
      <c r="B1180" s="3" t="s">
        <v>29</v>
      </c>
      <c r="C1180" s="3" t="s">
        <v>30</v>
      </c>
      <c r="D1180" s="3" t="s">
        <v>31</v>
      </c>
      <c r="E1180" s="3" t="s">
        <v>32</v>
      </c>
      <c r="F1180" s="3" t="s">
        <v>153</v>
      </c>
      <c r="G1180" s="3">
        <v>2025</v>
      </c>
      <c r="H1180" s="3" t="str">
        <f>CONCATENATE("54240543568")</f>
        <v>54240543568</v>
      </c>
      <c r="I1180" s="3" t="s">
        <v>34</v>
      </c>
      <c r="J1180" s="3" t="s">
        <v>35</v>
      </c>
      <c r="K1180" s="3"/>
      <c r="L1180" s="3" t="s">
        <v>36</v>
      </c>
      <c r="M1180" s="3" t="str">
        <f>CONCATENATE("GRLGNN83E25L500Q")</f>
        <v>GRLGNN83E25L500Q</v>
      </c>
      <c r="N1180" s="3" t="s">
        <v>1304</v>
      </c>
      <c r="O1180" s="3" t="s">
        <v>38</v>
      </c>
      <c r="P1180" s="3"/>
      <c r="Q1180" s="4">
        <v>45944</v>
      </c>
      <c r="R1180" s="3" t="s">
        <v>39</v>
      </c>
      <c r="S1180" s="3" t="s">
        <v>38</v>
      </c>
      <c r="T1180" s="3" t="s">
        <v>40</v>
      </c>
      <c r="U1180" s="3"/>
      <c r="V1180" s="3" t="s">
        <v>41</v>
      </c>
      <c r="W1180" s="5">
        <v>8288.26</v>
      </c>
      <c r="X1180" s="5">
        <v>6216.2</v>
      </c>
      <c r="Y1180" s="5">
        <v>1450.45</v>
      </c>
      <c r="Z1180" s="3">
        <v>621.61</v>
      </c>
      <c r="AA1180" s="3">
        <v>0</v>
      </c>
    </row>
    <row r="1181" spans="1:27" ht="60.75" x14ac:dyDescent="0.25">
      <c r="A1181" s="3" t="s">
        <v>28</v>
      </c>
      <c r="B1181" s="3" t="s">
        <v>29</v>
      </c>
      <c r="C1181" s="3" t="s">
        <v>30</v>
      </c>
      <c r="D1181" s="3" t="s">
        <v>31</v>
      </c>
      <c r="E1181" s="3" t="s">
        <v>32</v>
      </c>
      <c r="F1181" s="3" t="s">
        <v>153</v>
      </c>
      <c r="G1181" s="3">
        <v>2025</v>
      </c>
      <c r="H1181" s="3" t="str">
        <f>CONCATENATE("54240544038")</f>
        <v>54240544038</v>
      </c>
      <c r="I1181" s="3" t="s">
        <v>34</v>
      </c>
      <c r="J1181" s="3" t="s">
        <v>35</v>
      </c>
      <c r="K1181" s="3"/>
      <c r="L1181" s="3" t="s">
        <v>36</v>
      </c>
      <c r="M1181" s="3" t="str">
        <f>CONCATENATE("SRFMRZ61S26E256F")</f>
        <v>SRFMRZ61S26E256F</v>
      </c>
      <c r="N1181" s="3" t="s">
        <v>1305</v>
      </c>
      <c r="O1181" s="3" t="s">
        <v>38</v>
      </c>
      <c r="P1181" s="3"/>
      <c r="Q1181" s="4">
        <v>45944</v>
      </c>
      <c r="R1181" s="3" t="s">
        <v>39</v>
      </c>
      <c r="S1181" s="3" t="s">
        <v>38</v>
      </c>
      <c r="T1181" s="3" t="s">
        <v>40</v>
      </c>
      <c r="U1181" s="3"/>
      <c r="V1181" s="3" t="s">
        <v>41</v>
      </c>
      <c r="W1181" s="5">
        <v>1375.98</v>
      </c>
      <c r="X1181" s="5">
        <v>1031.99</v>
      </c>
      <c r="Y1181" s="3">
        <v>240.8</v>
      </c>
      <c r="Z1181" s="3">
        <v>103.19</v>
      </c>
      <c r="AA1181" s="3">
        <v>0</v>
      </c>
    </row>
    <row r="1182" spans="1:27" ht="60.75" x14ac:dyDescent="0.25">
      <c r="A1182" s="3" t="s">
        <v>28</v>
      </c>
      <c r="B1182" s="3" t="s">
        <v>29</v>
      </c>
      <c r="C1182" s="3" t="s">
        <v>30</v>
      </c>
      <c r="D1182" s="3" t="s">
        <v>49</v>
      </c>
      <c r="E1182" s="3" t="s">
        <v>46</v>
      </c>
      <c r="F1182" s="3" t="s">
        <v>126</v>
      </c>
      <c r="G1182" s="3">
        <v>2025</v>
      </c>
      <c r="H1182" s="3" t="str">
        <f>CONCATENATE("54240543881")</f>
        <v>54240543881</v>
      </c>
      <c r="I1182" s="3" t="s">
        <v>34</v>
      </c>
      <c r="J1182" s="3" t="s">
        <v>35</v>
      </c>
      <c r="K1182" s="3"/>
      <c r="L1182" s="3" t="s">
        <v>36</v>
      </c>
      <c r="M1182" s="3" t="str">
        <f>CONCATENATE("FRRMTT99T28E783C")</f>
        <v>FRRMTT99T28E783C</v>
      </c>
      <c r="N1182" s="3" t="s">
        <v>1306</v>
      </c>
      <c r="O1182" s="3" t="s">
        <v>38</v>
      </c>
      <c r="P1182" s="3"/>
      <c r="Q1182" s="4">
        <v>45944</v>
      </c>
      <c r="R1182" s="3" t="s">
        <v>39</v>
      </c>
      <c r="S1182" s="3" t="s">
        <v>38</v>
      </c>
      <c r="T1182" s="3" t="s">
        <v>40</v>
      </c>
      <c r="U1182" s="3"/>
      <c r="V1182" s="3" t="s">
        <v>41</v>
      </c>
      <c r="W1182" s="5">
        <v>5103.3500000000004</v>
      </c>
      <c r="X1182" s="5">
        <v>3827.51</v>
      </c>
      <c r="Y1182" s="3">
        <v>893.09</v>
      </c>
      <c r="Z1182" s="3">
        <v>382.75</v>
      </c>
      <c r="AA1182" s="3">
        <v>0</v>
      </c>
    </row>
    <row r="1183" spans="1:27" ht="60.75" x14ac:dyDescent="0.25">
      <c r="A1183" s="3" t="s">
        <v>28</v>
      </c>
      <c r="B1183" s="3" t="s">
        <v>29</v>
      </c>
      <c r="C1183" s="3" t="s">
        <v>30</v>
      </c>
      <c r="D1183" s="3" t="s">
        <v>58</v>
      </c>
      <c r="E1183" s="3" t="s">
        <v>53</v>
      </c>
      <c r="F1183" s="3" t="s">
        <v>426</v>
      </c>
      <c r="G1183" s="3">
        <v>2025</v>
      </c>
      <c r="H1183" s="3" t="str">
        <f>CONCATENATE("54240543840")</f>
        <v>54240543840</v>
      </c>
      <c r="I1183" s="3" t="s">
        <v>149</v>
      </c>
      <c r="J1183" s="3" t="s">
        <v>35</v>
      </c>
      <c r="K1183" s="3"/>
      <c r="L1183" s="3" t="s">
        <v>36</v>
      </c>
      <c r="M1183" s="3" t="str">
        <f>CONCATENATE("GRLLRT88H17I608W")</f>
        <v>GRLLRT88H17I608W</v>
      </c>
      <c r="N1183" s="3" t="s">
        <v>1307</v>
      </c>
      <c r="O1183" s="3" t="s">
        <v>38</v>
      </c>
      <c r="P1183" s="3"/>
      <c r="Q1183" s="4">
        <v>45944</v>
      </c>
      <c r="R1183" s="3" t="s">
        <v>39</v>
      </c>
      <c r="S1183" s="3" t="s">
        <v>38</v>
      </c>
      <c r="T1183" s="3" t="s">
        <v>40</v>
      </c>
      <c r="U1183" s="3"/>
      <c r="V1183" s="3" t="s">
        <v>41</v>
      </c>
      <c r="W1183" s="5">
        <v>2546.23</v>
      </c>
      <c r="X1183" s="5">
        <v>1909.67</v>
      </c>
      <c r="Y1183" s="3">
        <v>445.59</v>
      </c>
      <c r="Z1183" s="3">
        <v>190.97</v>
      </c>
      <c r="AA1183" s="3">
        <v>0</v>
      </c>
    </row>
    <row r="1184" spans="1:27" ht="60.75" x14ac:dyDescent="0.25">
      <c r="A1184" s="3" t="s">
        <v>28</v>
      </c>
      <c r="B1184" s="3" t="s">
        <v>29</v>
      </c>
      <c r="C1184" s="3" t="s">
        <v>30</v>
      </c>
      <c r="D1184" s="3" t="s">
        <v>49</v>
      </c>
      <c r="E1184" s="3" t="s">
        <v>46</v>
      </c>
      <c r="F1184" s="3" t="s">
        <v>205</v>
      </c>
      <c r="G1184" s="3">
        <v>2025</v>
      </c>
      <c r="H1184" s="3" t="str">
        <f>CONCATENATE("54240544434")</f>
        <v>54240544434</v>
      </c>
      <c r="I1184" s="3" t="s">
        <v>34</v>
      </c>
      <c r="J1184" s="3" t="s">
        <v>35</v>
      </c>
      <c r="K1184" s="3"/>
      <c r="L1184" s="3" t="s">
        <v>36</v>
      </c>
      <c r="M1184" s="3" t="str">
        <f>CONCATENATE("GLNPRM52T25L191P")</f>
        <v>GLNPRM52T25L191P</v>
      </c>
      <c r="N1184" s="3" t="s">
        <v>1308</v>
      </c>
      <c r="O1184" s="3" t="s">
        <v>38</v>
      </c>
      <c r="P1184" s="3"/>
      <c r="Q1184" s="4">
        <v>45944</v>
      </c>
      <c r="R1184" s="3" t="s">
        <v>39</v>
      </c>
      <c r="S1184" s="3" t="s">
        <v>38</v>
      </c>
      <c r="T1184" s="3" t="s">
        <v>40</v>
      </c>
      <c r="U1184" s="3"/>
      <c r="V1184" s="3" t="s">
        <v>41</v>
      </c>
      <c r="W1184" s="5">
        <v>5112.45</v>
      </c>
      <c r="X1184" s="5">
        <v>3834.34</v>
      </c>
      <c r="Y1184" s="3">
        <v>894.68</v>
      </c>
      <c r="Z1184" s="3">
        <v>383.43</v>
      </c>
      <c r="AA1184" s="3">
        <v>0</v>
      </c>
    </row>
    <row r="1185" spans="1:27" ht="60.75" x14ac:dyDescent="0.25">
      <c r="A1185" s="3" t="s">
        <v>28</v>
      </c>
      <c r="B1185" s="3" t="s">
        <v>29</v>
      </c>
      <c r="C1185" s="3" t="s">
        <v>30</v>
      </c>
      <c r="D1185" s="3" t="s">
        <v>49</v>
      </c>
      <c r="E1185" s="3" t="s">
        <v>46</v>
      </c>
      <c r="F1185" s="3" t="s">
        <v>205</v>
      </c>
      <c r="G1185" s="3">
        <v>2025</v>
      </c>
      <c r="H1185" s="3" t="str">
        <f>CONCATENATE("54240544723")</f>
        <v>54240544723</v>
      </c>
      <c r="I1185" s="3" t="s">
        <v>34</v>
      </c>
      <c r="J1185" s="3" t="s">
        <v>35</v>
      </c>
      <c r="K1185" s="3"/>
      <c r="L1185" s="3" t="s">
        <v>36</v>
      </c>
      <c r="M1185" s="3" t="str">
        <f>CONCATENATE("GRSNRE57S10E694K")</f>
        <v>GRSNRE57S10E694K</v>
      </c>
      <c r="N1185" s="3" t="s">
        <v>1309</v>
      </c>
      <c r="O1185" s="3" t="s">
        <v>38</v>
      </c>
      <c r="P1185" s="3"/>
      <c r="Q1185" s="4">
        <v>45944</v>
      </c>
      <c r="R1185" s="3" t="s">
        <v>39</v>
      </c>
      <c r="S1185" s="3" t="s">
        <v>38</v>
      </c>
      <c r="T1185" s="3" t="s">
        <v>40</v>
      </c>
      <c r="U1185" s="3"/>
      <c r="V1185" s="3" t="s">
        <v>41</v>
      </c>
      <c r="W1185" s="5">
        <v>5441.97</v>
      </c>
      <c r="X1185" s="5">
        <v>4081.48</v>
      </c>
      <c r="Y1185" s="3">
        <v>952.34</v>
      </c>
      <c r="Z1185" s="3">
        <v>408.15</v>
      </c>
      <c r="AA1185" s="3">
        <v>0</v>
      </c>
    </row>
    <row r="1186" spans="1:27" ht="72.75" x14ac:dyDescent="0.25">
      <c r="A1186" s="3" t="s">
        <v>28</v>
      </c>
      <c r="B1186" s="3" t="s">
        <v>29</v>
      </c>
      <c r="C1186" s="3" t="s">
        <v>30</v>
      </c>
      <c r="D1186" s="3" t="s">
        <v>49</v>
      </c>
      <c r="E1186" s="3" t="s">
        <v>53</v>
      </c>
      <c r="F1186" s="3" t="s">
        <v>136</v>
      </c>
      <c r="G1186" s="3">
        <v>2025</v>
      </c>
      <c r="H1186" s="3" t="str">
        <f>CONCATENATE("54240544707")</f>
        <v>54240544707</v>
      </c>
      <c r="I1186" s="3" t="s">
        <v>34</v>
      </c>
      <c r="J1186" s="3" t="s">
        <v>35</v>
      </c>
      <c r="K1186" s="3"/>
      <c r="L1186" s="3" t="s">
        <v>36</v>
      </c>
      <c r="M1186" s="3" t="str">
        <f>CONCATENATE("DSDMSM49R07F454J")</f>
        <v>DSDMSM49R07F454J</v>
      </c>
      <c r="N1186" s="3" t="s">
        <v>1310</v>
      </c>
      <c r="O1186" s="3" t="s">
        <v>38</v>
      </c>
      <c r="P1186" s="3"/>
      <c r="Q1186" s="4">
        <v>45944</v>
      </c>
      <c r="R1186" s="3" t="s">
        <v>39</v>
      </c>
      <c r="S1186" s="3" t="s">
        <v>38</v>
      </c>
      <c r="T1186" s="3" t="s">
        <v>40</v>
      </c>
      <c r="U1186" s="3"/>
      <c r="V1186" s="3" t="s">
        <v>41</v>
      </c>
      <c r="W1186" s="5">
        <v>2583.64</v>
      </c>
      <c r="X1186" s="5">
        <v>1937.73</v>
      </c>
      <c r="Y1186" s="3">
        <v>452.14</v>
      </c>
      <c r="Z1186" s="3">
        <v>193.77</v>
      </c>
      <c r="AA1186" s="3">
        <v>0</v>
      </c>
    </row>
    <row r="1187" spans="1:27" ht="36.75" x14ac:dyDescent="0.25">
      <c r="A1187" s="3" t="s">
        <v>28</v>
      </c>
      <c r="B1187" s="3" t="s">
        <v>29</v>
      </c>
      <c r="C1187" s="3" t="s">
        <v>30</v>
      </c>
      <c r="D1187" s="3" t="s">
        <v>58</v>
      </c>
      <c r="E1187" s="3" t="s">
        <v>53</v>
      </c>
      <c r="F1187" s="3" t="s">
        <v>1311</v>
      </c>
      <c r="G1187" s="3">
        <v>2025</v>
      </c>
      <c r="H1187" s="3" t="str">
        <f>CONCATENATE("54240545175")</f>
        <v>54240545175</v>
      </c>
      <c r="I1187" s="3" t="s">
        <v>34</v>
      </c>
      <c r="J1187" s="3" t="s">
        <v>35</v>
      </c>
      <c r="K1187" s="3"/>
      <c r="L1187" s="3" t="s">
        <v>36</v>
      </c>
      <c r="M1187" s="3" t="str">
        <f>CONCATENATE("02747500425")</f>
        <v>02747500425</v>
      </c>
      <c r="N1187" s="3" t="s">
        <v>1312</v>
      </c>
      <c r="O1187" s="3" t="s">
        <v>38</v>
      </c>
      <c r="P1187" s="3"/>
      <c r="Q1187" s="4">
        <v>45944</v>
      </c>
      <c r="R1187" s="3" t="s">
        <v>39</v>
      </c>
      <c r="S1187" s="3" t="s">
        <v>38</v>
      </c>
      <c r="T1187" s="3" t="s">
        <v>40</v>
      </c>
      <c r="U1187" s="3"/>
      <c r="V1187" s="3" t="s">
        <v>41</v>
      </c>
      <c r="W1187" s="5">
        <v>7282.89</v>
      </c>
      <c r="X1187" s="5">
        <v>5462.17</v>
      </c>
      <c r="Y1187" s="5">
        <v>1274.51</v>
      </c>
      <c r="Z1187" s="3">
        <v>546.21</v>
      </c>
      <c r="AA1187" s="3">
        <v>0</v>
      </c>
    </row>
    <row r="1188" spans="1:27" ht="36.75" x14ac:dyDescent="0.25">
      <c r="A1188" s="3" t="s">
        <v>28</v>
      </c>
      <c r="B1188" s="3" t="s">
        <v>29</v>
      </c>
      <c r="C1188" s="3" t="s">
        <v>30</v>
      </c>
      <c r="D1188" s="3" t="s">
        <v>63</v>
      </c>
      <c r="E1188" s="3" t="s">
        <v>74</v>
      </c>
      <c r="F1188" s="3" t="s">
        <v>252</v>
      </c>
      <c r="G1188" s="3">
        <v>2025</v>
      </c>
      <c r="H1188" s="3" t="str">
        <f>CONCATENATE("54240545100")</f>
        <v>54240545100</v>
      </c>
      <c r="I1188" s="3" t="s">
        <v>34</v>
      </c>
      <c r="J1188" s="3" t="s">
        <v>35</v>
      </c>
      <c r="K1188" s="3"/>
      <c r="L1188" s="3" t="s">
        <v>36</v>
      </c>
      <c r="M1188" s="3" t="str">
        <f>CONCATENATE("02306870441")</f>
        <v>02306870441</v>
      </c>
      <c r="N1188" s="3" t="s">
        <v>1313</v>
      </c>
      <c r="O1188" s="3" t="s">
        <v>38</v>
      </c>
      <c r="P1188" s="3"/>
      <c r="Q1188" s="4">
        <v>45944</v>
      </c>
      <c r="R1188" s="3" t="s">
        <v>39</v>
      </c>
      <c r="S1188" s="3" t="s">
        <v>38</v>
      </c>
      <c r="T1188" s="3" t="s">
        <v>40</v>
      </c>
      <c r="U1188" s="3"/>
      <c r="V1188" s="3" t="s">
        <v>41</v>
      </c>
      <c r="W1188" s="5">
        <v>1624.04</v>
      </c>
      <c r="X1188" s="5">
        <v>1218.03</v>
      </c>
      <c r="Y1188" s="3">
        <v>284.20999999999998</v>
      </c>
      <c r="Z1188" s="3">
        <v>121.8</v>
      </c>
      <c r="AA1188" s="3">
        <v>0</v>
      </c>
    </row>
    <row r="1189" spans="1:27" ht="36.75" x14ac:dyDescent="0.25">
      <c r="A1189" s="3" t="s">
        <v>28</v>
      </c>
      <c r="B1189" s="3" t="s">
        <v>29</v>
      </c>
      <c r="C1189" s="3" t="s">
        <v>30</v>
      </c>
      <c r="D1189" s="3" t="s">
        <v>63</v>
      </c>
      <c r="E1189" s="3" t="s">
        <v>32</v>
      </c>
      <c r="F1189" s="3" t="s">
        <v>696</v>
      </c>
      <c r="G1189" s="3">
        <v>2025</v>
      </c>
      <c r="H1189" s="3" t="str">
        <f>CONCATENATE("54240561735")</f>
        <v>54240561735</v>
      </c>
      <c r="I1189" s="3" t="s">
        <v>149</v>
      </c>
      <c r="J1189" s="3" t="s">
        <v>35</v>
      </c>
      <c r="K1189" s="3"/>
      <c r="L1189" s="3" t="s">
        <v>36</v>
      </c>
      <c r="M1189" s="3" t="str">
        <f>CONCATENATE("01692240441")</f>
        <v>01692240441</v>
      </c>
      <c r="N1189" s="3" t="s">
        <v>1314</v>
      </c>
      <c r="O1189" s="3" t="s">
        <v>38</v>
      </c>
      <c r="P1189" s="3"/>
      <c r="Q1189" s="4">
        <v>45944</v>
      </c>
      <c r="R1189" s="3" t="s">
        <v>39</v>
      </c>
      <c r="S1189" s="3" t="s">
        <v>38</v>
      </c>
      <c r="T1189" s="3" t="s">
        <v>40</v>
      </c>
      <c r="U1189" s="3"/>
      <c r="V1189" s="3" t="s">
        <v>41</v>
      </c>
      <c r="W1189" s="5">
        <v>5125.08</v>
      </c>
      <c r="X1189" s="5">
        <v>3843.81</v>
      </c>
      <c r="Y1189" s="3">
        <v>896.89</v>
      </c>
      <c r="Z1189" s="3">
        <v>384.38</v>
      </c>
      <c r="AA1189" s="3">
        <v>0</v>
      </c>
    </row>
    <row r="1190" spans="1:27" ht="60.75" x14ac:dyDescent="0.25">
      <c r="A1190" s="3" t="s">
        <v>28</v>
      </c>
      <c r="B1190" s="3" t="s">
        <v>29</v>
      </c>
      <c r="C1190" s="3" t="s">
        <v>30</v>
      </c>
      <c r="D1190" s="3" t="s">
        <v>58</v>
      </c>
      <c r="E1190" s="3" t="s">
        <v>53</v>
      </c>
      <c r="F1190" s="3" t="s">
        <v>59</v>
      </c>
      <c r="G1190" s="3">
        <v>2025</v>
      </c>
      <c r="H1190" s="3" t="str">
        <f>CONCATENATE("54240545530")</f>
        <v>54240545530</v>
      </c>
      <c r="I1190" s="3" t="s">
        <v>34</v>
      </c>
      <c r="J1190" s="3" t="s">
        <v>35</v>
      </c>
      <c r="K1190" s="3"/>
      <c r="L1190" s="3" t="s">
        <v>36</v>
      </c>
      <c r="M1190" s="3" t="str">
        <f>CONCATENATE("MNFCRS92C49D451M")</f>
        <v>MNFCRS92C49D451M</v>
      </c>
      <c r="N1190" s="3" t="s">
        <v>1315</v>
      </c>
      <c r="O1190" s="3" t="s">
        <v>38</v>
      </c>
      <c r="P1190" s="3"/>
      <c r="Q1190" s="4">
        <v>45944</v>
      </c>
      <c r="R1190" s="3" t="s">
        <v>39</v>
      </c>
      <c r="S1190" s="3" t="s">
        <v>38</v>
      </c>
      <c r="T1190" s="3" t="s">
        <v>40</v>
      </c>
      <c r="U1190" s="3"/>
      <c r="V1190" s="3" t="s">
        <v>41</v>
      </c>
      <c r="W1190" s="5">
        <v>1474.14</v>
      </c>
      <c r="X1190" s="5">
        <v>1105.6099999999999</v>
      </c>
      <c r="Y1190" s="3">
        <v>257.97000000000003</v>
      </c>
      <c r="Z1190" s="3">
        <v>110.56</v>
      </c>
      <c r="AA1190" s="3">
        <v>0</v>
      </c>
    </row>
    <row r="1191" spans="1:27" ht="36.75" x14ac:dyDescent="0.25">
      <c r="A1191" s="3" t="s">
        <v>28</v>
      </c>
      <c r="B1191" s="3" t="s">
        <v>29</v>
      </c>
      <c r="C1191" s="3" t="s">
        <v>30</v>
      </c>
      <c r="D1191" s="3" t="s">
        <v>63</v>
      </c>
      <c r="E1191" s="3" t="s">
        <v>32</v>
      </c>
      <c r="F1191" s="3" t="s">
        <v>1316</v>
      </c>
      <c r="G1191" s="3">
        <v>2025</v>
      </c>
      <c r="H1191" s="3" t="str">
        <f>CONCATENATE("54240546223")</f>
        <v>54240546223</v>
      </c>
      <c r="I1191" s="3" t="s">
        <v>34</v>
      </c>
      <c r="J1191" s="3" t="s">
        <v>35</v>
      </c>
      <c r="K1191" s="3"/>
      <c r="L1191" s="3" t="s">
        <v>36</v>
      </c>
      <c r="M1191" s="3" t="str">
        <f>CONCATENATE("01966940676")</f>
        <v>01966940676</v>
      </c>
      <c r="N1191" s="3" t="s">
        <v>1317</v>
      </c>
      <c r="O1191" s="3" t="s">
        <v>38</v>
      </c>
      <c r="P1191" s="3"/>
      <c r="Q1191" s="4">
        <v>45944</v>
      </c>
      <c r="R1191" s="3" t="s">
        <v>39</v>
      </c>
      <c r="S1191" s="3" t="s">
        <v>38</v>
      </c>
      <c r="T1191" s="3" t="s">
        <v>40</v>
      </c>
      <c r="U1191" s="3"/>
      <c r="V1191" s="3" t="s">
        <v>41</v>
      </c>
      <c r="W1191" s="5">
        <v>7120.57</v>
      </c>
      <c r="X1191" s="5">
        <v>5340.43</v>
      </c>
      <c r="Y1191" s="5">
        <v>1246.0999999999999</v>
      </c>
      <c r="Z1191" s="3">
        <v>534.04</v>
      </c>
      <c r="AA1191" s="3">
        <v>0</v>
      </c>
    </row>
    <row r="1192" spans="1:27" ht="60.75" x14ac:dyDescent="0.25">
      <c r="A1192" s="3" t="s">
        <v>28</v>
      </c>
      <c r="B1192" s="3" t="s">
        <v>29</v>
      </c>
      <c r="C1192" s="3" t="s">
        <v>30</v>
      </c>
      <c r="D1192" s="3" t="s">
        <v>49</v>
      </c>
      <c r="E1192" s="3" t="s">
        <v>53</v>
      </c>
      <c r="F1192" s="3" t="s">
        <v>136</v>
      </c>
      <c r="G1192" s="3">
        <v>2025</v>
      </c>
      <c r="H1192" s="3" t="str">
        <f>CONCATENATE("54240546330")</f>
        <v>54240546330</v>
      </c>
      <c r="I1192" s="3" t="s">
        <v>34</v>
      </c>
      <c r="J1192" s="3" t="s">
        <v>35</v>
      </c>
      <c r="K1192" s="3"/>
      <c r="L1192" s="3" t="s">
        <v>36</v>
      </c>
      <c r="M1192" s="3" t="str">
        <f>CONCATENATE("MCCNTN48D05F567N")</f>
        <v>MCCNTN48D05F567N</v>
      </c>
      <c r="N1192" s="3" t="s">
        <v>1318</v>
      </c>
      <c r="O1192" s="3" t="s">
        <v>38</v>
      </c>
      <c r="P1192" s="3"/>
      <c r="Q1192" s="4">
        <v>45944</v>
      </c>
      <c r="R1192" s="3" t="s">
        <v>39</v>
      </c>
      <c r="S1192" s="3" t="s">
        <v>38</v>
      </c>
      <c r="T1192" s="3" t="s">
        <v>40</v>
      </c>
      <c r="U1192" s="3"/>
      <c r="V1192" s="3" t="s">
        <v>41</v>
      </c>
      <c r="W1192" s="5">
        <v>1712.71</v>
      </c>
      <c r="X1192" s="5">
        <v>1284.53</v>
      </c>
      <c r="Y1192" s="3">
        <v>299.72000000000003</v>
      </c>
      <c r="Z1192" s="3">
        <v>128.46</v>
      </c>
      <c r="AA1192" s="3">
        <v>0</v>
      </c>
    </row>
    <row r="1193" spans="1:27" ht="60.75" x14ac:dyDescent="0.25">
      <c r="A1193" s="3" t="s">
        <v>28</v>
      </c>
      <c r="B1193" s="3" t="s">
        <v>29</v>
      </c>
      <c r="C1193" s="3" t="s">
        <v>30</v>
      </c>
      <c r="D1193" s="3" t="s">
        <v>31</v>
      </c>
      <c r="E1193" s="3" t="s">
        <v>53</v>
      </c>
      <c r="F1193" s="3" t="s">
        <v>172</v>
      </c>
      <c r="G1193" s="3">
        <v>2025</v>
      </c>
      <c r="H1193" s="3" t="str">
        <f>CONCATENATE("54240550217")</f>
        <v>54240550217</v>
      </c>
      <c r="I1193" s="3" t="s">
        <v>34</v>
      </c>
      <c r="J1193" s="3" t="s">
        <v>35</v>
      </c>
      <c r="K1193" s="3"/>
      <c r="L1193" s="3" t="s">
        <v>36</v>
      </c>
      <c r="M1193" s="3" t="str">
        <f>CONCATENATE("LLGCTT64R44D749U")</f>
        <v>LLGCTT64R44D749U</v>
      </c>
      <c r="N1193" s="3" t="s">
        <v>1319</v>
      </c>
      <c r="O1193" s="3" t="s">
        <v>38</v>
      </c>
      <c r="P1193" s="3"/>
      <c r="Q1193" s="4">
        <v>45944</v>
      </c>
      <c r="R1193" s="3" t="s">
        <v>39</v>
      </c>
      <c r="S1193" s="3" t="s">
        <v>38</v>
      </c>
      <c r="T1193" s="3" t="s">
        <v>40</v>
      </c>
      <c r="U1193" s="3"/>
      <c r="V1193" s="3" t="s">
        <v>41</v>
      </c>
      <c r="W1193" s="3">
        <v>500.21</v>
      </c>
      <c r="X1193" s="3">
        <v>375.16</v>
      </c>
      <c r="Y1193" s="3">
        <v>87.54</v>
      </c>
      <c r="Z1193" s="3">
        <v>37.51</v>
      </c>
      <c r="AA1193" s="3">
        <v>0</v>
      </c>
    </row>
    <row r="1194" spans="1:27" ht="72.75" x14ac:dyDescent="0.25">
      <c r="A1194" s="3" t="s">
        <v>28</v>
      </c>
      <c r="B1194" s="3" t="s">
        <v>29</v>
      </c>
      <c r="C1194" s="3" t="s">
        <v>30</v>
      </c>
      <c r="D1194" s="3" t="s">
        <v>49</v>
      </c>
      <c r="E1194" s="3" t="s">
        <v>46</v>
      </c>
      <c r="F1194" s="3" t="s">
        <v>205</v>
      </c>
      <c r="G1194" s="3">
        <v>2025</v>
      </c>
      <c r="H1194" s="3" t="str">
        <f>CONCATENATE("54240546934")</f>
        <v>54240546934</v>
      </c>
      <c r="I1194" s="3" t="s">
        <v>34</v>
      </c>
      <c r="J1194" s="3" t="s">
        <v>35</v>
      </c>
      <c r="K1194" s="3"/>
      <c r="L1194" s="3" t="s">
        <v>36</v>
      </c>
      <c r="M1194" s="3" t="str">
        <f>CONCATENATE("SLCMRA59R26B398B")</f>
        <v>SLCMRA59R26B398B</v>
      </c>
      <c r="N1194" s="3" t="s">
        <v>1320</v>
      </c>
      <c r="O1194" s="3" t="s">
        <v>38</v>
      </c>
      <c r="P1194" s="3"/>
      <c r="Q1194" s="4">
        <v>45944</v>
      </c>
      <c r="R1194" s="3" t="s">
        <v>39</v>
      </c>
      <c r="S1194" s="3" t="s">
        <v>38</v>
      </c>
      <c r="T1194" s="3" t="s">
        <v>40</v>
      </c>
      <c r="U1194" s="3"/>
      <c r="V1194" s="3" t="s">
        <v>41</v>
      </c>
      <c r="W1194" s="5">
        <v>1066.82</v>
      </c>
      <c r="X1194" s="3">
        <v>800.12</v>
      </c>
      <c r="Y1194" s="3">
        <v>186.69</v>
      </c>
      <c r="Z1194" s="3">
        <v>80.010000000000005</v>
      </c>
      <c r="AA1194" s="3">
        <v>0</v>
      </c>
    </row>
    <row r="1195" spans="1:27" ht="60.75" x14ac:dyDescent="0.25">
      <c r="A1195" s="3" t="s">
        <v>28</v>
      </c>
      <c r="B1195" s="3" t="s">
        <v>29</v>
      </c>
      <c r="C1195" s="3" t="s">
        <v>30</v>
      </c>
      <c r="D1195" s="3" t="s">
        <v>31</v>
      </c>
      <c r="E1195" s="3" t="s">
        <v>53</v>
      </c>
      <c r="F1195" s="3" t="s">
        <v>414</v>
      </c>
      <c r="G1195" s="3">
        <v>2025</v>
      </c>
      <c r="H1195" s="3" t="str">
        <f>CONCATENATE("54240547262")</f>
        <v>54240547262</v>
      </c>
      <c r="I1195" s="3" t="s">
        <v>34</v>
      </c>
      <c r="J1195" s="3" t="s">
        <v>35</v>
      </c>
      <c r="K1195" s="3"/>
      <c r="L1195" s="3" t="s">
        <v>36</v>
      </c>
      <c r="M1195" s="3" t="str">
        <f>CONCATENATE("PSCFNC74B42D488S")</f>
        <v>PSCFNC74B42D488S</v>
      </c>
      <c r="N1195" s="3" t="s">
        <v>1321</v>
      </c>
      <c r="O1195" s="3" t="s">
        <v>38</v>
      </c>
      <c r="P1195" s="3"/>
      <c r="Q1195" s="4">
        <v>45944</v>
      </c>
      <c r="R1195" s="3" t="s">
        <v>39</v>
      </c>
      <c r="S1195" s="3" t="s">
        <v>38</v>
      </c>
      <c r="T1195" s="3" t="s">
        <v>40</v>
      </c>
      <c r="U1195" s="3"/>
      <c r="V1195" s="3" t="s">
        <v>41</v>
      </c>
      <c r="W1195" s="5">
        <v>1343.18</v>
      </c>
      <c r="X1195" s="5">
        <v>1007.39</v>
      </c>
      <c r="Y1195" s="3">
        <v>235.06</v>
      </c>
      <c r="Z1195" s="3">
        <v>100.73</v>
      </c>
      <c r="AA1195" s="3">
        <v>0</v>
      </c>
    </row>
    <row r="1196" spans="1:27" ht="60.75" x14ac:dyDescent="0.25">
      <c r="A1196" s="3" t="s">
        <v>28</v>
      </c>
      <c r="B1196" s="3" t="s">
        <v>29</v>
      </c>
      <c r="C1196" s="3" t="s">
        <v>30</v>
      </c>
      <c r="D1196" s="3" t="s">
        <v>49</v>
      </c>
      <c r="E1196" s="3" t="s">
        <v>32</v>
      </c>
      <c r="F1196" s="3" t="s">
        <v>283</v>
      </c>
      <c r="G1196" s="3">
        <v>2025</v>
      </c>
      <c r="H1196" s="3" t="str">
        <f>CONCATENATE("54240547023")</f>
        <v>54240547023</v>
      </c>
      <c r="I1196" s="3" t="s">
        <v>34</v>
      </c>
      <c r="J1196" s="3" t="s">
        <v>35</v>
      </c>
      <c r="K1196" s="3"/>
      <c r="L1196" s="3" t="s">
        <v>36</v>
      </c>
      <c r="M1196" s="3" t="str">
        <f>CONCATENATE("SCCGCR65B01H211C")</f>
        <v>SCCGCR65B01H211C</v>
      </c>
      <c r="N1196" s="3" t="s">
        <v>1322</v>
      </c>
      <c r="O1196" s="3" t="s">
        <v>38</v>
      </c>
      <c r="P1196" s="3"/>
      <c r="Q1196" s="4">
        <v>45944</v>
      </c>
      <c r="R1196" s="3" t="s">
        <v>39</v>
      </c>
      <c r="S1196" s="3" t="s">
        <v>38</v>
      </c>
      <c r="T1196" s="3" t="s">
        <v>40</v>
      </c>
      <c r="U1196" s="3"/>
      <c r="V1196" s="3" t="s">
        <v>41</v>
      </c>
      <c r="W1196" s="5">
        <v>1469.47</v>
      </c>
      <c r="X1196" s="5">
        <v>1102.0999999999999</v>
      </c>
      <c r="Y1196" s="3">
        <v>257.16000000000003</v>
      </c>
      <c r="Z1196" s="3">
        <v>110.21</v>
      </c>
      <c r="AA1196" s="3">
        <v>0</v>
      </c>
    </row>
    <row r="1197" spans="1:27" ht="60.75" x14ac:dyDescent="0.25">
      <c r="A1197" s="3" t="s">
        <v>28</v>
      </c>
      <c r="B1197" s="3" t="s">
        <v>29</v>
      </c>
      <c r="C1197" s="3" t="s">
        <v>30</v>
      </c>
      <c r="D1197" s="3" t="s">
        <v>49</v>
      </c>
      <c r="E1197" s="3" t="s">
        <v>32</v>
      </c>
      <c r="F1197" s="3" t="s">
        <v>69</v>
      </c>
      <c r="G1197" s="3">
        <v>2025</v>
      </c>
      <c r="H1197" s="3" t="str">
        <f>CONCATENATE("54240547130")</f>
        <v>54240547130</v>
      </c>
      <c r="I1197" s="3" t="s">
        <v>34</v>
      </c>
      <c r="J1197" s="3" t="s">
        <v>35</v>
      </c>
      <c r="K1197" s="3"/>
      <c r="L1197" s="3" t="s">
        <v>36</v>
      </c>
      <c r="M1197" s="3" t="str">
        <f>CONCATENATE("SLLRCR77A14E783H")</f>
        <v>SLLRCR77A14E783H</v>
      </c>
      <c r="N1197" s="3" t="s">
        <v>1323</v>
      </c>
      <c r="O1197" s="3" t="s">
        <v>38</v>
      </c>
      <c r="P1197" s="3"/>
      <c r="Q1197" s="4">
        <v>45944</v>
      </c>
      <c r="R1197" s="3" t="s">
        <v>39</v>
      </c>
      <c r="S1197" s="3" t="s">
        <v>38</v>
      </c>
      <c r="T1197" s="3" t="s">
        <v>40</v>
      </c>
      <c r="U1197" s="3"/>
      <c r="V1197" s="3" t="s">
        <v>41</v>
      </c>
      <c r="W1197" s="5">
        <v>11880.17</v>
      </c>
      <c r="X1197" s="5">
        <v>8910.1299999999992</v>
      </c>
      <c r="Y1197" s="5">
        <v>2079.0300000000002</v>
      </c>
      <c r="Z1197" s="3">
        <v>891.01</v>
      </c>
      <c r="AA1197" s="3">
        <v>0</v>
      </c>
    </row>
    <row r="1198" spans="1:27" ht="72.75" x14ac:dyDescent="0.25">
      <c r="A1198" s="3" t="s">
        <v>28</v>
      </c>
      <c r="B1198" s="3" t="s">
        <v>29</v>
      </c>
      <c r="C1198" s="3" t="s">
        <v>30</v>
      </c>
      <c r="D1198" s="3" t="s">
        <v>31</v>
      </c>
      <c r="E1198" s="3" t="s">
        <v>91</v>
      </c>
      <c r="F1198" s="3" t="s">
        <v>111</v>
      </c>
      <c r="G1198" s="3">
        <v>2025</v>
      </c>
      <c r="H1198" s="3" t="str">
        <f>CONCATENATE("54240547114")</f>
        <v>54240547114</v>
      </c>
      <c r="I1198" s="3" t="s">
        <v>34</v>
      </c>
      <c r="J1198" s="3" t="s">
        <v>35</v>
      </c>
      <c r="K1198" s="3"/>
      <c r="L1198" s="3" t="s">
        <v>36</v>
      </c>
      <c r="M1198" s="3" t="str">
        <f>CONCATENATE("BRGGNE97H02D488V")</f>
        <v>BRGGNE97H02D488V</v>
      </c>
      <c r="N1198" s="3" t="s">
        <v>1324</v>
      </c>
      <c r="O1198" s="3" t="s">
        <v>38</v>
      </c>
      <c r="P1198" s="3"/>
      <c r="Q1198" s="4">
        <v>45944</v>
      </c>
      <c r="R1198" s="3" t="s">
        <v>39</v>
      </c>
      <c r="S1198" s="3" t="s">
        <v>38</v>
      </c>
      <c r="T1198" s="3" t="s">
        <v>40</v>
      </c>
      <c r="U1198" s="3"/>
      <c r="V1198" s="3" t="s">
        <v>41</v>
      </c>
      <c r="W1198" s="5">
        <v>2247.0700000000002</v>
      </c>
      <c r="X1198" s="5">
        <v>1685.3</v>
      </c>
      <c r="Y1198" s="3">
        <v>393.24</v>
      </c>
      <c r="Z1198" s="3">
        <v>168.53</v>
      </c>
      <c r="AA1198" s="3">
        <v>0</v>
      </c>
    </row>
    <row r="1199" spans="1:27" ht="60.75" x14ac:dyDescent="0.25">
      <c r="A1199" s="3" t="s">
        <v>28</v>
      </c>
      <c r="B1199" s="3" t="s">
        <v>29</v>
      </c>
      <c r="C1199" s="3" t="s">
        <v>30</v>
      </c>
      <c r="D1199" s="3" t="s">
        <v>63</v>
      </c>
      <c r="E1199" s="3" t="s">
        <v>32</v>
      </c>
      <c r="F1199" s="3" t="s">
        <v>142</v>
      </c>
      <c r="G1199" s="3">
        <v>2025</v>
      </c>
      <c r="H1199" s="3" t="str">
        <f>CONCATENATE("54240547213")</f>
        <v>54240547213</v>
      </c>
      <c r="I1199" s="3" t="s">
        <v>34</v>
      </c>
      <c r="J1199" s="3" t="s">
        <v>35</v>
      </c>
      <c r="K1199" s="3"/>
      <c r="L1199" s="3" t="s">
        <v>36</v>
      </c>
      <c r="M1199" s="3" t="str">
        <f>CONCATENATE("DRBMCR81L71Z129H")</f>
        <v>DRBMCR81L71Z129H</v>
      </c>
      <c r="N1199" s="3" t="s">
        <v>1325</v>
      </c>
      <c r="O1199" s="3" t="s">
        <v>38</v>
      </c>
      <c r="P1199" s="3"/>
      <c r="Q1199" s="4">
        <v>45944</v>
      </c>
      <c r="R1199" s="3" t="s">
        <v>39</v>
      </c>
      <c r="S1199" s="3" t="s">
        <v>38</v>
      </c>
      <c r="T1199" s="3" t="s">
        <v>40</v>
      </c>
      <c r="U1199" s="3"/>
      <c r="V1199" s="3" t="s">
        <v>41</v>
      </c>
      <c r="W1199" s="5">
        <v>5286.41</v>
      </c>
      <c r="X1199" s="5">
        <v>3964.81</v>
      </c>
      <c r="Y1199" s="3">
        <v>925.12</v>
      </c>
      <c r="Z1199" s="3">
        <v>396.48</v>
      </c>
      <c r="AA1199" s="3">
        <v>0</v>
      </c>
    </row>
    <row r="1200" spans="1:27" ht="36.75" x14ac:dyDescent="0.25">
      <c r="A1200" s="3" t="s">
        <v>28</v>
      </c>
      <c r="B1200" s="3" t="s">
        <v>29</v>
      </c>
      <c r="C1200" s="3" t="s">
        <v>30</v>
      </c>
      <c r="D1200" s="3" t="s">
        <v>49</v>
      </c>
      <c r="E1200" s="3" t="s">
        <v>53</v>
      </c>
      <c r="F1200" s="3" t="s">
        <v>136</v>
      </c>
      <c r="G1200" s="3">
        <v>2025</v>
      </c>
      <c r="H1200" s="3" t="str">
        <f>CONCATENATE("54240547155")</f>
        <v>54240547155</v>
      </c>
      <c r="I1200" s="3" t="s">
        <v>34</v>
      </c>
      <c r="J1200" s="3" t="s">
        <v>35</v>
      </c>
      <c r="K1200" s="3"/>
      <c r="L1200" s="3" t="s">
        <v>36</v>
      </c>
      <c r="M1200" s="3" t="str">
        <f>CONCATENATE("01340930435")</f>
        <v>01340930435</v>
      </c>
      <c r="N1200" s="3" t="s">
        <v>1326</v>
      </c>
      <c r="O1200" s="3" t="s">
        <v>38</v>
      </c>
      <c r="P1200" s="3"/>
      <c r="Q1200" s="4">
        <v>45944</v>
      </c>
      <c r="R1200" s="3" t="s">
        <v>39</v>
      </c>
      <c r="S1200" s="3" t="s">
        <v>38</v>
      </c>
      <c r="T1200" s="3" t="s">
        <v>40</v>
      </c>
      <c r="U1200" s="3"/>
      <c r="V1200" s="3" t="s">
        <v>41</v>
      </c>
      <c r="W1200" s="5">
        <v>5350.78</v>
      </c>
      <c r="X1200" s="5">
        <v>4013.09</v>
      </c>
      <c r="Y1200" s="3">
        <v>936.39</v>
      </c>
      <c r="Z1200" s="3">
        <v>401.3</v>
      </c>
      <c r="AA1200" s="3">
        <v>0</v>
      </c>
    </row>
    <row r="1201" spans="1:27" ht="36.75" x14ac:dyDescent="0.25">
      <c r="A1201" s="3" t="s">
        <v>28</v>
      </c>
      <c r="B1201" s="3" t="s">
        <v>29</v>
      </c>
      <c r="C1201" s="3" t="s">
        <v>30</v>
      </c>
      <c r="D1201" s="3" t="s">
        <v>49</v>
      </c>
      <c r="E1201" s="3" t="s">
        <v>74</v>
      </c>
      <c r="F1201" s="3" t="s">
        <v>252</v>
      </c>
      <c r="G1201" s="3">
        <v>2025</v>
      </c>
      <c r="H1201" s="3" t="str">
        <f>CONCATENATE("54240547395")</f>
        <v>54240547395</v>
      </c>
      <c r="I1201" s="3" t="s">
        <v>34</v>
      </c>
      <c r="J1201" s="3" t="s">
        <v>35</v>
      </c>
      <c r="K1201" s="3"/>
      <c r="L1201" s="3" t="s">
        <v>36</v>
      </c>
      <c r="M1201" s="3" t="str">
        <f>CONCATENATE("02055080432")</f>
        <v>02055080432</v>
      </c>
      <c r="N1201" s="3" t="s">
        <v>1327</v>
      </c>
      <c r="O1201" s="3" t="s">
        <v>38</v>
      </c>
      <c r="P1201" s="3"/>
      <c r="Q1201" s="4">
        <v>45944</v>
      </c>
      <c r="R1201" s="3" t="s">
        <v>39</v>
      </c>
      <c r="S1201" s="3" t="s">
        <v>38</v>
      </c>
      <c r="T1201" s="3" t="s">
        <v>40</v>
      </c>
      <c r="U1201" s="3"/>
      <c r="V1201" s="3" t="s">
        <v>41</v>
      </c>
      <c r="W1201" s="5">
        <v>3070.44</v>
      </c>
      <c r="X1201" s="5">
        <v>2302.83</v>
      </c>
      <c r="Y1201" s="3">
        <v>537.33000000000004</v>
      </c>
      <c r="Z1201" s="3">
        <v>230.28</v>
      </c>
      <c r="AA1201" s="3">
        <v>0</v>
      </c>
    </row>
    <row r="1202" spans="1:27" ht="36.75" x14ac:dyDescent="0.25">
      <c r="A1202" s="3" t="s">
        <v>28</v>
      </c>
      <c r="B1202" s="3" t="s">
        <v>29</v>
      </c>
      <c r="C1202" s="3" t="s">
        <v>30</v>
      </c>
      <c r="D1202" s="3" t="s">
        <v>63</v>
      </c>
      <c r="E1202" s="3" t="s">
        <v>64</v>
      </c>
      <c r="F1202" s="3" t="s">
        <v>65</v>
      </c>
      <c r="G1202" s="3">
        <v>2025</v>
      </c>
      <c r="H1202" s="3" t="str">
        <f>CONCATENATE("54240646361")</f>
        <v>54240646361</v>
      </c>
      <c r="I1202" s="3" t="s">
        <v>149</v>
      </c>
      <c r="J1202" s="3" t="s">
        <v>35</v>
      </c>
      <c r="K1202" s="3"/>
      <c r="L1202" s="3" t="s">
        <v>36</v>
      </c>
      <c r="M1202" s="3" t="str">
        <f>CONCATENATE("01027540440")</f>
        <v>01027540440</v>
      </c>
      <c r="N1202" s="3" t="s">
        <v>1328</v>
      </c>
      <c r="O1202" s="3" t="s">
        <v>38</v>
      </c>
      <c r="P1202" s="3"/>
      <c r="Q1202" s="4">
        <v>45944</v>
      </c>
      <c r="R1202" s="3" t="s">
        <v>39</v>
      </c>
      <c r="S1202" s="3" t="s">
        <v>38</v>
      </c>
      <c r="T1202" s="3" t="s">
        <v>40</v>
      </c>
      <c r="U1202" s="3"/>
      <c r="V1202" s="3" t="s">
        <v>41</v>
      </c>
      <c r="W1202" s="5">
        <v>4973.26</v>
      </c>
      <c r="X1202" s="5">
        <v>3729.95</v>
      </c>
      <c r="Y1202" s="3">
        <v>870.32</v>
      </c>
      <c r="Z1202" s="3">
        <v>372.99</v>
      </c>
      <c r="AA1202" s="3">
        <v>0</v>
      </c>
    </row>
    <row r="1203" spans="1:27" ht="36.75" x14ac:dyDescent="0.25">
      <c r="A1203" s="3" t="s">
        <v>28</v>
      </c>
      <c r="B1203" s="3" t="s">
        <v>29</v>
      </c>
      <c r="C1203" s="3" t="s">
        <v>30</v>
      </c>
      <c r="D1203" s="3" t="s">
        <v>49</v>
      </c>
      <c r="E1203" s="3" t="s">
        <v>46</v>
      </c>
      <c r="F1203" s="3" t="s">
        <v>205</v>
      </c>
      <c r="G1203" s="3">
        <v>2025</v>
      </c>
      <c r="H1203" s="3" t="str">
        <f>CONCATENATE("54240582533")</f>
        <v>54240582533</v>
      </c>
      <c r="I1203" s="3" t="s">
        <v>34</v>
      </c>
      <c r="J1203" s="3" t="s">
        <v>35</v>
      </c>
      <c r="K1203" s="3"/>
      <c r="L1203" s="3" t="s">
        <v>36</v>
      </c>
      <c r="M1203" s="3" t="str">
        <f>CONCATENATE("01914030430")</f>
        <v>01914030430</v>
      </c>
      <c r="N1203" s="3" t="s">
        <v>1329</v>
      </c>
      <c r="O1203" s="3" t="s">
        <v>38</v>
      </c>
      <c r="P1203" s="3"/>
      <c r="Q1203" s="4">
        <v>45944</v>
      </c>
      <c r="R1203" s="3" t="s">
        <v>39</v>
      </c>
      <c r="S1203" s="3" t="s">
        <v>38</v>
      </c>
      <c r="T1203" s="3" t="s">
        <v>40</v>
      </c>
      <c r="U1203" s="3"/>
      <c r="V1203" s="3" t="s">
        <v>41</v>
      </c>
      <c r="W1203" s="5">
        <v>1377.79</v>
      </c>
      <c r="X1203" s="5">
        <v>1033.3399999999999</v>
      </c>
      <c r="Y1203" s="3">
        <v>241.11</v>
      </c>
      <c r="Z1203" s="3">
        <v>103.34</v>
      </c>
      <c r="AA1203" s="3">
        <v>0</v>
      </c>
    </row>
    <row r="1204" spans="1:27" ht="60.75" x14ac:dyDescent="0.25">
      <c r="A1204" s="3" t="s">
        <v>28</v>
      </c>
      <c r="B1204" s="3" t="s">
        <v>29</v>
      </c>
      <c r="C1204" s="3" t="s">
        <v>30</v>
      </c>
      <c r="D1204" s="3" t="s">
        <v>63</v>
      </c>
      <c r="E1204" s="3" t="s">
        <v>64</v>
      </c>
      <c r="F1204" s="3" t="s">
        <v>65</v>
      </c>
      <c r="G1204" s="3">
        <v>2025</v>
      </c>
      <c r="H1204" s="3" t="str">
        <f>CONCATENATE("54240646452")</f>
        <v>54240646452</v>
      </c>
      <c r="I1204" s="3" t="s">
        <v>34</v>
      </c>
      <c r="J1204" s="3" t="s">
        <v>35</v>
      </c>
      <c r="K1204" s="3"/>
      <c r="L1204" s="3" t="s">
        <v>36</v>
      </c>
      <c r="M1204" s="3" t="str">
        <f>CONCATENATE("CRRDVD03T02H769Q")</f>
        <v>CRRDVD03T02H769Q</v>
      </c>
      <c r="N1204" s="3" t="s">
        <v>1330</v>
      </c>
      <c r="O1204" s="3" t="s">
        <v>38</v>
      </c>
      <c r="P1204" s="3"/>
      <c r="Q1204" s="4">
        <v>45944</v>
      </c>
      <c r="R1204" s="3" t="s">
        <v>39</v>
      </c>
      <c r="S1204" s="3" t="s">
        <v>38</v>
      </c>
      <c r="T1204" s="3" t="s">
        <v>40</v>
      </c>
      <c r="U1204" s="3"/>
      <c r="V1204" s="3" t="s">
        <v>41</v>
      </c>
      <c r="W1204" s="5">
        <v>1590.26</v>
      </c>
      <c r="X1204" s="5">
        <v>1192.7</v>
      </c>
      <c r="Y1204" s="3">
        <v>278.3</v>
      </c>
      <c r="Z1204" s="3">
        <v>119.26</v>
      </c>
      <c r="AA1204" s="3">
        <v>0</v>
      </c>
    </row>
    <row r="1205" spans="1:27" ht="60.75" x14ac:dyDescent="0.25">
      <c r="A1205" s="3" t="s">
        <v>28</v>
      </c>
      <c r="B1205" s="3" t="s">
        <v>29</v>
      </c>
      <c r="C1205" s="3" t="s">
        <v>30</v>
      </c>
      <c r="D1205" s="3" t="s">
        <v>49</v>
      </c>
      <c r="E1205" s="3" t="s">
        <v>32</v>
      </c>
      <c r="F1205" s="3" t="s">
        <v>78</v>
      </c>
      <c r="G1205" s="3">
        <v>2025</v>
      </c>
      <c r="H1205" s="3" t="str">
        <f>CONCATENATE("54240550274")</f>
        <v>54240550274</v>
      </c>
      <c r="I1205" s="3" t="s">
        <v>34</v>
      </c>
      <c r="J1205" s="3" t="s">
        <v>35</v>
      </c>
      <c r="K1205" s="3"/>
      <c r="L1205" s="3" t="s">
        <v>36</v>
      </c>
      <c r="M1205" s="3" t="str">
        <f>CONCATENATE("PLAPLA76S08F051V")</f>
        <v>PLAPLA76S08F051V</v>
      </c>
      <c r="N1205" s="3" t="s">
        <v>1331</v>
      </c>
      <c r="O1205" s="3" t="s">
        <v>38</v>
      </c>
      <c r="P1205" s="3"/>
      <c r="Q1205" s="4">
        <v>45944</v>
      </c>
      <c r="R1205" s="3" t="s">
        <v>39</v>
      </c>
      <c r="S1205" s="3" t="s">
        <v>38</v>
      </c>
      <c r="T1205" s="3" t="s">
        <v>40</v>
      </c>
      <c r="U1205" s="3"/>
      <c r="V1205" s="3" t="s">
        <v>41</v>
      </c>
      <c r="W1205" s="5">
        <v>2495.9699999999998</v>
      </c>
      <c r="X1205" s="5">
        <v>1871.98</v>
      </c>
      <c r="Y1205" s="3">
        <v>436.79</v>
      </c>
      <c r="Z1205" s="3">
        <v>187.2</v>
      </c>
      <c r="AA1205" s="3">
        <v>0</v>
      </c>
    </row>
    <row r="1206" spans="1:27" ht="60.75" x14ac:dyDescent="0.25">
      <c r="A1206" s="3" t="s">
        <v>28</v>
      </c>
      <c r="B1206" s="3" t="s">
        <v>29</v>
      </c>
      <c r="C1206" s="3" t="s">
        <v>30</v>
      </c>
      <c r="D1206" s="3" t="s">
        <v>31</v>
      </c>
      <c r="E1206" s="3" t="s">
        <v>32</v>
      </c>
      <c r="F1206" s="3" t="s">
        <v>153</v>
      </c>
      <c r="G1206" s="3">
        <v>2025</v>
      </c>
      <c r="H1206" s="3" t="str">
        <f>CONCATENATE("54240548849")</f>
        <v>54240548849</v>
      </c>
      <c r="I1206" s="3" t="s">
        <v>34</v>
      </c>
      <c r="J1206" s="3" t="s">
        <v>35</v>
      </c>
      <c r="K1206" s="3"/>
      <c r="L1206" s="3" t="s">
        <v>36</v>
      </c>
      <c r="M1206" s="3" t="str">
        <f>CONCATENATE("CNCDVD47D18I670J")</f>
        <v>CNCDVD47D18I670J</v>
      </c>
      <c r="N1206" s="3" t="s">
        <v>1332</v>
      </c>
      <c r="O1206" s="3" t="s">
        <v>38</v>
      </c>
      <c r="P1206" s="3"/>
      <c r="Q1206" s="4">
        <v>45944</v>
      </c>
      <c r="R1206" s="3" t="s">
        <v>39</v>
      </c>
      <c r="S1206" s="3" t="s">
        <v>38</v>
      </c>
      <c r="T1206" s="3" t="s">
        <v>40</v>
      </c>
      <c r="U1206" s="3"/>
      <c r="V1206" s="3" t="s">
        <v>41</v>
      </c>
      <c r="W1206" s="5">
        <v>4754.95</v>
      </c>
      <c r="X1206" s="5">
        <v>3566.21</v>
      </c>
      <c r="Y1206" s="3">
        <v>832.12</v>
      </c>
      <c r="Z1206" s="3">
        <v>356.62</v>
      </c>
      <c r="AA1206" s="3">
        <v>0</v>
      </c>
    </row>
    <row r="1207" spans="1:27" ht="60.75" x14ac:dyDescent="0.25">
      <c r="A1207" s="3" t="s">
        <v>28</v>
      </c>
      <c r="B1207" s="3" t="s">
        <v>29</v>
      </c>
      <c r="C1207" s="3" t="s">
        <v>30</v>
      </c>
      <c r="D1207" s="3" t="s">
        <v>49</v>
      </c>
      <c r="E1207" s="3" t="s">
        <v>32</v>
      </c>
      <c r="F1207" s="3" t="s">
        <v>272</v>
      </c>
      <c r="G1207" s="3">
        <v>2025</v>
      </c>
      <c r="H1207" s="3" t="str">
        <f>CONCATENATE("54240548815")</f>
        <v>54240548815</v>
      </c>
      <c r="I1207" s="3" t="s">
        <v>34</v>
      </c>
      <c r="J1207" s="3" t="s">
        <v>35</v>
      </c>
      <c r="K1207" s="3"/>
      <c r="L1207" s="3" t="s">
        <v>36</v>
      </c>
      <c r="M1207" s="3" t="str">
        <f>CONCATENATE("ZMPLND67E46E783C")</f>
        <v>ZMPLND67E46E783C</v>
      </c>
      <c r="N1207" s="3" t="s">
        <v>1333</v>
      </c>
      <c r="O1207" s="3" t="s">
        <v>38</v>
      </c>
      <c r="P1207" s="3"/>
      <c r="Q1207" s="4">
        <v>45944</v>
      </c>
      <c r="R1207" s="3" t="s">
        <v>39</v>
      </c>
      <c r="S1207" s="3" t="s">
        <v>38</v>
      </c>
      <c r="T1207" s="3" t="s">
        <v>40</v>
      </c>
      <c r="U1207" s="3"/>
      <c r="V1207" s="3" t="s">
        <v>41</v>
      </c>
      <c r="W1207" s="5">
        <v>2082.87</v>
      </c>
      <c r="X1207" s="5">
        <v>1562.15</v>
      </c>
      <c r="Y1207" s="3">
        <v>364.5</v>
      </c>
      <c r="Z1207" s="3">
        <v>156.22</v>
      </c>
      <c r="AA1207" s="3">
        <v>0</v>
      </c>
    </row>
    <row r="1208" spans="1:27" ht="36.75" x14ac:dyDescent="0.25">
      <c r="A1208" s="3" t="s">
        <v>28</v>
      </c>
      <c r="B1208" s="3" t="s">
        <v>29</v>
      </c>
      <c r="C1208" s="3" t="s">
        <v>30</v>
      </c>
      <c r="D1208" s="3" t="s">
        <v>63</v>
      </c>
      <c r="E1208" s="3" t="s">
        <v>32</v>
      </c>
      <c r="F1208" s="3" t="s">
        <v>243</v>
      </c>
      <c r="G1208" s="3">
        <v>2025</v>
      </c>
      <c r="H1208" s="3" t="str">
        <f>CONCATENATE("54240574498")</f>
        <v>54240574498</v>
      </c>
      <c r="I1208" s="3" t="s">
        <v>34</v>
      </c>
      <c r="J1208" s="3" t="s">
        <v>35</v>
      </c>
      <c r="K1208" s="3"/>
      <c r="L1208" s="3" t="s">
        <v>36</v>
      </c>
      <c r="M1208" s="3" t="str">
        <f>CONCATENATE("00751650441")</f>
        <v>00751650441</v>
      </c>
      <c r="N1208" s="3" t="s">
        <v>1334</v>
      </c>
      <c r="O1208" s="3" t="s">
        <v>38</v>
      </c>
      <c r="P1208" s="3"/>
      <c r="Q1208" s="4">
        <v>45944</v>
      </c>
      <c r="R1208" s="3" t="s">
        <v>39</v>
      </c>
      <c r="S1208" s="3" t="s">
        <v>38</v>
      </c>
      <c r="T1208" s="3" t="s">
        <v>40</v>
      </c>
      <c r="U1208" s="3"/>
      <c r="V1208" s="3" t="s">
        <v>41</v>
      </c>
      <c r="W1208" s="3">
        <v>857.33</v>
      </c>
      <c r="X1208" s="3">
        <v>643</v>
      </c>
      <c r="Y1208" s="3">
        <v>150.03</v>
      </c>
      <c r="Z1208" s="3">
        <v>64.3</v>
      </c>
      <c r="AA1208" s="3">
        <v>0</v>
      </c>
    </row>
    <row r="1209" spans="1:27" ht="60.75" x14ac:dyDescent="0.25">
      <c r="A1209" s="3" t="s">
        <v>28</v>
      </c>
      <c r="B1209" s="3" t="s">
        <v>29</v>
      </c>
      <c r="C1209" s="3" t="s">
        <v>30</v>
      </c>
      <c r="D1209" s="3" t="s">
        <v>31</v>
      </c>
      <c r="E1209" s="3" t="s">
        <v>53</v>
      </c>
      <c r="F1209" s="3" t="s">
        <v>172</v>
      </c>
      <c r="G1209" s="3">
        <v>2025</v>
      </c>
      <c r="H1209" s="3" t="str">
        <f>CONCATENATE("54240548922")</f>
        <v>54240548922</v>
      </c>
      <c r="I1209" s="3" t="s">
        <v>34</v>
      </c>
      <c r="J1209" s="3" t="s">
        <v>35</v>
      </c>
      <c r="K1209" s="3"/>
      <c r="L1209" s="3" t="s">
        <v>36</v>
      </c>
      <c r="M1209" s="3" t="str">
        <f>CONCATENATE("BLCRRT63B19D749P")</f>
        <v>BLCRRT63B19D749P</v>
      </c>
      <c r="N1209" s="3" t="s">
        <v>1335</v>
      </c>
      <c r="O1209" s="3" t="s">
        <v>38</v>
      </c>
      <c r="P1209" s="3"/>
      <c r="Q1209" s="4">
        <v>45944</v>
      </c>
      <c r="R1209" s="3" t="s">
        <v>39</v>
      </c>
      <c r="S1209" s="3" t="s">
        <v>38</v>
      </c>
      <c r="T1209" s="3" t="s">
        <v>40</v>
      </c>
      <c r="U1209" s="3"/>
      <c r="V1209" s="3" t="s">
        <v>41</v>
      </c>
      <c r="W1209" s="5">
        <v>1303.23</v>
      </c>
      <c r="X1209" s="3">
        <v>977.42</v>
      </c>
      <c r="Y1209" s="3">
        <v>228.07</v>
      </c>
      <c r="Z1209" s="3">
        <v>97.74</v>
      </c>
      <c r="AA1209" s="3">
        <v>0</v>
      </c>
    </row>
    <row r="1210" spans="1:27" ht="60.75" x14ac:dyDescent="0.25">
      <c r="A1210" s="3" t="s">
        <v>28</v>
      </c>
      <c r="B1210" s="3" t="s">
        <v>29</v>
      </c>
      <c r="C1210" s="3" t="s">
        <v>30</v>
      </c>
      <c r="D1210" s="3" t="s">
        <v>58</v>
      </c>
      <c r="E1210" s="3" t="s">
        <v>74</v>
      </c>
      <c r="F1210" s="3" t="s">
        <v>247</v>
      </c>
      <c r="G1210" s="3">
        <v>2025</v>
      </c>
      <c r="H1210" s="3" t="str">
        <f>CONCATENATE("54240549557")</f>
        <v>54240549557</v>
      </c>
      <c r="I1210" s="3" t="s">
        <v>34</v>
      </c>
      <c r="J1210" s="3" t="s">
        <v>35</v>
      </c>
      <c r="K1210" s="3"/>
      <c r="L1210" s="3" t="s">
        <v>36</v>
      </c>
      <c r="M1210" s="3" t="str">
        <f>CONCATENATE("BLGMRT97M55E388L")</f>
        <v>BLGMRT97M55E388L</v>
      </c>
      <c r="N1210" s="3" t="s">
        <v>1336</v>
      </c>
      <c r="O1210" s="3" t="s">
        <v>38</v>
      </c>
      <c r="P1210" s="3"/>
      <c r="Q1210" s="4">
        <v>45944</v>
      </c>
      <c r="R1210" s="3" t="s">
        <v>39</v>
      </c>
      <c r="S1210" s="3" t="s">
        <v>38</v>
      </c>
      <c r="T1210" s="3" t="s">
        <v>40</v>
      </c>
      <c r="U1210" s="3"/>
      <c r="V1210" s="3" t="s">
        <v>41</v>
      </c>
      <c r="W1210" s="5">
        <v>4025.57</v>
      </c>
      <c r="X1210" s="5">
        <v>3019.18</v>
      </c>
      <c r="Y1210" s="3">
        <v>704.47</v>
      </c>
      <c r="Z1210" s="3">
        <v>301.92</v>
      </c>
      <c r="AA1210" s="3">
        <v>0</v>
      </c>
    </row>
    <row r="1211" spans="1:27" ht="72.75" x14ac:dyDescent="0.25">
      <c r="A1211" s="3" t="s">
        <v>28</v>
      </c>
      <c r="B1211" s="3" t="s">
        <v>29</v>
      </c>
      <c r="C1211" s="3" t="s">
        <v>30</v>
      </c>
      <c r="D1211" s="3" t="s">
        <v>49</v>
      </c>
      <c r="E1211" s="3" t="s">
        <v>32</v>
      </c>
      <c r="F1211" s="3" t="s">
        <v>78</v>
      </c>
      <c r="G1211" s="3">
        <v>2025</v>
      </c>
      <c r="H1211" s="3" t="str">
        <f>CONCATENATE("54240551280")</f>
        <v>54240551280</v>
      </c>
      <c r="I1211" s="3" t="s">
        <v>34</v>
      </c>
      <c r="J1211" s="3" t="s">
        <v>35</v>
      </c>
      <c r="K1211" s="3"/>
      <c r="L1211" s="3" t="s">
        <v>36</v>
      </c>
      <c r="M1211" s="3" t="str">
        <f>CONCATENATE("SLVMFR63D08G690U")</f>
        <v>SLVMFR63D08G690U</v>
      </c>
      <c r="N1211" s="3" t="s">
        <v>1337</v>
      </c>
      <c r="O1211" s="3" t="s">
        <v>38</v>
      </c>
      <c r="P1211" s="3"/>
      <c r="Q1211" s="4">
        <v>45944</v>
      </c>
      <c r="R1211" s="3" t="s">
        <v>39</v>
      </c>
      <c r="S1211" s="3" t="s">
        <v>38</v>
      </c>
      <c r="T1211" s="3" t="s">
        <v>40</v>
      </c>
      <c r="U1211" s="3"/>
      <c r="V1211" s="3" t="s">
        <v>41</v>
      </c>
      <c r="W1211" s="5">
        <v>6309.35</v>
      </c>
      <c r="X1211" s="5">
        <v>4732.01</v>
      </c>
      <c r="Y1211" s="5">
        <v>1104.1400000000001</v>
      </c>
      <c r="Z1211" s="3">
        <v>473.2</v>
      </c>
      <c r="AA1211" s="3">
        <v>0</v>
      </c>
    </row>
    <row r="1212" spans="1:27" ht="60.75" x14ac:dyDescent="0.25">
      <c r="A1212" s="3" t="s">
        <v>28</v>
      </c>
      <c r="B1212" s="3" t="s">
        <v>29</v>
      </c>
      <c r="C1212" s="3" t="s">
        <v>30</v>
      </c>
      <c r="D1212" s="3" t="s">
        <v>31</v>
      </c>
      <c r="E1212" s="3" t="s">
        <v>74</v>
      </c>
      <c r="F1212" s="3" t="s">
        <v>75</v>
      </c>
      <c r="G1212" s="3">
        <v>2025</v>
      </c>
      <c r="H1212" s="3" t="str">
        <f>CONCATENATE("54240550456")</f>
        <v>54240550456</v>
      </c>
      <c r="I1212" s="3" t="s">
        <v>34</v>
      </c>
      <c r="J1212" s="3" t="s">
        <v>35</v>
      </c>
      <c r="K1212" s="3"/>
      <c r="L1212" s="3" t="s">
        <v>36</v>
      </c>
      <c r="M1212" s="3" t="str">
        <f>CONCATENATE("BCCSLL58H55G089C")</f>
        <v>BCCSLL58H55G089C</v>
      </c>
      <c r="N1212" s="3" t="s">
        <v>1338</v>
      </c>
      <c r="O1212" s="3" t="s">
        <v>38</v>
      </c>
      <c r="P1212" s="3"/>
      <c r="Q1212" s="4">
        <v>45944</v>
      </c>
      <c r="R1212" s="3" t="s">
        <v>39</v>
      </c>
      <c r="S1212" s="3" t="s">
        <v>38</v>
      </c>
      <c r="T1212" s="3" t="s">
        <v>40</v>
      </c>
      <c r="U1212" s="3"/>
      <c r="V1212" s="3" t="s">
        <v>41</v>
      </c>
      <c r="W1212" s="5">
        <v>1576.93</v>
      </c>
      <c r="X1212" s="5">
        <v>1182.7</v>
      </c>
      <c r="Y1212" s="3">
        <v>275.95999999999998</v>
      </c>
      <c r="Z1212" s="3">
        <v>118.27</v>
      </c>
      <c r="AA1212" s="3">
        <v>0</v>
      </c>
    </row>
    <row r="1213" spans="1:27" ht="36.75" x14ac:dyDescent="0.25">
      <c r="A1213" s="3" t="s">
        <v>28</v>
      </c>
      <c r="B1213" s="3" t="s">
        <v>29</v>
      </c>
      <c r="C1213" s="3" t="s">
        <v>30</v>
      </c>
      <c r="D1213" s="3" t="s">
        <v>49</v>
      </c>
      <c r="E1213" s="3" t="s">
        <v>91</v>
      </c>
      <c r="F1213" s="3" t="s">
        <v>92</v>
      </c>
      <c r="G1213" s="3">
        <v>2025</v>
      </c>
      <c r="H1213" s="3" t="str">
        <f>CONCATENATE("54240550613")</f>
        <v>54240550613</v>
      </c>
      <c r="I1213" s="3" t="s">
        <v>34</v>
      </c>
      <c r="J1213" s="3" t="s">
        <v>35</v>
      </c>
      <c r="K1213" s="3"/>
      <c r="L1213" s="3" t="s">
        <v>36</v>
      </c>
      <c r="M1213" s="3" t="str">
        <f>CONCATENATE("01910620432")</f>
        <v>01910620432</v>
      </c>
      <c r="N1213" s="3" t="s">
        <v>1339</v>
      </c>
      <c r="O1213" s="3" t="s">
        <v>38</v>
      </c>
      <c r="P1213" s="3"/>
      <c r="Q1213" s="4">
        <v>45944</v>
      </c>
      <c r="R1213" s="3" t="s">
        <v>39</v>
      </c>
      <c r="S1213" s="3" t="s">
        <v>38</v>
      </c>
      <c r="T1213" s="3" t="s">
        <v>40</v>
      </c>
      <c r="U1213" s="3"/>
      <c r="V1213" s="3" t="s">
        <v>41</v>
      </c>
      <c r="W1213" s="5">
        <v>21012.51</v>
      </c>
      <c r="X1213" s="5">
        <v>15759.38</v>
      </c>
      <c r="Y1213" s="5">
        <v>3677.19</v>
      </c>
      <c r="Z1213" s="5">
        <v>1575.94</v>
      </c>
      <c r="AA1213" s="3">
        <v>0</v>
      </c>
    </row>
    <row r="1214" spans="1:27" ht="36.75" x14ac:dyDescent="0.25">
      <c r="A1214" s="3" t="s">
        <v>28</v>
      </c>
      <c r="B1214" s="3" t="s">
        <v>29</v>
      </c>
      <c r="C1214" s="3" t="s">
        <v>30</v>
      </c>
      <c r="D1214" s="3" t="s">
        <v>31</v>
      </c>
      <c r="E1214" s="3" t="s">
        <v>145</v>
      </c>
      <c r="F1214" s="3" t="s">
        <v>485</v>
      </c>
      <c r="G1214" s="3">
        <v>2025</v>
      </c>
      <c r="H1214" s="3" t="str">
        <f>CONCATENATE("54240551017")</f>
        <v>54240551017</v>
      </c>
      <c r="I1214" s="3" t="s">
        <v>34</v>
      </c>
      <c r="J1214" s="3" t="s">
        <v>35</v>
      </c>
      <c r="K1214" s="3"/>
      <c r="L1214" s="3" t="s">
        <v>36</v>
      </c>
      <c r="M1214" s="3" t="str">
        <f>CONCATENATE("02666660416")</f>
        <v>02666660416</v>
      </c>
      <c r="N1214" s="3" t="s">
        <v>1340</v>
      </c>
      <c r="O1214" s="3" t="s">
        <v>38</v>
      </c>
      <c r="P1214" s="3"/>
      <c r="Q1214" s="4">
        <v>45944</v>
      </c>
      <c r="R1214" s="3" t="s">
        <v>39</v>
      </c>
      <c r="S1214" s="3" t="s">
        <v>38</v>
      </c>
      <c r="T1214" s="3" t="s">
        <v>40</v>
      </c>
      <c r="U1214" s="3"/>
      <c r="V1214" s="3" t="s">
        <v>41</v>
      </c>
      <c r="W1214" s="5">
        <v>13794.68</v>
      </c>
      <c r="X1214" s="5">
        <v>10346.01</v>
      </c>
      <c r="Y1214" s="5">
        <v>2414.0700000000002</v>
      </c>
      <c r="Z1214" s="5">
        <v>1034.5999999999999</v>
      </c>
      <c r="AA1214" s="3">
        <v>0</v>
      </c>
    </row>
    <row r="1215" spans="1:27" ht="72.75" x14ac:dyDescent="0.25">
      <c r="A1215" s="3" t="s">
        <v>28</v>
      </c>
      <c r="B1215" s="3" t="s">
        <v>29</v>
      </c>
      <c r="C1215" s="3" t="s">
        <v>30</v>
      </c>
      <c r="D1215" s="3" t="s">
        <v>63</v>
      </c>
      <c r="E1215" s="3" t="s">
        <v>64</v>
      </c>
      <c r="F1215" s="3" t="s">
        <v>65</v>
      </c>
      <c r="G1215" s="3">
        <v>2025</v>
      </c>
      <c r="H1215" s="3" t="str">
        <f>CONCATENATE("54240590510")</f>
        <v>54240590510</v>
      </c>
      <c r="I1215" s="3" t="s">
        <v>149</v>
      </c>
      <c r="J1215" s="3" t="s">
        <v>35</v>
      </c>
      <c r="K1215" s="3"/>
      <c r="L1215" s="3" t="s">
        <v>36</v>
      </c>
      <c r="M1215" s="3" t="str">
        <f>CONCATENATE("DNGMRA66M53G005W")</f>
        <v>DNGMRA66M53G005W</v>
      </c>
      <c r="N1215" s="3" t="s">
        <v>1341</v>
      </c>
      <c r="O1215" s="3" t="s">
        <v>38</v>
      </c>
      <c r="P1215" s="3"/>
      <c r="Q1215" s="4">
        <v>45944</v>
      </c>
      <c r="R1215" s="3" t="s">
        <v>39</v>
      </c>
      <c r="S1215" s="3" t="s">
        <v>38</v>
      </c>
      <c r="T1215" s="3" t="s">
        <v>40</v>
      </c>
      <c r="U1215" s="3"/>
      <c r="V1215" s="3" t="s">
        <v>41</v>
      </c>
      <c r="W1215" s="5">
        <v>3211.14</v>
      </c>
      <c r="X1215" s="5">
        <v>2408.36</v>
      </c>
      <c r="Y1215" s="3">
        <v>561.95000000000005</v>
      </c>
      <c r="Z1215" s="3">
        <v>240.83</v>
      </c>
      <c r="AA1215" s="3">
        <v>0</v>
      </c>
    </row>
    <row r="1216" spans="1:27" ht="36.75" x14ac:dyDescent="0.25">
      <c r="A1216" s="3" t="s">
        <v>28</v>
      </c>
      <c r="B1216" s="3" t="s">
        <v>29</v>
      </c>
      <c r="C1216" s="3" t="s">
        <v>30</v>
      </c>
      <c r="D1216" s="3" t="s">
        <v>31</v>
      </c>
      <c r="E1216" s="3" t="s">
        <v>53</v>
      </c>
      <c r="F1216" s="3" t="s">
        <v>172</v>
      </c>
      <c r="G1216" s="3">
        <v>2025</v>
      </c>
      <c r="H1216" s="3" t="str">
        <f>CONCATENATE("54240667953")</f>
        <v>54240667953</v>
      </c>
      <c r="I1216" s="3" t="s">
        <v>34</v>
      </c>
      <c r="J1216" s="3" t="s">
        <v>35</v>
      </c>
      <c r="K1216" s="3"/>
      <c r="L1216" s="3" t="s">
        <v>36</v>
      </c>
      <c r="M1216" s="3" t="str">
        <f>CONCATENATE("02676210418")</f>
        <v>02676210418</v>
      </c>
      <c r="N1216" s="3" t="s">
        <v>1342</v>
      </c>
      <c r="O1216" s="3" t="s">
        <v>38</v>
      </c>
      <c r="P1216" s="3"/>
      <c r="Q1216" s="4">
        <v>45944</v>
      </c>
      <c r="R1216" s="3" t="s">
        <v>39</v>
      </c>
      <c r="S1216" s="3" t="s">
        <v>38</v>
      </c>
      <c r="T1216" s="3" t="s">
        <v>40</v>
      </c>
      <c r="U1216" s="3"/>
      <c r="V1216" s="3" t="s">
        <v>41</v>
      </c>
      <c r="W1216" s="5">
        <v>16178.39</v>
      </c>
      <c r="X1216" s="5">
        <v>12133.79</v>
      </c>
      <c r="Y1216" s="5">
        <v>2831.22</v>
      </c>
      <c r="Z1216" s="5">
        <v>1213.3800000000001</v>
      </c>
      <c r="AA1216" s="3">
        <v>0</v>
      </c>
    </row>
    <row r="1217" spans="1:27" ht="36.75" x14ac:dyDescent="0.25">
      <c r="A1217" s="3" t="s">
        <v>28</v>
      </c>
      <c r="B1217" s="3" t="s">
        <v>29</v>
      </c>
      <c r="C1217" s="3" t="s">
        <v>30</v>
      </c>
      <c r="D1217" s="3" t="s">
        <v>58</v>
      </c>
      <c r="E1217" s="3" t="s">
        <v>91</v>
      </c>
      <c r="F1217" s="3" t="s">
        <v>106</v>
      </c>
      <c r="G1217" s="3">
        <v>2025</v>
      </c>
      <c r="H1217" s="3" t="str">
        <f>CONCATENATE("54240668142")</f>
        <v>54240668142</v>
      </c>
      <c r="I1217" s="3" t="s">
        <v>34</v>
      </c>
      <c r="J1217" s="3" t="s">
        <v>35</v>
      </c>
      <c r="K1217" s="3"/>
      <c r="L1217" s="3" t="s">
        <v>36</v>
      </c>
      <c r="M1217" s="3" t="str">
        <f>CONCATENATE("01046270425")</f>
        <v>01046270425</v>
      </c>
      <c r="N1217" s="3" t="s">
        <v>1343</v>
      </c>
      <c r="O1217" s="3" t="s">
        <v>38</v>
      </c>
      <c r="P1217" s="3"/>
      <c r="Q1217" s="4">
        <v>45944</v>
      </c>
      <c r="R1217" s="3" t="s">
        <v>39</v>
      </c>
      <c r="S1217" s="3" t="s">
        <v>38</v>
      </c>
      <c r="T1217" s="3" t="s">
        <v>40</v>
      </c>
      <c r="U1217" s="3"/>
      <c r="V1217" s="3" t="s">
        <v>41</v>
      </c>
      <c r="W1217" s="5">
        <v>1445.88</v>
      </c>
      <c r="X1217" s="5">
        <v>1084.4100000000001</v>
      </c>
      <c r="Y1217" s="3">
        <v>253.03</v>
      </c>
      <c r="Z1217" s="3">
        <v>108.44</v>
      </c>
      <c r="AA1217" s="3">
        <v>0</v>
      </c>
    </row>
    <row r="1218" spans="1:27" ht="60.75" x14ac:dyDescent="0.25">
      <c r="A1218" s="3" t="s">
        <v>28</v>
      </c>
      <c r="B1218" s="3" t="s">
        <v>29</v>
      </c>
      <c r="C1218" s="3" t="s">
        <v>30</v>
      </c>
      <c r="D1218" s="3" t="s">
        <v>31</v>
      </c>
      <c r="E1218" s="3" t="s">
        <v>343</v>
      </c>
      <c r="F1218" s="3" t="s">
        <v>344</v>
      </c>
      <c r="G1218" s="3">
        <v>2025</v>
      </c>
      <c r="H1218" s="3" t="str">
        <f>CONCATENATE("54240668712")</f>
        <v>54240668712</v>
      </c>
      <c r="I1218" s="3" t="s">
        <v>34</v>
      </c>
      <c r="J1218" s="3" t="s">
        <v>35</v>
      </c>
      <c r="K1218" s="3"/>
      <c r="L1218" s="3" t="s">
        <v>36</v>
      </c>
      <c r="M1218" s="3" t="str">
        <f>CONCATENATE("PCAFLV74E25H294H")</f>
        <v>PCAFLV74E25H294H</v>
      </c>
      <c r="N1218" s="3" t="s">
        <v>1344</v>
      </c>
      <c r="O1218" s="3" t="s">
        <v>38</v>
      </c>
      <c r="P1218" s="3"/>
      <c r="Q1218" s="4">
        <v>45944</v>
      </c>
      <c r="R1218" s="3" t="s">
        <v>39</v>
      </c>
      <c r="S1218" s="3" t="s">
        <v>38</v>
      </c>
      <c r="T1218" s="3" t="s">
        <v>40</v>
      </c>
      <c r="U1218" s="3"/>
      <c r="V1218" s="3" t="s">
        <v>41</v>
      </c>
      <c r="W1218" s="5">
        <v>10410.35</v>
      </c>
      <c r="X1218" s="5">
        <v>7807.76</v>
      </c>
      <c r="Y1218" s="5">
        <v>1821.81</v>
      </c>
      <c r="Z1218" s="3">
        <v>780.78</v>
      </c>
      <c r="AA1218" s="3">
        <v>0</v>
      </c>
    </row>
    <row r="1219" spans="1:27" ht="60.75" x14ac:dyDescent="0.25">
      <c r="A1219" s="3" t="s">
        <v>28</v>
      </c>
      <c r="B1219" s="3" t="s">
        <v>29</v>
      </c>
      <c r="C1219" s="3" t="s">
        <v>30</v>
      </c>
      <c r="D1219" s="3" t="s">
        <v>49</v>
      </c>
      <c r="E1219" s="3" t="s">
        <v>91</v>
      </c>
      <c r="F1219" s="3" t="s">
        <v>92</v>
      </c>
      <c r="G1219" s="3">
        <v>2025</v>
      </c>
      <c r="H1219" s="3" t="str">
        <f>CONCATENATE("54240536059")</f>
        <v>54240536059</v>
      </c>
      <c r="I1219" s="3" t="s">
        <v>34</v>
      </c>
      <c r="J1219" s="3" t="s">
        <v>35</v>
      </c>
      <c r="K1219" s="3"/>
      <c r="L1219" s="3" t="s">
        <v>36</v>
      </c>
      <c r="M1219" s="3" t="str">
        <f>CONCATENATE("CRRVLR95T05H501P")</f>
        <v>CRRVLR95T05H501P</v>
      </c>
      <c r="N1219" s="3" t="s">
        <v>1345</v>
      </c>
      <c r="O1219" s="3" t="s">
        <v>38</v>
      </c>
      <c r="P1219" s="3"/>
      <c r="Q1219" s="4">
        <v>45944</v>
      </c>
      <c r="R1219" s="3" t="s">
        <v>39</v>
      </c>
      <c r="S1219" s="3" t="s">
        <v>38</v>
      </c>
      <c r="T1219" s="3" t="s">
        <v>40</v>
      </c>
      <c r="U1219" s="3"/>
      <c r="V1219" s="3" t="s">
        <v>41</v>
      </c>
      <c r="W1219" s="5">
        <v>4229.46</v>
      </c>
      <c r="X1219" s="5">
        <v>3172.1</v>
      </c>
      <c r="Y1219" s="3">
        <v>740.16</v>
      </c>
      <c r="Z1219" s="3">
        <v>317.2</v>
      </c>
      <c r="AA1219" s="3">
        <v>0</v>
      </c>
    </row>
    <row r="1220" spans="1:27" ht="60.75" x14ac:dyDescent="0.25">
      <c r="A1220" s="3" t="s">
        <v>28</v>
      </c>
      <c r="B1220" s="3" t="s">
        <v>29</v>
      </c>
      <c r="C1220" s="3" t="s">
        <v>30</v>
      </c>
      <c r="D1220" s="3" t="s">
        <v>49</v>
      </c>
      <c r="E1220" s="3" t="s">
        <v>46</v>
      </c>
      <c r="F1220" s="3" t="s">
        <v>205</v>
      </c>
      <c r="G1220" s="3">
        <v>2025</v>
      </c>
      <c r="H1220" s="3" t="str">
        <f>CONCATENATE("54240534765")</f>
        <v>54240534765</v>
      </c>
      <c r="I1220" s="3" t="s">
        <v>34</v>
      </c>
      <c r="J1220" s="3" t="s">
        <v>35</v>
      </c>
      <c r="K1220" s="3"/>
      <c r="L1220" s="3" t="s">
        <v>36</v>
      </c>
      <c r="M1220" s="3" t="str">
        <f>CONCATENATE("CCCMTN86B42L191B")</f>
        <v>CCCMTN86B42L191B</v>
      </c>
      <c r="N1220" s="3" t="s">
        <v>1346</v>
      </c>
      <c r="O1220" s="3" t="s">
        <v>38</v>
      </c>
      <c r="P1220" s="3"/>
      <c r="Q1220" s="4">
        <v>45944</v>
      </c>
      <c r="R1220" s="3" t="s">
        <v>39</v>
      </c>
      <c r="S1220" s="3" t="s">
        <v>38</v>
      </c>
      <c r="T1220" s="3" t="s">
        <v>40</v>
      </c>
      <c r="U1220" s="3"/>
      <c r="V1220" s="3" t="s">
        <v>41</v>
      </c>
      <c r="W1220" s="3">
        <v>619.45000000000005</v>
      </c>
      <c r="X1220" s="3">
        <v>464.59</v>
      </c>
      <c r="Y1220" s="3">
        <v>108.4</v>
      </c>
      <c r="Z1220" s="3">
        <v>46.46</v>
      </c>
      <c r="AA1220" s="3">
        <v>0</v>
      </c>
    </row>
    <row r="1221" spans="1:27" ht="36.75" x14ac:dyDescent="0.25">
      <c r="A1221" s="3" t="s">
        <v>28</v>
      </c>
      <c r="B1221" s="3" t="s">
        <v>29</v>
      </c>
      <c r="C1221" s="3" t="s">
        <v>30</v>
      </c>
      <c r="D1221" s="3" t="s">
        <v>49</v>
      </c>
      <c r="E1221" s="3" t="s">
        <v>46</v>
      </c>
      <c r="F1221" s="3" t="s">
        <v>126</v>
      </c>
      <c r="G1221" s="3">
        <v>2025</v>
      </c>
      <c r="H1221" s="3" t="str">
        <f>CONCATENATE("54240534286")</f>
        <v>54240534286</v>
      </c>
      <c r="I1221" s="3" t="s">
        <v>34</v>
      </c>
      <c r="J1221" s="3" t="s">
        <v>35</v>
      </c>
      <c r="K1221" s="3"/>
      <c r="L1221" s="3" t="s">
        <v>36</v>
      </c>
      <c r="M1221" s="3" t="str">
        <f>CONCATENATE("00129910436")</f>
        <v>00129910436</v>
      </c>
      <c r="N1221" s="3" t="s">
        <v>1347</v>
      </c>
      <c r="O1221" s="3" t="s">
        <v>38</v>
      </c>
      <c r="P1221" s="3"/>
      <c r="Q1221" s="4">
        <v>45944</v>
      </c>
      <c r="R1221" s="3" t="s">
        <v>39</v>
      </c>
      <c r="S1221" s="3" t="s">
        <v>38</v>
      </c>
      <c r="T1221" s="3" t="s">
        <v>40</v>
      </c>
      <c r="U1221" s="3"/>
      <c r="V1221" s="3" t="s">
        <v>41</v>
      </c>
      <c r="W1221" s="5">
        <v>14939.75</v>
      </c>
      <c r="X1221" s="5">
        <v>11204.81</v>
      </c>
      <c r="Y1221" s="5">
        <v>2614.46</v>
      </c>
      <c r="Z1221" s="5">
        <v>1120.48</v>
      </c>
      <c r="AA1221" s="3">
        <v>0</v>
      </c>
    </row>
    <row r="1222" spans="1:27" ht="72.75" x14ac:dyDescent="0.25">
      <c r="A1222" s="3" t="s">
        <v>28</v>
      </c>
      <c r="B1222" s="3" t="s">
        <v>29</v>
      </c>
      <c r="C1222" s="3" t="s">
        <v>30</v>
      </c>
      <c r="D1222" s="3" t="s">
        <v>63</v>
      </c>
      <c r="E1222" s="3" t="s">
        <v>53</v>
      </c>
      <c r="F1222" s="3" t="s">
        <v>80</v>
      </c>
      <c r="G1222" s="3">
        <v>2025</v>
      </c>
      <c r="H1222" s="3" t="str">
        <f>CONCATENATE("54240534393")</f>
        <v>54240534393</v>
      </c>
      <c r="I1222" s="3" t="s">
        <v>34</v>
      </c>
      <c r="J1222" s="3" t="s">
        <v>35</v>
      </c>
      <c r="K1222" s="3"/>
      <c r="L1222" s="3" t="s">
        <v>36</v>
      </c>
      <c r="M1222" s="3" t="str">
        <f>CONCATENATE("MDAFNC60B04F487I")</f>
        <v>MDAFNC60B04F487I</v>
      </c>
      <c r="N1222" s="3" t="s">
        <v>1348</v>
      </c>
      <c r="O1222" s="3" t="s">
        <v>38</v>
      </c>
      <c r="P1222" s="3"/>
      <c r="Q1222" s="4">
        <v>45944</v>
      </c>
      <c r="R1222" s="3" t="s">
        <v>39</v>
      </c>
      <c r="S1222" s="3" t="s">
        <v>38</v>
      </c>
      <c r="T1222" s="3" t="s">
        <v>40</v>
      </c>
      <c r="U1222" s="3"/>
      <c r="V1222" s="3" t="s">
        <v>41</v>
      </c>
      <c r="W1222" s="5">
        <v>2141.35</v>
      </c>
      <c r="X1222" s="5">
        <v>1606.01</v>
      </c>
      <c r="Y1222" s="3">
        <v>374.74</v>
      </c>
      <c r="Z1222" s="3">
        <v>160.6</v>
      </c>
      <c r="AA1222" s="3">
        <v>0</v>
      </c>
    </row>
    <row r="1223" spans="1:27" ht="60.75" x14ac:dyDescent="0.25">
      <c r="A1223" s="3" t="s">
        <v>28</v>
      </c>
      <c r="B1223" s="3" t="s">
        <v>29</v>
      </c>
      <c r="C1223" s="3" t="s">
        <v>30</v>
      </c>
      <c r="D1223" s="3" t="s">
        <v>49</v>
      </c>
      <c r="E1223" s="3" t="s">
        <v>46</v>
      </c>
      <c r="F1223" s="3" t="s">
        <v>205</v>
      </c>
      <c r="G1223" s="3">
        <v>2025</v>
      </c>
      <c r="H1223" s="3" t="str">
        <f>CONCATENATE("54240535051")</f>
        <v>54240535051</v>
      </c>
      <c r="I1223" s="3" t="s">
        <v>34</v>
      </c>
      <c r="J1223" s="3" t="s">
        <v>35</v>
      </c>
      <c r="K1223" s="3"/>
      <c r="L1223" s="3" t="s">
        <v>36</v>
      </c>
      <c r="M1223" s="3" t="str">
        <f>CONCATENATE("FLCMRA52L67A739C")</f>
        <v>FLCMRA52L67A739C</v>
      </c>
      <c r="N1223" s="3" t="s">
        <v>1349</v>
      </c>
      <c r="O1223" s="3" t="s">
        <v>38</v>
      </c>
      <c r="P1223" s="3"/>
      <c r="Q1223" s="4">
        <v>45944</v>
      </c>
      <c r="R1223" s="3" t="s">
        <v>39</v>
      </c>
      <c r="S1223" s="3" t="s">
        <v>38</v>
      </c>
      <c r="T1223" s="3" t="s">
        <v>40</v>
      </c>
      <c r="U1223" s="3"/>
      <c r="V1223" s="3" t="s">
        <v>41</v>
      </c>
      <c r="W1223" s="5">
        <v>3087.22</v>
      </c>
      <c r="X1223" s="5">
        <v>2315.42</v>
      </c>
      <c r="Y1223" s="3">
        <v>540.26</v>
      </c>
      <c r="Z1223" s="3">
        <v>231.54</v>
      </c>
      <c r="AA1223" s="3">
        <v>0</v>
      </c>
    </row>
    <row r="1224" spans="1:27" ht="60.75" x14ac:dyDescent="0.25">
      <c r="A1224" s="3" t="s">
        <v>28</v>
      </c>
      <c r="B1224" s="3" t="s">
        <v>29</v>
      </c>
      <c r="C1224" s="3" t="s">
        <v>30</v>
      </c>
      <c r="D1224" s="3" t="s">
        <v>31</v>
      </c>
      <c r="E1224" s="3" t="s">
        <v>53</v>
      </c>
      <c r="F1224" s="3" t="s">
        <v>82</v>
      </c>
      <c r="G1224" s="3">
        <v>2025</v>
      </c>
      <c r="H1224" s="3" t="str">
        <f>CONCATENATE("54240535515")</f>
        <v>54240535515</v>
      </c>
      <c r="I1224" s="3" t="s">
        <v>34</v>
      </c>
      <c r="J1224" s="3" t="s">
        <v>35</v>
      </c>
      <c r="K1224" s="3"/>
      <c r="L1224" s="3" t="s">
        <v>36</v>
      </c>
      <c r="M1224" s="3" t="str">
        <f>CONCATENATE("CRCMTT91D07I459F")</f>
        <v>CRCMTT91D07I459F</v>
      </c>
      <c r="N1224" s="3" t="s">
        <v>1350</v>
      </c>
      <c r="O1224" s="3" t="s">
        <v>38</v>
      </c>
      <c r="P1224" s="3"/>
      <c r="Q1224" s="4">
        <v>45944</v>
      </c>
      <c r="R1224" s="3" t="s">
        <v>39</v>
      </c>
      <c r="S1224" s="3" t="s">
        <v>38</v>
      </c>
      <c r="T1224" s="3" t="s">
        <v>40</v>
      </c>
      <c r="U1224" s="3"/>
      <c r="V1224" s="3" t="s">
        <v>41</v>
      </c>
      <c r="W1224" s="5">
        <v>4781.1400000000003</v>
      </c>
      <c r="X1224" s="5">
        <v>3585.86</v>
      </c>
      <c r="Y1224" s="3">
        <v>836.7</v>
      </c>
      <c r="Z1224" s="3">
        <v>358.58</v>
      </c>
      <c r="AA1224" s="3">
        <v>0</v>
      </c>
    </row>
    <row r="1225" spans="1:27" ht="36.75" x14ac:dyDescent="0.25">
      <c r="A1225" s="3" t="s">
        <v>28</v>
      </c>
      <c r="B1225" s="3" t="s">
        <v>29</v>
      </c>
      <c r="C1225" s="3" t="s">
        <v>30</v>
      </c>
      <c r="D1225" s="3" t="s">
        <v>63</v>
      </c>
      <c r="E1225" s="3" t="s">
        <v>32</v>
      </c>
      <c r="F1225" s="3" t="s">
        <v>392</v>
      </c>
      <c r="G1225" s="3">
        <v>2025</v>
      </c>
      <c r="H1225" s="3" t="str">
        <f>CONCATENATE("54240535762")</f>
        <v>54240535762</v>
      </c>
      <c r="I1225" s="3" t="s">
        <v>34</v>
      </c>
      <c r="J1225" s="3" t="s">
        <v>35</v>
      </c>
      <c r="K1225" s="3"/>
      <c r="L1225" s="3" t="s">
        <v>36</v>
      </c>
      <c r="M1225" s="3" t="str">
        <f>CONCATENATE("02316420443")</f>
        <v>02316420443</v>
      </c>
      <c r="N1225" s="3" t="s">
        <v>1351</v>
      </c>
      <c r="O1225" s="3" t="s">
        <v>38</v>
      </c>
      <c r="P1225" s="3"/>
      <c r="Q1225" s="4">
        <v>45944</v>
      </c>
      <c r="R1225" s="3" t="s">
        <v>39</v>
      </c>
      <c r="S1225" s="3" t="s">
        <v>38</v>
      </c>
      <c r="T1225" s="3" t="s">
        <v>40</v>
      </c>
      <c r="U1225" s="3"/>
      <c r="V1225" s="3" t="s">
        <v>41</v>
      </c>
      <c r="W1225" s="3">
        <v>560.51</v>
      </c>
      <c r="X1225" s="3">
        <v>420.38</v>
      </c>
      <c r="Y1225" s="3">
        <v>98.09</v>
      </c>
      <c r="Z1225" s="3">
        <v>42.04</v>
      </c>
      <c r="AA1225" s="3">
        <v>0</v>
      </c>
    </row>
    <row r="1226" spans="1:27" ht="72.75" x14ac:dyDescent="0.25">
      <c r="A1226" s="3" t="s">
        <v>28</v>
      </c>
      <c r="B1226" s="3" t="s">
        <v>29</v>
      </c>
      <c r="C1226" s="3" t="s">
        <v>30</v>
      </c>
      <c r="D1226" s="3" t="s">
        <v>63</v>
      </c>
      <c r="E1226" s="3" t="s">
        <v>32</v>
      </c>
      <c r="F1226" s="3" t="s">
        <v>392</v>
      </c>
      <c r="G1226" s="3">
        <v>2025</v>
      </c>
      <c r="H1226" s="3" t="str">
        <f>CONCATENATE("54240535812")</f>
        <v>54240535812</v>
      </c>
      <c r="I1226" s="3" t="s">
        <v>149</v>
      </c>
      <c r="J1226" s="3" t="s">
        <v>35</v>
      </c>
      <c r="K1226" s="3"/>
      <c r="L1226" s="3" t="s">
        <v>36</v>
      </c>
      <c r="M1226" s="3" t="str">
        <f>CONCATENATE("RSSMDE85D16H769D")</f>
        <v>RSSMDE85D16H769D</v>
      </c>
      <c r="N1226" s="3" t="s">
        <v>1352</v>
      </c>
      <c r="O1226" s="3" t="s">
        <v>38</v>
      </c>
      <c r="P1226" s="3"/>
      <c r="Q1226" s="4">
        <v>45944</v>
      </c>
      <c r="R1226" s="3" t="s">
        <v>39</v>
      </c>
      <c r="S1226" s="3" t="s">
        <v>38</v>
      </c>
      <c r="T1226" s="3" t="s">
        <v>40</v>
      </c>
      <c r="U1226" s="3"/>
      <c r="V1226" s="3" t="s">
        <v>41</v>
      </c>
      <c r="W1226" s="5">
        <v>3227.03</v>
      </c>
      <c r="X1226" s="5">
        <v>2420.27</v>
      </c>
      <c r="Y1226" s="3">
        <v>564.73</v>
      </c>
      <c r="Z1226" s="3">
        <v>242.03</v>
      </c>
      <c r="AA1226" s="3">
        <v>0</v>
      </c>
    </row>
    <row r="1227" spans="1:27" ht="36.75" x14ac:dyDescent="0.25">
      <c r="A1227" s="3" t="s">
        <v>28</v>
      </c>
      <c r="B1227" s="3" t="s">
        <v>29</v>
      </c>
      <c r="C1227" s="3" t="s">
        <v>30</v>
      </c>
      <c r="D1227" s="3" t="s">
        <v>63</v>
      </c>
      <c r="E1227" s="3" t="s">
        <v>46</v>
      </c>
      <c r="F1227" s="3" t="s">
        <v>205</v>
      </c>
      <c r="G1227" s="3">
        <v>2025</v>
      </c>
      <c r="H1227" s="3" t="str">
        <f>CONCATENATE("54240622578")</f>
        <v>54240622578</v>
      </c>
      <c r="I1227" s="3" t="s">
        <v>34</v>
      </c>
      <c r="J1227" s="3" t="s">
        <v>35</v>
      </c>
      <c r="K1227" s="3"/>
      <c r="L1227" s="3" t="s">
        <v>36</v>
      </c>
      <c r="M1227" s="3" t="str">
        <f>CONCATENATE("02490950447")</f>
        <v>02490950447</v>
      </c>
      <c r="N1227" s="3" t="s">
        <v>1353</v>
      </c>
      <c r="O1227" s="3" t="s">
        <v>38</v>
      </c>
      <c r="P1227" s="3"/>
      <c r="Q1227" s="4">
        <v>45944</v>
      </c>
      <c r="R1227" s="3" t="s">
        <v>39</v>
      </c>
      <c r="S1227" s="3" t="s">
        <v>38</v>
      </c>
      <c r="T1227" s="3" t="s">
        <v>40</v>
      </c>
      <c r="U1227" s="3"/>
      <c r="V1227" s="3" t="s">
        <v>41</v>
      </c>
      <c r="W1227" s="5">
        <v>3044.87</v>
      </c>
      <c r="X1227" s="5">
        <v>2283.65</v>
      </c>
      <c r="Y1227" s="3">
        <v>532.85</v>
      </c>
      <c r="Z1227" s="3">
        <v>228.37</v>
      </c>
      <c r="AA1227" s="3">
        <v>0</v>
      </c>
    </row>
    <row r="1228" spans="1:27" ht="36.75" x14ac:dyDescent="0.25">
      <c r="A1228" s="3" t="s">
        <v>28</v>
      </c>
      <c r="B1228" s="3" t="s">
        <v>29</v>
      </c>
      <c r="C1228" s="3" t="s">
        <v>30</v>
      </c>
      <c r="D1228" s="3" t="s">
        <v>49</v>
      </c>
      <c r="E1228" s="3" t="s">
        <v>74</v>
      </c>
      <c r="F1228" s="3" t="s">
        <v>217</v>
      </c>
      <c r="G1228" s="3">
        <v>2025</v>
      </c>
      <c r="H1228" s="3" t="str">
        <f>CONCATENATE("54240536554")</f>
        <v>54240536554</v>
      </c>
      <c r="I1228" s="3" t="s">
        <v>34</v>
      </c>
      <c r="J1228" s="3" t="s">
        <v>35</v>
      </c>
      <c r="K1228" s="3"/>
      <c r="L1228" s="3" t="s">
        <v>36</v>
      </c>
      <c r="M1228" s="3" t="str">
        <f>CONCATENATE("01977270436")</f>
        <v>01977270436</v>
      </c>
      <c r="N1228" s="3" t="s">
        <v>1354</v>
      </c>
      <c r="O1228" s="3" t="s">
        <v>38</v>
      </c>
      <c r="P1228" s="3"/>
      <c r="Q1228" s="4">
        <v>45944</v>
      </c>
      <c r="R1228" s="3" t="s">
        <v>39</v>
      </c>
      <c r="S1228" s="3" t="s">
        <v>38</v>
      </c>
      <c r="T1228" s="3" t="s">
        <v>40</v>
      </c>
      <c r="U1228" s="3"/>
      <c r="V1228" s="3" t="s">
        <v>41</v>
      </c>
      <c r="W1228" s="3">
        <v>765.35</v>
      </c>
      <c r="X1228" s="3">
        <v>574.01</v>
      </c>
      <c r="Y1228" s="3">
        <v>133.94</v>
      </c>
      <c r="Z1228" s="3">
        <v>57.4</v>
      </c>
      <c r="AA1228" s="3">
        <v>0</v>
      </c>
    </row>
    <row r="1229" spans="1:27" ht="60.75" x14ac:dyDescent="0.25">
      <c r="A1229" s="3" t="s">
        <v>28</v>
      </c>
      <c r="B1229" s="3" t="s">
        <v>29</v>
      </c>
      <c r="C1229" s="3" t="s">
        <v>30</v>
      </c>
      <c r="D1229" s="3" t="s">
        <v>31</v>
      </c>
      <c r="E1229" s="3" t="s">
        <v>53</v>
      </c>
      <c r="F1229" s="3" t="s">
        <v>172</v>
      </c>
      <c r="G1229" s="3">
        <v>2025</v>
      </c>
      <c r="H1229" s="3" t="str">
        <f>CONCATENATE("54240536299")</f>
        <v>54240536299</v>
      </c>
      <c r="I1229" s="3" t="s">
        <v>34</v>
      </c>
      <c r="J1229" s="3" t="s">
        <v>35</v>
      </c>
      <c r="K1229" s="3"/>
      <c r="L1229" s="3" t="s">
        <v>36</v>
      </c>
      <c r="M1229" s="3" t="str">
        <f>CONCATENATE("PRMGRL81S29L500N")</f>
        <v>PRMGRL81S29L500N</v>
      </c>
      <c r="N1229" s="3" t="s">
        <v>1355</v>
      </c>
      <c r="O1229" s="3" t="s">
        <v>38</v>
      </c>
      <c r="P1229" s="3"/>
      <c r="Q1229" s="4">
        <v>45944</v>
      </c>
      <c r="R1229" s="3" t="s">
        <v>39</v>
      </c>
      <c r="S1229" s="3" t="s">
        <v>38</v>
      </c>
      <c r="T1229" s="3" t="s">
        <v>40</v>
      </c>
      <c r="U1229" s="3"/>
      <c r="V1229" s="3" t="s">
        <v>41</v>
      </c>
      <c r="W1229" s="5">
        <v>1707.25</v>
      </c>
      <c r="X1229" s="5">
        <v>1280.44</v>
      </c>
      <c r="Y1229" s="3">
        <v>298.77</v>
      </c>
      <c r="Z1229" s="3">
        <v>128.04</v>
      </c>
      <c r="AA1229" s="3">
        <v>0</v>
      </c>
    </row>
    <row r="1230" spans="1:27" ht="36.75" x14ac:dyDescent="0.25">
      <c r="A1230" s="3" t="s">
        <v>28</v>
      </c>
      <c r="B1230" s="3" t="s">
        <v>29</v>
      </c>
      <c r="C1230" s="3" t="s">
        <v>30</v>
      </c>
      <c r="D1230" s="3" t="s">
        <v>58</v>
      </c>
      <c r="E1230" s="3" t="s">
        <v>53</v>
      </c>
      <c r="F1230" s="3" t="s">
        <v>426</v>
      </c>
      <c r="G1230" s="3">
        <v>2025</v>
      </c>
      <c r="H1230" s="3" t="str">
        <f>CONCATENATE("54240536570")</f>
        <v>54240536570</v>
      </c>
      <c r="I1230" s="3" t="s">
        <v>34</v>
      </c>
      <c r="J1230" s="3" t="s">
        <v>35</v>
      </c>
      <c r="K1230" s="3"/>
      <c r="L1230" s="3" t="s">
        <v>36</v>
      </c>
      <c r="M1230" s="3" t="str">
        <f>CONCATENATE("02881410423")</f>
        <v>02881410423</v>
      </c>
      <c r="N1230" s="3" t="s">
        <v>1356</v>
      </c>
      <c r="O1230" s="3" t="s">
        <v>38</v>
      </c>
      <c r="P1230" s="3"/>
      <c r="Q1230" s="4">
        <v>45944</v>
      </c>
      <c r="R1230" s="3" t="s">
        <v>39</v>
      </c>
      <c r="S1230" s="3" t="s">
        <v>38</v>
      </c>
      <c r="T1230" s="3" t="s">
        <v>40</v>
      </c>
      <c r="U1230" s="3"/>
      <c r="V1230" s="3" t="s">
        <v>41</v>
      </c>
      <c r="W1230" s="5">
        <v>1853.01</v>
      </c>
      <c r="X1230" s="5">
        <v>1389.76</v>
      </c>
      <c r="Y1230" s="3">
        <v>324.27999999999997</v>
      </c>
      <c r="Z1230" s="3">
        <v>138.97</v>
      </c>
      <c r="AA1230" s="3">
        <v>0</v>
      </c>
    </row>
    <row r="1231" spans="1:27" ht="60.75" x14ac:dyDescent="0.25">
      <c r="A1231" s="3" t="s">
        <v>28</v>
      </c>
      <c r="B1231" s="3" t="s">
        <v>29</v>
      </c>
      <c r="C1231" s="3" t="s">
        <v>30</v>
      </c>
      <c r="D1231" s="3" t="s">
        <v>49</v>
      </c>
      <c r="E1231" s="3" t="s">
        <v>46</v>
      </c>
      <c r="F1231" s="3" t="s">
        <v>126</v>
      </c>
      <c r="G1231" s="3">
        <v>2025</v>
      </c>
      <c r="H1231" s="3" t="str">
        <f>CONCATENATE("54240557154")</f>
        <v>54240557154</v>
      </c>
      <c r="I1231" s="3" t="s">
        <v>34</v>
      </c>
      <c r="J1231" s="3" t="s">
        <v>35</v>
      </c>
      <c r="K1231" s="3"/>
      <c r="L1231" s="3" t="s">
        <v>36</v>
      </c>
      <c r="M1231" s="3" t="str">
        <f>CONCATENATE("FRTMHL94E10C770R")</f>
        <v>FRTMHL94E10C770R</v>
      </c>
      <c r="N1231" s="3" t="s">
        <v>1357</v>
      </c>
      <c r="O1231" s="3" t="s">
        <v>38</v>
      </c>
      <c r="P1231" s="3"/>
      <c r="Q1231" s="4">
        <v>45944</v>
      </c>
      <c r="R1231" s="3" t="s">
        <v>39</v>
      </c>
      <c r="S1231" s="3" t="s">
        <v>38</v>
      </c>
      <c r="T1231" s="3" t="s">
        <v>40</v>
      </c>
      <c r="U1231" s="3"/>
      <c r="V1231" s="3" t="s">
        <v>41</v>
      </c>
      <c r="W1231" s="5">
        <v>9555.7000000000007</v>
      </c>
      <c r="X1231" s="5">
        <v>7166.78</v>
      </c>
      <c r="Y1231" s="5">
        <v>1672.25</v>
      </c>
      <c r="Z1231" s="3">
        <v>716.67</v>
      </c>
      <c r="AA1231" s="3">
        <v>0</v>
      </c>
    </row>
    <row r="1232" spans="1:27" ht="36.75" x14ac:dyDescent="0.25">
      <c r="A1232" s="3" t="s">
        <v>28</v>
      </c>
      <c r="B1232" s="3" t="s">
        <v>29</v>
      </c>
      <c r="C1232" s="3" t="s">
        <v>30</v>
      </c>
      <c r="D1232" s="3" t="s">
        <v>49</v>
      </c>
      <c r="E1232" s="3" t="s">
        <v>46</v>
      </c>
      <c r="F1232" s="3" t="s">
        <v>205</v>
      </c>
      <c r="G1232" s="3">
        <v>2025</v>
      </c>
      <c r="H1232" s="3" t="str">
        <f>CONCATENATE("54240536877")</f>
        <v>54240536877</v>
      </c>
      <c r="I1232" s="3" t="s">
        <v>34</v>
      </c>
      <c r="J1232" s="3" t="s">
        <v>35</v>
      </c>
      <c r="K1232" s="3"/>
      <c r="L1232" s="3" t="s">
        <v>36</v>
      </c>
      <c r="M1232" s="3" t="str">
        <f>CONCATENATE("02038770430")</f>
        <v>02038770430</v>
      </c>
      <c r="N1232" s="3" t="s">
        <v>1358</v>
      </c>
      <c r="O1232" s="3" t="s">
        <v>38</v>
      </c>
      <c r="P1232" s="3"/>
      <c r="Q1232" s="4">
        <v>45944</v>
      </c>
      <c r="R1232" s="3" t="s">
        <v>39</v>
      </c>
      <c r="S1232" s="3" t="s">
        <v>38</v>
      </c>
      <c r="T1232" s="3" t="s">
        <v>40</v>
      </c>
      <c r="U1232" s="3"/>
      <c r="V1232" s="3" t="s">
        <v>41</v>
      </c>
      <c r="W1232" s="3">
        <v>602.28</v>
      </c>
      <c r="X1232" s="3">
        <v>451.71</v>
      </c>
      <c r="Y1232" s="3">
        <v>105.4</v>
      </c>
      <c r="Z1232" s="3">
        <v>45.17</v>
      </c>
      <c r="AA1232" s="3">
        <v>0</v>
      </c>
    </row>
    <row r="1233" spans="1:27" ht="60.75" x14ac:dyDescent="0.25">
      <c r="A1233" s="3" t="s">
        <v>28</v>
      </c>
      <c r="B1233" s="3" t="s">
        <v>29</v>
      </c>
      <c r="C1233" s="3" t="s">
        <v>30</v>
      </c>
      <c r="D1233" s="3" t="s">
        <v>49</v>
      </c>
      <c r="E1233" s="3" t="s">
        <v>46</v>
      </c>
      <c r="F1233" s="3" t="s">
        <v>126</v>
      </c>
      <c r="G1233" s="3">
        <v>2025</v>
      </c>
      <c r="H1233" s="3" t="str">
        <f>CONCATENATE("54240545720")</f>
        <v>54240545720</v>
      </c>
      <c r="I1233" s="3" t="s">
        <v>34</v>
      </c>
      <c r="J1233" s="3" t="s">
        <v>35</v>
      </c>
      <c r="K1233" s="3"/>
      <c r="L1233" s="3" t="s">
        <v>36</v>
      </c>
      <c r="M1233" s="3" t="str">
        <f>CONCATENATE("MNCPLA63E59E783O")</f>
        <v>MNCPLA63E59E783O</v>
      </c>
      <c r="N1233" s="3" t="s">
        <v>1359</v>
      </c>
      <c r="O1233" s="3" t="s">
        <v>38</v>
      </c>
      <c r="P1233" s="3"/>
      <c r="Q1233" s="4">
        <v>45944</v>
      </c>
      <c r="R1233" s="3" t="s">
        <v>39</v>
      </c>
      <c r="S1233" s="3" t="s">
        <v>38</v>
      </c>
      <c r="T1233" s="3" t="s">
        <v>40</v>
      </c>
      <c r="U1233" s="3"/>
      <c r="V1233" s="3" t="s">
        <v>41</v>
      </c>
      <c r="W1233" s="3">
        <v>898.08</v>
      </c>
      <c r="X1233" s="3">
        <v>673.56</v>
      </c>
      <c r="Y1233" s="3">
        <v>157.16</v>
      </c>
      <c r="Z1233" s="3">
        <v>67.36</v>
      </c>
      <c r="AA1233" s="3">
        <v>0</v>
      </c>
    </row>
    <row r="1234" spans="1:27" ht="72.75" x14ac:dyDescent="0.25">
      <c r="A1234" s="3" t="s">
        <v>28</v>
      </c>
      <c r="B1234" s="3" t="s">
        <v>29</v>
      </c>
      <c r="C1234" s="3" t="s">
        <v>30</v>
      </c>
      <c r="D1234" s="3" t="s">
        <v>49</v>
      </c>
      <c r="E1234" s="3" t="s">
        <v>46</v>
      </c>
      <c r="F1234" s="3" t="s">
        <v>126</v>
      </c>
      <c r="G1234" s="3">
        <v>2025</v>
      </c>
      <c r="H1234" s="3" t="str">
        <f>CONCATENATE("54240557329")</f>
        <v>54240557329</v>
      </c>
      <c r="I1234" s="3" t="s">
        <v>34</v>
      </c>
      <c r="J1234" s="3" t="s">
        <v>35</v>
      </c>
      <c r="K1234" s="3"/>
      <c r="L1234" s="3" t="s">
        <v>36</v>
      </c>
      <c r="M1234" s="3" t="str">
        <f>CONCATENATE("MRNCHR84E47B474O")</f>
        <v>MRNCHR84E47B474O</v>
      </c>
      <c r="N1234" s="3" t="s">
        <v>1360</v>
      </c>
      <c r="O1234" s="3" t="s">
        <v>38</v>
      </c>
      <c r="P1234" s="3"/>
      <c r="Q1234" s="4">
        <v>45944</v>
      </c>
      <c r="R1234" s="3" t="s">
        <v>39</v>
      </c>
      <c r="S1234" s="3" t="s">
        <v>38</v>
      </c>
      <c r="T1234" s="3" t="s">
        <v>40</v>
      </c>
      <c r="U1234" s="3"/>
      <c r="V1234" s="3" t="s">
        <v>41</v>
      </c>
      <c r="W1234" s="5">
        <v>1429.4</v>
      </c>
      <c r="X1234" s="5">
        <v>1072.05</v>
      </c>
      <c r="Y1234" s="3">
        <v>250.15</v>
      </c>
      <c r="Z1234" s="3">
        <v>107.2</v>
      </c>
      <c r="AA1234" s="3">
        <v>0</v>
      </c>
    </row>
    <row r="1235" spans="1:27" ht="60.75" x14ac:dyDescent="0.25">
      <c r="A1235" s="3" t="s">
        <v>28</v>
      </c>
      <c r="B1235" s="3" t="s">
        <v>29</v>
      </c>
      <c r="C1235" s="3" t="s">
        <v>30</v>
      </c>
      <c r="D1235" s="3" t="s">
        <v>49</v>
      </c>
      <c r="E1235" s="3" t="s">
        <v>46</v>
      </c>
      <c r="F1235" s="3" t="s">
        <v>126</v>
      </c>
      <c r="G1235" s="3">
        <v>2025</v>
      </c>
      <c r="H1235" s="3" t="str">
        <f>CONCATENATE("54240557360")</f>
        <v>54240557360</v>
      </c>
      <c r="I1235" s="3" t="s">
        <v>34</v>
      </c>
      <c r="J1235" s="3" t="s">
        <v>35</v>
      </c>
      <c r="K1235" s="3"/>
      <c r="L1235" s="3" t="s">
        <v>36</v>
      </c>
      <c r="M1235" s="3" t="str">
        <f>CONCATENATE("MRCRSL53H42F621O")</f>
        <v>MRCRSL53H42F621O</v>
      </c>
      <c r="N1235" s="3" t="s">
        <v>1361</v>
      </c>
      <c r="O1235" s="3" t="s">
        <v>38</v>
      </c>
      <c r="P1235" s="3"/>
      <c r="Q1235" s="4">
        <v>45944</v>
      </c>
      <c r="R1235" s="3" t="s">
        <v>39</v>
      </c>
      <c r="S1235" s="3" t="s">
        <v>38</v>
      </c>
      <c r="T1235" s="3" t="s">
        <v>40</v>
      </c>
      <c r="U1235" s="3"/>
      <c r="V1235" s="3" t="s">
        <v>41</v>
      </c>
      <c r="W1235" s="5">
        <v>1528.24</v>
      </c>
      <c r="X1235" s="5">
        <v>1146.18</v>
      </c>
      <c r="Y1235" s="3">
        <v>267.44</v>
      </c>
      <c r="Z1235" s="3">
        <v>114.62</v>
      </c>
      <c r="AA1235" s="3">
        <v>0</v>
      </c>
    </row>
    <row r="1236" spans="1:27" ht="72.75" x14ac:dyDescent="0.25">
      <c r="A1236" s="3" t="s">
        <v>28</v>
      </c>
      <c r="B1236" s="3" t="s">
        <v>29</v>
      </c>
      <c r="C1236" s="3" t="s">
        <v>30</v>
      </c>
      <c r="D1236" s="3" t="s">
        <v>49</v>
      </c>
      <c r="E1236" s="3" t="s">
        <v>32</v>
      </c>
      <c r="F1236" s="3" t="s">
        <v>272</v>
      </c>
      <c r="G1236" s="3">
        <v>2025</v>
      </c>
      <c r="H1236" s="3" t="str">
        <f>CONCATENATE("54240536927")</f>
        <v>54240536927</v>
      </c>
      <c r="I1236" s="3" t="s">
        <v>34</v>
      </c>
      <c r="J1236" s="3" t="s">
        <v>35</v>
      </c>
      <c r="K1236" s="3"/>
      <c r="L1236" s="3" t="s">
        <v>36</v>
      </c>
      <c r="M1236" s="3" t="str">
        <f>CONCATENATE("TRDMGR35P43E388Q")</f>
        <v>TRDMGR35P43E388Q</v>
      </c>
      <c r="N1236" s="3" t="s">
        <v>1362</v>
      </c>
      <c r="O1236" s="3" t="s">
        <v>38</v>
      </c>
      <c r="P1236" s="3"/>
      <c r="Q1236" s="4">
        <v>45944</v>
      </c>
      <c r="R1236" s="3" t="s">
        <v>39</v>
      </c>
      <c r="S1236" s="3" t="s">
        <v>38</v>
      </c>
      <c r="T1236" s="3" t="s">
        <v>40</v>
      </c>
      <c r="U1236" s="3"/>
      <c r="V1236" s="3" t="s">
        <v>41</v>
      </c>
      <c r="W1236" s="5">
        <v>1682.36</v>
      </c>
      <c r="X1236" s="5">
        <v>1261.77</v>
      </c>
      <c r="Y1236" s="3">
        <v>294.41000000000003</v>
      </c>
      <c r="Z1236" s="3">
        <v>126.18</v>
      </c>
      <c r="AA1236" s="3">
        <v>0</v>
      </c>
    </row>
    <row r="1237" spans="1:27" ht="72.75" x14ac:dyDescent="0.25">
      <c r="A1237" s="3" t="s">
        <v>28</v>
      </c>
      <c r="B1237" s="3" t="s">
        <v>29</v>
      </c>
      <c r="C1237" s="3" t="s">
        <v>30</v>
      </c>
      <c r="D1237" s="3" t="s">
        <v>58</v>
      </c>
      <c r="E1237" s="3" t="s">
        <v>53</v>
      </c>
      <c r="F1237" s="3" t="s">
        <v>426</v>
      </c>
      <c r="G1237" s="3">
        <v>2025</v>
      </c>
      <c r="H1237" s="3" t="str">
        <f>CONCATENATE("54240537446")</f>
        <v>54240537446</v>
      </c>
      <c r="I1237" s="3" t="s">
        <v>34</v>
      </c>
      <c r="J1237" s="3" t="s">
        <v>35</v>
      </c>
      <c r="K1237" s="3"/>
      <c r="L1237" s="3" t="s">
        <v>36</v>
      </c>
      <c r="M1237" s="3" t="str">
        <f>CONCATENATE("SPLGDN65M23D007V")</f>
        <v>SPLGDN65M23D007V</v>
      </c>
      <c r="N1237" s="3" t="s">
        <v>1363</v>
      </c>
      <c r="O1237" s="3" t="s">
        <v>38</v>
      </c>
      <c r="P1237" s="3"/>
      <c r="Q1237" s="4">
        <v>45944</v>
      </c>
      <c r="R1237" s="3" t="s">
        <v>39</v>
      </c>
      <c r="S1237" s="3" t="s">
        <v>38</v>
      </c>
      <c r="T1237" s="3" t="s">
        <v>40</v>
      </c>
      <c r="U1237" s="3"/>
      <c r="V1237" s="3" t="s">
        <v>41</v>
      </c>
      <c r="W1237" s="5">
        <v>4120.3100000000004</v>
      </c>
      <c r="X1237" s="5">
        <v>3090.23</v>
      </c>
      <c r="Y1237" s="3">
        <v>721.05</v>
      </c>
      <c r="Z1237" s="3">
        <v>309.02999999999997</v>
      </c>
      <c r="AA1237" s="3">
        <v>0</v>
      </c>
    </row>
    <row r="1238" spans="1:27" ht="60.75" x14ac:dyDescent="0.25">
      <c r="A1238" s="3" t="s">
        <v>28</v>
      </c>
      <c r="B1238" s="3" t="s">
        <v>29</v>
      </c>
      <c r="C1238" s="3" t="s">
        <v>30</v>
      </c>
      <c r="D1238" s="3" t="s">
        <v>31</v>
      </c>
      <c r="E1238" s="3" t="s">
        <v>32</v>
      </c>
      <c r="F1238" s="3" t="s">
        <v>44</v>
      </c>
      <c r="G1238" s="3">
        <v>2025</v>
      </c>
      <c r="H1238" s="3" t="str">
        <f>CONCATENATE("54240537784")</f>
        <v>54240537784</v>
      </c>
      <c r="I1238" s="3" t="s">
        <v>34</v>
      </c>
      <c r="J1238" s="3" t="s">
        <v>35</v>
      </c>
      <c r="K1238" s="3"/>
      <c r="L1238" s="3" t="s">
        <v>36</v>
      </c>
      <c r="M1238" s="3" t="str">
        <f>CONCATENATE("MRTNTN47S08A327G")</f>
        <v>MRTNTN47S08A327G</v>
      </c>
      <c r="N1238" s="3" t="s">
        <v>1364</v>
      </c>
      <c r="O1238" s="3" t="s">
        <v>38</v>
      </c>
      <c r="P1238" s="3"/>
      <c r="Q1238" s="4">
        <v>45944</v>
      </c>
      <c r="R1238" s="3" t="s">
        <v>39</v>
      </c>
      <c r="S1238" s="3" t="s">
        <v>38</v>
      </c>
      <c r="T1238" s="3" t="s">
        <v>40</v>
      </c>
      <c r="U1238" s="3"/>
      <c r="V1238" s="3" t="s">
        <v>41</v>
      </c>
      <c r="W1238" s="5">
        <v>1864.76</v>
      </c>
      <c r="X1238" s="5">
        <v>1398.57</v>
      </c>
      <c r="Y1238" s="3">
        <v>326.33</v>
      </c>
      <c r="Z1238" s="3">
        <v>139.86000000000001</v>
      </c>
      <c r="AA1238" s="3">
        <v>0</v>
      </c>
    </row>
    <row r="1239" spans="1:27" ht="60.75" x14ac:dyDescent="0.25">
      <c r="A1239" s="3" t="s">
        <v>28</v>
      </c>
      <c r="B1239" s="3" t="s">
        <v>29</v>
      </c>
      <c r="C1239" s="3" t="s">
        <v>30</v>
      </c>
      <c r="D1239" s="3" t="s">
        <v>49</v>
      </c>
      <c r="E1239" s="3" t="s">
        <v>53</v>
      </c>
      <c r="F1239" s="3" t="s">
        <v>136</v>
      </c>
      <c r="G1239" s="3">
        <v>2025</v>
      </c>
      <c r="H1239" s="3" t="str">
        <f>CONCATENATE("54240538204")</f>
        <v>54240538204</v>
      </c>
      <c r="I1239" s="3" t="s">
        <v>34</v>
      </c>
      <c r="J1239" s="3" t="s">
        <v>35</v>
      </c>
      <c r="K1239" s="3"/>
      <c r="L1239" s="3" t="s">
        <v>36</v>
      </c>
      <c r="M1239" s="3" t="str">
        <f>CONCATENATE("BRRGLI85P70E388M")</f>
        <v>BRRGLI85P70E388M</v>
      </c>
      <c r="N1239" s="3" t="s">
        <v>1365</v>
      </c>
      <c r="O1239" s="3" t="s">
        <v>38</v>
      </c>
      <c r="P1239" s="3"/>
      <c r="Q1239" s="4">
        <v>45944</v>
      </c>
      <c r="R1239" s="3" t="s">
        <v>39</v>
      </c>
      <c r="S1239" s="3" t="s">
        <v>38</v>
      </c>
      <c r="T1239" s="3" t="s">
        <v>40</v>
      </c>
      <c r="U1239" s="3"/>
      <c r="V1239" s="3" t="s">
        <v>41</v>
      </c>
      <c r="W1239" s="5">
        <v>5884.75</v>
      </c>
      <c r="X1239" s="5">
        <v>4413.5600000000004</v>
      </c>
      <c r="Y1239" s="5">
        <v>1029.83</v>
      </c>
      <c r="Z1239" s="3">
        <v>441.36</v>
      </c>
      <c r="AA1239" s="3">
        <v>0</v>
      </c>
    </row>
    <row r="1240" spans="1:27" ht="36.75" x14ac:dyDescent="0.25">
      <c r="A1240" s="3" t="s">
        <v>28</v>
      </c>
      <c r="B1240" s="3" t="s">
        <v>29</v>
      </c>
      <c r="C1240" s="3" t="s">
        <v>30</v>
      </c>
      <c r="D1240" s="3" t="s">
        <v>49</v>
      </c>
      <c r="E1240" s="3" t="s">
        <v>32</v>
      </c>
      <c r="F1240" s="3" t="s">
        <v>272</v>
      </c>
      <c r="G1240" s="3">
        <v>2025</v>
      </c>
      <c r="H1240" s="3" t="str">
        <f>CONCATENATE("54240538519")</f>
        <v>54240538519</v>
      </c>
      <c r="I1240" s="3" t="s">
        <v>34</v>
      </c>
      <c r="J1240" s="3" t="s">
        <v>35</v>
      </c>
      <c r="K1240" s="3"/>
      <c r="L1240" s="3" t="s">
        <v>36</v>
      </c>
      <c r="M1240" s="3" t="str">
        <f>CONCATENATE("01862460431")</f>
        <v>01862460431</v>
      </c>
      <c r="N1240" s="3" t="s">
        <v>1366</v>
      </c>
      <c r="O1240" s="3" t="s">
        <v>38</v>
      </c>
      <c r="P1240" s="3"/>
      <c r="Q1240" s="4">
        <v>45944</v>
      </c>
      <c r="R1240" s="3" t="s">
        <v>39</v>
      </c>
      <c r="S1240" s="3" t="s">
        <v>38</v>
      </c>
      <c r="T1240" s="3" t="s">
        <v>40</v>
      </c>
      <c r="U1240" s="3"/>
      <c r="V1240" s="3" t="s">
        <v>41</v>
      </c>
      <c r="W1240" s="5">
        <v>7058.49</v>
      </c>
      <c r="X1240" s="5">
        <v>5293.87</v>
      </c>
      <c r="Y1240" s="5">
        <v>1235.24</v>
      </c>
      <c r="Z1240" s="3">
        <v>529.38</v>
      </c>
      <c r="AA1240" s="3">
        <v>0</v>
      </c>
    </row>
    <row r="1241" spans="1:27" ht="60.75" x14ac:dyDescent="0.25">
      <c r="A1241" s="3" t="s">
        <v>28</v>
      </c>
      <c r="B1241" s="3" t="s">
        <v>29</v>
      </c>
      <c r="C1241" s="3" t="s">
        <v>30</v>
      </c>
      <c r="D1241" s="3" t="s">
        <v>31</v>
      </c>
      <c r="E1241" s="3" t="s">
        <v>91</v>
      </c>
      <c r="F1241" s="3" t="s">
        <v>111</v>
      </c>
      <c r="G1241" s="3">
        <v>2025</v>
      </c>
      <c r="H1241" s="3" t="str">
        <f>CONCATENATE("54240539392")</f>
        <v>54240539392</v>
      </c>
      <c r="I1241" s="3" t="s">
        <v>34</v>
      </c>
      <c r="J1241" s="3" t="s">
        <v>35</v>
      </c>
      <c r="K1241" s="3"/>
      <c r="L1241" s="3" t="s">
        <v>36</v>
      </c>
      <c r="M1241" s="3" t="str">
        <f>CONCATENATE("FRRLSN62A68G479E")</f>
        <v>FRRLSN62A68G479E</v>
      </c>
      <c r="N1241" s="3" t="s">
        <v>1367</v>
      </c>
      <c r="O1241" s="3" t="s">
        <v>38</v>
      </c>
      <c r="P1241" s="3"/>
      <c r="Q1241" s="4">
        <v>45944</v>
      </c>
      <c r="R1241" s="3" t="s">
        <v>39</v>
      </c>
      <c r="S1241" s="3" t="s">
        <v>38</v>
      </c>
      <c r="T1241" s="3" t="s">
        <v>40</v>
      </c>
      <c r="U1241" s="3"/>
      <c r="V1241" s="3" t="s">
        <v>41</v>
      </c>
      <c r="W1241" s="5">
        <v>2013.17</v>
      </c>
      <c r="X1241" s="5">
        <v>1509.88</v>
      </c>
      <c r="Y1241" s="3">
        <v>352.3</v>
      </c>
      <c r="Z1241" s="3">
        <v>150.99</v>
      </c>
      <c r="AA1241" s="3">
        <v>0</v>
      </c>
    </row>
    <row r="1242" spans="1:27" ht="72.75" x14ac:dyDescent="0.25">
      <c r="A1242" s="3" t="s">
        <v>28</v>
      </c>
      <c r="B1242" s="3" t="s">
        <v>29</v>
      </c>
      <c r="C1242" s="3" t="s">
        <v>30</v>
      </c>
      <c r="D1242" s="3" t="s">
        <v>31</v>
      </c>
      <c r="E1242" s="3" t="s">
        <v>53</v>
      </c>
      <c r="F1242" s="3" t="s">
        <v>306</v>
      </c>
      <c r="G1242" s="3">
        <v>2025</v>
      </c>
      <c r="H1242" s="3" t="str">
        <f>CONCATENATE("54240538899")</f>
        <v>54240538899</v>
      </c>
      <c r="I1242" s="3" t="s">
        <v>34</v>
      </c>
      <c r="J1242" s="3" t="s">
        <v>35</v>
      </c>
      <c r="K1242" s="3"/>
      <c r="L1242" s="3" t="s">
        <v>36</v>
      </c>
      <c r="M1242" s="3" t="str">
        <f>CONCATENATE("GLNMRZ48B26G479M")</f>
        <v>GLNMRZ48B26G479M</v>
      </c>
      <c r="N1242" s="3" t="s">
        <v>1368</v>
      </c>
      <c r="O1242" s="3" t="s">
        <v>38</v>
      </c>
      <c r="P1242" s="3"/>
      <c r="Q1242" s="4">
        <v>45944</v>
      </c>
      <c r="R1242" s="3" t="s">
        <v>39</v>
      </c>
      <c r="S1242" s="3" t="s">
        <v>38</v>
      </c>
      <c r="T1242" s="3" t="s">
        <v>40</v>
      </c>
      <c r="U1242" s="3"/>
      <c r="V1242" s="3" t="s">
        <v>41</v>
      </c>
      <c r="W1242" s="5">
        <v>2990.13</v>
      </c>
      <c r="X1242" s="5">
        <v>2242.6</v>
      </c>
      <c r="Y1242" s="3">
        <v>523.27</v>
      </c>
      <c r="Z1242" s="3">
        <v>224.26</v>
      </c>
      <c r="AA1242" s="3">
        <v>0</v>
      </c>
    </row>
    <row r="1243" spans="1:27" ht="60.75" x14ac:dyDescent="0.25">
      <c r="A1243" s="3" t="s">
        <v>28</v>
      </c>
      <c r="B1243" s="3" t="s">
        <v>29</v>
      </c>
      <c r="C1243" s="3" t="s">
        <v>30</v>
      </c>
      <c r="D1243" s="3" t="s">
        <v>31</v>
      </c>
      <c r="E1243" s="3" t="s">
        <v>53</v>
      </c>
      <c r="F1243" s="3" t="s">
        <v>306</v>
      </c>
      <c r="G1243" s="3">
        <v>2025</v>
      </c>
      <c r="H1243" s="3" t="str">
        <f>CONCATENATE("54240538873")</f>
        <v>54240538873</v>
      </c>
      <c r="I1243" s="3" t="s">
        <v>34</v>
      </c>
      <c r="J1243" s="3" t="s">
        <v>35</v>
      </c>
      <c r="K1243" s="3"/>
      <c r="L1243" s="3" t="s">
        <v>36</v>
      </c>
      <c r="M1243" s="3" t="str">
        <f>CONCATENATE("PPCGCM76E26G479I")</f>
        <v>PPCGCM76E26G479I</v>
      </c>
      <c r="N1243" s="3" t="s">
        <v>1369</v>
      </c>
      <c r="O1243" s="3" t="s">
        <v>38</v>
      </c>
      <c r="P1243" s="3"/>
      <c r="Q1243" s="4">
        <v>45944</v>
      </c>
      <c r="R1243" s="3" t="s">
        <v>39</v>
      </c>
      <c r="S1243" s="3" t="s">
        <v>38</v>
      </c>
      <c r="T1243" s="3" t="s">
        <v>40</v>
      </c>
      <c r="U1243" s="3"/>
      <c r="V1243" s="3" t="s">
        <v>41</v>
      </c>
      <c r="W1243" s="5">
        <v>2823.08</v>
      </c>
      <c r="X1243" s="5">
        <v>2117.31</v>
      </c>
      <c r="Y1243" s="3">
        <v>494.04</v>
      </c>
      <c r="Z1243" s="3">
        <v>211.73</v>
      </c>
      <c r="AA1243" s="3">
        <v>0</v>
      </c>
    </row>
    <row r="1244" spans="1:27" ht="60.75" x14ac:dyDescent="0.25">
      <c r="A1244" s="3" t="s">
        <v>28</v>
      </c>
      <c r="B1244" s="3" t="s">
        <v>29</v>
      </c>
      <c r="C1244" s="3" t="s">
        <v>30</v>
      </c>
      <c r="D1244" s="3" t="s">
        <v>49</v>
      </c>
      <c r="E1244" s="3" t="s">
        <v>46</v>
      </c>
      <c r="F1244" s="3" t="s">
        <v>205</v>
      </c>
      <c r="G1244" s="3">
        <v>2025</v>
      </c>
      <c r="H1244" s="3" t="str">
        <f>CONCATENATE("54240538691")</f>
        <v>54240538691</v>
      </c>
      <c r="I1244" s="3" t="s">
        <v>34</v>
      </c>
      <c r="J1244" s="3" t="s">
        <v>35</v>
      </c>
      <c r="K1244" s="3"/>
      <c r="L1244" s="3" t="s">
        <v>36</v>
      </c>
      <c r="M1244" s="3" t="str">
        <f>CONCATENATE("RNZLNZ87T23L191N")</f>
        <v>RNZLNZ87T23L191N</v>
      </c>
      <c r="N1244" s="3" t="s">
        <v>1370</v>
      </c>
      <c r="O1244" s="3" t="s">
        <v>38</v>
      </c>
      <c r="P1244" s="3"/>
      <c r="Q1244" s="4">
        <v>45944</v>
      </c>
      <c r="R1244" s="3" t="s">
        <v>39</v>
      </c>
      <c r="S1244" s="3" t="s">
        <v>38</v>
      </c>
      <c r="T1244" s="3" t="s">
        <v>40</v>
      </c>
      <c r="U1244" s="3"/>
      <c r="V1244" s="3" t="s">
        <v>41</v>
      </c>
      <c r="W1244" s="5">
        <v>2482.63</v>
      </c>
      <c r="X1244" s="5">
        <v>1861.97</v>
      </c>
      <c r="Y1244" s="3">
        <v>434.46</v>
      </c>
      <c r="Z1244" s="3">
        <v>186.2</v>
      </c>
      <c r="AA1244" s="3">
        <v>0</v>
      </c>
    </row>
    <row r="1245" spans="1:27" ht="60.75" x14ac:dyDescent="0.25">
      <c r="A1245" s="3" t="s">
        <v>28</v>
      </c>
      <c r="B1245" s="3" t="s">
        <v>29</v>
      </c>
      <c r="C1245" s="3" t="s">
        <v>30</v>
      </c>
      <c r="D1245" s="3" t="s">
        <v>58</v>
      </c>
      <c r="E1245" s="3" t="s">
        <v>53</v>
      </c>
      <c r="F1245" s="3" t="s">
        <v>59</v>
      </c>
      <c r="G1245" s="3">
        <v>2025</v>
      </c>
      <c r="H1245" s="3" t="str">
        <f>CONCATENATE("54240539491")</f>
        <v>54240539491</v>
      </c>
      <c r="I1245" s="3" t="s">
        <v>34</v>
      </c>
      <c r="J1245" s="3" t="s">
        <v>35</v>
      </c>
      <c r="K1245" s="3"/>
      <c r="L1245" s="3" t="s">
        <v>36</v>
      </c>
      <c r="M1245" s="3" t="str">
        <f>CONCATENATE("SNTMRA55A58B474Y")</f>
        <v>SNTMRA55A58B474Y</v>
      </c>
      <c r="N1245" s="3" t="s">
        <v>1371</v>
      </c>
      <c r="O1245" s="3" t="s">
        <v>38</v>
      </c>
      <c r="P1245" s="3"/>
      <c r="Q1245" s="4">
        <v>45944</v>
      </c>
      <c r="R1245" s="3" t="s">
        <v>39</v>
      </c>
      <c r="S1245" s="3" t="s">
        <v>38</v>
      </c>
      <c r="T1245" s="3" t="s">
        <v>40</v>
      </c>
      <c r="U1245" s="3"/>
      <c r="V1245" s="3" t="s">
        <v>41</v>
      </c>
      <c r="W1245" s="5">
        <v>1350.32</v>
      </c>
      <c r="X1245" s="5">
        <v>1012.74</v>
      </c>
      <c r="Y1245" s="3">
        <v>236.31</v>
      </c>
      <c r="Z1245" s="3">
        <v>101.27</v>
      </c>
      <c r="AA1245" s="3">
        <v>0</v>
      </c>
    </row>
    <row r="1246" spans="1:27" ht="60.75" x14ac:dyDescent="0.25">
      <c r="A1246" s="3" t="s">
        <v>28</v>
      </c>
      <c r="B1246" s="3" t="s">
        <v>29</v>
      </c>
      <c r="C1246" s="3" t="s">
        <v>30</v>
      </c>
      <c r="D1246" s="3" t="s">
        <v>31</v>
      </c>
      <c r="E1246" s="3" t="s">
        <v>53</v>
      </c>
      <c r="F1246" s="3" t="s">
        <v>54</v>
      </c>
      <c r="G1246" s="3">
        <v>2025</v>
      </c>
      <c r="H1246" s="3" t="str">
        <f>CONCATENATE("54240539632")</f>
        <v>54240539632</v>
      </c>
      <c r="I1246" s="3" t="s">
        <v>34</v>
      </c>
      <c r="J1246" s="3" t="s">
        <v>35</v>
      </c>
      <c r="K1246" s="3"/>
      <c r="L1246" s="3" t="s">
        <v>36</v>
      </c>
      <c r="M1246" s="3" t="str">
        <f>CONCATENATE("GRRMRC84C03I459K")</f>
        <v>GRRMRC84C03I459K</v>
      </c>
      <c r="N1246" s="3" t="s">
        <v>1372</v>
      </c>
      <c r="O1246" s="3" t="s">
        <v>38</v>
      </c>
      <c r="P1246" s="3"/>
      <c r="Q1246" s="4">
        <v>45944</v>
      </c>
      <c r="R1246" s="3" t="s">
        <v>39</v>
      </c>
      <c r="S1246" s="3" t="s">
        <v>38</v>
      </c>
      <c r="T1246" s="3" t="s">
        <v>40</v>
      </c>
      <c r="U1246" s="3"/>
      <c r="V1246" s="3" t="s">
        <v>41</v>
      </c>
      <c r="W1246" s="5">
        <v>2412.58</v>
      </c>
      <c r="X1246" s="5">
        <v>1809.44</v>
      </c>
      <c r="Y1246" s="3">
        <v>422.2</v>
      </c>
      <c r="Z1246" s="3">
        <v>180.94</v>
      </c>
      <c r="AA1246" s="3">
        <v>0</v>
      </c>
    </row>
    <row r="1247" spans="1:27" ht="72.75" x14ac:dyDescent="0.25">
      <c r="A1247" s="3" t="s">
        <v>28</v>
      </c>
      <c r="B1247" s="3" t="s">
        <v>29</v>
      </c>
      <c r="C1247" s="3" t="s">
        <v>30</v>
      </c>
      <c r="D1247" s="3" t="s">
        <v>58</v>
      </c>
      <c r="E1247" s="3" t="s">
        <v>32</v>
      </c>
      <c r="F1247" s="3" t="s">
        <v>96</v>
      </c>
      <c r="G1247" s="3">
        <v>2025</v>
      </c>
      <c r="H1247" s="3" t="str">
        <f>CONCATENATE("54240539640")</f>
        <v>54240539640</v>
      </c>
      <c r="I1247" s="3" t="s">
        <v>34</v>
      </c>
      <c r="J1247" s="3" t="s">
        <v>35</v>
      </c>
      <c r="K1247" s="3"/>
      <c r="L1247" s="3" t="s">
        <v>36</v>
      </c>
      <c r="M1247" s="3" t="str">
        <f>CONCATENATE("MNTDOA54D64B474U")</f>
        <v>MNTDOA54D64B474U</v>
      </c>
      <c r="N1247" s="3" t="s">
        <v>1373</v>
      </c>
      <c r="O1247" s="3" t="s">
        <v>38</v>
      </c>
      <c r="P1247" s="3"/>
      <c r="Q1247" s="4">
        <v>45944</v>
      </c>
      <c r="R1247" s="3" t="s">
        <v>39</v>
      </c>
      <c r="S1247" s="3" t="s">
        <v>38</v>
      </c>
      <c r="T1247" s="3" t="s">
        <v>40</v>
      </c>
      <c r="U1247" s="3"/>
      <c r="V1247" s="3" t="s">
        <v>41</v>
      </c>
      <c r="W1247" s="5">
        <v>5428.82</v>
      </c>
      <c r="X1247" s="5">
        <v>4071.62</v>
      </c>
      <c r="Y1247" s="3">
        <v>950.04</v>
      </c>
      <c r="Z1247" s="3">
        <v>407.16</v>
      </c>
      <c r="AA1247" s="3">
        <v>0</v>
      </c>
    </row>
    <row r="1248" spans="1:27" ht="60.75" x14ac:dyDescent="0.25">
      <c r="A1248" s="3" t="s">
        <v>28</v>
      </c>
      <c r="B1248" s="3" t="s">
        <v>29</v>
      </c>
      <c r="C1248" s="3" t="s">
        <v>30</v>
      </c>
      <c r="D1248" s="3" t="s">
        <v>49</v>
      </c>
      <c r="E1248" s="3" t="s">
        <v>46</v>
      </c>
      <c r="F1248" s="3" t="s">
        <v>126</v>
      </c>
      <c r="G1248" s="3">
        <v>2025</v>
      </c>
      <c r="H1248" s="3" t="str">
        <f>CONCATENATE("54240557899")</f>
        <v>54240557899</v>
      </c>
      <c r="I1248" s="3" t="s">
        <v>34</v>
      </c>
      <c r="J1248" s="3" t="s">
        <v>35</v>
      </c>
      <c r="K1248" s="3"/>
      <c r="L1248" s="3" t="s">
        <v>36</v>
      </c>
      <c r="M1248" s="3" t="str">
        <f>CONCATENATE("PEXNDR83L06B157D")</f>
        <v>PEXNDR83L06B157D</v>
      </c>
      <c r="N1248" s="3" t="s">
        <v>1374</v>
      </c>
      <c r="O1248" s="3" t="s">
        <v>38</v>
      </c>
      <c r="P1248" s="3"/>
      <c r="Q1248" s="4">
        <v>45944</v>
      </c>
      <c r="R1248" s="3" t="s">
        <v>39</v>
      </c>
      <c r="S1248" s="3" t="s">
        <v>38</v>
      </c>
      <c r="T1248" s="3" t="s">
        <v>40</v>
      </c>
      <c r="U1248" s="3"/>
      <c r="V1248" s="3" t="s">
        <v>41</v>
      </c>
      <c r="W1248" s="5">
        <v>1544.28</v>
      </c>
      <c r="X1248" s="5">
        <v>1158.21</v>
      </c>
      <c r="Y1248" s="3">
        <v>270.25</v>
      </c>
      <c r="Z1248" s="3">
        <v>115.82</v>
      </c>
      <c r="AA1248" s="3">
        <v>0</v>
      </c>
    </row>
    <row r="1249" spans="1:27" ht="36.75" x14ac:dyDescent="0.25">
      <c r="A1249" s="3" t="s">
        <v>28</v>
      </c>
      <c r="B1249" s="3" t="s">
        <v>29</v>
      </c>
      <c r="C1249" s="3" t="s">
        <v>30</v>
      </c>
      <c r="D1249" s="3" t="s">
        <v>49</v>
      </c>
      <c r="E1249" s="3" t="s">
        <v>46</v>
      </c>
      <c r="F1249" s="3" t="s">
        <v>126</v>
      </c>
      <c r="G1249" s="3">
        <v>2025</v>
      </c>
      <c r="H1249" s="3" t="str">
        <f>CONCATENATE("54240565082")</f>
        <v>54240565082</v>
      </c>
      <c r="I1249" s="3" t="s">
        <v>34</v>
      </c>
      <c r="J1249" s="3" t="s">
        <v>35</v>
      </c>
      <c r="K1249" s="3"/>
      <c r="L1249" s="3" t="s">
        <v>36</v>
      </c>
      <c r="M1249" s="3" t="str">
        <f>CONCATENATE("00935140434")</f>
        <v>00935140434</v>
      </c>
      <c r="N1249" s="3" t="s">
        <v>1375</v>
      </c>
      <c r="O1249" s="3" t="s">
        <v>38</v>
      </c>
      <c r="P1249" s="3"/>
      <c r="Q1249" s="4">
        <v>45944</v>
      </c>
      <c r="R1249" s="3" t="s">
        <v>39</v>
      </c>
      <c r="S1249" s="3" t="s">
        <v>38</v>
      </c>
      <c r="T1249" s="3" t="s">
        <v>40</v>
      </c>
      <c r="U1249" s="3"/>
      <c r="V1249" s="3" t="s">
        <v>41</v>
      </c>
      <c r="W1249" s="5">
        <v>3751.31</v>
      </c>
      <c r="X1249" s="5">
        <v>2813.48</v>
      </c>
      <c r="Y1249" s="3">
        <v>656.48</v>
      </c>
      <c r="Z1249" s="3">
        <v>281.35000000000002</v>
      </c>
      <c r="AA1249" s="3">
        <v>0</v>
      </c>
    </row>
    <row r="1250" spans="1:27" ht="60.75" x14ac:dyDescent="0.25">
      <c r="A1250" s="3" t="s">
        <v>28</v>
      </c>
      <c r="B1250" s="3" t="s">
        <v>29</v>
      </c>
      <c r="C1250" s="3" t="s">
        <v>30</v>
      </c>
      <c r="D1250" s="3" t="s">
        <v>49</v>
      </c>
      <c r="E1250" s="3" t="s">
        <v>32</v>
      </c>
      <c r="F1250" s="3" t="s">
        <v>283</v>
      </c>
      <c r="G1250" s="3">
        <v>2025</v>
      </c>
      <c r="H1250" s="3" t="str">
        <f>CONCATENATE("54240540531")</f>
        <v>54240540531</v>
      </c>
      <c r="I1250" s="3" t="s">
        <v>34</v>
      </c>
      <c r="J1250" s="3" t="s">
        <v>35</v>
      </c>
      <c r="K1250" s="3"/>
      <c r="L1250" s="3" t="s">
        <v>36</v>
      </c>
      <c r="M1250" s="3" t="str">
        <f>CONCATENATE("CTLLDN66P48E783M")</f>
        <v>CTLLDN66P48E783M</v>
      </c>
      <c r="N1250" s="3" t="s">
        <v>1376</v>
      </c>
      <c r="O1250" s="3" t="s">
        <v>38</v>
      </c>
      <c r="P1250" s="3"/>
      <c r="Q1250" s="4">
        <v>45944</v>
      </c>
      <c r="R1250" s="3" t="s">
        <v>39</v>
      </c>
      <c r="S1250" s="3" t="s">
        <v>38</v>
      </c>
      <c r="T1250" s="3" t="s">
        <v>40</v>
      </c>
      <c r="U1250" s="3"/>
      <c r="V1250" s="3" t="s">
        <v>41</v>
      </c>
      <c r="W1250" s="5">
        <v>1684.03</v>
      </c>
      <c r="X1250" s="5">
        <v>1263.02</v>
      </c>
      <c r="Y1250" s="3">
        <v>294.70999999999998</v>
      </c>
      <c r="Z1250" s="3">
        <v>126.3</v>
      </c>
      <c r="AA1250" s="3">
        <v>0</v>
      </c>
    </row>
    <row r="1251" spans="1:27" ht="36.75" x14ac:dyDescent="0.25">
      <c r="A1251" s="3" t="s">
        <v>28</v>
      </c>
      <c r="B1251" s="3" t="s">
        <v>29</v>
      </c>
      <c r="C1251" s="3" t="s">
        <v>30</v>
      </c>
      <c r="D1251" s="3" t="s">
        <v>63</v>
      </c>
      <c r="E1251" s="3" t="s">
        <v>46</v>
      </c>
      <c r="F1251" s="3" t="s">
        <v>126</v>
      </c>
      <c r="G1251" s="3">
        <v>2025</v>
      </c>
      <c r="H1251" s="3" t="str">
        <f>CONCATENATE("54240551314")</f>
        <v>54240551314</v>
      </c>
      <c r="I1251" s="3" t="s">
        <v>34</v>
      </c>
      <c r="J1251" s="3" t="s">
        <v>35</v>
      </c>
      <c r="K1251" s="3"/>
      <c r="L1251" s="3" t="s">
        <v>36</v>
      </c>
      <c r="M1251" s="3" t="str">
        <f>CONCATENATE("02515370449")</f>
        <v>02515370449</v>
      </c>
      <c r="N1251" s="3" t="s">
        <v>1377</v>
      </c>
      <c r="O1251" s="3" t="s">
        <v>38</v>
      </c>
      <c r="P1251" s="3"/>
      <c r="Q1251" s="4">
        <v>45944</v>
      </c>
      <c r="R1251" s="3" t="s">
        <v>39</v>
      </c>
      <c r="S1251" s="3" t="s">
        <v>38</v>
      </c>
      <c r="T1251" s="3" t="s">
        <v>40</v>
      </c>
      <c r="U1251" s="3"/>
      <c r="V1251" s="3" t="s">
        <v>41</v>
      </c>
      <c r="W1251" s="5">
        <v>8531.2000000000007</v>
      </c>
      <c r="X1251" s="5">
        <v>6398.4</v>
      </c>
      <c r="Y1251" s="5">
        <v>1492.96</v>
      </c>
      <c r="Z1251" s="3">
        <v>639.84</v>
      </c>
      <c r="AA1251" s="3">
        <v>0</v>
      </c>
    </row>
    <row r="1252" spans="1:27" ht="36.75" x14ac:dyDescent="0.25">
      <c r="A1252" s="3" t="s">
        <v>28</v>
      </c>
      <c r="B1252" s="3" t="s">
        <v>29</v>
      </c>
      <c r="C1252" s="3" t="s">
        <v>30</v>
      </c>
      <c r="D1252" s="3" t="s">
        <v>49</v>
      </c>
      <c r="E1252" s="3" t="s">
        <v>46</v>
      </c>
      <c r="F1252" s="3" t="s">
        <v>126</v>
      </c>
      <c r="G1252" s="3">
        <v>2025</v>
      </c>
      <c r="H1252" s="3" t="str">
        <f>CONCATENATE("54240565140")</f>
        <v>54240565140</v>
      </c>
      <c r="I1252" s="3" t="s">
        <v>34</v>
      </c>
      <c r="J1252" s="3" t="s">
        <v>35</v>
      </c>
      <c r="K1252" s="3"/>
      <c r="L1252" s="3" t="s">
        <v>36</v>
      </c>
      <c r="M1252" s="3" t="str">
        <f>CONCATENATE("01961480439")</f>
        <v>01961480439</v>
      </c>
      <c r="N1252" s="3" t="s">
        <v>1378</v>
      </c>
      <c r="O1252" s="3" t="s">
        <v>38</v>
      </c>
      <c r="P1252" s="3"/>
      <c r="Q1252" s="4">
        <v>45944</v>
      </c>
      <c r="R1252" s="3" t="s">
        <v>39</v>
      </c>
      <c r="S1252" s="3" t="s">
        <v>38</v>
      </c>
      <c r="T1252" s="3" t="s">
        <v>40</v>
      </c>
      <c r="U1252" s="3"/>
      <c r="V1252" s="3" t="s">
        <v>41</v>
      </c>
      <c r="W1252" s="3">
        <v>840.31</v>
      </c>
      <c r="X1252" s="3">
        <v>630.23</v>
      </c>
      <c r="Y1252" s="3">
        <v>147.05000000000001</v>
      </c>
      <c r="Z1252" s="3">
        <v>63.03</v>
      </c>
      <c r="AA1252" s="3">
        <v>0</v>
      </c>
    </row>
    <row r="1253" spans="1:27" ht="36.75" x14ac:dyDescent="0.25">
      <c r="A1253" s="3" t="s">
        <v>28</v>
      </c>
      <c r="B1253" s="3" t="s">
        <v>29</v>
      </c>
      <c r="C1253" s="3" t="s">
        <v>30</v>
      </c>
      <c r="D1253" s="3" t="s">
        <v>49</v>
      </c>
      <c r="E1253" s="3" t="s">
        <v>91</v>
      </c>
      <c r="F1253" s="3" t="s">
        <v>92</v>
      </c>
      <c r="G1253" s="3">
        <v>2025</v>
      </c>
      <c r="H1253" s="3" t="str">
        <f>CONCATENATE("54240541471")</f>
        <v>54240541471</v>
      </c>
      <c r="I1253" s="3" t="s">
        <v>34</v>
      </c>
      <c r="J1253" s="3" t="s">
        <v>35</v>
      </c>
      <c r="K1253" s="3"/>
      <c r="L1253" s="3" t="s">
        <v>36</v>
      </c>
      <c r="M1253" s="3" t="str">
        <f>CONCATENATE("01652320431")</f>
        <v>01652320431</v>
      </c>
      <c r="N1253" s="3" t="s">
        <v>1379</v>
      </c>
      <c r="O1253" s="3" t="s">
        <v>38</v>
      </c>
      <c r="P1253" s="3"/>
      <c r="Q1253" s="4">
        <v>45944</v>
      </c>
      <c r="R1253" s="3" t="s">
        <v>39</v>
      </c>
      <c r="S1253" s="3" t="s">
        <v>38</v>
      </c>
      <c r="T1253" s="3" t="s">
        <v>40</v>
      </c>
      <c r="U1253" s="3"/>
      <c r="V1253" s="3" t="s">
        <v>41</v>
      </c>
      <c r="W1253" s="5">
        <v>4625.41</v>
      </c>
      <c r="X1253" s="5">
        <v>3469.06</v>
      </c>
      <c r="Y1253" s="3">
        <v>809.45</v>
      </c>
      <c r="Z1253" s="3">
        <v>346.9</v>
      </c>
      <c r="AA1253" s="3">
        <v>0</v>
      </c>
    </row>
    <row r="1254" spans="1:27" ht="60.75" x14ac:dyDescent="0.25">
      <c r="A1254" s="3" t="s">
        <v>28</v>
      </c>
      <c r="B1254" s="3" t="s">
        <v>29</v>
      </c>
      <c r="C1254" s="3" t="s">
        <v>30</v>
      </c>
      <c r="D1254" s="3" t="s">
        <v>49</v>
      </c>
      <c r="E1254" s="3" t="s">
        <v>32</v>
      </c>
      <c r="F1254" s="3" t="s">
        <v>78</v>
      </c>
      <c r="G1254" s="3">
        <v>2025</v>
      </c>
      <c r="H1254" s="3" t="str">
        <f>CONCATENATE("54240541174")</f>
        <v>54240541174</v>
      </c>
      <c r="I1254" s="3" t="s">
        <v>34</v>
      </c>
      <c r="J1254" s="3" t="s">
        <v>35</v>
      </c>
      <c r="K1254" s="3"/>
      <c r="L1254" s="3" t="s">
        <v>36</v>
      </c>
      <c r="M1254" s="3" t="str">
        <f>CONCATENATE("BLRCLD86S26D451V")</f>
        <v>BLRCLD86S26D451V</v>
      </c>
      <c r="N1254" s="3" t="s">
        <v>1380</v>
      </c>
      <c r="O1254" s="3" t="s">
        <v>38</v>
      </c>
      <c r="P1254" s="3"/>
      <c r="Q1254" s="4">
        <v>45944</v>
      </c>
      <c r="R1254" s="3" t="s">
        <v>39</v>
      </c>
      <c r="S1254" s="3" t="s">
        <v>38</v>
      </c>
      <c r="T1254" s="3" t="s">
        <v>40</v>
      </c>
      <c r="U1254" s="3"/>
      <c r="V1254" s="3" t="s">
        <v>41</v>
      </c>
      <c r="W1254" s="5">
        <v>3694.13</v>
      </c>
      <c r="X1254" s="5">
        <v>2770.6</v>
      </c>
      <c r="Y1254" s="3">
        <v>646.47</v>
      </c>
      <c r="Z1254" s="3">
        <v>277.06</v>
      </c>
      <c r="AA1254" s="3">
        <v>0</v>
      </c>
    </row>
    <row r="1255" spans="1:27" ht="36.75" x14ac:dyDescent="0.25">
      <c r="A1255" s="3" t="s">
        <v>28</v>
      </c>
      <c r="B1255" s="3" t="s">
        <v>29</v>
      </c>
      <c r="C1255" s="3" t="s">
        <v>30</v>
      </c>
      <c r="D1255" s="3" t="s">
        <v>58</v>
      </c>
      <c r="E1255" s="3" t="s">
        <v>32</v>
      </c>
      <c r="F1255" s="3" t="s">
        <v>102</v>
      </c>
      <c r="G1255" s="3">
        <v>2025</v>
      </c>
      <c r="H1255" s="3" t="str">
        <f>CONCATENATE("54240541596")</f>
        <v>54240541596</v>
      </c>
      <c r="I1255" s="3" t="s">
        <v>34</v>
      </c>
      <c r="J1255" s="3" t="s">
        <v>35</v>
      </c>
      <c r="K1255" s="3"/>
      <c r="L1255" s="3" t="s">
        <v>36</v>
      </c>
      <c r="M1255" s="3" t="str">
        <f>CONCATENATE("01776160432")</f>
        <v>01776160432</v>
      </c>
      <c r="N1255" s="3" t="s">
        <v>1381</v>
      </c>
      <c r="O1255" s="3" t="s">
        <v>38</v>
      </c>
      <c r="P1255" s="3"/>
      <c r="Q1255" s="4">
        <v>45944</v>
      </c>
      <c r="R1255" s="3" t="s">
        <v>39</v>
      </c>
      <c r="S1255" s="3" t="s">
        <v>38</v>
      </c>
      <c r="T1255" s="3" t="s">
        <v>40</v>
      </c>
      <c r="U1255" s="3"/>
      <c r="V1255" s="3" t="s">
        <v>41</v>
      </c>
      <c r="W1255" s="5">
        <v>63911.41</v>
      </c>
      <c r="X1255" s="5">
        <v>47933.56</v>
      </c>
      <c r="Y1255" s="5">
        <v>11184.5</v>
      </c>
      <c r="Z1255" s="5">
        <v>4793.3500000000004</v>
      </c>
      <c r="AA1255" s="3">
        <v>0</v>
      </c>
    </row>
    <row r="1256" spans="1:27" ht="36.75" x14ac:dyDescent="0.25">
      <c r="A1256" s="3" t="s">
        <v>28</v>
      </c>
      <c r="B1256" s="3" t="s">
        <v>29</v>
      </c>
      <c r="C1256" s="3" t="s">
        <v>30</v>
      </c>
      <c r="D1256" s="3" t="s">
        <v>58</v>
      </c>
      <c r="E1256" s="3" t="s">
        <v>32</v>
      </c>
      <c r="F1256" s="3" t="s">
        <v>96</v>
      </c>
      <c r="G1256" s="3">
        <v>2025</v>
      </c>
      <c r="H1256" s="3" t="str">
        <f>CONCATENATE("54240541679")</f>
        <v>54240541679</v>
      </c>
      <c r="I1256" s="3" t="s">
        <v>34</v>
      </c>
      <c r="J1256" s="3" t="s">
        <v>35</v>
      </c>
      <c r="K1256" s="3"/>
      <c r="L1256" s="3" t="s">
        <v>36</v>
      </c>
      <c r="M1256" s="3" t="str">
        <f>CONCATENATE("02867400422")</f>
        <v>02867400422</v>
      </c>
      <c r="N1256" s="3" t="s">
        <v>1382</v>
      </c>
      <c r="O1256" s="3" t="s">
        <v>38</v>
      </c>
      <c r="P1256" s="3"/>
      <c r="Q1256" s="4">
        <v>45944</v>
      </c>
      <c r="R1256" s="3" t="s">
        <v>39</v>
      </c>
      <c r="S1256" s="3" t="s">
        <v>38</v>
      </c>
      <c r="T1256" s="3" t="s">
        <v>40</v>
      </c>
      <c r="U1256" s="3"/>
      <c r="V1256" s="3" t="s">
        <v>41</v>
      </c>
      <c r="W1256" s="5">
        <v>2667.78</v>
      </c>
      <c r="X1256" s="5">
        <v>2000.84</v>
      </c>
      <c r="Y1256" s="3">
        <v>466.86</v>
      </c>
      <c r="Z1256" s="3">
        <v>200.08</v>
      </c>
      <c r="AA1256" s="3">
        <v>0</v>
      </c>
    </row>
    <row r="1257" spans="1:27" ht="60.75" x14ac:dyDescent="0.25">
      <c r="A1257" s="3" t="s">
        <v>28</v>
      </c>
      <c r="B1257" s="3" t="s">
        <v>29</v>
      </c>
      <c r="C1257" s="3" t="s">
        <v>30</v>
      </c>
      <c r="D1257" s="3" t="s">
        <v>31</v>
      </c>
      <c r="E1257" s="3" t="s">
        <v>32</v>
      </c>
      <c r="F1257" s="3" t="s">
        <v>56</v>
      </c>
      <c r="G1257" s="3">
        <v>2025</v>
      </c>
      <c r="H1257" s="3" t="str">
        <f>CONCATENATE("54240541703")</f>
        <v>54240541703</v>
      </c>
      <c r="I1257" s="3" t="s">
        <v>34</v>
      </c>
      <c r="J1257" s="3" t="s">
        <v>35</v>
      </c>
      <c r="K1257" s="3"/>
      <c r="L1257" s="3" t="s">
        <v>36</v>
      </c>
      <c r="M1257" s="3" t="str">
        <f>CONCATENATE("GCCCRD54S04E122G")</f>
        <v>GCCCRD54S04E122G</v>
      </c>
      <c r="N1257" s="3" t="s">
        <v>1383</v>
      </c>
      <c r="O1257" s="3" t="s">
        <v>38</v>
      </c>
      <c r="P1257" s="3"/>
      <c r="Q1257" s="4">
        <v>45944</v>
      </c>
      <c r="R1257" s="3" t="s">
        <v>39</v>
      </c>
      <c r="S1257" s="3" t="s">
        <v>38</v>
      </c>
      <c r="T1257" s="3" t="s">
        <v>40</v>
      </c>
      <c r="U1257" s="3"/>
      <c r="V1257" s="3" t="s">
        <v>41</v>
      </c>
      <c r="W1257" s="5">
        <v>1101.8599999999999</v>
      </c>
      <c r="X1257" s="3">
        <v>826.4</v>
      </c>
      <c r="Y1257" s="3">
        <v>192.83</v>
      </c>
      <c r="Z1257" s="3">
        <v>82.63</v>
      </c>
      <c r="AA1257" s="3">
        <v>0</v>
      </c>
    </row>
    <row r="1258" spans="1:27" ht="36.75" x14ac:dyDescent="0.25">
      <c r="A1258" s="3" t="s">
        <v>28</v>
      </c>
      <c r="B1258" s="3" t="s">
        <v>29</v>
      </c>
      <c r="C1258" s="3" t="s">
        <v>30</v>
      </c>
      <c r="D1258" s="3" t="s">
        <v>49</v>
      </c>
      <c r="E1258" s="3" t="s">
        <v>46</v>
      </c>
      <c r="F1258" s="3" t="s">
        <v>205</v>
      </c>
      <c r="G1258" s="3">
        <v>2025</v>
      </c>
      <c r="H1258" s="3" t="str">
        <f>CONCATENATE("54240662848")</f>
        <v>54240662848</v>
      </c>
      <c r="I1258" s="3" t="s">
        <v>34</v>
      </c>
      <c r="J1258" s="3" t="s">
        <v>35</v>
      </c>
      <c r="K1258" s="3"/>
      <c r="L1258" s="3" t="s">
        <v>36</v>
      </c>
      <c r="M1258" s="3" t="str">
        <f>CONCATENATE("01429660432")</f>
        <v>01429660432</v>
      </c>
      <c r="N1258" s="3" t="s">
        <v>1384</v>
      </c>
      <c r="O1258" s="3" t="s">
        <v>38</v>
      </c>
      <c r="P1258" s="3"/>
      <c r="Q1258" s="4">
        <v>45944</v>
      </c>
      <c r="R1258" s="3" t="s">
        <v>39</v>
      </c>
      <c r="S1258" s="3" t="s">
        <v>38</v>
      </c>
      <c r="T1258" s="3" t="s">
        <v>40</v>
      </c>
      <c r="U1258" s="3"/>
      <c r="V1258" s="3" t="s">
        <v>41</v>
      </c>
      <c r="W1258" s="5">
        <v>5811.06</v>
      </c>
      <c r="X1258" s="5">
        <v>4358.3</v>
      </c>
      <c r="Y1258" s="5">
        <v>1016.94</v>
      </c>
      <c r="Z1258" s="3">
        <v>435.82</v>
      </c>
      <c r="AA1258" s="3">
        <v>0</v>
      </c>
    </row>
    <row r="1259" spans="1:27" ht="36.75" x14ac:dyDescent="0.25">
      <c r="A1259" s="3" t="s">
        <v>28</v>
      </c>
      <c r="B1259" s="3" t="s">
        <v>29</v>
      </c>
      <c r="C1259" s="3" t="s">
        <v>30</v>
      </c>
      <c r="D1259" s="3" t="s">
        <v>49</v>
      </c>
      <c r="E1259" s="3" t="s">
        <v>46</v>
      </c>
      <c r="F1259" s="3" t="s">
        <v>205</v>
      </c>
      <c r="G1259" s="3">
        <v>2025</v>
      </c>
      <c r="H1259" s="3" t="str">
        <f>CONCATENATE("54240662780")</f>
        <v>54240662780</v>
      </c>
      <c r="I1259" s="3" t="s">
        <v>34</v>
      </c>
      <c r="J1259" s="3" t="s">
        <v>35</v>
      </c>
      <c r="K1259" s="3"/>
      <c r="L1259" s="3" t="s">
        <v>36</v>
      </c>
      <c r="M1259" s="3" t="str">
        <f>CONCATENATE("01428360430")</f>
        <v>01428360430</v>
      </c>
      <c r="N1259" s="3" t="s">
        <v>1385</v>
      </c>
      <c r="O1259" s="3" t="s">
        <v>38</v>
      </c>
      <c r="P1259" s="3"/>
      <c r="Q1259" s="4">
        <v>45944</v>
      </c>
      <c r="R1259" s="3" t="s">
        <v>39</v>
      </c>
      <c r="S1259" s="3" t="s">
        <v>38</v>
      </c>
      <c r="T1259" s="3" t="s">
        <v>40</v>
      </c>
      <c r="U1259" s="3"/>
      <c r="V1259" s="3" t="s">
        <v>41</v>
      </c>
      <c r="W1259" s="5">
        <v>2899.11</v>
      </c>
      <c r="X1259" s="5">
        <v>2174.33</v>
      </c>
      <c r="Y1259" s="3">
        <v>507.34</v>
      </c>
      <c r="Z1259" s="3">
        <v>217.44</v>
      </c>
      <c r="AA1259" s="3">
        <v>0</v>
      </c>
    </row>
    <row r="1260" spans="1:27" ht="36.75" x14ac:dyDescent="0.25">
      <c r="A1260" s="3" t="s">
        <v>28</v>
      </c>
      <c r="B1260" s="3" t="s">
        <v>29</v>
      </c>
      <c r="C1260" s="3" t="s">
        <v>30</v>
      </c>
      <c r="D1260" s="3" t="s">
        <v>49</v>
      </c>
      <c r="E1260" s="3" t="s">
        <v>46</v>
      </c>
      <c r="F1260" s="3" t="s">
        <v>205</v>
      </c>
      <c r="G1260" s="3">
        <v>2025</v>
      </c>
      <c r="H1260" s="3" t="str">
        <f>CONCATENATE("54240662988")</f>
        <v>54240662988</v>
      </c>
      <c r="I1260" s="3" t="s">
        <v>34</v>
      </c>
      <c r="J1260" s="3" t="s">
        <v>35</v>
      </c>
      <c r="K1260" s="3"/>
      <c r="L1260" s="3" t="s">
        <v>36</v>
      </c>
      <c r="M1260" s="3" t="str">
        <f>CONCATENATE("02494110444")</f>
        <v>02494110444</v>
      </c>
      <c r="N1260" s="3" t="s">
        <v>1386</v>
      </c>
      <c r="O1260" s="3" t="s">
        <v>38</v>
      </c>
      <c r="P1260" s="3"/>
      <c r="Q1260" s="4">
        <v>45944</v>
      </c>
      <c r="R1260" s="3" t="s">
        <v>39</v>
      </c>
      <c r="S1260" s="3" t="s">
        <v>38</v>
      </c>
      <c r="T1260" s="3" t="s">
        <v>40</v>
      </c>
      <c r="U1260" s="3"/>
      <c r="V1260" s="3" t="s">
        <v>41</v>
      </c>
      <c r="W1260" s="5">
        <v>1262.82</v>
      </c>
      <c r="X1260" s="3">
        <v>947.12</v>
      </c>
      <c r="Y1260" s="3">
        <v>220.99</v>
      </c>
      <c r="Z1260" s="3">
        <v>94.71</v>
      </c>
      <c r="AA1260" s="3">
        <v>0</v>
      </c>
    </row>
    <row r="1261" spans="1:27" ht="60.75" x14ac:dyDescent="0.25">
      <c r="A1261" s="3" t="s">
        <v>28</v>
      </c>
      <c r="B1261" s="3" t="s">
        <v>29</v>
      </c>
      <c r="C1261" s="3" t="s">
        <v>30</v>
      </c>
      <c r="D1261" s="3" t="s">
        <v>31</v>
      </c>
      <c r="E1261" s="3" t="s">
        <v>53</v>
      </c>
      <c r="F1261" s="3" t="s">
        <v>54</v>
      </c>
      <c r="G1261" s="3">
        <v>2025</v>
      </c>
      <c r="H1261" s="3" t="str">
        <f>CONCATENATE("54240526985")</f>
        <v>54240526985</v>
      </c>
      <c r="I1261" s="3" t="s">
        <v>34</v>
      </c>
      <c r="J1261" s="3" t="s">
        <v>35</v>
      </c>
      <c r="K1261" s="3"/>
      <c r="L1261" s="3" t="s">
        <v>36</v>
      </c>
      <c r="M1261" s="3" t="str">
        <f>CONCATENATE("NLDGPP62H23E785R")</f>
        <v>NLDGPP62H23E785R</v>
      </c>
      <c r="N1261" s="3" t="s">
        <v>1387</v>
      </c>
      <c r="O1261" s="3" t="s">
        <v>38</v>
      </c>
      <c r="P1261" s="3"/>
      <c r="Q1261" s="4">
        <v>45944</v>
      </c>
      <c r="R1261" s="3" t="s">
        <v>39</v>
      </c>
      <c r="S1261" s="3" t="s">
        <v>38</v>
      </c>
      <c r="T1261" s="3" t="s">
        <v>40</v>
      </c>
      <c r="U1261" s="3"/>
      <c r="V1261" s="3" t="s">
        <v>41</v>
      </c>
      <c r="W1261" s="5">
        <v>8225.74</v>
      </c>
      <c r="X1261" s="5">
        <v>6169.31</v>
      </c>
      <c r="Y1261" s="5">
        <v>1439.5</v>
      </c>
      <c r="Z1261" s="3">
        <v>616.92999999999995</v>
      </c>
      <c r="AA1261" s="3">
        <v>0</v>
      </c>
    </row>
    <row r="1262" spans="1:27" ht="60.75" x14ac:dyDescent="0.25">
      <c r="A1262" s="3" t="s">
        <v>28</v>
      </c>
      <c r="B1262" s="3" t="s">
        <v>29</v>
      </c>
      <c r="C1262" s="3" t="s">
        <v>30</v>
      </c>
      <c r="D1262" s="3" t="s">
        <v>58</v>
      </c>
      <c r="E1262" s="3" t="s">
        <v>74</v>
      </c>
      <c r="F1262" s="3" t="s">
        <v>688</v>
      </c>
      <c r="G1262" s="3">
        <v>2025</v>
      </c>
      <c r="H1262" s="3" t="str">
        <f>CONCATENATE("54240527066")</f>
        <v>54240527066</v>
      </c>
      <c r="I1262" s="3" t="s">
        <v>34</v>
      </c>
      <c r="J1262" s="3" t="s">
        <v>35</v>
      </c>
      <c r="K1262" s="3"/>
      <c r="L1262" s="3" t="s">
        <v>36</v>
      </c>
      <c r="M1262" s="3" t="str">
        <f>CONCATENATE("CRBRRT66C12A769M")</f>
        <v>CRBRRT66C12A769M</v>
      </c>
      <c r="N1262" s="3" t="s">
        <v>1388</v>
      </c>
      <c r="O1262" s="3" t="s">
        <v>38</v>
      </c>
      <c r="P1262" s="3"/>
      <c r="Q1262" s="4">
        <v>45944</v>
      </c>
      <c r="R1262" s="3" t="s">
        <v>39</v>
      </c>
      <c r="S1262" s="3" t="s">
        <v>38</v>
      </c>
      <c r="T1262" s="3" t="s">
        <v>40</v>
      </c>
      <c r="U1262" s="3"/>
      <c r="V1262" s="3" t="s">
        <v>41</v>
      </c>
      <c r="W1262" s="3">
        <v>782.71</v>
      </c>
      <c r="X1262" s="3">
        <v>587.03</v>
      </c>
      <c r="Y1262" s="3">
        <v>136.97</v>
      </c>
      <c r="Z1262" s="3">
        <v>58.71</v>
      </c>
      <c r="AA1262" s="3">
        <v>0</v>
      </c>
    </row>
    <row r="1263" spans="1:27" ht="72.75" x14ac:dyDescent="0.25">
      <c r="A1263" s="3" t="s">
        <v>28</v>
      </c>
      <c r="B1263" s="3" t="s">
        <v>29</v>
      </c>
      <c r="C1263" s="3" t="s">
        <v>30</v>
      </c>
      <c r="D1263" s="3" t="s">
        <v>58</v>
      </c>
      <c r="E1263" s="3" t="s">
        <v>53</v>
      </c>
      <c r="F1263" s="3" t="s">
        <v>426</v>
      </c>
      <c r="G1263" s="3">
        <v>2025</v>
      </c>
      <c r="H1263" s="3" t="str">
        <f>CONCATENATE("54240527389")</f>
        <v>54240527389</v>
      </c>
      <c r="I1263" s="3" t="s">
        <v>34</v>
      </c>
      <c r="J1263" s="3" t="s">
        <v>35</v>
      </c>
      <c r="K1263" s="3"/>
      <c r="L1263" s="3" t="s">
        <v>36</v>
      </c>
      <c r="M1263" s="3" t="str">
        <f>CONCATENATE("RMNSPH96R52F205G")</f>
        <v>RMNSPH96R52F205G</v>
      </c>
      <c r="N1263" s="3" t="s">
        <v>1389</v>
      </c>
      <c r="O1263" s="3" t="s">
        <v>38</v>
      </c>
      <c r="P1263" s="3"/>
      <c r="Q1263" s="4">
        <v>45944</v>
      </c>
      <c r="R1263" s="3" t="s">
        <v>39</v>
      </c>
      <c r="S1263" s="3" t="s">
        <v>38</v>
      </c>
      <c r="T1263" s="3" t="s">
        <v>40</v>
      </c>
      <c r="U1263" s="3"/>
      <c r="V1263" s="3" t="s">
        <v>41</v>
      </c>
      <c r="W1263" s="5">
        <v>1307.6300000000001</v>
      </c>
      <c r="X1263" s="3">
        <v>980.72</v>
      </c>
      <c r="Y1263" s="3">
        <v>228.84</v>
      </c>
      <c r="Z1263" s="3">
        <v>98.07</v>
      </c>
      <c r="AA1263" s="3">
        <v>0</v>
      </c>
    </row>
    <row r="1264" spans="1:27" ht="60.75" x14ac:dyDescent="0.25">
      <c r="A1264" s="3" t="s">
        <v>28</v>
      </c>
      <c r="B1264" s="3" t="s">
        <v>29</v>
      </c>
      <c r="C1264" s="3" t="s">
        <v>30</v>
      </c>
      <c r="D1264" s="3" t="s">
        <v>31</v>
      </c>
      <c r="E1264" s="3" t="s">
        <v>32</v>
      </c>
      <c r="F1264" s="3" t="s">
        <v>440</v>
      </c>
      <c r="G1264" s="3">
        <v>2025</v>
      </c>
      <c r="H1264" s="3" t="str">
        <f>CONCATENATE("54240527470")</f>
        <v>54240527470</v>
      </c>
      <c r="I1264" s="3" t="s">
        <v>34</v>
      </c>
      <c r="J1264" s="3" t="s">
        <v>35</v>
      </c>
      <c r="K1264" s="3"/>
      <c r="L1264" s="3" t="s">
        <v>36</v>
      </c>
      <c r="M1264" s="3" t="str">
        <f>CONCATENATE("BLDCNZ75L70I459M")</f>
        <v>BLDCNZ75L70I459M</v>
      </c>
      <c r="N1264" s="3" t="s">
        <v>1390</v>
      </c>
      <c r="O1264" s="3" t="s">
        <v>38</v>
      </c>
      <c r="P1264" s="3"/>
      <c r="Q1264" s="4">
        <v>45944</v>
      </c>
      <c r="R1264" s="3" t="s">
        <v>39</v>
      </c>
      <c r="S1264" s="3" t="s">
        <v>38</v>
      </c>
      <c r="T1264" s="3" t="s">
        <v>40</v>
      </c>
      <c r="U1264" s="3"/>
      <c r="V1264" s="3" t="s">
        <v>41</v>
      </c>
      <c r="W1264" s="5">
        <v>7080.1</v>
      </c>
      <c r="X1264" s="5">
        <v>5310.08</v>
      </c>
      <c r="Y1264" s="5">
        <v>1239.02</v>
      </c>
      <c r="Z1264" s="3">
        <v>531</v>
      </c>
      <c r="AA1264" s="3">
        <v>0</v>
      </c>
    </row>
    <row r="1265" spans="1:27" ht="60.75" x14ac:dyDescent="0.25">
      <c r="A1265" s="3" t="s">
        <v>28</v>
      </c>
      <c r="B1265" s="3" t="s">
        <v>29</v>
      </c>
      <c r="C1265" s="3" t="s">
        <v>30</v>
      </c>
      <c r="D1265" s="3" t="s">
        <v>58</v>
      </c>
      <c r="E1265" s="3" t="s">
        <v>53</v>
      </c>
      <c r="F1265" s="3" t="s">
        <v>426</v>
      </c>
      <c r="G1265" s="3">
        <v>2025</v>
      </c>
      <c r="H1265" s="3" t="str">
        <f>CONCATENATE("54240527587")</f>
        <v>54240527587</v>
      </c>
      <c r="I1265" s="3" t="s">
        <v>34</v>
      </c>
      <c r="J1265" s="3" t="s">
        <v>35</v>
      </c>
      <c r="K1265" s="3"/>
      <c r="L1265" s="3" t="s">
        <v>36</v>
      </c>
      <c r="M1265" s="3" t="str">
        <f>CONCATENATE("MZZSDR48C14I608A")</f>
        <v>MZZSDR48C14I608A</v>
      </c>
      <c r="N1265" s="3" t="s">
        <v>1391</v>
      </c>
      <c r="O1265" s="3" t="s">
        <v>38</v>
      </c>
      <c r="P1265" s="3"/>
      <c r="Q1265" s="4">
        <v>45944</v>
      </c>
      <c r="R1265" s="3" t="s">
        <v>39</v>
      </c>
      <c r="S1265" s="3" t="s">
        <v>38</v>
      </c>
      <c r="T1265" s="3" t="s">
        <v>40</v>
      </c>
      <c r="U1265" s="3"/>
      <c r="V1265" s="3" t="s">
        <v>41</v>
      </c>
      <c r="W1265" s="5">
        <v>13607.02</v>
      </c>
      <c r="X1265" s="5">
        <v>10205.27</v>
      </c>
      <c r="Y1265" s="5">
        <v>2381.23</v>
      </c>
      <c r="Z1265" s="5">
        <v>1020.52</v>
      </c>
      <c r="AA1265" s="3">
        <v>0</v>
      </c>
    </row>
    <row r="1266" spans="1:27" ht="48.75" x14ac:dyDescent="0.25">
      <c r="A1266" s="3" t="s">
        <v>28</v>
      </c>
      <c r="B1266" s="3" t="s">
        <v>29</v>
      </c>
      <c r="C1266" s="3" t="s">
        <v>30</v>
      </c>
      <c r="D1266" s="3" t="s">
        <v>58</v>
      </c>
      <c r="E1266" s="3" t="s">
        <v>32</v>
      </c>
      <c r="F1266" s="3" t="s">
        <v>96</v>
      </c>
      <c r="G1266" s="3">
        <v>2025</v>
      </c>
      <c r="H1266" s="3" t="str">
        <f>CONCATENATE("54240527611")</f>
        <v>54240527611</v>
      </c>
      <c r="I1266" s="3" t="s">
        <v>34</v>
      </c>
      <c r="J1266" s="3" t="s">
        <v>35</v>
      </c>
      <c r="K1266" s="3"/>
      <c r="L1266" s="3" t="s">
        <v>36</v>
      </c>
      <c r="M1266" s="3" t="str">
        <f>CONCATENATE("CCLBSL62E04I608I")</f>
        <v>CCLBSL62E04I608I</v>
      </c>
      <c r="N1266" s="3" t="s">
        <v>1392</v>
      </c>
      <c r="O1266" s="3" t="s">
        <v>38</v>
      </c>
      <c r="P1266" s="3"/>
      <c r="Q1266" s="4">
        <v>45944</v>
      </c>
      <c r="R1266" s="3" t="s">
        <v>39</v>
      </c>
      <c r="S1266" s="3" t="s">
        <v>38</v>
      </c>
      <c r="T1266" s="3" t="s">
        <v>40</v>
      </c>
      <c r="U1266" s="3"/>
      <c r="V1266" s="3" t="s">
        <v>41</v>
      </c>
      <c r="W1266" s="5">
        <v>3699.23</v>
      </c>
      <c r="X1266" s="5">
        <v>2774.42</v>
      </c>
      <c r="Y1266" s="3">
        <v>647.37</v>
      </c>
      <c r="Z1266" s="3">
        <v>277.44</v>
      </c>
      <c r="AA1266" s="3">
        <v>0</v>
      </c>
    </row>
    <row r="1267" spans="1:27" ht="36.75" x14ac:dyDescent="0.25">
      <c r="A1267" s="3" t="s">
        <v>28</v>
      </c>
      <c r="B1267" s="3" t="s">
        <v>29</v>
      </c>
      <c r="C1267" s="3" t="s">
        <v>30</v>
      </c>
      <c r="D1267" s="3" t="s">
        <v>31</v>
      </c>
      <c r="E1267" s="3" t="s">
        <v>91</v>
      </c>
      <c r="F1267" s="3" t="s">
        <v>111</v>
      </c>
      <c r="G1267" s="3">
        <v>2025</v>
      </c>
      <c r="H1267" s="3" t="str">
        <f>CONCATENATE("54240657558")</f>
        <v>54240657558</v>
      </c>
      <c r="I1267" s="3" t="s">
        <v>34</v>
      </c>
      <c r="J1267" s="3" t="s">
        <v>35</v>
      </c>
      <c r="K1267" s="3"/>
      <c r="L1267" s="3" t="s">
        <v>36</v>
      </c>
      <c r="M1267" s="3" t="str">
        <f>CONCATENATE("02760550414")</f>
        <v>02760550414</v>
      </c>
      <c r="N1267" s="3" t="s">
        <v>1393</v>
      </c>
      <c r="O1267" s="3" t="s">
        <v>38</v>
      </c>
      <c r="P1267" s="3"/>
      <c r="Q1267" s="4">
        <v>45944</v>
      </c>
      <c r="R1267" s="3" t="s">
        <v>39</v>
      </c>
      <c r="S1267" s="3" t="s">
        <v>38</v>
      </c>
      <c r="T1267" s="3" t="s">
        <v>40</v>
      </c>
      <c r="U1267" s="3"/>
      <c r="V1267" s="3" t="s">
        <v>41</v>
      </c>
      <c r="W1267" s="5">
        <v>11917.03</v>
      </c>
      <c r="X1267" s="5">
        <v>8937.77</v>
      </c>
      <c r="Y1267" s="5">
        <v>2085.48</v>
      </c>
      <c r="Z1267" s="3">
        <v>893.78</v>
      </c>
      <c r="AA1267" s="3">
        <v>0</v>
      </c>
    </row>
    <row r="1268" spans="1:27" ht="72.75" x14ac:dyDescent="0.25">
      <c r="A1268" s="3" t="s">
        <v>28</v>
      </c>
      <c r="B1268" s="3" t="s">
        <v>29</v>
      </c>
      <c r="C1268" s="3" t="s">
        <v>30</v>
      </c>
      <c r="D1268" s="3" t="s">
        <v>49</v>
      </c>
      <c r="E1268" s="3" t="s">
        <v>46</v>
      </c>
      <c r="F1268" s="3" t="s">
        <v>131</v>
      </c>
      <c r="G1268" s="3">
        <v>2025</v>
      </c>
      <c r="H1268" s="3" t="str">
        <f>CONCATENATE("54240527876")</f>
        <v>54240527876</v>
      </c>
      <c r="I1268" s="3" t="s">
        <v>34</v>
      </c>
      <c r="J1268" s="3" t="s">
        <v>35</v>
      </c>
      <c r="K1268" s="3"/>
      <c r="L1268" s="3" t="s">
        <v>36</v>
      </c>
      <c r="M1268" s="3" t="str">
        <f>CONCATENATE("CPPNNA66H65A329N")</f>
        <v>CPPNNA66H65A329N</v>
      </c>
      <c r="N1268" s="3" t="s">
        <v>1394</v>
      </c>
      <c r="O1268" s="3" t="s">
        <v>38</v>
      </c>
      <c r="P1268" s="3"/>
      <c r="Q1268" s="4">
        <v>45944</v>
      </c>
      <c r="R1268" s="3" t="s">
        <v>39</v>
      </c>
      <c r="S1268" s="3" t="s">
        <v>38</v>
      </c>
      <c r="T1268" s="3" t="s">
        <v>40</v>
      </c>
      <c r="U1268" s="3"/>
      <c r="V1268" s="3" t="s">
        <v>41</v>
      </c>
      <c r="W1268" s="5">
        <v>6094.42</v>
      </c>
      <c r="X1268" s="5">
        <v>4570.82</v>
      </c>
      <c r="Y1268" s="5">
        <v>1066.52</v>
      </c>
      <c r="Z1268" s="3">
        <v>457.08</v>
      </c>
      <c r="AA1268" s="3">
        <v>0</v>
      </c>
    </row>
    <row r="1269" spans="1:27" ht="36.75" x14ac:dyDescent="0.25">
      <c r="A1269" s="3" t="s">
        <v>28</v>
      </c>
      <c r="B1269" s="3" t="s">
        <v>29</v>
      </c>
      <c r="C1269" s="3" t="s">
        <v>30</v>
      </c>
      <c r="D1269" s="3" t="s">
        <v>49</v>
      </c>
      <c r="E1269" s="3" t="s">
        <v>46</v>
      </c>
      <c r="F1269" s="3" t="s">
        <v>205</v>
      </c>
      <c r="G1269" s="3">
        <v>2025</v>
      </c>
      <c r="H1269" s="3" t="str">
        <f>CONCATENATE("54240527900")</f>
        <v>54240527900</v>
      </c>
      <c r="I1269" s="3" t="s">
        <v>34</v>
      </c>
      <c r="J1269" s="3" t="s">
        <v>35</v>
      </c>
      <c r="K1269" s="3"/>
      <c r="L1269" s="3" t="s">
        <v>36</v>
      </c>
      <c r="M1269" s="3" t="str">
        <f>CONCATENATE("02077260434")</f>
        <v>02077260434</v>
      </c>
      <c r="N1269" s="3" t="s">
        <v>1395</v>
      </c>
      <c r="O1269" s="3" t="s">
        <v>38</v>
      </c>
      <c r="P1269" s="3"/>
      <c r="Q1269" s="4">
        <v>45944</v>
      </c>
      <c r="R1269" s="3" t="s">
        <v>39</v>
      </c>
      <c r="S1269" s="3" t="s">
        <v>38</v>
      </c>
      <c r="T1269" s="3" t="s">
        <v>40</v>
      </c>
      <c r="U1269" s="3"/>
      <c r="V1269" s="3" t="s">
        <v>41</v>
      </c>
      <c r="W1269" s="5">
        <v>4694.5</v>
      </c>
      <c r="X1269" s="5">
        <v>3520.88</v>
      </c>
      <c r="Y1269" s="3">
        <v>821.54</v>
      </c>
      <c r="Z1269" s="3">
        <v>352.08</v>
      </c>
      <c r="AA1269" s="3">
        <v>0</v>
      </c>
    </row>
    <row r="1270" spans="1:27" ht="60.75" x14ac:dyDescent="0.25">
      <c r="A1270" s="3" t="s">
        <v>28</v>
      </c>
      <c r="B1270" s="3" t="s">
        <v>29</v>
      </c>
      <c r="C1270" s="3" t="s">
        <v>30</v>
      </c>
      <c r="D1270" s="3" t="s">
        <v>58</v>
      </c>
      <c r="E1270" s="3" t="s">
        <v>53</v>
      </c>
      <c r="F1270" s="3" t="s">
        <v>59</v>
      </c>
      <c r="G1270" s="3">
        <v>2025</v>
      </c>
      <c r="H1270" s="3" t="str">
        <f>CONCATENATE("54240528783")</f>
        <v>54240528783</v>
      </c>
      <c r="I1270" s="3" t="s">
        <v>34</v>
      </c>
      <c r="J1270" s="3" t="s">
        <v>35</v>
      </c>
      <c r="K1270" s="3"/>
      <c r="L1270" s="3" t="s">
        <v>36</v>
      </c>
      <c r="M1270" s="3" t="str">
        <f>CONCATENATE("SNTGRG74T29A366P")</f>
        <v>SNTGRG74T29A366P</v>
      </c>
      <c r="N1270" s="3" t="s">
        <v>1396</v>
      </c>
      <c r="O1270" s="3" t="s">
        <v>38</v>
      </c>
      <c r="P1270" s="3"/>
      <c r="Q1270" s="4">
        <v>45944</v>
      </c>
      <c r="R1270" s="3" t="s">
        <v>39</v>
      </c>
      <c r="S1270" s="3" t="s">
        <v>38</v>
      </c>
      <c r="T1270" s="3" t="s">
        <v>40</v>
      </c>
      <c r="U1270" s="3"/>
      <c r="V1270" s="3" t="s">
        <v>41</v>
      </c>
      <c r="W1270" s="5">
        <v>7444.87</v>
      </c>
      <c r="X1270" s="5">
        <v>5583.65</v>
      </c>
      <c r="Y1270" s="5">
        <v>1302.8499999999999</v>
      </c>
      <c r="Z1270" s="3">
        <v>558.37</v>
      </c>
      <c r="AA1270" s="3">
        <v>0</v>
      </c>
    </row>
    <row r="1271" spans="1:27" ht="60.75" x14ac:dyDescent="0.25">
      <c r="A1271" s="3" t="s">
        <v>28</v>
      </c>
      <c r="B1271" s="3" t="s">
        <v>29</v>
      </c>
      <c r="C1271" s="3" t="s">
        <v>30</v>
      </c>
      <c r="D1271" s="3" t="s">
        <v>58</v>
      </c>
      <c r="E1271" s="3" t="s">
        <v>53</v>
      </c>
      <c r="F1271" s="3" t="s">
        <v>426</v>
      </c>
      <c r="G1271" s="3">
        <v>2025</v>
      </c>
      <c r="H1271" s="3" t="str">
        <f>CONCATENATE("54240528700")</f>
        <v>54240528700</v>
      </c>
      <c r="I1271" s="3" t="s">
        <v>34</v>
      </c>
      <c r="J1271" s="3" t="s">
        <v>35</v>
      </c>
      <c r="K1271" s="3"/>
      <c r="L1271" s="3" t="s">
        <v>36</v>
      </c>
      <c r="M1271" s="3" t="str">
        <f>CONCATENATE("SNNGPP58D29A978L")</f>
        <v>SNNGPP58D29A978L</v>
      </c>
      <c r="N1271" s="3" t="s">
        <v>1397</v>
      </c>
      <c r="O1271" s="3" t="s">
        <v>38</v>
      </c>
      <c r="P1271" s="3"/>
      <c r="Q1271" s="4">
        <v>45944</v>
      </c>
      <c r="R1271" s="3" t="s">
        <v>39</v>
      </c>
      <c r="S1271" s="3" t="s">
        <v>38</v>
      </c>
      <c r="T1271" s="3" t="s">
        <v>40</v>
      </c>
      <c r="U1271" s="3"/>
      <c r="V1271" s="3" t="s">
        <v>41</v>
      </c>
      <c r="W1271" s="5">
        <v>5860.61</v>
      </c>
      <c r="X1271" s="5">
        <v>4395.46</v>
      </c>
      <c r="Y1271" s="5">
        <v>1025.6099999999999</v>
      </c>
      <c r="Z1271" s="3">
        <v>439.54</v>
      </c>
      <c r="AA1271" s="3">
        <v>0</v>
      </c>
    </row>
    <row r="1272" spans="1:27" ht="60.75" x14ac:dyDescent="0.25">
      <c r="A1272" s="3" t="s">
        <v>28</v>
      </c>
      <c r="B1272" s="3" t="s">
        <v>29</v>
      </c>
      <c r="C1272" s="3" t="s">
        <v>30</v>
      </c>
      <c r="D1272" s="3" t="s">
        <v>58</v>
      </c>
      <c r="E1272" s="3" t="s">
        <v>53</v>
      </c>
      <c r="F1272" s="3" t="s">
        <v>426</v>
      </c>
      <c r="G1272" s="3">
        <v>2025</v>
      </c>
      <c r="H1272" s="3" t="str">
        <f>CONCATENATE("54240528668")</f>
        <v>54240528668</v>
      </c>
      <c r="I1272" s="3" t="s">
        <v>34</v>
      </c>
      <c r="J1272" s="3" t="s">
        <v>35</v>
      </c>
      <c r="K1272" s="3"/>
      <c r="L1272" s="3" t="s">
        <v>36</v>
      </c>
      <c r="M1272" s="3" t="str">
        <f>CONCATENATE("RSRNDA77B66I608L")</f>
        <v>RSRNDA77B66I608L</v>
      </c>
      <c r="N1272" s="3" t="s">
        <v>1398</v>
      </c>
      <c r="O1272" s="3" t="s">
        <v>38</v>
      </c>
      <c r="P1272" s="3"/>
      <c r="Q1272" s="4">
        <v>45944</v>
      </c>
      <c r="R1272" s="3" t="s">
        <v>39</v>
      </c>
      <c r="S1272" s="3" t="s">
        <v>38</v>
      </c>
      <c r="T1272" s="3" t="s">
        <v>40</v>
      </c>
      <c r="U1272" s="3"/>
      <c r="V1272" s="3" t="s">
        <v>41</v>
      </c>
      <c r="W1272" s="3">
        <v>858.19</v>
      </c>
      <c r="X1272" s="3">
        <v>643.64</v>
      </c>
      <c r="Y1272" s="3">
        <v>150.18</v>
      </c>
      <c r="Z1272" s="3">
        <v>64.37</v>
      </c>
      <c r="AA1272" s="3">
        <v>0</v>
      </c>
    </row>
    <row r="1273" spans="1:27" ht="36.75" x14ac:dyDescent="0.25">
      <c r="A1273" s="3" t="s">
        <v>28</v>
      </c>
      <c r="B1273" s="3" t="s">
        <v>29</v>
      </c>
      <c r="C1273" s="3" t="s">
        <v>30</v>
      </c>
      <c r="D1273" s="3" t="s">
        <v>31</v>
      </c>
      <c r="E1273" s="3" t="s">
        <v>46</v>
      </c>
      <c r="F1273" s="3" t="s">
        <v>108</v>
      </c>
      <c r="G1273" s="3">
        <v>2025</v>
      </c>
      <c r="H1273" s="3" t="str">
        <f>CONCATENATE("54240528767")</f>
        <v>54240528767</v>
      </c>
      <c r="I1273" s="3" t="s">
        <v>34</v>
      </c>
      <c r="J1273" s="3" t="s">
        <v>35</v>
      </c>
      <c r="K1273" s="3"/>
      <c r="L1273" s="3" t="s">
        <v>36</v>
      </c>
      <c r="M1273" s="3" t="str">
        <f>CONCATENATE("02659610410")</f>
        <v>02659610410</v>
      </c>
      <c r="N1273" s="3" t="s">
        <v>1399</v>
      </c>
      <c r="O1273" s="3" t="s">
        <v>38</v>
      </c>
      <c r="P1273" s="3"/>
      <c r="Q1273" s="4">
        <v>45944</v>
      </c>
      <c r="R1273" s="3" t="s">
        <v>39</v>
      </c>
      <c r="S1273" s="3" t="s">
        <v>38</v>
      </c>
      <c r="T1273" s="3" t="s">
        <v>40</v>
      </c>
      <c r="U1273" s="3"/>
      <c r="V1273" s="3" t="s">
        <v>41</v>
      </c>
      <c r="W1273" s="5">
        <v>9145.5499999999993</v>
      </c>
      <c r="X1273" s="5">
        <v>6859.16</v>
      </c>
      <c r="Y1273" s="5">
        <v>1600.47</v>
      </c>
      <c r="Z1273" s="3">
        <v>685.92</v>
      </c>
      <c r="AA1273" s="3">
        <v>0</v>
      </c>
    </row>
    <row r="1274" spans="1:27" ht="60.75" x14ac:dyDescent="0.25">
      <c r="A1274" s="3" t="s">
        <v>28</v>
      </c>
      <c r="B1274" s="3" t="s">
        <v>29</v>
      </c>
      <c r="C1274" s="3" t="s">
        <v>30</v>
      </c>
      <c r="D1274" s="3" t="s">
        <v>58</v>
      </c>
      <c r="E1274" s="3" t="s">
        <v>91</v>
      </c>
      <c r="F1274" s="3" t="s">
        <v>106</v>
      </c>
      <c r="G1274" s="3">
        <v>2025</v>
      </c>
      <c r="H1274" s="3" t="str">
        <f>CONCATENATE("54240529070")</f>
        <v>54240529070</v>
      </c>
      <c r="I1274" s="3" t="s">
        <v>34</v>
      </c>
      <c r="J1274" s="3" t="s">
        <v>35</v>
      </c>
      <c r="K1274" s="3"/>
      <c r="L1274" s="3" t="s">
        <v>36</v>
      </c>
      <c r="M1274" s="3" t="str">
        <f>CONCATENATE("CMRGNN69P10E388B")</f>
        <v>CMRGNN69P10E388B</v>
      </c>
      <c r="N1274" s="3" t="s">
        <v>1400</v>
      </c>
      <c r="O1274" s="3" t="s">
        <v>38</v>
      </c>
      <c r="P1274" s="3"/>
      <c r="Q1274" s="4">
        <v>45944</v>
      </c>
      <c r="R1274" s="3" t="s">
        <v>39</v>
      </c>
      <c r="S1274" s="3" t="s">
        <v>38</v>
      </c>
      <c r="T1274" s="3" t="s">
        <v>40</v>
      </c>
      <c r="U1274" s="3"/>
      <c r="V1274" s="3" t="s">
        <v>41</v>
      </c>
      <c r="W1274" s="5">
        <v>3070.01</v>
      </c>
      <c r="X1274" s="5">
        <v>2302.5100000000002</v>
      </c>
      <c r="Y1274" s="3">
        <v>537.25</v>
      </c>
      <c r="Z1274" s="3">
        <v>230.25</v>
      </c>
      <c r="AA1274" s="3">
        <v>0</v>
      </c>
    </row>
    <row r="1275" spans="1:27" ht="60.75" x14ac:dyDescent="0.25">
      <c r="A1275" s="3" t="s">
        <v>28</v>
      </c>
      <c r="B1275" s="3" t="s">
        <v>29</v>
      </c>
      <c r="C1275" s="3" t="s">
        <v>30</v>
      </c>
      <c r="D1275" s="3" t="s">
        <v>31</v>
      </c>
      <c r="E1275" s="3" t="s">
        <v>46</v>
      </c>
      <c r="F1275" s="3" t="s">
        <v>47</v>
      </c>
      <c r="G1275" s="3">
        <v>2025</v>
      </c>
      <c r="H1275" s="3" t="str">
        <f>CONCATENATE("54240529229")</f>
        <v>54240529229</v>
      </c>
      <c r="I1275" s="3" t="s">
        <v>34</v>
      </c>
      <c r="J1275" s="3" t="s">
        <v>35</v>
      </c>
      <c r="K1275" s="3"/>
      <c r="L1275" s="3" t="s">
        <v>36</v>
      </c>
      <c r="M1275" s="3" t="str">
        <f>CONCATENATE("PCCMSM74P14I459T")</f>
        <v>PCCMSM74P14I459T</v>
      </c>
      <c r="N1275" s="3" t="s">
        <v>1401</v>
      </c>
      <c r="O1275" s="3" t="s">
        <v>38</v>
      </c>
      <c r="P1275" s="3"/>
      <c r="Q1275" s="4">
        <v>45944</v>
      </c>
      <c r="R1275" s="3" t="s">
        <v>39</v>
      </c>
      <c r="S1275" s="3" t="s">
        <v>38</v>
      </c>
      <c r="T1275" s="3" t="s">
        <v>40</v>
      </c>
      <c r="U1275" s="3"/>
      <c r="V1275" s="3" t="s">
        <v>41</v>
      </c>
      <c r="W1275" s="5">
        <v>12360.73</v>
      </c>
      <c r="X1275" s="5">
        <v>9270.5499999999993</v>
      </c>
      <c r="Y1275" s="5">
        <v>2163.13</v>
      </c>
      <c r="Z1275" s="3">
        <v>927.05</v>
      </c>
      <c r="AA1275" s="3">
        <v>0</v>
      </c>
    </row>
    <row r="1276" spans="1:27" ht="36.75" x14ac:dyDescent="0.25">
      <c r="A1276" s="3" t="s">
        <v>28</v>
      </c>
      <c r="B1276" s="3" t="s">
        <v>29</v>
      </c>
      <c r="C1276" s="3" t="s">
        <v>30</v>
      </c>
      <c r="D1276" s="3" t="s">
        <v>31</v>
      </c>
      <c r="E1276" s="3" t="s">
        <v>46</v>
      </c>
      <c r="F1276" s="3" t="s">
        <v>47</v>
      </c>
      <c r="G1276" s="3">
        <v>2025</v>
      </c>
      <c r="H1276" s="3" t="str">
        <f>CONCATENATE("54240529096")</f>
        <v>54240529096</v>
      </c>
      <c r="I1276" s="3" t="s">
        <v>34</v>
      </c>
      <c r="J1276" s="3" t="s">
        <v>35</v>
      </c>
      <c r="K1276" s="3"/>
      <c r="L1276" s="3" t="s">
        <v>36</v>
      </c>
      <c r="M1276" s="3" t="str">
        <f>CONCATENATE("02607640410")</f>
        <v>02607640410</v>
      </c>
      <c r="N1276" s="3" t="s">
        <v>1402</v>
      </c>
      <c r="O1276" s="3" t="s">
        <v>38</v>
      </c>
      <c r="P1276" s="3"/>
      <c r="Q1276" s="4">
        <v>45944</v>
      </c>
      <c r="R1276" s="3" t="s">
        <v>39</v>
      </c>
      <c r="S1276" s="3" t="s">
        <v>38</v>
      </c>
      <c r="T1276" s="3" t="s">
        <v>40</v>
      </c>
      <c r="U1276" s="3"/>
      <c r="V1276" s="3" t="s">
        <v>41</v>
      </c>
      <c r="W1276" s="3">
        <v>461.94</v>
      </c>
      <c r="X1276" s="3">
        <v>346.46</v>
      </c>
      <c r="Y1276" s="3">
        <v>80.84</v>
      </c>
      <c r="Z1276" s="3">
        <v>34.64</v>
      </c>
      <c r="AA1276" s="3">
        <v>0</v>
      </c>
    </row>
    <row r="1277" spans="1:27" ht="60.75" x14ac:dyDescent="0.25">
      <c r="A1277" s="3" t="s">
        <v>28</v>
      </c>
      <c r="B1277" s="3" t="s">
        <v>29</v>
      </c>
      <c r="C1277" s="3" t="s">
        <v>30</v>
      </c>
      <c r="D1277" s="3" t="s">
        <v>63</v>
      </c>
      <c r="E1277" s="3" t="s">
        <v>32</v>
      </c>
      <c r="F1277" s="3" t="s">
        <v>142</v>
      </c>
      <c r="G1277" s="3">
        <v>2025</v>
      </c>
      <c r="H1277" s="3" t="str">
        <f>CONCATENATE("54240529195")</f>
        <v>54240529195</v>
      </c>
      <c r="I1277" s="3" t="s">
        <v>34</v>
      </c>
      <c r="J1277" s="3" t="s">
        <v>35</v>
      </c>
      <c r="K1277" s="3"/>
      <c r="L1277" s="3" t="s">
        <v>36</v>
      </c>
      <c r="M1277" s="3" t="str">
        <f>CONCATENATE("VLLMLG59S46C321H")</f>
        <v>VLLMLG59S46C321H</v>
      </c>
      <c r="N1277" s="3" t="s">
        <v>1403</v>
      </c>
      <c r="O1277" s="3" t="s">
        <v>38</v>
      </c>
      <c r="P1277" s="3"/>
      <c r="Q1277" s="4">
        <v>45944</v>
      </c>
      <c r="R1277" s="3" t="s">
        <v>39</v>
      </c>
      <c r="S1277" s="3" t="s">
        <v>38</v>
      </c>
      <c r="T1277" s="3" t="s">
        <v>40</v>
      </c>
      <c r="U1277" s="3"/>
      <c r="V1277" s="3" t="s">
        <v>41</v>
      </c>
      <c r="W1277" s="5">
        <v>2401.19</v>
      </c>
      <c r="X1277" s="5">
        <v>1800.89</v>
      </c>
      <c r="Y1277" s="3">
        <v>420.21</v>
      </c>
      <c r="Z1277" s="3">
        <v>180.09</v>
      </c>
      <c r="AA1277" s="3">
        <v>0</v>
      </c>
    </row>
    <row r="1278" spans="1:27" ht="60.75" x14ac:dyDescent="0.25">
      <c r="A1278" s="3" t="s">
        <v>28</v>
      </c>
      <c r="B1278" s="3" t="s">
        <v>29</v>
      </c>
      <c r="C1278" s="3" t="s">
        <v>30</v>
      </c>
      <c r="D1278" s="3" t="s">
        <v>49</v>
      </c>
      <c r="E1278" s="3" t="s">
        <v>53</v>
      </c>
      <c r="F1278" s="3" t="s">
        <v>136</v>
      </c>
      <c r="G1278" s="3">
        <v>2025</v>
      </c>
      <c r="H1278" s="3" t="str">
        <f>CONCATENATE("54240529633")</f>
        <v>54240529633</v>
      </c>
      <c r="I1278" s="3" t="s">
        <v>34</v>
      </c>
      <c r="J1278" s="3" t="s">
        <v>35</v>
      </c>
      <c r="K1278" s="3"/>
      <c r="L1278" s="3" t="s">
        <v>36</v>
      </c>
      <c r="M1278" s="3" t="str">
        <f>CONCATENATE("MSCMRA50D28B474Y")</f>
        <v>MSCMRA50D28B474Y</v>
      </c>
      <c r="N1278" s="3" t="s">
        <v>1404</v>
      </c>
      <c r="O1278" s="3" t="s">
        <v>38</v>
      </c>
      <c r="P1278" s="3"/>
      <c r="Q1278" s="4">
        <v>45944</v>
      </c>
      <c r="R1278" s="3" t="s">
        <v>39</v>
      </c>
      <c r="S1278" s="3" t="s">
        <v>38</v>
      </c>
      <c r="T1278" s="3" t="s">
        <v>40</v>
      </c>
      <c r="U1278" s="3"/>
      <c r="V1278" s="3" t="s">
        <v>41</v>
      </c>
      <c r="W1278" s="5">
        <v>10514.24</v>
      </c>
      <c r="X1278" s="5">
        <v>7885.68</v>
      </c>
      <c r="Y1278" s="5">
        <v>1839.99</v>
      </c>
      <c r="Z1278" s="3">
        <v>788.57</v>
      </c>
      <c r="AA1278" s="3">
        <v>0</v>
      </c>
    </row>
    <row r="1279" spans="1:27" ht="60.75" x14ac:dyDescent="0.25">
      <c r="A1279" s="3" t="s">
        <v>28</v>
      </c>
      <c r="B1279" s="3" t="s">
        <v>29</v>
      </c>
      <c r="C1279" s="3" t="s">
        <v>30</v>
      </c>
      <c r="D1279" s="3" t="s">
        <v>49</v>
      </c>
      <c r="E1279" s="3" t="s">
        <v>74</v>
      </c>
      <c r="F1279" s="3" t="s">
        <v>217</v>
      </c>
      <c r="G1279" s="3">
        <v>2025</v>
      </c>
      <c r="H1279" s="3" t="str">
        <f>CONCATENATE("54240529534")</f>
        <v>54240529534</v>
      </c>
      <c r="I1279" s="3" t="s">
        <v>34</v>
      </c>
      <c r="J1279" s="3" t="s">
        <v>35</v>
      </c>
      <c r="K1279" s="3"/>
      <c r="L1279" s="3" t="s">
        <v>36</v>
      </c>
      <c r="M1279" s="3" t="str">
        <f>CONCATENATE("NTNNMR57S67I156I")</f>
        <v>NTNNMR57S67I156I</v>
      </c>
      <c r="N1279" s="3" t="s">
        <v>1405</v>
      </c>
      <c r="O1279" s="3" t="s">
        <v>38</v>
      </c>
      <c r="P1279" s="3"/>
      <c r="Q1279" s="4">
        <v>45944</v>
      </c>
      <c r="R1279" s="3" t="s">
        <v>39</v>
      </c>
      <c r="S1279" s="3" t="s">
        <v>38</v>
      </c>
      <c r="T1279" s="3" t="s">
        <v>40</v>
      </c>
      <c r="U1279" s="3"/>
      <c r="V1279" s="3" t="s">
        <v>41</v>
      </c>
      <c r="W1279" s="3">
        <v>896.95</v>
      </c>
      <c r="X1279" s="3">
        <v>672.71</v>
      </c>
      <c r="Y1279" s="3">
        <v>156.97</v>
      </c>
      <c r="Z1279" s="3">
        <v>67.27</v>
      </c>
      <c r="AA1279" s="3">
        <v>0</v>
      </c>
    </row>
    <row r="1280" spans="1:27" ht="60.75" x14ac:dyDescent="0.25">
      <c r="A1280" s="3" t="s">
        <v>28</v>
      </c>
      <c r="B1280" s="3" t="s">
        <v>29</v>
      </c>
      <c r="C1280" s="3" t="s">
        <v>30</v>
      </c>
      <c r="D1280" s="3" t="s">
        <v>49</v>
      </c>
      <c r="E1280" s="3" t="s">
        <v>74</v>
      </c>
      <c r="F1280" s="3" t="s">
        <v>217</v>
      </c>
      <c r="G1280" s="3">
        <v>2025</v>
      </c>
      <c r="H1280" s="3" t="str">
        <f>CONCATENATE("54240529401")</f>
        <v>54240529401</v>
      </c>
      <c r="I1280" s="3" t="s">
        <v>34</v>
      </c>
      <c r="J1280" s="3" t="s">
        <v>35</v>
      </c>
      <c r="K1280" s="3"/>
      <c r="L1280" s="3" t="s">
        <v>36</v>
      </c>
      <c r="M1280" s="3" t="str">
        <f>CONCATENATE("SCRSFN70H68H211I")</f>
        <v>SCRSFN70H68H211I</v>
      </c>
      <c r="N1280" s="3" t="s">
        <v>1406</v>
      </c>
      <c r="O1280" s="3" t="s">
        <v>38</v>
      </c>
      <c r="P1280" s="3"/>
      <c r="Q1280" s="4">
        <v>45944</v>
      </c>
      <c r="R1280" s="3" t="s">
        <v>39</v>
      </c>
      <c r="S1280" s="3" t="s">
        <v>38</v>
      </c>
      <c r="T1280" s="3" t="s">
        <v>40</v>
      </c>
      <c r="U1280" s="3"/>
      <c r="V1280" s="3" t="s">
        <v>41</v>
      </c>
      <c r="W1280" s="5">
        <v>3049.98</v>
      </c>
      <c r="X1280" s="5">
        <v>2287.4899999999998</v>
      </c>
      <c r="Y1280" s="3">
        <v>533.75</v>
      </c>
      <c r="Z1280" s="3">
        <v>228.74</v>
      </c>
      <c r="AA1280" s="3">
        <v>0</v>
      </c>
    </row>
    <row r="1281" spans="1:27" ht="60.75" x14ac:dyDescent="0.25">
      <c r="A1281" s="3" t="s">
        <v>28</v>
      </c>
      <c r="B1281" s="3" t="s">
        <v>29</v>
      </c>
      <c r="C1281" s="3" t="s">
        <v>30</v>
      </c>
      <c r="D1281" s="3" t="s">
        <v>49</v>
      </c>
      <c r="E1281" s="3" t="s">
        <v>32</v>
      </c>
      <c r="F1281" s="3" t="s">
        <v>69</v>
      </c>
      <c r="G1281" s="3">
        <v>2025</v>
      </c>
      <c r="H1281" s="3" t="str">
        <f>CONCATENATE("54240529898")</f>
        <v>54240529898</v>
      </c>
      <c r="I1281" s="3" t="s">
        <v>34</v>
      </c>
      <c r="J1281" s="3" t="s">
        <v>35</v>
      </c>
      <c r="K1281" s="3"/>
      <c r="L1281" s="3" t="s">
        <v>36</v>
      </c>
      <c r="M1281" s="3" t="str">
        <f>CONCATENATE("FSRLCU67L25L191G")</f>
        <v>FSRLCU67L25L191G</v>
      </c>
      <c r="N1281" s="3" t="s">
        <v>1407</v>
      </c>
      <c r="O1281" s="3" t="s">
        <v>38</v>
      </c>
      <c r="P1281" s="3"/>
      <c r="Q1281" s="4">
        <v>45944</v>
      </c>
      <c r="R1281" s="3" t="s">
        <v>39</v>
      </c>
      <c r="S1281" s="3" t="s">
        <v>38</v>
      </c>
      <c r="T1281" s="3" t="s">
        <v>40</v>
      </c>
      <c r="U1281" s="3"/>
      <c r="V1281" s="3" t="s">
        <v>41</v>
      </c>
      <c r="W1281" s="5">
        <v>8509.1299999999992</v>
      </c>
      <c r="X1281" s="5">
        <v>6381.85</v>
      </c>
      <c r="Y1281" s="5">
        <v>1489.1</v>
      </c>
      <c r="Z1281" s="3">
        <v>638.17999999999995</v>
      </c>
      <c r="AA1281" s="3">
        <v>0</v>
      </c>
    </row>
    <row r="1282" spans="1:27" ht="60.75" x14ac:dyDescent="0.25">
      <c r="A1282" s="3" t="s">
        <v>28</v>
      </c>
      <c r="B1282" s="3" t="s">
        <v>29</v>
      </c>
      <c r="C1282" s="3" t="s">
        <v>30</v>
      </c>
      <c r="D1282" s="3" t="s">
        <v>31</v>
      </c>
      <c r="E1282" s="3" t="s">
        <v>53</v>
      </c>
      <c r="F1282" s="3" t="s">
        <v>54</v>
      </c>
      <c r="G1282" s="3">
        <v>2025</v>
      </c>
      <c r="H1282" s="3" t="str">
        <f>CONCATENATE("54240530052")</f>
        <v>54240530052</v>
      </c>
      <c r="I1282" s="3" t="s">
        <v>34</v>
      </c>
      <c r="J1282" s="3" t="s">
        <v>35</v>
      </c>
      <c r="K1282" s="3"/>
      <c r="L1282" s="3" t="s">
        <v>36</v>
      </c>
      <c r="M1282" s="3" t="str">
        <f>CONCATENATE("LVNGBR66B04I459L")</f>
        <v>LVNGBR66B04I459L</v>
      </c>
      <c r="N1282" s="3" t="s">
        <v>1408</v>
      </c>
      <c r="O1282" s="3" t="s">
        <v>38</v>
      </c>
      <c r="P1282" s="3"/>
      <c r="Q1282" s="4">
        <v>45944</v>
      </c>
      <c r="R1282" s="3" t="s">
        <v>39</v>
      </c>
      <c r="S1282" s="3" t="s">
        <v>38</v>
      </c>
      <c r="T1282" s="3" t="s">
        <v>40</v>
      </c>
      <c r="U1282" s="3"/>
      <c r="V1282" s="3" t="s">
        <v>41</v>
      </c>
      <c r="W1282" s="5">
        <v>7315.85</v>
      </c>
      <c r="X1282" s="5">
        <v>5486.89</v>
      </c>
      <c r="Y1282" s="5">
        <v>1280.27</v>
      </c>
      <c r="Z1282" s="3">
        <v>548.69000000000005</v>
      </c>
      <c r="AA1282" s="3">
        <v>0</v>
      </c>
    </row>
    <row r="1283" spans="1:27" ht="60.75" x14ac:dyDescent="0.25">
      <c r="A1283" s="3" t="s">
        <v>28</v>
      </c>
      <c r="B1283" s="3" t="s">
        <v>29</v>
      </c>
      <c r="C1283" s="3" t="s">
        <v>30</v>
      </c>
      <c r="D1283" s="3" t="s">
        <v>31</v>
      </c>
      <c r="E1283" s="3" t="s">
        <v>32</v>
      </c>
      <c r="F1283" s="3" t="s">
        <v>178</v>
      </c>
      <c r="G1283" s="3">
        <v>2025</v>
      </c>
      <c r="H1283" s="3" t="str">
        <f>CONCATENATE("54240529864")</f>
        <v>54240529864</v>
      </c>
      <c r="I1283" s="3" t="s">
        <v>34</v>
      </c>
      <c r="J1283" s="3" t="s">
        <v>35</v>
      </c>
      <c r="K1283" s="3"/>
      <c r="L1283" s="3" t="s">
        <v>36</v>
      </c>
      <c r="M1283" s="3" t="str">
        <f>CONCATENATE("GNTMRC69S13H501Y")</f>
        <v>GNTMRC69S13H501Y</v>
      </c>
      <c r="N1283" s="3" t="s">
        <v>1409</v>
      </c>
      <c r="O1283" s="3" t="s">
        <v>38</v>
      </c>
      <c r="P1283" s="3"/>
      <c r="Q1283" s="4">
        <v>45944</v>
      </c>
      <c r="R1283" s="3" t="s">
        <v>39</v>
      </c>
      <c r="S1283" s="3" t="s">
        <v>38</v>
      </c>
      <c r="T1283" s="3" t="s">
        <v>40</v>
      </c>
      <c r="U1283" s="3"/>
      <c r="V1283" s="3" t="s">
        <v>41</v>
      </c>
      <c r="W1283" s="3">
        <v>500.36</v>
      </c>
      <c r="X1283" s="3">
        <v>375.27</v>
      </c>
      <c r="Y1283" s="3">
        <v>87.56</v>
      </c>
      <c r="Z1283" s="3">
        <v>37.53</v>
      </c>
      <c r="AA1283" s="3">
        <v>0</v>
      </c>
    </row>
    <row r="1284" spans="1:27" ht="60.75" x14ac:dyDescent="0.25">
      <c r="A1284" s="3" t="s">
        <v>28</v>
      </c>
      <c r="B1284" s="3" t="s">
        <v>29</v>
      </c>
      <c r="C1284" s="3" t="s">
        <v>30</v>
      </c>
      <c r="D1284" s="3" t="s">
        <v>63</v>
      </c>
      <c r="E1284" s="3" t="s">
        <v>53</v>
      </c>
      <c r="F1284" s="3" t="s">
        <v>180</v>
      </c>
      <c r="G1284" s="3">
        <v>2025</v>
      </c>
      <c r="H1284" s="3" t="str">
        <f>CONCATENATE("54240530201")</f>
        <v>54240530201</v>
      </c>
      <c r="I1284" s="3" t="s">
        <v>34</v>
      </c>
      <c r="J1284" s="3" t="s">
        <v>35</v>
      </c>
      <c r="K1284" s="3"/>
      <c r="L1284" s="3" t="s">
        <v>36</v>
      </c>
      <c r="M1284" s="3" t="str">
        <f>CONCATENATE("PLLGNT55S21F380M")</f>
        <v>PLLGNT55S21F380M</v>
      </c>
      <c r="N1284" s="3" t="s">
        <v>1410</v>
      </c>
      <c r="O1284" s="3" t="s">
        <v>38</v>
      </c>
      <c r="P1284" s="3"/>
      <c r="Q1284" s="4">
        <v>45944</v>
      </c>
      <c r="R1284" s="3" t="s">
        <v>39</v>
      </c>
      <c r="S1284" s="3" t="s">
        <v>38</v>
      </c>
      <c r="T1284" s="3" t="s">
        <v>40</v>
      </c>
      <c r="U1284" s="3"/>
      <c r="V1284" s="3" t="s">
        <v>41</v>
      </c>
      <c r="W1284" s="5">
        <v>2311.09</v>
      </c>
      <c r="X1284" s="5">
        <v>1733.32</v>
      </c>
      <c r="Y1284" s="3">
        <v>404.44</v>
      </c>
      <c r="Z1284" s="3">
        <v>173.33</v>
      </c>
      <c r="AA1284" s="3">
        <v>0</v>
      </c>
    </row>
    <row r="1285" spans="1:27" ht="60.75" x14ac:dyDescent="0.25">
      <c r="A1285" s="3" t="s">
        <v>28</v>
      </c>
      <c r="B1285" s="3" t="s">
        <v>29</v>
      </c>
      <c r="C1285" s="3" t="s">
        <v>30</v>
      </c>
      <c r="D1285" s="3" t="s">
        <v>63</v>
      </c>
      <c r="E1285" s="3" t="s">
        <v>145</v>
      </c>
      <c r="F1285" s="3" t="s">
        <v>260</v>
      </c>
      <c r="G1285" s="3">
        <v>2025</v>
      </c>
      <c r="H1285" s="3" t="str">
        <f>CONCATENATE("54240551538")</f>
        <v>54240551538</v>
      </c>
      <c r="I1285" s="3" t="s">
        <v>34</v>
      </c>
      <c r="J1285" s="3" t="s">
        <v>35</v>
      </c>
      <c r="K1285" s="3"/>
      <c r="L1285" s="3" t="s">
        <v>36</v>
      </c>
      <c r="M1285" s="3" t="str">
        <f>CONCATENATE("NTNSLV62P55G515R")</f>
        <v>NTNSLV62P55G515R</v>
      </c>
      <c r="N1285" s="3" t="s">
        <v>1411</v>
      </c>
      <c r="O1285" s="3" t="s">
        <v>38</v>
      </c>
      <c r="P1285" s="3"/>
      <c r="Q1285" s="4">
        <v>45944</v>
      </c>
      <c r="R1285" s="3" t="s">
        <v>39</v>
      </c>
      <c r="S1285" s="3" t="s">
        <v>38</v>
      </c>
      <c r="T1285" s="3" t="s">
        <v>40</v>
      </c>
      <c r="U1285" s="3"/>
      <c r="V1285" s="3" t="s">
        <v>41</v>
      </c>
      <c r="W1285" s="5">
        <v>15257.88</v>
      </c>
      <c r="X1285" s="5">
        <v>11443.41</v>
      </c>
      <c r="Y1285" s="5">
        <v>2670.13</v>
      </c>
      <c r="Z1285" s="5">
        <v>1144.3399999999999</v>
      </c>
      <c r="AA1285" s="3">
        <v>0</v>
      </c>
    </row>
    <row r="1286" spans="1:27" ht="36.75" x14ac:dyDescent="0.25">
      <c r="A1286" s="3" t="s">
        <v>28</v>
      </c>
      <c r="B1286" s="3" t="s">
        <v>29</v>
      </c>
      <c r="C1286" s="3" t="s">
        <v>30</v>
      </c>
      <c r="D1286" s="3" t="s">
        <v>31</v>
      </c>
      <c r="E1286" s="3" t="s">
        <v>46</v>
      </c>
      <c r="F1286" s="3" t="s">
        <v>108</v>
      </c>
      <c r="G1286" s="3">
        <v>2025</v>
      </c>
      <c r="H1286" s="3" t="str">
        <f>CONCATENATE("54240530482")</f>
        <v>54240530482</v>
      </c>
      <c r="I1286" s="3" t="s">
        <v>34</v>
      </c>
      <c r="J1286" s="3" t="s">
        <v>35</v>
      </c>
      <c r="K1286" s="3"/>
      <c r="L1286" s="3" t="s">
        <v>36</v>
      </c>
      <c r="M1286" s="3" t="str">
        <f>CONCATENATE("02757330416")</f>
        <v>02757330416</v>
      </c>
      <c r="N1286" s="3" t="s">
        <v>1412</v>
      </c>
      <c r="O1286" s="3" t="s">
        <v>38</v>
      </c>
      <c r="P1286" s="3"/>
      <c r="Q1286" s="4">
        <v>45944</v>
      </c>
      <c r="R1286" s="3" t="s">
        <v>39</v>
      </c>
      <c r="S1286" s="3" t="s">
        <v>38</v>
      </c>
      <c r="T1286" s="3" t="s">
        <v>40</v>
      </c>
      <c r="U1286" s="3"/>
      <c r="V1286" s="3" t="s">
        <v>41</v>
      </c>
      <c r="W1286" s="5">
        <v>2504.64</v>
      </c>
      <c r="X1286" s="5">
        <v>1878.48</v>
      </c>
      <c r="Y1286" s="3">
        <v>438.31</v>
      </c>
      <c r="Z1286" s="3">
        <v>187.85</v>
      </c>
      <c r="AA1286" s="3">
        <v>0</v>
      </c>
    </row>
    <row r="1287" spans="1:27" ht="60.75" x14ac:dyDescent="0.25">
      <c r="A1287" s="3" t="s">
        <v>28</v>
      </c>
      <c r="B1287" s="3" t="s">
        <v>29</v>
      </c>
      <c r="C1287" s="3" t="s">
        <v>30</v>
      </c>
      <c r="D1287" s="3" t="s">
        <v>49</v>
      </c>
      <c r="E1287" s="3" t="s">
        <v>32</v>
      </c>
      <c r="F1287" s="3" t="s">
        <v>78</v>
      </c>
      <c r="G1287" s="3">
        <v>2025</v>
      </c>
      <c r="H1287" s="3" t="str">
        <f>CONCATENATE("54240530771")</f>
        <v>54240530771</v>
      </c>
      <c r="I1287" s="3" t="s">
        <v>34</v>
      </c>
      <c r="J1287" s="3" t="s">
        <v>35</v>
      </c>
      <c r="K1287" s="3"/>
      <c r="L1287" s="3" t="s">
        <v>36</v>
      </c>
      <c r="M1287" s="3" t="str">
        <f>CONCATENATE("LBRLSS92P06B474R")</f>
        <v>LBRLSS92P06B474R</v>
      </c>
      <c r="N1287" s="3" t="s">
        <v>1413</v>
      </c>
      <c r="O1287" s="3" t="s">
        <v>38</v>
      </c>
      <c r="P1287" s="3"/>
      <c r="Q1287" s="4">
        <v>45944</v>
      </c>
      <c r="R1287" s="3" t="s">
        <v>39</v>
      </c>
      <c r="S1287" s="3" t="s">
        <v>38</v>
      </c>
      <c r="T1287" s="3" t="s">
        <v>40</v>
      </c>
      <c r="U1287" s="3"/>
      <c r="V1287" s="3" t="s">
        <v>41</v>
      </c>
      <c r="W1287" s="5">
        <v>3988.39</v>
      </c>
      <c r="X1287" s="5">
        <v>2991.29</v>
      </c>
      <c r="Y1287" s="3">
        <v>697.97</v>
      </c>
      <c r="Z1287" s="3">
        <v>299.13</v>
      </c>
      <c r="AA1287" s="3">
        <v>0</v>
      </c>
    </row>
    <row r="1288" spans="1:27" ht="36.75" x14ac:dyDescent="0.25">
      <c r="A1288" s="3" t="s">
        <v>28</v>
      </c>
      <c r="B1288" s="3" t="s">
        <v>29</v>
      </c>
      <c r="C1288" s="3" t="s">
        <v>30</v>
      </c>
      <c r="D1288" s="3" t="s">
        <v>31</v>
      </c>
      <c r="E1288" s="3" t="s">
        <v>53</v>
      </c>
      <c r="F1288" s="3" t="s">
        <v>414</v>
      </c>
      <c r="G1288" s="3">
        <v>2025</v>
      </c>
      <c r="H1288" s="3" t="str">
        <f>CONCATENATE("54240536414")</f>
        <v>54240536414</v>
      </c>
      <c r="I1288" s="3" t="s">
        <v>34</v>
      </c>
      <c r="J1288" s="3" t="s">
        <v>35</v>
      </c>
      <c r="K1288" s="3"/>
      <c r="L1288" s="3" t="s">
        <v>36</v>
      </c>
      <c r="M1288" s="3" t="str">
        <f>CONCATENATE("02539970414")</f>
        <v>02539970414</v>
      </c>
      <c r="N1288" s="3" t="s">
        <v>1414</v>
      </c>
      <c r="O1288" s="3" t="s">
        <v>38</v>
      </c>
      <c r="P1288" s="3"/>
      <c r="Q1288" s="4">
        <v>45944</v>
      </c>
      <c r="R1288" s="3" t="s">
        <v>39</v>
      </c>
      <c r="S1288" s="3" t="s">
        <v>38</v>
      </c>
      <c r="T1288" s="3" t="s">
        <v>40</v>
      </c>
      <c r="U1288" s="3"/>
      <c r="V1288" s="3" t="s">
        <v>41</v>
      </c>
      <c r="W1288" s="5">
        <v>4244.3900000000003</v>
      </c>
      <c r="X1288" s="5">
        <v>3183.29</v>
      </c>
      <c r="Y1288" s="3">
        <v>742.77</v>
      </c>
      <c r="Z1288" s="3">
        <v>318.33</v>
      </c>
      <c r="AA1288" s="3">
        <v>0</v>
      </c>
    </row>
    <row r="1289" spans="1:27" ht="60.75" x14ac:dyDescent="0.25">
      <c r="A1289" s="3" t="s">
        <v>28</v>
      </c>
      <c r="B1289" s="3" t="s">
        <v>29</v>
      </c>
      <c r="C1289" s="3" t="s">
        <v>30</v>
      </c>
      <c r="D1289" s="3" t="s">
        <v>58</v>
      </c>
      <c r="E1289" s="3" t="s">
        <v>74</v>
      </c>
      <c r="F1289" s="3" t="s">
        <v>247</v>
      </c>
      <c r="G1289" s="3">
        <v>2025</v>
      </c>
      <c r="H1289" s="3" t="str">
        <f>CONCATENATE("54240531076")</f>
        <v>54240531076</v>
      </c>
      <c r="I1289" s="3" t="s">
        <v>34</v>
      </c>
      <c r="J1289" s="3" t="s">
        <v>35</v>
      </c>
      <c r="K1289" s="3"/>
      <c r="L1289" s="3" t="s">
        <v>36</v>
      </c>
      <c r="M1289" s="3" t="str">
        <f>CONCATENATE("SCNMRA88R30C615U")</f>
        <v>SCNMRA88R30C615U</v>
      </c>
      <c r="N1289" s="3" t="s">
        <v>1415</v>
      </c>
      <c r="O1289" s="3" t="s">
        <v>38</v>
      </c>
      <c r="P1289" s="3"/>
      <c r="Q1289" s="4">
        <v>45944</v>
      </c>
      <c r="R1289" s="3" t="s">
        <v>39</v>
      </c>
      <c r="S1289" s="3" t="s">
        <v>38</v>
      </c>
      <c r="T1289" s="3" t="s">
        <v>40</v>
      </c>
      <c r="U1289" s="3"/>
      <c r="V1289" s="3" t="s">
        <v>41</v>
      </c>
      <c r="W1289" s="5">
        <v>2186.92</v>
      </c>
      <c r="X1289" s="5">
        <v>1640.19</v>
      </c>
      <c r="Y1289" s="3">
        <v>382.71</v>
      </c>
      <c r="Z1289" s="3">
        <v>164.02</v>
      </c>
      <c r="AA1289" s="3">
        <v>0</v>
      </c>
    </row>
    <row r="1290" spans="1:27" ht="72.75" x14ac:dyDescent="0.25">
      <c r="A1290" s="3" t="s">
        <v>28</v>
      </c>
      <c r="B1290" s="3" t="s">
        <v>29</v>
      </c>
      <c r="C1290" s="3" t="s">
        <v>30</v>
      </c>
      <c r="D1290" s="3" t="s">
        <v>58</v>
      </c>
      <c r="E1290" s="3" t="s">
        <v>74</v>
      </c>
      <c r="F1290" s="3" t="s">
        <v>247</v>
      </c>
      <c r="G1290" s="3">
        <v>2025</v>
      </c>
      <c r="H1290" s="3" t="str">
        <f>CONCATENATE("54240531092")</f>
        <v>54240531092</v>
      </c>
      <c r="I1290" s="3" t="s">
        <v>34</v>
      </c>
      <c r="J1290" s="3" t="s">
        <v>35</v>
      </c>
      <c r="K1290" s="3"/>
      <c r="L1290" s="3" t="s">
        <v>36</v>
      </c>
      <c r="M1290" s="3" t="str">
        <f>CONCATENATE("STRDNC65M03A271R")</f>
        <v>STRDNC65M03A271R</v>
      </c>
      <c r="N1290" s="3" t="s">
        <v>1416</v>
      </c>
      <c r="O1290" s="3" t="s">
        <v>38</v>
      </c>
      <c r="P1290" s="3"/>
      <c r="Q1290" s="4">
        <v>45944</v>
      </c>
      <c r="R1290" s="3" t="s">
        <v>39</v>
      </c>
      <c r="S1290" s="3" t="s">
        <v>38</v>
      </c>
      <c r="T1290" s="3" t="s">
        <v>40</v>
      </c>
      <c r="U1290" s="3"/>
      <c r="V1290" s="3" t="s">
        <v>41</v>
      </c>
      <c r="W1290" s="5">
        <v>6627.73</v>
      </c>
      <c r="X1290" s="5">
        <v>4970.8</v>
      </c>
      <c r="Y1290" s="5">
        <v>1159.8499999999999</v>
      </c>
      <c r="Z1290" s="3">
        <v>497.08</v>
      </c>
      <c r="AA1290" s="3">
        <v>0</v>
      </c>
    </row>
    <row r="1291" spans="1:27" ht="60.75" x14ac:dyDescent="0.25">
      <c r="A1291" s="3" t="s">
        <v>28</v>
      </c>
      <c r="B1291" s="3" t="s">
        <v>29</v>
      </c>
      <c r="C1291" s="3" t="s">
        <v>30</v>
      </c>
      <c r="D1291" s="3" t="s">
        <v>31</v>
      </c>
      <c r="E1291" s="3" t="s">
        <v>53</v>
      </c>
      <c r="F1291" s="3" t="s">
        <v>306</v>
      </c>
      <c r="G1291" s="3">
        <v>2025</v>
      </c>
      <c r="H1291" s="3" t="str">
        <f>CONCATENATE("54240531019")</f>
        <v>54240531019</v>
      </c>
      <c r="I1291" s="3" t="s">
        <v>34</v>
      </c>
      <c r="J1291" s="3" t="s">
        <v>35</v>
      </c>
      <c r="K1291" s="3"/>
      <c r="L1291" s="3" t="s">
        <v>36</v>
      </c>
      <c r="M1291" s="3" t="str">
        <f>CONCATENATE("PDNRRT69D17C830O")</f>
        <v>PDNRRT69D17C830O</v>
      </c>
      <c r="N1291" s="3" t="s">
        <v>1417</v>
      </c>
      <c r="O1291" s="3" t="s">
        <v>38</v>
      </c>
      <c r="P1291" s="3"/>
      <c r="Q1291" s="4">
        <v>45944</v>
      </c>
      <c r="R1291" s="3" t="s">
        <v>39</v>
      </c>
      <c r="S1291" s="3" t="s">
        <v>38</v>
      </c>
      <c r="T1291" s="3" t="s">
        <v>40</v>
      </c>
      <c r="U1291" s="3"/>
      <c r="V1291" s="3" t="s">
        <v>41</v>
      </c>
      <c r="W1291" s="5">
        <v>2664.71</v>
      </c>
      <c r="X1291" s="5">
        <v>1998.53</v>
      </c>
      <c r="Y1291" s="3">
        <v>466.32</v>
      </c>
      <c r="Z1291" s="3">
        <v>199.86</v>
      </c>
      <c r="AA1291" s="3">
        <v>0</v>
      </c>
    </row>
    <row r="1292" spans="1:27" ht="36.75" x14ac:dyDescent="0.25">
      <c r="A1292" s="3" t="s">
        <v>28</v>
      </c>
      <c r="B1292" s="3" t="s">
        <v>29</v>
      </c>
      <c r="C1292" s="3" t="s">
        <v>30</v>
      </c>
      <c r="D1292" s="3" t="s">
        <v>49</v>
      </c>
      <c r="E1292" s="3" t="s">
        <v>46</v>
      </c>
      <c r="F1292" s="3" t="s">
        <v>205</v>
      </c>
      <c r="G1292" s="3">
        <v>2025</v>
      </c>
      <c r="H1292" s="3" t="str">
        <f>CONCATENATE("54240531290")</f>
        <v>54240531290</v>
      </c>
      <c r="I1292" s="3" t="s">
        <v>34</v>
      </c>
      <c r="J1292" s="3" t="s">
        <v>35</v>
      </c>
      <c r="K1292" s="3"/>
      <c r="L1292" s="3" t="s">
        <v>36</v>
      </c>
      <c r="M1292" s="3" t="str">
        <f>CONCATENATE("01514430436")</f>
        <v>01514430436</v>
      </c>
      <c r="N1292" s="3" t="s">
        <v>1418</v>
      </c>
      <c r="O1292" s="3" t="s">
        <v>38</v>
      </c>
      <c r="P1292" s="3"/>
      <c r="Q1292" s="4">
        <v>45944</v>
      </c>
      <c r="R1292" s="3" t="s">
        <v>39</v>
      </c>
      <c r="S1292" s="3" t="s">
        <v>38</v>
      </c>
      <c r="T1292" s="3" t="s">
        <v>40</v>
      </c>
      <c r="U1292" s="3"/>
      <c r="V1292" s="3" t="s">
        <v>41</v>
      </c>
      <c r="W1292" s="5">
        <v>6332.73</v>
      </c>
      <c r="X1292" s="5">
        <v>4749.55</v>
      </c>
      <c r="Y1292" s="5">
        <v>1108.23</v>
      </c>
      <c r="Z1292" s="3">
        <v>474.95</v>
      </c>
      <c r="AA1292" s="3">
        <v>0</v>
      </c>
    </row>
    <row r="1293" spans="1:27" ht="60.75" x14ac:dyDescent="0.25">
      <c r="A1293" s="3" t="s">
        <v>28</v>
      </c>
      <c r="B1293" s="3" t="s">
        <v>29</v>
      </c>
      <c r="C1293" s="3" t="s">
        <v>30</v>
      </c>
      <c r="D1293" s="3" t="s">
        <v>49</v>
      </c>
      <c r="E1293" s="3" t="s">
        <v>46</v>
      </c>
      <c r="F1293" s="3" t="s">
        <v>205</v>
      </c>
      <c r="G1293" s="3">
        <v>2025</v>
      </c>
      <c r="H1293" s="3" t="str">
        <f>CONCATENATE("54240531308")</f>
        <v>54240531308</v>
      </c>
      <c r="I1293" s="3" t="s">
        <v>34</v>
      </c>
      <c r="J1293" s="3" t="s">
        <v>35</v>
      </c>
      <c r="K1293" s="3"/>
      <c r="L1293" s="3" t="s">
        <v>36</v>
      </c>
      <c r="M1293" s="3" t="str">
        <f>CONCATENATE("LPPCRL71M01E783L")</f>
        <v>LPPCRL71M01E783L</v>
      </c>
      <c r="N1293" s="3" t="s">
        <v>1419</v>
      </c>
      <c r="O1293" s="3" t="s">
        <v>38</v>
      </c>
      <c r="P1293" s="3"/>
      <c r="Q1293" s="4">
        <v>45944</v>
      </c>
      <c r="R1293" s="3" t="s">
        <v>39</v>
      </c>
      <c r="S1293" s="3" t="s">
        <v>38</v>
      </c>
      <c r="T1293" s="3" t="s">
        <v>40</v>
      </c>
      <c r="U1293" s="3"/>
      <c r="V1293" s="3" t="s">
        <v>41</v>
      </c>
      <c r="W1293" s="5">
        <v>1177.73</v>
      </c>
      <c r="X1293" s="3">
        <v>883.3</v>
      </c>
      <c r="Y1293" s="3">
        <v>206.1</v>
      </c>
      <c r="Z1293" s="3">
        <v>88.33</v>
      </c>
      <c r="AA1293" s="3">
        <v>0</v>
      </c>
    </row>
    <row r="1294" spans="1:27" ht="60.75" x14ac:dyDescent="0.25">
      <c r="A1294" s="3" t="s">
        <v>28</v>
      </c>
      <c r="B1294" s="3" t="s">
        <v>29</v>
      </c>
      <c r="C1294" s="3" t="s">
        <v>30</v>
      </c>
      <c r="D1294" s="3" t="s">
        <v>49</v>
      </c>
      <c r="E1294" s="3" t="s">
        <v>46</v>
      </c>
      <c r="F1294" s="3" t="s">
        <v>205</v>
      </c>
      <c r="G1294" s="3">
        <v>2025</v>
      </c>
      <c r="H1294" s="3" t="str">
        <f>CONCATENATE("54240531332")</f>
        <v>54240531332</v>
      </c>
      <c r="I1294" s="3" t="s">
        <v>34</v>
      </c>
      <c r="J1294" s="3" t="s">
        <v>35</v>
      </c>
      <c r="K1294" s="3"/>
      <c r="L1294" s="3" t="s">
        <v>36</v>
      </c>
      <c r="M1294" s="3" t="str">
        <f>CONCATENATE("LNESVN62A28L191W")</f>
        <v>LNESVN62A28L191W</v>
      </c>
      <c r="N1294" s="3" t="s">
        <v>1420</v>
      </c>
      <c r="O1294" s="3" t="s">
        <v>38</v>
      </c>
      <c r="P1294" s="3"/>
      <c r="Q1294" s="4">
        <v>45944</v>
      </c>
      <c r="R1294" s="3" t="s">
        <v>39</v>
      </c>
      <c r="S1294" s="3" t="s">
        <v>38</v>
      </c>
      <c r="T1294" s="3" t="s">
        <v>40</v>
      </c>
      <c r="U1294" s="3"/>
      <c r="V1294" s="3" t="s">
        <v>41</v>
      </c>
      <c r="W1294" s="3">
        <v>921.77</v>
      </c>
      <c r="X1294" s="3">
        <v>691.33</v>
      </c>
      <c r="Y1294" s="3">
        <v>161.31</v>
      </c>
      <c r="Z1294" s="3">
        <v>69.13</v>
      </c>
      <c r="AA1294" s="3">
        <v>0</v>
      </c>
    </row>
    <row r="1295" spans="1:27" ht="60.75" x14ac:dyDescent="0.25">
      <c r="A1295" s="3" t="s">
        <v>28</v>
      </c>
      <c r="B1295" s="3" t="s">
        <v>29</v>
      </c>
      <c r="C1295" s="3" t="s">
        <v>30</v>
      </c>
      <c r="D1295" s="3" t="s">
        <v>49</v>
      </c>
      <c r="E1295" s="3" t="s">
        <v>46</v>
      </c>
      <c r="F1295" s="3" t="s">
        <v>205</v>
      </c>
      <c r="G1295" s="3">
        <v>2025</v>
      </c>
      <c r="H1295" s="3" t="str">
        <f>CONCATENATE("54240531209")</f>
        <v>54240531209</v>
      </c>
      <c r="I1295" s="3" t="s">
        <v>34</v>
      </c>
      <c r="J1295" s="3" t="s">
        <v>35</v>
      </c>
      <c r="K1295" s="3"/>
      <c r="L1295" s="3" t="s">
        <v>36</v>
      </c>
      <c r="M1295" s="3" t="str">
        <f>CONCATENATE("RSTPLA65M22I156C")</f>
        <v>RSTPLA65M22I156C</v>
      </c>
      <c r="N1295" s="3" t="s">
        <v>1421</v>
      </c>
      <c r="O1295" s="3" t="s">
        <v>38</v>
      </c>
      <c r="P1295" s="3"/>
      <c r="Q1295" s="4">
        <v>45944</v>
      </c>
      <c r="R1295" s="3" t="s">
        <v>39</v>
      </c>
      <c r="S1295" s="3" t="s">
        <v>38</v>
      </c>
      <c r="T1295" s="3" t="s">
        <v>40</v>
      </c>
      <c r="U1295" s="3"/>
      <c r="V1295" s="3" t="s">
        <v>41</v>
      </c>
      <c r="W1295" s="5">
        <v>3341.83</v>
      </c>
      <c r="X1295" s="5">
        <v>2506.37</v>
      </c>
      <c r="Y1295" s="3">
        <v>584.82000000000005</v>
      </c>
      <c r="Z1295" s="3">
        <v>250.64</v>
      </c>
      <c r="AA1295" s="3">
        <v>0</v>
      </c>
    </row>
    <row r="1296" spans="1:27" ht="60.75" x14ac:dyDescent="0.25">
      <c r="A1296" s="3" t="s">
        <v>28</v>
      </c>
      <c r="B1296" s="3" t="s">
        <v>29</v>
      </c>
      <c r="C1296" s="3" t="s">
        <v>30</v>
      </c>
      <c r="D1296" s="3" t="s">
        <v>49</v>
      </c>
      <c r="E1296" s="3" t="s">
        <v>46</v>
      </c>
      <c r="F1296" s="3" t="s">
        <v>205</v>
      </c>
      <c r="G1296" s="3">
        <v>2025</v>
      </c>
      <c r="H1296" s="3" t="str">
        <f>CONCATENATE("54240532207")</f>
        <v>54240532207</v>
      </c>
      <c r="I1296" s="3" t="s">
        <v>34</v>
      </c>
      <c r="J1296" s="3" t="s">
        <v>35</v>
      </c>
      <c r="K1296" s="3"/>
      <c r="L1296" s="3" t="s">
        <v>36</v>
      </c>
      <c r="M1296" s="3" t="str">
        <f>CONCATENATE("MRAMTT85H13E783K")</f>
        <v>MRAMTT85H13E783K</v>
      </c>
      <c r="N1296" s="3" t="s">
        <v>1422</v>
      </c>
      <c r="O1296" s="3" t="s">
        <v>38</v>
      </c>
      <c r="P1296" s="3"/>
      <c r="Q1296" s="4">
        <v>45944</v>
      </c>
      <c r="R1296" s="3" t="s">
        <v>39</v>
      </c>
      <c r="S1296" s="3" t="s">
        <v>38</v>
      </c>
      <c r="T1296" s="3" t="s">
        <v>40</v>
      </c>
      <c r="U1296" s="3"/>
      <c r="V1296" s="3" t="s">
        <v>41</v>
      </c>
      <c r="W1296" s="5">
        <v>1020.69</v>
      </c>
      <c r="X1296" s="3">
        <v>765.52</v>
      </c>
      <c r="Y1296" s="3">
        <v>178.62</v>
      </c>
      <c r="Z1296" s="3">
        <v>76.55</v>
      </c>
      <c r="AA1296" s="3">
        <v>0</v>
      </c>
    </row>
    <row r="1297" spans="1:27" ht="60.75" x14ac:dyDescent="0.25">
      <c r="A1297" s="3" t="s">
        <v>28</v>
      </c>
      <c r="B1297" s="3" t="s">
        <v>29</v>
      </c>
      <c r="C1297" s="3" t="s">
        <v>30</v>
      </c>
      <c r="D1297" s="3" t="s">
        <v>49</v>
      </c>
      <c r="E1297" s="3" t="s">
        <v>32</v>
      </c>
      <c r="F1297" s="3" t="s">
        <v>368</v>
      </c>
      <c r="G1297" s="3">
        <v>2025</v>
      </c>
      <c r="H1297" s="3" t="str">
        <f>CONCATENATE("54240550795")</f>
        <v>54240550795</v>
      </c>
      <c r="I1297" s="3" t="s">
        <v>34</v>
      </c>
      <c r="J1297" s="3" t="s">
        <v>35</v>
      </c>
      <c r="K1297" s="3"/>
      <c r="L1297" s="3" t="s">
        <v>36</v>
      </c>
      <c r="M1297" s="3" t="str">
        <f>CONCATENATE("PRSLGU56C11A329D")</f>
        <v>PRSLGU56C11A329D</v>
      </c>
      <c r="N1297" s="3" t="s">
        <v>1423</v>
      </c>
      <c r="O1297" s="3" t="s">
        <v>38</v>
      </c>
      <c r="P1297" s="3"/>
      <c r="Q1297" s="4">
        <v>45944</v>
      </c>
      <c r="R1297" s="3" t="s">
        <v>39</v>
      </c>
      <c r="S1297" s="3" t="s">
        <v>38</v>
      </c>
      <c r="T1297" s="3" t="s">
        <v>40</v>
      </c>
      <c r="U1297" s="3"/>
      <c r="V1297" s="3" t="s">
        <v>41</v>
      </c>
      <c r="W1297" s="3">
        <v>952.24</v>
      </c>
      <c r="X1297" s="3">
        <v>714.18</v>
      </c>
      <c r="Y1297" s="3">
        <v>166.64</v>
      </c>
      <c r="Z1297" s="3">
        <v>71.42</v>
      </c>
      <c r="AA1297" s="3">
        <v>0</v>
      </c>
    </row>
    <row r="1298" spans="1:27" ht="60.75" x14ac:dyDescent="0.25">
      <c r="A1298" s="3" t="s">
        <v>28</v>
      </c>
      <c r="B1298" s="3" t="s">
        <v>29</v>
      </c>
      <c r="C1298" s="3" t="s">
        <v>30</v>
      </c>
      <c r="D1298" s="3" t="s">
        <v>58</v>
      </c>
      <c r="E1298" s="3" t="s">
        <v>53</v>
      </c>
      <c r="F1298" s="3" t="s">
        <v>123</v>
      </c>
      <c r="G1298" s="3">
        <v>2025</v>
      </c>
      <c r="H1298" s="3" t="str">
        <f>CONCATENATE("54240589900")</f>
        <v>54240589900</v>
      </c>
      <c r="I1298" s="3" t="s">
        <v>34</v>
      </c>
      <c r="J1298" s="3" t="s">
        <v>35</v>
      </c>
      <c r="K1298" s="3"/>
      <c r="L1298" s="3" t="s">
        <v>36</v>
      </c>
      <c r="M1298" s="3" t="str">
        <f>CONCATENATE("CRZCRL81M07D211A")</f>
        <v>CRZCRL81M07D211A</v>
      </c>
      <c r="N1298" s="3" t="s">
        <v>1424</v>
      </c>
      <c r="O1298" s="3" t="s">
        <v>38</v>
      </c>
      <c r="P1298" s="3"/>
      <c r="Q1298" s="4">
        <v>45944</v>
      </c>
      <c r="R1298" s="3" t="s">
        <v>39</v>
      </c>
      <c r="S1298" s="3" t="s">
        <v>38</v>
      </c>
      <c r="T1298" s="3" t="s">
        <v>40</v>
      </c>
      <c r="U1298" s="3"/>
      <c r="V1298" s="3" t="s">
        <v>41</v>
      </c>
      <c r="W1298" s="5">
        <v>9817.58</v>
      </c>
      <c r="X1298" s="5">
        <v>7363.19</v>
      </c>
      <c r="Y1298" s="5">
        <v>1718.08</v>
      </c>
      <c r="Z1298" s="3">
        <v>736.31</v>
      </c>
      <c r="AA1298" s="3">
        <v>0</v>
      </c>
    </row>
    <row r="1299" spans="1:27" ht="60.75" x14ac:dyDescent="0.25">
      <c r="A1299" s="3" t="s">
        <v>28</v>
      </c>
      <c r="B1299" s="3" t="s">
        <v>29</v>
      </c>
      <c r="C1299" s="3" t="s">
        <v>30</v>
      </c>
      <c r="D1299" s="3" t="s">
        <v>49</v>
      </c>
      <c r="E1299" s="3" t="s">
        <v>46</v>
      </c>
      <c r="F1299" s="3" t="s">
        <v>129</v>
      </c>
      <c r="G1299" s="3">
        <v>2025</v>
      </c>
      <c r="H1299" s="3" t="str">
        <f>CONCATENATE("54240532926")</f>
        <v>54240532926</v>
      </c>
      <c r="I1299" s="3" t="s">
        <v>34</v>
      </c>
      <c r="J1299" s="3" t="s">
        <v>35</v>
      </c>
      <c r="K1299" s="3"/>
      <c r="L1299" s="3" t="s">
        <v>36</v>
      </c>
      <c r="M1299" s="3" t="str">
        <f>CONCATENATE("PRSPPN53T07G058L")</f>
        <v>PRSPPN53T07G058L</v>
      </c>
      <c r="N1299" s="3" t="s">
        <v>1425</v>
      </c>
      <c r="O1299" s="3" t="s">
        <v>38</v>
      </c>
      <c r="P1299" s="3"/>
      <c r="Q1299" s="4">
        <v>45944</v>
      </c>
      <c r="R1299" s="3" t="s">
        <v>39</v>
      </c>
      <c r="S1299" s="3" t="s">
        <v>38</v>
      </c>
      <c r="T1299" s="3" t="s">
        <v>40</v>
      </c>
      <c r="U1299" s="3"/>
      <c r="V1299" s="3" t="s">
        <v>41</v>
      </c>
      <c r="W1299" s="5">
        <v>11451.13</v>
      </c>
      <c r="X1299" s="5">
        <v>8588.35</v>
      </c>
      <c r="Y1299" s="5">
        <v>2003.95</v>
      </c>
      <c r="Z1299" s="3">
        <v>858.83</v>
      </c>
      <c r="AA1299" s="3">
        <v>0</v>
      </c>
    </row>
    <row r="1300" spans="1:27" ht="36.75" x14ac:dyDescent="0.25">
      <c r="A1300" s="3" t="s">
        <v>28</v>
      </c>
      <c r="B1300" s="3" t="s">
        <v>29</v>
      </c>
      <c r="C1300" s="3" t="s">
        <v>30</v>
      </c>
      <c r="D1300" s="3" t="s">
        <v>49</v>
      </c>
      <c r="E1300" s="3" t="s">
        <v>32</v>
      </c>
      <c r="F1300" s="3" t="s">
        <v>86</v>
      </c>
      <c r="G1300" s="3">
        <v>2025</v>
      </c>
      <c r="H1300" s="3" t="str">
        <f>CONCATENATE("54240532678")</f>
        <v>54240532678</v>
      </c>
      <c r="I1300" s="3" t="s">
        <v>34</v>
      </c>
      <c r="J1300" s="3" t="s">
        <v>35</v>
      </c>
      <c r="K1300" s="3"/>
      <c r="L1300" s="3" t="s">
        <v>36</v>
      </c>
      <c r="M1300" s="3" t="str">
        <f>CONCATENATE("02031250430")</f>
        <v>02031250430</v>
      </c>
      <c r="N1300" s="3" t="s">
        <v>1426</v>
      </c>
      <c r="O1300" s="3" t="s">
        <v>38</v>
      </c>
      <c r="P1300" s="3"/>
      <c r="Q1300" s="4">
        <v>45944</v>
      </c>
      <c r="R1300" s="3" t="s">
        <v>39</v>
      </c>
      <c r="S1300" s="3" t="s">
        <v>38</v>
      </c>
      <c r="T1300" s="3" t="s">
        <v>40</v>
      </c>
      <c r="U1300" s="3"/>
      <c r="V1300" s="3" t="s">
        <v>41</v>
      </c>
      <c r="W1300" s="5">
        <v>2375.25</v>
      </c>
      <c r="X1300" s="5">
        <v>1781.44</v>
      </c>
      <c r="Y1300" s="3">
        <v>415.67</v>
      </c>
      <c r="Z1300" s="3">
        <v>178.14</v>
      </c>
      <c r="AA1300" s="3">
        <v>0</v>
      </c>
    </row>
    <row r="1301" spans="1:27" ht="36.75" x14ac:dyDescent="0.25">
      <c r="A1301" s="3" t="s">
        <v>28</v>
      </c>
      <c r="B1301" s="3" t="s">
        <v>29</v>
      </c>
      <c r="C1301" s="3" t="s">
        <v>30</v>
      </c>
      <c r="D1301" s="3" t="s">
        <v>49</v>
      </c>
      <c r="E1301" s="3" t="s">
        <v>46</v>
      </c>
      <c r="F1301" s="3" t="s">
        <v>129</v>
      </c>
      <c r="G1301" s="3">
        <v>2025</v>
      </c>
      <c r="H1301" s="3" t="str">
        <f>CONCATENATE("54240532934")</f>
        <v>54240532934</v>
      </c>
      <c r="I1301" s="3" t="s">
        <v>34</v>
      </c>
      <c r="J1301" s="3" t="s">
        <v>35</v>
      </c>
      <c r="K1301" s="3"/>
      <c r="L1301" s="3" t="s">
        <v>36</v>
      </c>
      <c r="M1301" s="3" t="str">
        <f>CONCATENATE("02101100432")</f>
        <v>02101100432</v>
      </c>
      <c r="N1301" s="3" t="s">
        <v>1427</v>
      </c>
      <c r="O1301" s="3" t="s">
        <v>38</v>
      </c>
      <c r="P1301" s="3"/>
      <c r="Q1301" s="4">
        <v>45944</v>
      </c>
      <c r="R1301" s="3" t="s">
        <v>39</v>
      </c>
      <c r="S1301" s="3" t="s">
        <v>38</v>
      </c>
      <c r="T1301" s="3" t="s">
        <v>40</v>
      </c>
      <c r="U1301" s="3"/>
      <c r="V1301" s="3" t="s">
        <v>41</v>
      </c>
      <c r="W1301" s="5">
        <v>3597.05</v>
      </c>
      <c r="X1301" s="5">
        <v>2697.79</v>
      </c>
      <c r="Y1301" s="3">
        <v>629.48</v>
      </c>
      <c r="Z1301" s="3">
        <v>269.77999999999997</v>
      </c>
      <c r="AA1301" s="3">
        <v>0</v>
      </c>
    </row>
    <row r="1302" spans="1:27" ht="60.75" x14ac:dyDescent="0.25">
      <c r="A1302" s="3" t="s">
        <v>28</v>
      </c>
      <c r="B1302" s="3" t="s">
        <v>29</v>
      </c>
      <c r="C1302" s="3" t="s">
        <v>30</v>
      </c>
      <c r="D1302" s="3" t="s">
        <v>49</v>
      </c>
      <c r="E1302" s="3" t="s">
        <v>32</v>
      </c>
      <c r="F1302" s="3" t="s">
        <v>86</v>
      </c>
      <c r="G1302" s="3">
        <v>2025</v>
      </c>
      <c r="H1302" s="3" t="str">
        <f>CONCATENATE("54240532959")</f>
        <v>54240532959</v>
      </c>
      <c r="I1302" s="3" t="s">
        <v>34</v>
      </c>
      <c r="J1302" s="3" t="s">
        <v>35</v>
      </c>
      <c r="K1302" s="3"/>
      <c r="L1302" s="3" t="s">
        <v>36</v>
      </c>
      <c r="M1302" s="3" t="str">
        <f>CONCATENATE("GTTPLA55T01I156X")</f>
        <v>GTTPLA55T01I156X</v>
      </c>
      <c r="N1302" s="3" t="s">
        <v>1428</v>
      </c>
      <c r="O1302" s="3" t="s">
        <v>38</v>
      </c>
      <c r="P1302" s="3"/>
      <c r="Q1302" s="4">
        <v>45944</v>
      </c>
      <c r="R1302" s="3" t="s">
        <v>39</v>
      </c>
      <c r="S1302" s="3" t="s">
        <v>38</v>
      </c>
      <c r="T1302" s="3" t="s">
        <v>40</v>
      </c>
      <c r="U1302" s="3"/>
      <c r="V1302" s="3" t="s">
        <v>41</v>
      </c>
      <c r="W1302" s="5">
        <v>3822.7</v>
      </c>
      <c r="X1302" s="5">
        <v>2867.03</v>
      </c>
      <c r="Y1302" s="3">
        <v>668.97</v>
      </c>
      <c r="Z1302" s="3">
        <v>286.7</v>
      </c>
      <c r="AA1302" s="3">
        <v>0</v>
      </c>
    </row>
    <row r="1303" spans="1:27" ht="60.75" x14ac:dyDescent="0.25">
      <c r="A1303" s="3" t="s">
        <v>28</v>
      </c>
      <c r="B1303" s="3" t="s">
        <v>29</v>
      </c>
      <c r="C1303" s="3" t="s">
        <v>30</v>
      </c>
      <c r="D1303" s="3" t="s">
        <v>49</v>
      </c>
      <c r="E1303" s="3" t="s">
        <v>46</v>
      </c>
      <c r="F1303" s="3" t="s">
        <v>129</v>
      </c>
      <c r="G1303" s="3">
        <v>2025</v>
      </c>
      <c r="H1303" s="3" t="str">
        <f>CONCATENATE("54240533023")</f>
        <v>54240533023</v>
      </c>
      <c r="I1303" s="3" t="s">
        <v>34</v>
      </c>
      <c r="J1303" s="3" t="s">
        <v>35</v>
      </c>
      <c r="K1303" s="3"/>
      <c r="L1303" s="3" t="s">
        <v>36</v>
      </c>
      <c r="M1303" s="3" t="str">
        <f>CONCATENATE("CRVDNS59R30F567S")</f>
        <v>CRVDNS59R30F567S</v>
      </c>
      <c r="N1303" s="3" t="s">
        <v>1429</v>
      </c>
      <c r="O1303" s="3" t="s">
        <v>38</v>
      </c>
      <c r="P1303" s="3"/>
      <c r="Q1303" s="4">
        <v>45944</v>
      </c>
      <c r="R1303" s="3" t="s">
        <v>39</v>
      </c>
      <c r="S1303" s="3" t="s">
        <v>38</v>
      </c>
      <c r="T1303" s="3" t="s">
        <v>40</v>
      </c>
      <c r="U1303" s="3"/>
      <c r="V1303" s="3" t="s">
        <v>41</v>
      </c>
      <c r="W1303" s="5">
        <v>13087.48</v>
      </c>
      <c r="X1303" s="5">
        <v>9815.61</v>
      </c>
      <c r="Y1303" s="5">
        <v>2290.31</v>
      </c>
      <c r="Z1303" s="3">
        <v>981.56</v>
      </c>
      <c r="AA1303" s="3">
        <v>0</v>
      </c>
    </row>
    <row r="1304" spans="1:27" ht="60.75" x14ac:dyDescent="0.25">
      <c r="A1304" s="3" t="s">
        <v>28</v>
      </c>
      <c r="B1304" s="3" t="s">
        <v>29</v>
      </c>
      <c r="C1304" s="3" t="s">
        <v>30</v>
      </c>
      <c r="D1304" s="3" t="s">
        <v>49</v>
      </c>
      <c r="E1304" s="3" t="s">
        <v>46</v>
      </c>
      <c r="F1304" s="3" t="s">
        <v>129</v>
      </c>
      <c r="G1304" s="3">
        <v>2025</v>
      </c>
      <c r="H1304" s="3" t="str">
        <f>CONCATENATE("54240533221")</f>
        <v>54240533221</v>
      </c>
      <c r="I1304" s="3" t="s">
        <v>34</v>
      </c>
      <c r="J1304" s="3" t="s">
        <v>35</v>
      </c>
      <c r="K1304" s="3"/>
      <c r="L1304" s="3" t="s">
        <v>36</v>
      </c>
      <c r="M1304" s="3" t="str">
        <f>CONCATENATE("CLMSFN79S67I156L")</f>
        <v>CLMSFN79S67I156L</v>
      </c>
      <c r="N1304" s="3" t="s">
        <v>1430</v>
      </c>
      <c r="O1304" s="3" t="s">
        <v>38</v>
      </c>
      <c r="P1304" s="3"/>
      <c r="Q1304" s="4">
        <v>45944</v>
      </c>
      <c r="R1304" s="3" t="s">
        <v>39</v>
      </c>
      <c r="S1304" s="3" t="s">
        <v>38</v>
      </c>
      <c r="T1304" s="3" t="s">
        <v>40</v>
      </c>
      <c r="U1304" s="3"/>
      <c r="V1304" s="3" t="s">
        <v>41</v>
      </c>
      <c r="W1304" s="5">
        <v>7526.91</v>
      </c>
      <c r="X1304" s="5">
        <v>5645.18</v>
      </c>
      <c r="Y1304" s="5">
        <v>1317.21</v>
      </c>
      <c r="Z1304" s="3">
        <v>564.52</v>
      </c>
      <c r="AA1304" s="3">
        <v>0</v>
      </c>
    </row>
    <row r="1305" spans="1:27" ht="60.75" x14ac:dyDescent="0.25">
      <c r="A1305" s="3" t="s">
        <v>28</v>
      </c>
      <c r="B1305" s="3" t="s">
        <v>29</v>
      </c>
      <c r="C1305" s="3" t="s">
        <v>30</v>
      </c>
      <c r="D1305" s="3" t="s">
        <v>49</v>
      </c>
      <c r="E1305" s="3" t="s">
        <v>46</v>
      </c>
      <c r="F1305" s="3" t="s">
        <v>129</v>
      </c>
      <c r="G1305" s="3">
        <v>2025</v>
      </c>
      <c r="H1305" s="3" t="str">
        <f>CONCATENATE("54240533312")</f>
        <v>54240533312</v>
      </c>
      <c r="I1305" s="3" t="s">
        <v>34</v>
      </c>
      <c r="J1305" s="3" t="s">
        <v>35</v>
      </c>
      <c r="K1305" s="3"/>
      <c r="L1305" s="3" t="s">
        <v>36</v>
      </c>
      <c r="M1305" s="3" t="str">
        <f>CONCATENATE("MZZRNZ57M06L366M")</f>
        <v>MZZRNZ57M06L366M</v>
      </c>
      <c r="N1305" s="3" t="s">
        <v>1431</v>
      </c>
      <c r="O1305" s="3" t="s">
        <v>38</v>
      </c>
      <c r="P1305" s="3"/>
      <c r="Q1305" s="4">
        <v>45944</v>
      </c>
      <c r="R1305" s="3" t="s">
        <v>39</v>
      </c>
      <c r="S1305" s="3" t="s">
        <v>38</v>
      </c>
      <c r="T1305" s="3" t="s">
        <v>40</v>
      </c>
      <c r="U1305" s="3"/>
      <c r="V1305" s="3" t="s">
        <v>41</v>
      </c>
      <c r="W1305" s="5">
        <v>1513.37</v>
      </c>
      <c r="X1305" s="5">
        <v>1135.03</v>
      </c>
      <c r="Y1305" s="3">
        <v>264.83999999999997</v>
      </c>
      <c r="Z1305" s="3">
        <v>113.5</v>
      </c>
      <c r="AA1305" s="3">
        <v>0</v>
      </c>
    </row>
    <row r="1306" spans="1:27" ht="60.75" x14ac:dyDescent="0.25">
      <c r="A1306" s="3" t="s">
        <v>28</v>
      </c>
      <c r="B1306" s="3" t="s">
        <v>29</v>
      </c>
      <c r="C1306" s="3" t="s">
        <v>30</v>
      </c>
      <c r="D1306" s="3" t="s">
        <v>31</v>
      </c>
      <c r="E1306" s="3" t="s">
        <v>91</v>
      </c>
      <c r="F1306" s="3" t="s">
        <v>111</v>
      </c>
      <c r="G1306" s="3">
        <v>2025</v>
      </c>
      <c r="H1306" s="3" t="str">
        <f>CONCATENATE("54240533981")</f>
        <v>54240533981</v>
      </c>
      <c r="I1306" s="3" t="s">
        <v>34</v>
      </c>
      <c r="J1306" s="3" t="s">
        <v>35</v>
      </c>
      <c r="K1306" s="3"/>
      <c r="L1306" s="3" t="s">
        <v>36</v>
      </c>
      <c r="M1306" s="3" t="str">
        <f>CONCATENATE("DCRSRA83L47I459D")</f>
        <v>DCRSRA83L47I459D</v>
      </c>
      <c r="N1306" s="3" t="s">
        <v>1432</v>
      </c>
      <c r="O1306" s="3" t="s">
        <v>38</v>
      </c>
      <c r="P1306" s="3"/>
      <c r="Q1306" s="4">
        <v>45944</v>
      </c>
      <c r="R1306" s="3" t="s">
        <v>39</v>
      </c>
      <c r="S1306" s="3" t="s">
        <v>38</v>
      </c>
      <c r="T1306" s="3" t="s">
        <v>40</v>
      </c>
      <c r="U1306" s="3"/>
      <c r="V1306" s="3" t="s">
        <v>41</v>
      </c>
      <c r="W1306" s="5">
        <v>4842.4799999999996</v>
      </c>
      <c r="X1306" s="5">
        <v>3631.86</v>
      </c>
      <c r="Y1306" s="3">
        <v>847.43</v>
      </c>
      <c r="Z1306" s="3">
        <v>363.19</v>
      </c>
      <c r="AA1306" s="3">
        <v>0</v>
      </c>
    </row>
    <row r="1307" spans="1:27" ht="60.75" x14ac:dyDescent="0.25">
      <c r="A1307" s="3" t="s">
        <v>28</v>
      </c>
      <c r="B1307" s="3" t="s">
        <v>29</v>
      </c>
      <c r="C1307" s="3" t="s">
        <v>30</v>
      </c>
      <c r="D1307" s="3" t="s">
        <v>31</v>
      </c>
      <c r="E1307" s="3" t="s">
        <v>91</v>
      </c>
      <c r="F1307" s="3" t="s">
        <v>111</v>
      </c>
      <c r="G1307" s="3">
        <v>2025</v>
      </c>
      <c r="H1307" s="3" t="str">
        <f>CONCATENATE("54240533916")</f>
        <v>54240533916</v>
      </c>
      <c r="I1307" s="3" t="s">
        <v>34</v>
      </c>
      <c r="J1307" s="3" t="s">
        <v>35</v>
      </c>
      <c r="K1307" s="3"/>
      <c r="L1307" s="3" t="s">
        <v>36</v>
      </c>
      <c r="M1307" s="3" t="str">
        <f>CONCATENATE("GBTNCL89E16C357N")</f>
        <v>GBTNCL89E16C357N</v>
      </c>
      <c r="N1307" s="3" t="s">
        <v>1433</v>
      </c>
      <c r="O1307" s="3" t="s">
        <v>38</v>
      </c>
      <c r="P1307" s="3"/>
      <c r="Q1307" s="4">
        <v>45944</v>
      </c>
      <c r="R1307" s="3" t="s">
        <v>39</v>
      </c>
      <c r="S1307" s="3" t="s">
        <v>38</v>
      </c>
      <c r="T1307" s="3" t="s">
        <v>40</v>
      </c>
      <c r="U1307" s="3"/>
      <c r="V1307" s="3" t="s">
        <v>41</v>
      </c>
      <c r="W1307" s="5">
        <v>5358.84</v>
      </c>
      <c r="X1307" s="5">
        <v>4019.13</v>
      </c>
      <c r="Y1307" s="3">
        <v>937.8</v>
      </c>
      <c r="Z1307" s="3">
        <v>401.91</v>
      </c>
      <c r="AA1307" s="3">
        <v>0</v>
      </c>
    </row>
    <row r="1308" spans="1:27" ht="60.75" x14ac:dyDescent="0.25">
      <c r="A1308" s="3" t="s">
        <v>28</v>
      </c>
      <c r="B1308" s="3" t="s">
        <v>29</v>
      </c>
      <c r="C1308" s="3" t="s">
        <v>30</v>
      </c>
      <c r="D1308" s="3" t="s">
        <v>49</v>
      </c>
      <c r="E1308" s="3" t="s">
        <v>46</v>
      </c>
      <c r="F1308" s="3" t="s">
        <v>126</v>
      </c>
      <c r="G1308" s="3">
        <v>2025</v>
      </c>
      <c r="H1308" s="3" t="str">
        <f>CONCATENATE("54240534054")</f>
        <v>54240534054</v>
      </c>
      <c r="I1308" s="3" t="s">
        <v>34</v>
      </c>
      <c r="J1308" s="3" t="s">
        <v>35</v>
      </c>
      <c r="K1308" s="3"/>
      <c r="L1308" s="3" t="s">
        <v>36</v>
      </c>
      <c r="M1308" s="3" t="str">
        <f>CONCATENATE("CNTSLV62C24E783O")</f>
        <v>CNTSLV62C24E783O</v>
      </c>
      <c r="N1308" s="3" t="s">
        <v>1434</v>
      </c>
      <c r="O1308" s="3" t="s">
        <v>38</v>
      </c>
      <c r="P1308" s="3"/>
      <c r="Q1308" s="4">
        <v>45944</v>
      </c>
      <c r="R1308" s="3" t="s">
        <v>39</v>
      </c>
      <c r="S1308" s="3" t="s">
        <v>38</v>
      </c>
      <c r="T1308" s="3" t="s">
        <v>40</v>
      </c>
      <c r="U1308" s="3"/>
      <c r="V1308" s="3" t="s">
        <v>41</v>
      </c>
      <c r="W1308" s="5">
        <v>11746.92</v>
      </c>
      <c r="X1308" s="5">
        <v>8810.19</v>
      </c>
      <c r="Y1308" s="5">
        <v>2055.71</v>
      </c>
      <c r="Z1308" s="3">
        <v>881.02</v>
      </c>
      <c r="AA1308" s="3">
        <v>0</v>
      </c>
    </row>
    <row r="1309" spans="1:27" ht="60.75" x14ac:dyDescent="0.25">
      <c r="A1309" s="3" t="s">
        <v>28</v>
      </c>
      <c r="B1309" s="3" t="s">
        <v>29</v>
      </c>
      <c r="C1309" s="3" t="s">
        <v>30</v>
      </c>
      <c r="D1309" s="3" t="s">
        <v>49</v>
      </c>
      <c r="E1309" s="3" t="s">
        <v>91</v>
      </c>
      <c r="F1309" s="3" t="s">
        <v>92</v>
      </c>
      <c r="G1309" s="3">
        <v>2025</v>
      </c>
      <c r="H1309" s="3" t="str">
        <f>CONCATENATE("54240536208")</f>
        <v>54240536208</v>
      </c>
      <c r="I1309" s="3" t="s">
        <v>34</v>
      </c>
      <c r="J1309" s="3" t="s">
        <v>35</v>
      </c>
      <c r="K1309" s="3"/>
      <c r="L1309" s="3" t="s">
        <v>36</v>
      </c>
      <c r="M1309" s="3" t="str">
        <f>CONCATENATE("LNZRCR47H28I726T")</f>
        <v>LNZRCR47H28I726T</v>
      </c>
      <c r="N1309" s="3" t="s">
        <v>1435</v>
      </c>
      <c r="O1309" s="3" t="s">
        <v>38</v>
      </c>
      <c r="P1309" s="3"/>
      <c r="Q1309" s="4">
        <v>45944</v>
      </c>
      <c r="R1309" s="3" t="s">
        <v>39</v>
      </c>
      <c r="S1309" s="3" t="s">
        <v>38</v>
      </c>
      <c r="T1309" s="3" t="s">
        <v>40</v>
      </c>
      <c r="U1309" s="3"/>
      <c r="V1309" s="3" t="s">
        <v>41</v>
      </c>
      <c r="W1309" s="5">
        <v>6196.51</v>
      </c>
      <c r="X1309" s="5">
        <v>4647.38</v>
      </c>
      <c r="Y1309" s="5">
        <v>1084.3900000000001</v>
      </c>
      <c r="Z1309" s="3">
        <v>464.74</v>
      </c>
      <c r="AA1309" s="3">
        <v>0</v>
      </c>
    </row>
    <row r="1310" spans="1:27" ht="60.75" x14ac:dyDescent="0.25">
      <c r="A1310" s="3" t="s">
        <v>28</v>
      </c>
      <c r="B1310" s="3" t="s">
        <v>29</v>
      </c>
      <c r="C1310" s="3" t="s">
        <v>30</v>
      </c>
      <c r="D1310" s="3" t="s">
        <v>63</v>
      </c>
      <c r="E1310" s="3" t="s">
        <v>53</v>
      </c>
      <c r="F1310" s="3" t="s">
        <v>80</v>
      </c>
      <c r="G1310" s="3">
        <v>2025</v>
      </c>
      <c r="H1310" s="3" t="str">
        <f>CONCATENATE("54240534104")</f>
        <v>54240534104</v>
      </c>
      <c r="I1310" s="3" t="s">
        <v>34</v>
      </c>
      <c r="J1310" s="3" t="s">
        <v>35</v>
      </c>
      <c r="K1310" s="3"/>
      <c r="L1310" s="3" t="s">
        <v>36</v>
      </c>
      <c r="M1310" s="3" t="str">
        <f>CONCATENATE("BGGSNT71L44A794S")</f>
        <v>BGGSNT71L44A794S</v>
      </c>
      <c r="N1310" s="3" t="s">
        <v>1436</v>
      </c>
      <c r="O1310" s="3" t="s">
        <v>38</v>
      </c>
      <c r="P1310" s="3"/>
      <c r="Q1310" s="4">
        <v>45944</v>
      </c>
      <c r="R1310" s="3" t="s">
        <v>39</v>
      </c>
      <c r="S1310" s="3" t="s">
        <v>38</v>
      </c>
      <c r="T1310" s="3" t="s">
        <v>40</v>
      </c>
      <c r="U1310" s="3"/>
      <c r="V1310" s="3" t="s">
        <v>41</v>
      </c>
      <c r="W1310" s="5">
        <v>2946.05</v>
      </c>
      <c r="X1310" s="5">
        <v>2209.54</v>
      </c>
      <c r="Y1310" s="3">
        <v>515.55999999999995</v>
      </c>
      <c r="Z1310" s="3">
        <v>220.95</v>
      </c>
      <c r="AA1310" s="3">
        <v>0</v>
      </c>
    </row>
    <row r="1311" spans="1:27" ht="36.75" x14ac:dyDescent="0.25">
      <c r="A1311" s="3" t="s">
        <v>28</v>
      </c>
      <c r="B1311" s="3" t="s">
        <v>29</v>
      </c>
      <c r="C1311" s="3" t="s">
        <v>30</v>
      </c>
      <c r="D1311" s="3" t="s">
        <v>49</v>
      </c>
      <c r="E1311" s="3" t="s">
        <v>46</v>
      </c>
      <c r="F1311" s="3" t="s">
        <v>131</v>
      </c>
      <c r="G1311" s="3">
        <v>2025</v>
      </c>
      <c r="H1311" s="3" t="str">
        <f>CONCATENATE("54240534385")</f>
        <v>54240534385</v>
      </c>
      <c r="I1311" s="3" t="s">
        <v>34</v>
      </c>
      <c r="J1311" s="3" t="s">
        <v>35</v>
      </c>
      <c r="K1311" s="3"/>
      <c r="L1311" s="3" t="s">
        <v>36</v>
      </c>
      <c r="M1311" s="3" t="str">
        <f>CONCATENATE("02128280431")</f>
        <v>02128280431</v>
      </c>
      <c r="N1311" s="3" t="s">
        <v>1437</v>
      </c>
      <c r="O1311" s="3" t="s">
        <v>38</v>
      </c>
      <c r="P1311" s="3"/>
      <c r="Q1311" s="4">
        <v>45944</v>
      </c>
      <c r="R1311" s="3" t="s">
        <v>39</v>
      </c>
      <c r="S1311" s="3" t="s">
        <v>38</v>
      </c>
      <c r="T1311" s="3" t="s">
        <v>40</v>
      </c>
      <c r="U1311" s="3"/>
      <c r="V1311" s="3" t="s">
        <v>41</v>
      </c>
      <c r="W1311" s="5">
        <v>7977.28</v>
      </c>
      <c r="X1311" s="5">
        <v>5982.96</v>
      </c>
      <c r="Y1311" s="5">
        <v>1396.02</v>
      </c>
      <c r="Z1311" s="3">
        <v>598.29999999999995</v>
      </c>
      <c r="AA1311" s="3">
        <v>0</v>
      </c>
    </row>
    <row r="1312" spans="1:27" ht="72.75" x14ac:dyDescent="0.25">
      <c r="A1312" s="3" t="s">
        <v>28</v>
      </c>
      <c r="B1312" s="3" t="s">
        <v>29</v>
      </c>
      <c r="C1312" s="3" t="s">
        <v>30</v>
      </c>
      <c r="D1312" s="3" t="s">
        <v>63</v>
      </c>
      <c r="E1312" s="3" t="s">
        <v>53</v>
      </c>
      <c r="F1312" s="3" t="s">
        <v>80</v>
      </c>
      <c r="G1312" s="3">
        <v>2025</v>
      </c>
      <c r="H1312" s="3" t="str">
        <f>CONCATENATE("54240534500")</f>
        <v>54240534500</v>
      </c>
      <c r="I1312" s="3" t="s">
        <v>149</v>
      </c>
      <c r="J1312" s="3" t="s">
        <v>35</v>
      </c>
      <c r="K1312" s="3"/>
      <c r="L1312" s="3" t="s">
        <v>36</v>
      </c>
      <c r="M1312" s="3" t="str">
        <f>CONCATENATE("CCCMSM72M11G005C")</f>
        <v>CCCMSM72M11G005C</v>
      </c>
      <c r="N1312" s="3" t="s">
        <v>1438</v>
      </c>
      <c r="O1312" s="3" t="s">
        <v>38</v>
      </c>
      <c r="P1312" s="3"/>
      <c r="Q1312" s="4">
        <v>45944</v>
      </c>
      <c r="R1312" s="3" t="s">
        <v>39</v>
      </c>
      <c r="S1312" s="3" t="s">
        <v>38</v>
      </c>
      <c r="T1312" s="3" t="s">
        <v>40</v>
      </c>
      <c r="U1312" s="3"/>
      <c r="V1312" s="3" t="s">
        <v>41</v>
      </c>
      <c r="W1312" s="5">
        <v>1907.75</v>
      </c>
      <c r="X1312" s="5">
        <v>1430.81</v>
      </c>
      <c r="Y1312" s="3">
        <v>333.86</v>
      </c>
      <c r="Z1312" s="3">
        <v>143.08000000000001</v>
      </c>
      <c r="AA1312" s="3">
        <v>0</v>
      </c>
    </row>
    <row r="1313" spans="1:27" ht="60.75" x14ac:dyDescent="0.25">
      <c r="A1313" s="3" t="s">
        <v>28</v>
      </c>
      <c r="B1313" s="3" t="s">
        <v>29</v>
      </c>
      <c r="C1313" s="3" t="s">
        <v>30</v>
      </c>
      <c r="D1313" s="3" t="s">
        <v>58</v>
      </c>
      <c r="E1313" s="3" t="s">
        <v>53</v>
      </c>
      <c r="F1313" s="3" t="s">
        <v>59</v>
      </c>
      <c r="G1313" s="3">
        <v>2025</v>
      </c>
      <c r="H1313" s="3" t="str">
        <f>CONCATENATE("54240663093")</f>
        <v>54240663093</v>
      </c>
      <c r="I1313" s="3" t="s">
        <v>34</v>
      </c>
      <c r="J1313" s="3" t="s">
        <v>35</v>
      </c>
      <c r="K1313" s="3"/>
      <c r="L1313" s="3" t="s">
        <v>36</v>
      </c>
      <c r="M1313" s="3" t="str">
        <f>CONCATENATE("CPTFRC87L22E388U")</f>
        <v>CPTFRC87L22E388U</v>
      </c>
      <c r="N1313" s="3" t="s">
        <v>1439</v>
      </c>
      <c r="O1313" s="3" t="s">
        <v>38</v>
      </c>
      <c r="P1313" s="3"/>
      <c r="Q1313" s="4">
        <v>45944</v>
      </c>
      <c r="R1313" s="3" t="s">
        <v>39</v>
      </c>
      <c r="S1313" s="3" t="s">
        <v>38</v>
      </c>
      <c r="T1313" s="3" t="s">
        <v>40</v>
      </c>
      <c r="U1313" s="3"/>
      <c r="V1313" s="3" t="s">
        <v>41</v>
      </c>
      <c r="W1313" s="5">
        <v>2673.61</v>
      </c>
      <c r="X1313" s="5">
        <v>2005.21</v>
      </c>
      <c r="Y1313" s="3">
        <v>467.88</v>
      </c>
      <c r="Z1313" s="3">
        <v>200.52</v>
      </c>
      <c r="AA1313" s="3">
        <v>0</v>
      </c>
    </row>
    <row r="1314" spans="1:27" ht="72.75" x14ac:dyDescent="0.25">
      <c r="A1314" s="3" t="s">
        <v>28</v>
      </c>
      <c r="B1314" s="3" t="s">
        <v>29</v>
      </c>
      <c r="C1314" s="3" t="s">
        <v>30</v>
      </c>
      <c r="D1314" s="3" t="s">
        <v>49</v>
      </c>
      <c r="E1314" s="3" t="s">
        <v>32</v>
      </c>
      <c r="F1314" s="3" t="s">
        <v>78</v>
      </c>
      <c r="G1314" s="3">
        <v>2025</v>
      </c>
      <c r="H1314" s="3" t="str">
        <f>CONCATENATE("54240664646")</f>
        <v>54240664646</v>
      </c>
      <c r="I1314" s="3" t="s">
        <v>34</v>
      </c>
      <c r="J1314" s="3" t="s">
        <v>35</v>
      </c>
      <c r="K1314" s="3"/>
      <c r="L1314" s="3" t="s">
        <v>36</v>
      </c>
      <c r="M1314" s="3" t="str">
        <f>CONCATENATE("MRCRCR99H13A271Q")</f>
        <v>MRCRCR99H13A271Q</v>
      </c>
      <c r="N1314" s="3" t="s">
        <v>1440</v>
      </c>
      <c r="O1314" s="3" t="s">
        <v>38</v>
      </c>
      <c r="P1314" s="3"/>
      <c r="Q1314" s="4">
        <v>45944</v>
      </c>
      <c r="R1314" s="3" t="s">
        <v>39</v>
      </c>
      <c r="S1314" s="3" t="s">
        <v>38</v>
      </c>
      <c r="T1314" s="3" t="s">
        <v>40</v>
      </c>
      <c r="U1314" s="3"/>
      <c r="V1314" s="3" t="s">
        <v>41</v>
      </c>
      <c r="W1314" s="5">
        <v>3795.69</v>
      </c>
      <c r="X1314" s="5">
        <v>2846.77</v>
      </c>
      <c r="Y1314" s="3">
        <v>664.25</v>
      </c>
      <c r="Z1314" s="3">
        <v>284.67</v>
      </c>
      <c r="AA1314" s="3">
        <v>0</v>
      </c>
    </row>
    <row r="1315" spans="1:27" ht="36.75" x14ac:dyDescent="0.25">
      <c r="A1315" s="3" t="s">
        <v>28</v>
      </c>
      <c r="B1315" s="3" t="s">
        <v>29</v>
      </c>
      <c r="C1315" s="3" t="s">
        <v>30</v>
      </c>
      <c r="D1315" s="3" t="s">
        <v>31</v>
      </c>
      <c r="E1315" s="3" t="s">
        <v>91</v>
      </c>
      <c r="F1315" s="3" t="s">
        <v>111</v>
      </c>
      <c r="G1315" s="3">
        <v>2025</v>
      </c>
      <c r="H1315" s="3" t="str">
        <f>CONCATENATE("54240663846")</f>
        <v>54240663846</v>
      </c>
      <c r="I1315" s="3" t="s">
        <v>34</v>
      </c>
      <c r="J1315" s="3" t="s">
        <v>35</v>
      </c>
      <c r="K1315" s="3"/>
      <c r="L1315" s="3" t="s">
        <v>36</v>
      </c>
      <c r="M1315" s="3" t="str">
        <f>CONCATENATE("02337210419")</f>
        <v>02337210419</v>
      </c>
      <c r="N1315" s="3" t="s">
        <v>1441</v>
      </c>
      <c r="O1315" s="3" t="s">
        <v>38</v>
      </c>
      <c r="P1315" s="3"/>
      <c r="Q1315" s="4">
        <v>45944</v>
      </c>
      <c r="R1315" s="3" t="s">
        <v>39</v>
      </c>
      <c r="S1315" s="3" t="s">
        <v>38</v>
      </c>
      <c r="T1315" s="3" t="s">
        <v>40</v>
      </c>
      <c r="U1315" s="3"/>
      <c r="V1315" s="3" t="s">
        <v>41</v>
      </c>
      <c r="W1315" s="5">
        <v>1844.93</v>
      </c>
      <c r="X1315" s="5">
        <v>1383.7</v>
      </c>
      <c r="Y1315" s="3">
        <v>322.86</v>
      </c>
      <c r="Z1315" s="3">
        <v>138.37</v>
      </c>
      <c r="AA1315" s="3">
        <v>0</v>
      </c>
    </row>
    <row r="1316" spans="1:27" ht="60.75" x14ac:dyDescent="0.25">
      <c r="A1316" s="3" t="s">
        <v>28</v>
      </c>
      <c r="B1316" s="3" t="s">
        <v>29</v>
      </c>
      <c r="C1316" s="3" t="s">
        <v>30</v>
      </c>
      <c r="D1316" s="3" t="s">
        <v>63</v>
      </c>
      <c r="E1316" s="3" t="s">
        <v>145</v>
      </c>
      <c r="F1316" s="3" t="s">
        <v>146</v>
      </c>
      <c r="G1316" s="3">
        <v>2025</v>
      </c>
      <c r="H1316" s="3" t="str">
        <f>CONCATENATE("54240664778")</f>
        <v>54240664778</v>
      </c>
      <c r="I1316" s="3" t="s">
        <v>149</v>
      </c>
      <c r="J1316" s="3" t="s">
        <v>35</v>
      </c>
      <c r="K1316" s="3"/>
      <c r="L1316" s="3" t="s">
        <v>36</v>
      </c>
      <c r="M1316" s="3" t="str">
        <f>CONCATENATE("VLLDNL99R04Z154P")</f>
        <v>VLLDNL99R04Z154P</v>
      </c>
      <c r="N1316" s="3" t="s">
        <v>1442</v>
      </c>
      <c r="O1316" s="3" t="s">
        <v>38</v>
      </c>
      <c r="P1316" s="3"/>
      <c r="Q1316" s="4">
        <v>45944</v>
      </c>
      <c r="R1316" s="3" t="s">
        <v>39</v>
      </c>
      <c r="S1316" s="3" t="s">
        <v>38</v>
      </c>
      <c r="T1316" s="3" t="s">
        <v>40</v>
      </c>
      <c r="U1316" s="3"/>
      <c r="V1316" s="3" t="s">
        <v>41</v>
      </c>
      <c r="W1316" s="5">
        <v>5751.24</v>
      </c>
      <c r="X1316" s="5">
        <v>4313.43</v>
      </c>
      <c r="Y1316" s="5">
        <v>1006.47</v>
      </c>
      <c r="Z1316" s="3">
        <v>431.34</v>
      </c>
      <c r="AA1316" s="3">
        <v>0</v>
      </c>
    </row>
    <row r="1317" spans="1:27" ht="60.75" x14ac:dyDescent="0.25">
      <c r="A1317" s="3" t="s">
        <v>28</v>
      </c>
      <c r="B1317" s="3" t="s">
        <v>29</v>
      </c>
      <c r="C1317" s="3" t="s">
        <v>30</v>
      </c>
      <c r="D1317" s="3" t="s">
        <v>58</v>
      </c>
      <c r="E1317" s="3" t="s">
        <v>53</v>
      </c>
      <c r="F1317" s="3" t="s">
        <v>59</v>
      </c>
      <c r="G1317" s="3">
        <v>2025</v>
      </c>
      <c r="H1317" s="3" t="str">
        <f>CONCATENATE("54240666229")</f>
        <v>54240666229</v>
      </c>
      <c r="I1317" s="3" t="s">
        <v>34</v>
      </c>
      <c r="J1317" s="3" t="s">
        <v>35</v>
      </c>
      <c r="K1317" s="3"/>
      <c r="L1317" s="3" t="s">
        <v>36</v>
      </c>
      <c r="M1317" s="3" t="str">
        <f>CONCATENATE("STGPRG60P19L506Y")</f>
        <v>STGPRG60P19L506Y</v>
      </c>
      <c r="N1317" s="3" t="s">
        <v>1443</v>
      </c>
      <c r="O1317" s="3" t="s">
        <v>38</v>
      </c>
      <c r="P1317" s="3"/>
      <c r="Q1317" s="4">
        <v>45944</v>
      </c>
      <c r="R1317" s="3" t="s">
        <v>39</v>
      </c>
      <c r="S1317" s="3" t="s">
        <v>38</v>
      </c>
      <c r="T1317" s="3" t="s">
        <v>40</v>
      </c>
      <c r="U1317" s="3"/>
      <c r="V1317" s="3" t="s">
        <v>41</v>
      </c>
      <c r="W1317" s="5">
        <v>3598.26</v>
      </c>
      <c r="X1317" s="5">
        <v>2698.7</v>
      </c>
      <c r="Y1317" s="3">
        <v>629.70000000000005</v>
      </c>
      <c r="Z1317" s="3">
        <v>269.86</v>
      </c>
      <c r="AA1317" s="3">
        <v>0</v>
      </c>
    </row>
    <row r="1318" spans="1:27" ht="36.75" x14ac:dyDescent="0.25">
      <c r="A1318" s="3" t="s">
        <v>28</v>
      </c>
      <c r="B1318" s="3" t="s">
        <v>29</v>
      </c>
      <c r="C1318" s="3" t="s">
        <v>30</v>
      </c>
      <c r="D1318" s="3" t="s">
        <v>49</v>
      </c>
      <c r="E1318" s="3" t="s">
        <v>91</v>
      </c>
      <c r="F1318" s="3" t="s">
        <v>92</v>
      </c>
      <c r="G1318" s="3">
        <v>2025</v>
      </c>
      <c r="H1318" s="3" t="str">
        <f>CONCATENATE("54240666583")</f>
        <v>54240666583</v>
      </c>
      <c r="I1318" s="3" t="s">
        <v>34</v>
      </c>
      <c r="J1318" s="3" t="s">
        <v>35</v>
      </c>
      <c r="K1318" s="3"/>
      <c r="L1318" s="3" t="s">
        <v>36</v>
      </c>
      <c r="M1318" s="3" t="str">
        <f>CONCATENATE("01816630436")</f>
        <v>01816630436</v>
      </c>
      <c r="N1318" s="3" t="s">
        <v>1444</v>
      </c>
      <c r="O1318" s="3" t="s">
        <v>38</v>
      </c>
      <c r="P1318" s="3"/>
      <c r="Q1318" s="4">
        <v>45944</v>
      </c>
      <c r="R1318" s="3" t="s">
        <v>39</v>
      </c>
      <c r="S1318" s="3" t="s">
        <v>38</v>
      </c>
      <c r="T1318" s="3" t="s">
        <v>40</v>
      </c>
      <c r="U1318" s="3"/>
      <c r="V1318" s="3" t="s">
        <v>41</v>
      </c>
      <c r="W1318" s="5">
        <v>7155.34</v>
      </c>
      <c r="X1318" s="5">
        <v>5366.51</v>
      </c>
      <c r="Y1318" s="5">
        <v>1252.18</v>
      </c>
      <c r="Z1318" s="3">
        <v>536.65</v>
      </c>
      <c r="AA1318" s="3">
        <v>0</v>
      </c>
    </row>
    <row r="1319" spans="1:27" ht="36.75" x14ac:dyDescent="0.25">
      <c r="A1319" s="3" t="s">
        <v>28</v>
      </c>
      <c r="B1319" s="3" t="s">
        <v>29</v>
      </c>
      <c r="C1319" s="3" t="s">
        <v>30</v>
      </c>
      <c r="D1319" s="3" t="s">
        <v>63</v>
      </c>
      <c r="E1319" s="3" t="s">
        <v>74</v>
      </c>
      <c r="F1319" s="3" t="s">
        <v>252</v>
      </c>
      <c r="G1319" s="3">
        <v>2025</v>
      </c>
      <c r="H1319" s="3" t="str">
        <f>CONCATENATE("54240667482")</f>
        <v>54240667482</v>
      </c>
      <c r="I1319" s="3" t="s">
        <v>34</v>
      </c>
      <c r="J1319" s="3" t="s">
        <v>35</v>
      </c>
      <c r="K1319" s="3"/>
      <c r="L1319" s="3" t="s">
        <v>36</v>
      </c>
      <c r="M1319" s="3" t="str">
        <f>CONCATENATE("02070860438")</f>
        <v>02070860438</v>
      </c>
      <c r="N1319" s="3" t="s">
        <v>1445</v>
      </c>
      <c r="O1319" s="3" t="s">
        <v>38</v>
      </c>
      <c r="P1319" s="3"/>
      <c r="Q1319" s="4">
        <v>45944</v>
      </c>
      <c r="R1319" s="3" t="s">
        <v>39</v>
      </c>
      <c r="S1319" s="3" t="s">
        <v>38</v>
      </c>
      <c r="T1319" s="3" t="s">
        <v>40</v>
      </c>
      <c r="U1319" s="3"/>
      <c r="V1319" s="3" t="s">
        <v>41</v>
      </c>
      <c r="W1319" s="3">
        <v>630.9</v>
      </c>
      <c r="X1319" s="3">
        <v>473.18</v>
      </c>
      <c r="Y1319" s="3">
        <v>110.41</v>
      </c>
      <c r="Z1319" s="3">
        <v>47.31</v>
      </c>
      <c r="AA1319" s="3">
        <v>0</v>
      </c>
    </row>
    <row r="1320" spans="1:27" ht="60.75" x14ac:dyDescent="0.25">
      <c r="A1320" s="3" t="s">
        <v>28</v>
      </c>
      <c r="B1320" s="3" t="s">
        <v>29</v>
      </c>
      <c r="C1320" s="3" t="s">
        <v>30</v>
      </c>
      <c r="D1320" s="3" t="s">
        <v>31</v>
      </c>
      <c r="E1320" s="3" t="s">
        <v>53</v>
      </c>
      <c r="F1320" s="3" t="s">
        <v>233</v>
      </c>
      <c r="G1320" s="3">
        <v>2025</v>
      </c>
      <c r="H1320" s="3" t="str">
        <f>CONCATENATE("54240667805")</f>
        <v>54240667805</v>
      </c>
      <c r="I1320" s="3" t="s">
        <v>34</v>
      </c>
      <c r="J1320" s="3" t="s">
        <v>35</v>
      </c>
      <c r="K1320" s="3"/>
      <c r="L1320" s="3" t="s">
        <v>36</v>
      </c>
      <c r="M1320" s="3" t="str">
        <f>CONCATENATE("BRBLRS91L14D488Z")</f>
        <v>BRBLRS91L14D488Z</v>
      </c>
      <c r="N1320" s="3" t="s">
        <v>1446</v>
      </c>
      <c r="O1320" s="3" t="s">
        <v>38</v>
      </c>
      <c r="P1320" s="3"/>
      <c r="Q1320" s="4">
        <v>45944</v>
      </c>
      <c r="R1320" s="3" t="s">
        <v>39</v>
      </c>
      <c r="S1320" s="3" t="s">
        <v>38</v>
      </c>
      <c r="T1320" s="3" t="s">
        <v>40</v>
      </c>
      <c r="U1320" s="3"/>
      <c r="V1320" s="3" t="s">
        <v>41</v>
      </c>
      <c r="W1320" s="5">
        <v>4258.87</v>
      </c>
      <c r="X1320" s="5">
        <v>3194.15</v>
      </c>
      <c r="Y1320" s="3">
        <v>745.3</v>
      </c>
      <c r="Z1320" s="3">
        <v>319.42</v>
      </c>
      <c r="AA1320" s="3">
        <v>0</v>
      </c>
    </row>
    <row r="1321" spans="1:27" ht="36.75" x14ac:dyDescent="0.25">
      <c r="A1321" s="3" t="s">
        <v>28</v>
      </c>
      <c r="B1321" s="3" t="s">
        <v>29</v>
      </c>
      <c r="C1321" s="3" t="s">
        <v>30</v>
      </c>
      <c r="D1321" s="3" t="s">
        <v>49</v>
      </c>
      <c r="E1321" s="3" t="s">
        <v>32</v>
      </c>
      <c r="F1321" s="3" t="s">
        <v>86</v>
      </c>
      <c r="G1321" s="3">
        <v>2025</v>
      </c>
      <c r="H1321" s="3" t="str">
        <f>CONCATENATE("54240667839")</f>
        <v>54240667839</v>
      </c>
      <c r="I1321" s="3" t="s">
        <v>34</v>
      </c>
      <c r="J1321" s="3" t="s">
        <v>35</v>
      </c>
      <c r="K1321" s="3"/>
      <c r="L1321" s="3" t="s">
        <v>36</v>
      </c>
      <c r="M1321" s="3" t="str">
        <f>CONCATENATE("01176360434")</f>
        <v>01176360434</v>
      </c>
      <c r="N1321" s="3" t="s">
        <v>1447</v>
      </c>
      <c r="O1321" s="3" t="s">
        <v>38</v>
      </c>
      <c r="P1321" s="3"/>
      <c r="Q1321" s="4">
        <v>45944</v>
      </c>
      <c r="R1321" s="3" t="s">
        <v>39</v>
      </c>
      <c r="S1321" s="3" t="s">
        <v>38</v>
      </c>
      <c r="T1321" s="3" t="s">
        <v>40</v>
      </c>
      <c r="U1321" s="3"/>
      <c r="V1321" s="3" t="s">
        <v>41</v>
      </c>
      <c r="W1321" s="5">
        <v>1145.19</v>
      </c>
      <c r="X1321" s="3">
        <v>858.89</v>
      </c>
      <c r="Y1321" s="3">
        <v>200.41</v>
      </c>
      <c r="Z1321" s="3">
        <v>85.89</v>
      </c>
      <c r="AA1321" s="3">
        <v>0</v>
      </c>
    </row>
    <row r="1322" spans="1:27" ht="36.75" x14ac:dyDescent="0.25">
      <c r="A1322" s="3" t="s">
        <v>28</v>
      </c>
      <c r="B1322" s="3" t="s">
        <v>29</v>
      </c>
      <c r="C1322" s="3" t="s">
        <v>30</v>
      </c>
      <c r="D1322" s="3" t="s">
        <v>63</v>
      </c>
      <c r="E1322" s="3" t="s">
        <v>1448</v>
      </c>
      <c r="F1322" s="3" t="s">
        <v>1449</v>
      </c>
      <c r="G1322" s="3">
        <v>2025</v>
      </c>
      <c r="H1322" s="3" t="str">
        <f>CONCATENATE("54240651296")</f>
        <v>54240651296</v>
      </c>
      <c r="I1322" s="3" t="s">
        <v>149</v>
      </c>
      <c r="J1322" s="3" t="s">
        <v>35</v>
      </c>
      <c r="K1322" s="3"/>
      <c r="L1322" s="3" t="s">
        <v>36</v>
      </c>
      <c r="M1322" s="3" t="str">
        <f>CONCATENATE("00794560441")</f>
        <v>00794560441</v>
      </c>
      <c r="N1322" s="3" t="s">
        <v>1450</v>
      </c>
      <c r="O1322" s="3" t="s">
        <v>38</v>
      </c>
      <c r="P1322" s="3"/>
      <c r="Q1322" s="4">
        <v>45944</v>
      </c>
      <c r="R1322" s="3" t="s">
        <v>39</v>
      </c>
      <c r="S1322" s="3" t="s">
        <v>38</v>
      </c>
      <c r="T1322" s="3" t="s">
        <v>40</v>
      </c>
      <c r="U1322" s="3"/>
      <c r="V1322" s="3" t="s">
        <v>41</v>
      </c>
      <c r="W1322" s="5">
        <v>5357.18</v>
      </c>
      <c r="X1322" s="5">
        <v>4017.89</v>
      </c>
      <c r="Y1322" s="3">
        <v>937.51</v>
      </c>
      <c r="Z1322" s="3">
        <v>401.78</v>
      </c>
      <c r="AA1322" s="3">
        <v>0</v>
      </c>
    </row>
    <row r="1323" spans="1:27" ht="36.75" x14ac:dyDescent="0.25">
      <c r="A1323" s="3" t="s">
        <v>28</v>
      </c>
      <c r="B1323" s="3" t="s">
        <v>29</v>
      </c>
      <c r="C1323" s="3" t="s">
        <v>30</v>
      </c>
      <c r="D1323" s="3" t="s">
        <v>49</v>
      </c>
      <c r="E1323" s="3" t="s">
        <v>46</v>
      </c>
      <c r="F1323" s="3" t="s">
        <v>205</v>
      </c>
      <c r="G1323" s="3">
        <v>2025</v>
      </c>
      <c r="H1323" s="3" t="str">
        <f>CONCATENATE("54240651692")</f>
        <v>54240651692</v>
      </c>
      <c r="I1323" s="3" t="s">
        <v>34</v>
      </c>
      <c r="J1323" s="3" t="s">
        <v>35</v>
      </c>
      <c r="K1323" s="3"/>
      <c r="L1323" s="3" t="s">
        <v>36</v>
      </c>
      <c r="M1323" s="3" t="str">
        <f>CONCATENATE("02132590437")</f>
        <v>02132590437</v>
      </c>
      <c r="N1323" s="3" t="s">
        <v>1451</v>
      </c>
      <c r="O1323" s="3" t="s">
        <v>38</v>
      </c>
      <c r="P1323" s="3"/>
      <c r="Q1323" s="4">
        <v>45944</v>
      </c>
      <c r="R1323" s="3" t="s">
        <v>39</v>
      </c>
      <c r="S1323" s="3" t="s">
        <v>38</v>
      </c>
      <c r="T1323" s="3" t="s">
        <v>40</v>
      </c>
      <c r="U1323" s="3"/>
      <c r="V1323" s="3" t="s">
        <v>41</v>
      </c>
      <c r="W1323" s="5">
        <v>5170.6899999999996</v>
      </c>
      <c r="X1323" s="5">
        <v>3878.02</v>
      </c>
      <c r="Y1323" s="3">
        <v>904.87</v>
      </c>
      <c r="Z1323" s="3">
        <v>387.8</v>
      </c>
      <c r="AA1323" s="3">
        <v>0</v>
      </c>
    </row>
    <row r="1324" spans="1:27" ht="36.75" x14ac:dyDescent="0.25">
      <c r="A1324" s="3" t="s">
        <v>28</v>
      </c>
      <c r="B1324" s="3" t="s">
        <v>29</v>
      </c>
      <c r="C1324" s="3" t="s">
        <v>30</v>
      </c>
      <c r="D1324" s="3" t="s">
        <v>63</v>
      </c>
      <c r="E1324" s="3" t="s">
        <v>32</v>
      </c>
      <c r="F1324" s="3" t="s">
        <v>269</v>
      </c>
      <c r="G1324" s="3">
        <v>2025</v>
      </c>
      <c r="H1324" s="3" t="str">
        <f>CONCATENATE("54240651460")</f>
        <v>54240651460</v>
      </c>
      <c r="I1324" s="3" t="s">
        <v>34</v>
      </c>
      <c r="J1324" s="3" t="s">
        <v>35</v>
      </c>
      <c r="K1324" s="3"/>
      <c r="L1324" s="3" t="s">
        <v>36</v>
      </c>
      <c r="M1324" s="3" t="str">
        <f>CONCATENATE("02346190446")</f>
        <v>02346190446</v>
      </c>
      <c r="N1324" s="3" t="s">
        <v>1452</v>
      </c>
      <c r="O1324" s="3" t="s">
        <v>38</v>
      </c>
      <c r="P1324" s="3"/>
      <c r="Q1324" s="4">
        <v>45944</v>
      </c>
      <c r="R1324" s="3" t="s">
        <v>39</v>
      </c>
      <c r="S1324" s="3" t="s">
        <v>38</v>
      </c>
      <c r="T1324" s="3" t="s">
        <v>40</v>
      </c>
      <c r="U1324" s="3"/>
      <c r="V1324" s="3" t="s">
        <v>41</v>
      </c>
      <c r="W1324" s="5">
        <v>5388.35</v>
      </c>
      <c r="X1324" s="5">
        <v>4041.26</v>
      </c>
      <c r="Y1324" s="3">
        <v>942.96</v>
      </c>
      <c r="Z1324" s="3">
        <v>404.13</v>
      </c>
      <c r="AA1324" s="3">
        <v>0</v>
      </c>
    </row>
    <row r="1325" spans="1:27" ht="60.75" x14ac:dyDescent="0.25">
      <c r="A1325" s="3" t="s">
        <v>28</v>
      </c>
      <c r="B1325" s="3" t="s">
        <v>29</v>
      </c>
      <c r="C1325" s="3" t="s">
        <v>30</v>
      </c>
      <c r="D1325" s="3" t="s">
        <v>49</v>
      </c>
      <c r="E1325" s="3" t="s">
        <v>32</v>
      </c>
      <c r="F1325" s="3" t="s">
        <v>78</v>
      </c>
      <c r="G1325" s="3">
        <v>2025</v>
      </c>
      <c r="H1325" s="3" t="str">
        <f>CONCATENATE("54240651874")</f>
        <v>54240651874</v>
      </c>
      <c r="I1325" s="3" t="s">
        <v>34</v>
      </c>
      <c r="J1325" s="3" t="s">
        <v>35</v>
      </c>
      <c r="K1325" s="3"/>
      <c r="L1325" s="3" t="s">
        <v>36</v>
      </c>
      <c r="M1325" s="3" t="str">
        <f>CONCATENATE("LNENDR04D06I156O")</f>
        <v>LNENDR04D06I156O</v>
      </c>
      <c r="N1325" s="3" t="s">
        <v>1453</v>
      </c>
      <c r="O1325" s="3" t="s">
        <v>38</v>
      </c>
      <c r="P1325" s="3"/>
      <c r="Q1325" s="4">
        <v>45944</v>
      </c>
      <c r="R1325" s="3" t="s">
        <v>39</v>
      </c>
      <c r="S1325" s="3" t="s">
        <v>38</v>
      </c>
      <c r="T1325" s="3" t="s">
        <v>40</v>
      </c>
      <c r="U1325" s="3"/>
      <c r="V1325" s="3" t="s">
        <v>41</v>
      </c>
      <c r="W1325" s="5">
        <v>10736.39</v>
      </c>
      <c r="X1325" s="5">
        <v>8052.29</v>
      </c>
      <c r="Y1325" s="5">
        <v>1878.87</v>
      </c>
      <c r="Z1325" s="3">
        <v>805.23</v>
      </c>
      <c r="AA1325" s="3">
        <v>0</v>
      </c>
    </row>
    <row r="1326" spans="1:27" ht="60.75" x14ac:dyDescent="0.25">
      <c r="A1326" s="3" t="s">
        <v>28</v>
      </c>
      <c r="B1326" s="3" t="s">
        <v>29</v>
      </c>
      <c r="C1326" s="3" t="s">
        <v>30</v>
      </c>
      <c r="D1326" s="3" t="s">
        <v>31</v>
      </c>
      <c r="E1326" s="3" t="s">
        <v>53</v>
      </c>
      <c r="F1326" s="3" t="s">
        <v>483</v>
      </c>
      <c r="G1326" s="3">
        <v>2025</v>
      </c>
      <c r="H1326" s="3" t="str">
        <f>CONCATENATE("54240652898")</f>
        <v>54240652898</v>
      </c>
      <c r="I1326" s="3" t="s">
        <v>34</v>
      </c>
      <c r="J1326" s="3" t="s">
        <v>35</v>
      </c>
      <c r="K1326" s="3"/>
      <c r="L1326" s="3" t="s">
        <v>36</v>
      </c>
      <c r="M1326" s="3" t="str">
        <f>CONCATENATE("NCCNDR78P05B352T")</f>
        <v>NCCNDR78P05B352T</v>
      </c>
      <c r="N1326" s="3" t="s">
        <v>1454</v>
      </c>
      <c r="O1326" s="3" t="s">
        <v>38</v>
      </c>
      <c r="P1326" s="3"/>
      <c r="Q1326" s="4">
        <v>45944</v>
      </c>
      <c r="R1326" s="3" t="s">
        <v>39</v>
      </c>
      <c r="S1326" s="3" t="s">
        <v>38</v>
      </c>
      <c r="T1326" s="3" t="s">
        <v>40</v>
      </c>
      <c r="U1326" s="3"/>
      <c r="V1326" s="3" t="s">
        <v>41</v>
      </c>
      <c r="W1326" s="3">
        <v>974.82</v>
      </c>
      <c r="X1326" s="3">
        <v>731.12</v>
      </c>
      <c r="Y1326" s="3">
        <v>170.59</v>
      </c>
      <c r="Z1326" s="3">
        <v>73.11</v>
      </c>
      <c r="AA1326" s="3">
        <v>0</v>
      </c>
    </row>
    <row r="1327" spans="1:27" ht="36.75" x14ac:dyDescent="0.25">
      <c r="A1327" s="3" t="s">
        <v>28</v>
      </c>
      <c r="B1327" s="3" t="s">
        <v>29</v>
      </c>
      <c r="C1327" s="3" t="s">
        <v>30</v>
      </c>
      <c r="D1327" s="3" t="s">
        <v>31</v>
      </c>
      <c r="E1327" s="3" t="s">
        <v>53</v>
      </c>
      <c r="F1327" s="3" t="s">
        <v>414</v>
      </c>
      <c r="G1327" s="3">
        <v>2025</v>
      </c>
      <c r="H1327" s="3" t="str">
        <f>CONCATENATE("54240520699")</f>
        <v>54240520699</v>
      </c>
      <c r="I1327" s="3" t="s">
        <v>34</v>
      </c>
      <c r="J1327" s="3" t="s">
        <v>35</v>
      </c>
      <c r="K1327" s="3"/>
      <c r="L1327" s="3" t="s">
        <v>36</v>
      </c>
      <c r="M1327" s="3" t="str">
        <f>CONCATENATE("00474850419")</f>
        <v>00474850419</v>
      </c>
      <c r="N1327" s="3" t="s">
        <v>1455</v>
      </c>
      <c r="O1327" s="3" t="s">
        <v>38</v>
      </c>
      <c r="P1327" s="3"/>
      <c r="Q1327" s="4">
        <v>45944</v>
      </c>
      <c r="R1327" s="3" t="s">
        <v>39</v>
      </c>
      <c r="S1327" s="3" t="s">
        <v>38</v>
      </c>
      <c r="T1327" s="3" t="s">
        <v>40</v>
      </c>
      <c r="U1327" s="3"/>
      <c r="V1327" s="3" t="s">
        <v>41</v>
      </c>
      <c r="W1327" s="5">
        <v>1356.37</v>
      </c>
      <c r="X1327" s="5">
        <v>1017.28</v>
      </c>
      <c r="Y1327" s="3">
        <v>237.36</v>
      </c>
      <c r="Z1327" s="3">
        <v>101.73</v>
      </c>
      <c r="AA1327" s="3">
        <v>0</v>
      </c>
    </row>
    <row r="1328" spans="1:27" ht="60.75" x14ac:dyDescent="0.25">
      <c r="A1328" s="3" t="s">
        <v>28</v>
      </c>
      <c r="B1328" s="3" t="s">
        <v>29</v>
      </c>
      <c r="C1328" s="3" t="s">
        <v>30</v>
      </c>
      <c r="D1328" s="3" t="s">
        <v>49</v>
      </c>
      <c r="E1328" s="3" t="s">
        <v>91</v>
      </c>
      <c r="F1328" s="3" t="s">
        <v>92</v>
      </c>
      <c r="G1328" s="3">
        <v>2025</v>
      </c>
      <c r="H1328" s="3" t="str">
        <f>CONCATENATE("54240520723")</f>
        <v>54240520723</v>
      </c>
      <c r="I1328" s="3" t="s">
        <v>34</v>
      </c>
      <c r="J1328" s="3" t="s">
        <v>35</v>
      </c>
      <c r="K1328" s="3"/>
      <c r="L1328" s="3" t="s">
        <v>36</v>
      </c>
      <c r="M1328" s="3" t="str">
        <f>CONCATENATE("CHRGRL57L28E783W")</f>
        <v>CHRGRL57L28E783W</v>
      </c>
      <c r="N1328" s="3" t="s">
        <v>1456</v>
      </c>
      <c r="O1328" s="3" t="s">
        <v>38</v>
      </c>
      <c r="P1328" s="3"/>
      <c r="Q1328" s="4">
        <v>45944</v>
      </c>
      <c r="R1328" s="3" t="s">
        <v>39</v>
      </c>
      <c r="S1328" s="3" t="s">
        <v>38</v>
      </c>
      <c r="T1328" s="3" t="s">
        <v>40</v>
      </c>
      <c r="U1328" s="3"/>
      <c r="V1328" s="3" t="s">
        <v>41</v>
      </c>
      <c r="W1328" s="5">
        <v>7227.01</v>
      </c>
      <c r="X1328" s="5">
        <v>5420.26</v>
      </c>
      <c r="Y1328" s="5">
        <v>1264.73</v>
      </c>
      <c r="Z1328" s="3">
        <v>542.02</v>
      </c>
      <c r="AA1328" s="3">
        <v>0</v>
      </c>
    </row>
    <row r="1329" spans="1:27" ht="60.75" x14ac:dyDescent="0.25">
      <c r="A1329" s="3" t="s">
        <v>28</v>
      </c>
      <c r="B1329" s="3" t="s">
        <v>29</v>
      </c>
      <c r="C1329" s="3" t="s">
        <v>30</v>
      </c>
      <c r="D1329" s="3" t="s">
        <v>58</v>
      </c>
      <c r="E1329" s="3" t="s">
        <v>53</v>
      </c>
      <c r="F1329" s="3" t="s">
        <v>123</v>
      </c>
      <c r="G1329" s="3">
        <v>2025</v>
      </c>
      <c r="H1329" s="3" t="str">
        <f>CONCATENATE("54240521168")</f>
        <v>54240521168</v>
      </c>
      <c r="I1329" s="3" t="s">
        <v>34</v>
      </c>
      <c r="J1329" s="3" t="s">
        <v>35</v>
      </c>
      <c r="K1329" s="3"/>
      <c r="L1329" s="3" t="s">
        <v>36</v>
      </c>
      <c r="M1329" s="3" t="str">
        <f>CONCATENATE("GZZDGI89A11C615U")</f>
        <v>GZZDGI89A11C615U</v>
      </c>
      <c r="N1329" s="3" t="s">
        <v>1457</v>
      </c>
      <c r="O1329" s="3" t="s">
        <v>38</v>
      </c>
      <c r="P1329" s="3"/>
      <c r="Q1329" s="4">
        <v>45944</v>
      </c>
      <c r="R1329" s="3" t="s">
        <v>39</v>
      </c>
      <c r="S1329" s="3" t="s">
        <v>38</v>
      </c>
      <c r="T1329" s="3" t="s">
        <v>40</v>
      </c>
      <c r="U1329" s="3"/>
      <c r="V1329" s="3" t="s">
        <v>41</v>
      </c>
      <c r="W1329" s="5">
        <v>3828.02</v>
      </c>
      <c r="X1329" s="5">
        <v>2871.02</v>
      </c>
      <c r="Y1329" s="3">
        <v>669.9</v>
      </c>
      <c r="Z1329" s="3">
        <v>287.10000000000002</v>
      </c>
      <c r="AA1329" s="3">
        <v>0</v>
      </c>
    </row>
    <row r="1330" spans="1:27" ht="60.75" x14ac:dyDescent="0.25">
      <c r="A1330" s="3" t="s">
        <v>28</v>
      </c>
      <c r="B1330" s="3" t="s">
        <v>29</v>
      </c>
      <c r="C1330" s="3" t="s">
        <v>30</v>
      </c>
      <c r="D1330" s="3" t="s">
        <v>49</v>
      </c>
      <c r="E1330" s="3" t="s">
        <v>32</v>
      </c>
      <c r="F1330" s="3" t="s">
        <v>71</v>
      </c>
      <c r="G1330" s="3">
        <v>2025</v>
      </c>
      <c r="H1330" s="3" t="str">
        <f>CONCATENATE("54240521309")</f>
        <v>54240521309</v>
      </c>
      <c r="I1330" s="3" t="s">
        <v>34</v>
      </c>
      <c r="J1330" s="3" t="s">
        <v>35</v>
      </c>
      <c r="K1330" s="3"/>
      <c r="L1330" s="3" t="s">
        <v>36</v>
      </c>
      <c r="M1330" s="3" t="str">
        <f>CONCATENATE("GCNGLN63R46H876X")</f>
        <v>GCNGLN63R46H876X</v>
      </c>
      <c r="N1330" s="3" t="s">
        <v>1458</v>
      </c>
      <c r="O1330" s="3" t="s">
        <v>38</v>
      </c>
      <c r="P1330" s="3"/>
      <c r="Q1330" s="4">
        <v>45944</v>
      </c>
      <c r="R1330" s="3" t="s">
        <v>39</v>
      </c>
      <c r="S1330" s="3" t="s">
        <v>38</v>
      </c>
      <c r="T1330" s="3" t="s">
        <v>40</v>
      </c>
      <c r="U1330" s="3"/>
      <c r="V1330" s="3" t="s">
        <v>41</v>
      </c>
      <c r="W1330" s="5">
        <v>3482.4</v>
      </c>
      <c r="X1330" s="5">
        <v>2611.8000000000002</v>
      </c>
      <c r="Y1330" s="3">
        <v>609.41999999999996</v>
      </c>
      <c r="Z1330" s="3">
        <v>261.18</v>
      </c>
      <c r="AA1330" s="3">
        <v>0</v>
      </c>
    </row>
    <row r="1331" spans="1:27" ht="36.75" x14ac:dyDescent="0.25">
      <c r="A1331" s="3" t="s">
        <v>28</v>
      </c>
      <c r="B1331" s="3" t="s">
        <v>29</v>
      </c>
      <c r="C1331" s="3" t="s">
        <v>30</v>
      </c>
      <c r="D1331" s="3" t="s">
        <v>49</v>
      </c>
      <c r="E1331" s="3" t="s">
        <v>53</v>
      </c>
      <c r="F1331" s="3" t="s">
        <v>136</v>
      </c>
      <c r="G1331" s="3">
        <v>2025</v>
      </c>
      <c r="H1331" s="3" t="str">
        <f>CONCATENATE("54240521416")</f>
        <v>54240521416</v>
      </c>
      <c r="I1331" s="3" t="s">
        <v>34</v>
      </c>
      <c r="J1331" s="3" t="s">
        <v>35</v>
      </c>
      <c r="K1331" s="3"/>
      <c r="L1331" s="3" t="s">
        <v>36</v>
      </c>
      <c r="M1331" s="3" t="str">
        <f>CONCATENATE("02070750431")</f>
        <v>02070750431</v>
      </c>
      <c r="N1331" s="3" t="s">
        <v>1459</v>
      </c>
      <c r="O1331" s="3" t="s">
        <v>38</v>
      </c>
      <c r="P1331" s="3"/>
      <c r="Q1331" s="4">
        <v>45944</v>
      </c>
      <c r="R1331" s="3" t="s">
        <v>39</v>
      </c>
      <c r="S1331" s="3" t="s">
        <v>38</v>
      </c>
      <c r="T1331" s="3" t="s">
        <v>40</v>
      </c>
      <c r="U1331" s="3"/>
      <c r="V1331" s="3" t="s">
        <v>41</v>
      </c>
      <c r="W1331" s="5">
        <v>6368.71</v>
      </c>
      <c r="X1331" s="5">
        <v>4776.53</v>
      </c>
      <c r="Y1331" s="5">
        <v>1114.52</v>
      </c>
      <c r="Z1331" s="3">
        <v>477.66</v>
      </c>
      <c r="AA1331" s="3">
        <v>0</v>
      </c>
    </row>
    <row r="1332" spans="1:27" ht="60.75" x14ac:dyDescent="0.25">
      <c r="A1332" s="3" t="s">
        <v>28</v>
      </c>
      <c r="B1332" s="3" t="s">
        <v>29</v>
      </c>
      <c r="C1332" s="3" t="s">
        <v>30</v>
      </c>
      <c r="D1332" s="3" t="s">
        <v>58</v>
      </c>
      <c r="E1332" s="3" t="s">
        <v>53</v>
      </c>
      <c r="F1332" s="3" t="s">
        <v>426</v>
      </c>
      <c r="G1332" s="3">
        <v>2025</v>
      </c>
      <c r="H1332" s="3" t="str">
        <f>CONCATENATE("54240521457")</f>
        <v>54240521457</v>
      </c>
      <c r="I1332" s="3" t="s">
        <v>34</v>
      </c>
      <c r="J1332" s="3" t="s">
        <v>35</v>
      </c>
      <c r="K1332" s="3"/>
      <c r="L1332" s="3" t="s">
        <v>36</v>
      </c>
      <c r="M1332" s="3" t="str">
        <f>CONCATENATE("BRBBRC90P70I608Y")</f>
        <v>BRBBRC90P70I608Y</v>
      </c>
      <c r="N1332" s="3" t="s">
        <v>1460</v>
      </c>
      <c r="O1332" s="3" t="s">
        <v>38</v>
      </c>
      <c r="P1332" s="3"/>
      <c r="Q1332" s="4">
        <v>45944</v>
      </c>
      <c r="R1332" s="3" t="s">
        <v>39</v>
      </c>
      <c r="S1332" s="3" t="s">
        <v>38</v>
      </c>
      <c r="T1332" s="3" t="s">
        <v>40</v>
      </c>
      <c r="U1332" s="3"/>
      <c r="V1332" s="3" t="s">
        <v>41</v>
      </c>
      <c r="W1332" s="3">
        <v>855.39</v>
      </c>
      <c r="X1332" s="3">
        <v>641.54</v>
      </c>
      <c r="Y1332" s="3">
        <v>149.69</v>
      </c>
      <c r="Z1332" s="3">
        <v>64.16</v>
      </c>
      <c r="AA1332" s="3">
        <v>0</v>
      </c>
    </row>
    <row r="1333" spans="1:27" ht="36.75" x14ac:dyDescent="0.25">
      <c r="A1333" s="3" t="s">
        <v>28</v>
      </c>
      <c r="B1333" s="3" t="s">
        <v>29</v>
      </c>
      <c r="C1333" s="3" t="s">
        <v>30</v>
      </c>
      <c r="D1333" s="3" t="s">
        <v>31</v>
      </c>
      <c r="E1333" s="3" t="s">
        <v>53</v>
      </c>
      <c r="F1333" s="3" t="s">
        <v>414</v>
      </c>
      <c r="G1333" s="3">
        <v>2025</v>
      </c>
      <c r="H1333" s="3" t="str">
        <f>CONCATENATE("54240521705")</f>
        <v>54240521705</v>
      </c>
      <c r="I1333" s="3" t="s">
        <v>34</v>
      </c>
      <c r="J1333" s="3" t="s">
        <v>35</v>
      </c>
      <c r="K1333" s="3"/>
      <c r="L1333" s="3" t="s">
        <v>36</v>
      </c>
      <c r="M1333" s="3" t="str">
        <f>CONCATENATE("02375940414")</f>
        <v>02375940414</v>
      </c>
      <c r="N1333" s="3" t="s">
        <v>1461</v>
      </c>
      <c r="O1333" s="3" t="s">
        <v>38</v>
      </c>
      <c r="P1333" s="3"/>
      <c r="Q1333" s="4">
        <v>45944</v>
      </c>
      <c r="R1333" s="3" t="s">
        <v>39</v>
      </c>
      <c r="S1333" s="3" t="s">
        <v>38</v>
      </c>
      <c r="T1333" s="3" t="s">
        <v>40</v>
      </c>
      <c r="U1333" s="3"/>
      <c r="V1333" s="3" t="s">
        <v>41</v>
      </c>
      <c r="W1333" s="5">
        <v>2051.17</v>
      </c>
      <c r="X1333" s="5">
        <v>1538.38</v>
      </c>
      <c r="Y1333" s="3">
        <v>358.95</v>
      </c>
      <c r="Z1333" s="3">
        <v>153.84</v>
      </c>
      <c r="AA1333" s="3">
        <v>0</v>
      </c>
    </row>
    <row r="1334" spans="1:27" ht="60.75" x14ac:dyDescent="0.25">
      <c r="A1334" s="3" t="s">
        <v>28</v>
      </c>
      <c r="B1334" s="3" t="s">
        <v>29</v>
      </c>
      <c r="C1334" s="3" t="s">
        <v>30</v>
      </c>
      <c r="D1334" s="3" t="s">
        <v>58</v>
      </c>
      <c r="E1334" s="3" t="s">
        <v>53</v>
      </c>
      <c r="F1334" s="3" t="s">
        <v>426</v>
      </c>
      <c r="G1334" s="3">
        <v>2025</v>
      </c>
      <c r="H1334" s="3" t="str">
        <f>CONCATENATE("54240521697")</f>
        <v>54240521697</v>
      </c>
      <c r="I1334" s="3" t="s">
        <v>149</v>
      </c>
      <c r="J1334" s="3" t="s">
        <v>35</v>
      </c>
      <c r="K1334" s="3"/>
      <c r="L1334" s="3" t="s">
        <v>36</v>
      </c>
      <c r="M1334" s="3" t="str">
        <f>CONCATENATE("BLLSRA88L48C615W")</f>
        <v>BLLSRA88L48C615W</v>
      </c>
      <c r="N1334" s="3" t="s">
        <v>1462</v>
      </c>
      <c r="O1334" s="3" t="s">
        <v>38</v>
      </c>
      <c r="P1334" s="3"/>
      <c r="Q1334" s="4">
        <v>45944</v>
      </c>
      <c r="R1334" s="3" t="s">
        <v>39</v>
      </c>
      <c r="S1334" s="3" t="s">
        <v>38</v>
      </c>
      <c r="T1334" s="3" t="s">
        <v>40</v>
      </c>
      <c r="U1334" s="3"/>
      <c r="V1334" s="3" t="s">
        <v>41</v>
      </c>
      <c r="W1334" s="5">
        <v>2244.08</v>
      </c>
      <c r="X1334" s="5">
        <v>1683.06</v>
      </c>
      <c r="Y1334" s="3">
        <v>392.71</v>
      </c>
      <c r="Z1334" s="3">
        <v>168.31</v>
      </c>
      <c r="AA1334" s="3">
        <v>0</v>
      </c>
    </row>
    <row r="1335" spans="1:27" ht="60.75" x14ac:dyDescent="0.25">
      <c r="A1335" s="3" t="s">
        <v>28</v>
      </c>
      <c r="B1335" s="3" t="s">
        <v>29</v>
      </c>
      <c r="C1335" s="3" t="s">
        <v>30</v>
      </c>
      <c r="D1335" s="3" t="s">
        <v>31</v>
      </c>
      <c r="E1335" s="3" t="s">
        <v>32</v>
      </c>
      <c r="F1335" s="3" t="s">
        <v>44</v>
      </c>
      <c r="G1335" s="3">
        <v>2025</v>
      </c>
      <c r="H1335" s="3" t="str">
        <f>CONCATENATE("54240559689")</f>
        <v>54240559689</v>
      </c>
      <c r="I1335" s="3" t="s">
        <v>34</v>
      </c>
      <c r="J1335" s="3" t="s">
        <v>35</v>
      </c>
      <c r="K1335" s="3"/>
      <c r="L1335" s="3" t="s">
        <v>36</v>
      </c>
      <c r="M1335" s="3" t="str">
        <f>CONCATENATE("BEIMTT88R07A271C")</f>
        <v>BEIMTT88R07A271C</v>
      </c>
      <c r="N1335" s="3" t="s">
        <v>1463</v>
      </c>
      <c r="O1335" s="3" t="s">
        <v>38</v>
      </c>
      <c r="P1335" s="3"/>
      <c r="Q1335" s="4">
        <v>45944</v>
      </c>
      <c r="R1335" s="3" t="s">
        <v>39</v>
      </c>
      <c r="S1335" s="3" t="s">
        <v>38</v>
      </c>
      <c r="T1335" s="3" t="s">
        <v>40</v>
      </c>
      <c r="U1335" s="3"/>
      <c r="V1335" s="3" t="s">
        <v>41</v>
      </c>
      <c r="W1335" s="5">
        <v>1730.88</v>
      </c>
      <c r="X1335" s="5">
        <v>1298.1600000000001</v>
      </c>
      <c r="Y1335" s="3">
        <v>302.89999999999998</v>
      </c>
      <c r="Z1335" s="3">
        <v>129.82</v>
      </c>
      <c r="AA1335" s="3">
        <v>0</v>
      </c>
    </row>
    <row r="1336" spans="1:27" ht="60.75" x14ac:dyDescent="0.25">
      <c r="A1336" s="3" t="s">
        <v>28</v>
      </c>
      <c r="B1336" s="3" t="s">
        <v>29</v>
      </c>
      <c r="C1336" s="3" t="s">
        <v>30</v>
      </c>
      <c r="D1336" s="3" t="s">
        <v>63</v>
      </c>
      <c r="E1336" s="3" t="s">
        <v>32</v>
      </c>
      <c r="F1336" s="3" t="s">
        <v>243</v>
      </c>
      <c r="G1336" s="3">
        <v>2025</v>
      </c>
      <c r="H1336" s="3" t="str">
        <f>CONCATENATE("54240522802")</f>
        <v>54240522802</v>
      </c>
      <c r="I1336" s="3" t="s">
        <v>34</v>
      </c>
      <c r="J1336" s="3" t="s">
        <v>35</v>
      </c>
      <c r="K1336" s="3"/>
      <c r="L1336" s="3" t="s">
        <v>36</v>
      </c>
      <c r="M1336" s="3" t="str">
        <f>CONCATENATE("FNTMTT80R20D542K")</f>
        <v>FNTMTT80R20D542K</v>
      </c>
      <c r="N1336" s="3" t="s">
        <v>1464</v>
      </c>
      <c r="O1336" s="3" t="s">
        <v>38</v>
      </c>
      <c r="P1336" s="3"/>
      <c r="Q1336" s="4">
        <v>45944</v>
      </c>
      <c r="R1336" s="3" t="s">
        <v>39</v>
      </c>
      <c r="S1336" s="3" t="s">
        <v>38</v>
      </c>
      <c r="T1336" s="3" t="s">
        <v>40</v>
      </c>
      <c r="U1336" s="3"/>
      <c r="V1336" s="3" t="s">
        <v>41</v>
      </c>
      <c r="W1336" s="3">
        <v>797.02</v>
      </c>
      <c r="X1336" s="3">
        <v>597.77</v>
      </c>
      <c r="Y1336" s="3">
        <v>139.47999999999999</v>
      </c>
      <c r="Z1336" s="3">
        <v>59.77</v>
      </c>
      <c r="AA1336" s="3">
        <v>0</v>
      </c>
    </row>
    <row r="1337" spans="1:27" ht="60.75" x14ac:dyDescent="0.25">
      <c r="A1337" s="3" t="s">
        <v>28</v>
      </c>
      <c r="B1337" s="3" t="s">
        <v>29</v>
      </c>
      <c r="C1337" s="3" t="s">
        <v>30</v>
      </c>
      <c r="D1337" s="3" t="s">
        <v>49</v>
      </c>
      <c r="E1337" s="3" t="s">
        <v>91</v>
      </c>
      <c r="F1337" s="3" t="s">
        <v>92</v>
      </c>
      <c r="G1337" s="3">
        <v>2025</v>
      </c>
      <c r="H1337" s="3" t="str">
        <f>CONCATENATE("54240522489")</f>
        <v>54240522489</v>
      </c>
      <c r="I1337" s="3" t="s">
        <v>34</v>
      </c>
      <c r="J1337" s="3" t="s">
        <v>35</v>
      </c>
      <c r="K1337" s="3"/>
      <c r="L1337" s="3" t="s">
        <v>36</v>
      </c>
      <c r="M1337" s="3" t="str">
        <f>CONCATENATE("GRDDNL55S16H211C")</f>
        <v>GRDDNL55S16H211C</v>
      </c>
      <c r="N1337" s="3" t="s">
        <v>1465</v>
      </c>
      <c r="O1337" s="3" t="s">
        <v>38</v>
      </c>
      <c r="P1337" s="3"/>
      <c r="Q1337" s="4">
        <v>45944</v>
      </c>
      <c r="R1337" s="3" t="s">
        <v>39</v>
      </c>
      <c r="S1337" s="3" t="s">
        <v>38</v>
      </c>
      <c r="T1337" s="3" t="s">
        <v>40</v>
      </c>
      <c r="U1337" s="3"/>
      <c r="V1337" s="3" t="s">
        <v>41</v>
      </c>
      <c r="W1337" s="3">
        <v>905.58</v>
      </c>
      <c r="X1337" s="3">
        <v>679.19</v>
      </c>
      <c r="Y1337" s="3">
        <v>158.47999999999999</v>
      </c>
      <c r="Z1337" s="3">
        <v>67.91</v>
      </c>
      <c r="AA1337" s="3">
        <v>0</v>
      </c>
    </row>
    <row r="1338" spans="1:27" ht="60.75" x14ac:dyDescent="0.25">
      <c r="A1338" s="3" t="s">
        <v>28</v>
      </c>
      <c r="B1338" s="3" t="s">
        <v>29</v>
      </c>
      <c r="C1338" s="3" t="s">
        <v>30</v>
      </c>
      <c r="D1338" s="3" t="s">
        <v>49</v>
      </c>
      <c r="E1338" s="3" t="s">
        <v>46</v>
      </c>
      <c r="F1338" s="3" t="s">
        <v>126</v>
      </c>
      <c r="G1338" s="3">
        <v>2025</v>
      </c>
      <c r="H1338" s="3" t="str">
        <f>CONCATENATE("54240524618")</f>
        <v>54240524618</v>
      </c>
      <c r="I1338" s="3" t="s">
        <v>34</v>
      </c>
      <c r="J1338" s="3" t="s">
        <v>35</v>
      </c>
      <c r="K1338" s="3"/>
      <c r="L1338" s="3" t="s">
        <v>36</v>
      </c>
      <c r="M1338" s="3" t="str">
        <f>CONCATENATE("NGLSMN77R29B474E")</f>
        <v>NGLSMN77R29B474E</v>
      </c>
      <c r="N1338" s="3" t="s">
        <v>1466</v>
      </c>
      <c r="O1338" s="3" t="s">
        <v>38</v>
      </c>
      <c r="P1338" s="3"/>
      <c r="Q1338" s="4">
        <v>45944</v>
      </c>
      <c r="R1338" s="3" t="s">
        <v>39</v>
      </c>
      <c r="S1338" s="3" t="s">
        <v>38</v>
      </c>
      <c r="T1338" s="3" t="s">
        <v>40</v>
      </c>
      <c r="U1338" s="3"/>
      <c r="V1338" s="3" t="s">
        <v>41</v>
      </c>
      <c r="W1338" s="5">
        <v>13449.8</v>
      </c>
      <c r="X1338" s="5">
        <v>10087.35</v>
      </c>
      <c r="Y1338" s="5">
        <v>2353.7199999999998</v>
      </c>
      <c r="Z1338" s="5">
        <v>1008.73</v>
      </c>
      <c r="AA1338" s="3">
        <v>0</v>
      </c>
    </row>
    <row r="1339" spans="1:27" ht="60.75" x14ac:dyDescent="0.25">
      <c r="A1339" s="3" t="s">
        <v>28</v>
      </c>
      <c r="B1339" s="3" t="s">
        <v>29</v>
      </c>
      <c r="C1339" s="3" t="s">
        <v>30</v>
      </c>
      <c r="D1339" s="3" t="s">
        <v>58</v>
      </c>
      <c r="E1339" s="3" t="s">
        <v>53</v>
      </c>
      <c r="F1339" s="3" t="s">
        <v>426</v>
      </c>
      <c r="G1339" s="3">
        <v>2025</v>
      </c>
      <c r="H1339" s="3" t="str">
        <f>CONCATENATE("54240525920")</f>
        <v>54240525920</v>
      </c>
      <c r="I1339" s="3" t="s">
        <v>34</v>
      </c>
      <c r="J1339" s="3" t="s">
        <v>35</v>
      </c>
      <c r="K1339" s="3"/>
      <c r="L1339" s="3" t="s">
        <v>36</v>
      </c>
      <c r="M1339" s="3" t="str">
        <f>CONCATENATE("BRDMRZ50R08F581F")</f>
        <v>BRDMRZ50R08F581F</v>
      </c>
      <c r="N1339" s="3" t="s">
        <v>1467</v>
      </c>
      <c r="O1339" s="3" t="s">
        <v>38</v>
      </c>
      <c r="P1339" s="3"/>
      <c r="Q1339" s="4">
        <v>45944</v>
      </c>
      <c r="R1339" s="3" t="s">
        <v>39</v>
      </c>
      <c r="S1339" s="3" t="s">
        <v>38</v>
      </c>
      <c r="T1339" s="3" t="s">
        <v>40</v>
      </c>
      <c r="U1339" s="3"/>
      <c r="V1339" s="3" t="s">
        <v>41</v>
      </c>
      <c r="W1339" s="3">
        <v>777.43</v>
      </c>
      <c r="X1339" s="3">
        <v>583.07000000000005</v>
      </c>
      <c r="Y1339" s="3">
        <v>136.05000000000001</v>
      </c>
      <c r="Z1339" s="3">
        <v>58.31</v>
      </c>
      <c r="AA1339" s="3">
        <v>0</v>
      </c>
    </row>
    <row r="1340" spans="1:27" ht="60.75" x14ac:dyDescent="0.25">
      <c r="A1340" s="3" t="s">
        <v>28</v>
      </c>
      <c r="B1340" s="3" t="s">
        <v>29</v>
      </c>
      <c r="C1340" s="3" t="s">
        <v>30</v>
      </c>
      <c r="D1340" s="3" t="s">
        <v>49</v>
      </c>
      <c r="E1340" s="3" t="s">
        <v>46</v>
      </c>
      <c r="F1340" s="3" t="s">
        <v>1281</v>
      </c>
      <c r="G1340" s="3">
        <v>2025</v>
      </c>
      <c r="H1340" s="3" t="str">
        <f>CONCATENATE("54240523008")</f>
        <v>54240523008</v>
      </c>
      <c r="I1340" s="3" t="s">
        <v>34</v>
      </c>
      <c r="J1340" s="3" t="s">
        <v>35</v>
      </c>
      <c r="K1340" s="3"/>
      <c r="L1340" s="3" t="s">
        <v>36</v>
      </c>
      <c r="M1340" s="3" t="str">
        <f>CONCATENATE("SLVNLO61R54F567N")</f>
        <v>SLVNLO61R54F567N</v>
      </c>
      <c r="N1340" s="3" t="s">
        <v>1468</v>
      </c>
      <c r="O1340" s="3" t="s">
        <v>38</v>
      </c>
      <c r="P1340" s="3"/>
      <c r="Q1340" s="4">
        <v>45944</v>
      </c>
      <c r="R1340" s="3" t="s">
        <v>39</v>
      </c>
      <c r="S1340" s="3" t="s">
        <v>38</v>
      </c>
      <c r="T1340" s="3" t="s">
        <v>40</v>
      </c>
      <c r="U1340" s="3"/>
      <c r="V1340" s="3" t="s">
        <v>41</v>
      </c>
      <c r="W1340" s="5">
        <v>1092.96</v>
      </c>
      <c r="X1340" s="3">
        <v>819.72</v>
      </c>
      <c r="Y1340" s="3">
        <v>191.27</v>
      </c>
      <c r="Z1340" s="3">
        <v>81.97</v>
      </c>
      <c r="AA1340" s="3">
        <v>0</v>
      </c>
    </row>
    <row r="1341" spans="1:27" ht="60.75" x14ac:dyDescent="0.25">
      <c r="A1341" s="3" t="s">
        <v>28</v>
      </c>
      <c r="B1341" s="3" t="s">
        <v>29</v>
      </c>
      <c r="C1341" s="3" t="s">
        <v>30</v>
      </c>
      <c r="D1341" s="3" t="s">
        <v>58</v>
      </c>
      <c r="E1341" s="3" t="s">
        <v>32</v>
      </c>
      <c r="F1341" s="3" t="s">
        <v>96</v>
      </c>
      <c r="G1341" s="3">
        <v>2025</v>
      </c>
      <c r="H1341" s="3" t="str">
        <f>CONCATENATE("54240527033")</f>
        <v>54240527033</v>
      </c>
      <c r="I1341" s="3" t="s">
        <v>34</v>
      </c>
      <c r="J1341" s="3" t="s">
        <v>35</v>
      </c>
      <c r="K1341" s="3"/>
      <c r="L1341" s="3" t="s">
        <v>36</v>
      </c>
      <c r="M1341" s="3" t="str">
        <f>CONCATENATE("DNGPTR96P12E230A")</f>
        <v>DNGPTR96P12E230A</v>
      </c>
      <c r="N1341" s="3" t="s">
        <v>1469</v>
      </c>
      <c r="O1341" s="3" t="s">
        <v>38</v>
      </c>
      <c r="P1341" s="3"/>
      <c r="Q1341" s="4">
        <v>45944</v>
      </c>
      <c r="R1341" s="3" t="s">
        <v>39</v>
      </c>
      <c r="S1341" s="3" t="s">
        <v>38</v>
      </c>
      <c r="T1341" s="3" t="s">
        <v>40</v>
      </c>
      <c r="U1341" s="3"/>
      <c r="V1341" s="3" t="s">
        <v>41</v>
      </c>
      <c r="W1341" s="5">
        <v>5535.07</v>
      </c>
      <c r="X1341" s="5">
        <v>4151.3</v>
      </c>
      <c r="Y1341" s="3">
        <v>968.64</v>
      </c>
      <c r="Z1341" s="3">
        <v>415.13</v>
      </c>
      <c r="AA1341" s="3">
        <v>0</v>
      </c>
    </row>
    <row r="1342" spans="1:27" ht="60.75" x14ac:dyDescent="0.25">
      <c r="A1342" s="3" t="s">
        <v>28</v>
      </c>
      <c r="B1342" s="3" t="s">
        <v>29</v>
      </c>
      <c r="C1342" s="3" t="s">
        <v>30</v>
      </c>
      <c r="D1342" s="3" t="s">
        <v>49</v>
      </c>
      <c r="E1342" s="3" t="s">
        <v>53</v>
      </c>
      <c r="F1342" s="3" t="s">
        <v>136</v>
      </c>
      <c r="G1342" s="3">
        <v>2025</v>
      </c>
      <c r="H1342" s="3" t="str">
        <f>CONCATENATE("54240523263")</f>
        <v>54240523263</v>
      </c>
      <c r="I1342" s="3" t="s">
        <v>34</v>
      </c>
      <c r="J1342" s="3" t="s">
        <v>35</v>
      </c>
      <c r="K1342" s="3"/>
      <c r="L1342" s="3" t="s">
        <v>36</v>
      </c>
      <c r="M1342" s="3" t="str">
        <f>CONCATENATE("MRVSRA68P09E783Y")</f>
        <v>MRVSRA68P09E783Y</v>
      </c>
      <c r="N1342" s="3" t="s">
        <v>1470</v>
      </c>
      <c r="O1342" s="3" t="s">
        <v>38</v>
      </c>
      <c r="P1342" s="3"/>
      <c r="Q1342" s="4">
        <v>45944</v>
      </c>
      <c r="R1342" s="3" t="s">
        <v>39</v>
      </c>
      <c r="S1342" s="3" t="s">
        <v>38</v>
      </c>
      <c r="T1342" s="3" t="s">
        <v>40</v>
      </c>
      <c r="U1342" s="3"/>
      <c r="V1342" s="3" t="s">
        <v>41</v>
      </c>
      <c r="W1342" s="5">
        <v>8427.2000000000007</v>
      </c>
      <c r="X1342" s="5">
        <v>6320.4</v>
      </c>
      <c r="Y1342" s="5">
        <v>1474.76</v>
      </c>
      <c r="Z1342" s="3">
        <v>632.04</v>
      </c>
      <c r="AA1342" s="3">
        <v>0</v>
      </c>
    </row>
    <row r="1343" spans="1:27" ht="72.75" x14ac:dyDescent="0.25">
      <c r="A1343" s="3" t="s">
        <v>28</v>
      </c>
      <c r="B1343" s="3" t="s">
        <v>29</v>
      </c>
      <c r="C1343" s="3" t="s">
        <v>30</v>
      </c>
      <c r="D1343" s="3" t="s">
        <v>31</v>
      </c>
      <c r="E1343" s="3" t="s">
        <v>53</v>
      </c>
      <c r="F1343" s="3" t="s">
        <v>54</v>
      </c>
      <c r="G1343" s="3">
        <v>2025</v>
      </c>
      <c r="H1343" s="3" t="str">
        <f>CONCATENATE("54240523321")</f>
        <v>54240523321</v>
      </c>
      <c r="I1343" s="3" t="s">
        <v>34</v>
      </c>
      <c r="J1343" s="3" t="s">
        <v>35</v>
      </c>
      <c r="K1343" s="3"/>
      <c r="L1343" s="3" t="s">
        <v>36</v>
      </c>
      <c r="M1343" s="3" t="str">
        <f>CONCATENATE("RNCTZN56R44B816B")</f>
        <v>RNCTZN56R44B816B</v>
      </c>
      <c r="N1343" s="3" t="s">
        <v>1471</v>
      </c>
      <c r="O1343" s="3" t="s">
        <v>38</v>
      </c>
      <c r="P1343" s="3"/>
      <c r="Q1343" s="4">
        <v>45944</v>
      </c>
      <c r="R1343" s="3" t="s">
        <v>39</v>
      </c>
      <c r="S1343" s="3" t="s">
        <v>38</v>
      </c>
      <c r="T1343" s="3" t="s">
        <v>40</v>
      </c>
      <c r="U1343" s="3"/>
      <c r="V1343" s="3" t="s">
        <v>41</v>
      </c>
      <c r="W1343" s="5">
        <v>6784.05</v>
      </c>
      <c r="X1343" s="5">
        <v>5088.04</v>
      </c>
      <c r="Y1343" s="5">
        <v>1187.21</v>
      </c>
      <c r="Z1343" s="3">
        <v>508.8</v>
      </c>
      <c r="AA1343" s="3">
        <v>0</v>
      </c>
    </row>
    <row r="1344" spans="1:27" ht="60.75" x14ac:dyDescent="0.25">
      <c r="A1344" s="3" t="s">
        <v>28</v>
      </c>
      <c r="B1344" s="3" t="s">
        <v>29</v>
      </c>
      <c r="C1344" s="3" t="s">
        <v>30</v>
      </c>
      <c r="D1344" s="3" t="s">
        <v>63</v>
      </c>
      <c r="E1344" s="3" t="s">
        <v>53</v>
      </c>
      <c r="F1344" s="3" t="s">
        <v>80</v>
      </c>
      <c r="G1344" s="3">
        <v>2025</v>
      </c>
      <c r="H1344" s="3" t="str">
        <f>CONCATENATE("54240523370")</f>
        <v>54240523370</v>
      </c>
      <c r="I1344" s="3" t="s">
        <v>34</v>
      </c>
      <c r="J1344" s="3" t="s">
        <v>35</v>
      </c>
      <c r="K1344" s="3"/>
      <c r="L1344" s="3" t="s">
        <v>36</v>
      </c>
      <c r="M1344" s="3" t="str">
        <f>CONCATENATE("MRZCST82B10H769J")</f>
        <v>MRZCST82B10H769J</v>
      </c>
      <c r="N1344" s="3" t="s">
        <v>1472</v>
      </c>
      <c r="O1344" s="3" t="s">
        <v>38</v>
      </c>
      <c r="P1344" s="3"/>
      <c r="Q1344" s="4">
        <v>45944</v>
      </c>
      <c r="R1344" s="3" t="s">
        <v>39</v>
      </c>
      <c r="S1344" s="3" t="s">
        <v>38</v>
      </c>
      <c r="T1344" s="3" t="s">
        <v>40</v>
      </c>
      <c r="U1344" s="3"/>
      <c r="V1344" s="3" t="s">
        <v>41</v>
      </c>
      <c r="W1344" s="3">
        <v>698.56</v>
      </c>
      <c r="X1344" s="3">
        <v>523.91999999999996</v>
      </c>
      <c r="Y1344" s="3">
        <v>122.25</v>
      </c>
      <c r="Z1344" s="3">
        <v>52.39</v>
      </c>
      <c r="AA1344" s="3">
        <v>0</v>
      </c>
    </row>
    <row r="1345" spans="1:27" ht="60.75" x14ac:dyDescent="0.25">
      <c r="A1345" s="3" t="s">
        <v>28</v>
      </c>
      <c r="B1345" s="3" t="s">
        <v>29</v>
      </c>
      <c r="C1345" s="3" t="s">
        <v>30</v>
      </c>
      <c r="D1345" s="3" t="s">
        <v>58</v>
      </c>
      <c r="E1345" s="3" t="s">
        <v>53</v>
      </c>
      <c r="F1345" s="3" t="s">
        <v>123</v>
      </c>
      <c r="G1345" s="3">
        <v>2025</v>
      </c>
      <c r="H1345" s="3" t="str">
        <f>CONCATENATE("54240524246")</f>
        <v>54240524246</v>
      </c>
      <c r="I1345" s="3" t="s">
        <v>34</v>
      </c>
      <c r="J1345" s="3" t="s">
        <v>35</v>
      </c>
      <c r="K1345" s="3"/>
      <c r="L1345" s="3" t="s">
        <v>36</v>
      </c>
      <c r="M1345" s="3" t="str">
        <f>CONCATENATE("MSCVNT89S58C615O")</f>
        <v>MSCVNT89S58C615O</v>
      </c>
      <c r="N1345" s="3" t="s">
        <v>1473</v>
      </c>
      <c r="O1345" s="3" t="s">
        <v>38</v>
      </c>
      <c r="P1345" s="3"/>
      <c r="Q1345" s="4">
        <v>45944</v>
      </c>
      <c r="R1345" s="3" t="s">
        <v>39</v>
      </c>
      <c r="S1345" s="3" t="s">
        <v>38</v>
      </c>
      <c r="T1345" s="3" t="s">
        <v>40</v>
      </c>
      <c r="U1345" s="3"/>
      <c r="V1345" s="3" t="s">
        <v>41</v>
      </c>
      <c r="W1345" s="5">
        <v>2505.2600000000002</v>
      </c>
      <c r="X1345" s="5">
        <v>1878.95</v>
      </c>
      <c r="Y1345" s="3">
        <v>438.42</v>
      </c>
      <c r="Z1345" s="3">
        <v>187.89</v>
      </c>
      <c r="AA1345" s="3">
        <v>0</v>
      </c>
    </row>
    <row r="1346" spans="1:27" ht="60.75" x14ac:dyDescent="0.25">
      <c r="A1346" s="3" t="s">
        <v>28</v>
      </c>
      <c r="B1346" s="3" t="s">
        <v>29</v>
      </c>
      <c r="C1346" s="3" t="s">
        <v>30</v>
      </c>
      <c r="D1346" s="3" t="s">
        <v>63</v>
      </c>
      <c r="E1346" s="3" t="s">
        <v>145</v>
      </c>
      <c r="F1346" s="3" t="s">
        <v>260</v>
      </c>
      <c r="G1346" s="3">
        <v>2025</v>
      </c>
      <c r="H1346" s="3" t="str">
        <f>CONCATENATE("54240524535")</f>
        <v>54240524535</v>
      </c>
      <c r="I1346" s="3" t="s">
        <v>149</v>
      </c>
      <c r="J1346" s="3" t="s">
        <v>35</v>
      </c>
      <c r="K1346" s="3"/>
      <c r="L1346" s="3" t="s">
        <v>36</v>
      </c>
      <c r="M1346" s="3" t="str">
        <f>CONCATENATE("TMSLCU88S24D542T")</f>
        <v>TMSLCU88S24D542T</v>
      </c>
      <c r="N1346" s="3" t="s">
        <v>1474</v>
      </c>
      <c r="O1346" s="3" t="s">
        <v>38</v>
      </c>
      <c r="P1346" s="3"/>
      <c r="Q1346" s="4">
        <v>45944</v>
      </c>
      <c r="R1346" s="3" t="s">
        <v>39</v>
      </c>
      <c r="S1346" s="3" t="s">
        <v>38</v>
      </c>
      <c r="T1346" s="3" t="s">
        <v>40</v>
      </c>
      <c r="U1346" s="3"/>
      <c r="V1346" s="3" t="s">
        <v>41</v>
      </c>
      <c r="W1346" s="5">
        <v>5323.87</v>
      </c>
      <c r="X1346" s="5">
        <v>3992.9</v>
      </c>
      <c r="Y1346" s="3">
        <v>931.68</v>
      </c>
      <c r="Z1346" s="3">
        <v>399.29</v>
      </c>
      <c r="AA1346" s="3">
        <v>0</v>
      </c>
    </row>
    <row r="1347" spans="1:27" ht="60.75" x14ac:dyDescent="0.25">
      <c r="A1347" s="3" t="s">
        <v>28</v>
      </c>
      <c r="B1347" s="3" t="s">
        <v>29</v>
      </c>
      <c r="C1347" s="3" t="s">
        <v>30</v>
      </c>
      <c r="D1347" s="3" t="s">
        <v>31</v>
      </c>
      <c r="E1347" s="3" t="s">
        <v>32</v>
      </c>
      <c r="F1347" s="3" t="s">
        <v>153</v>
      </c>
      <c r="G1347" s="3">
        <v>2025</v>
      </c>
      <c r="H1347" s="3" t="str">
        <f>CONCATENATE("54240524360")</f>
        <v>54240524360</v>
      </c>
      <c r="I1347" s="3" t="s">
        <v>34</v>
      </c>
      <c r="J1347" s="3" t="s">
        <v>35</v>
      </c>
      <c r="K1347" s="3"/>
      <c r="L1347" s="3" t="s">
        <v>36</v>
      </c>
      <c r="M1347" s="3" t="str">
        <f>CONCATENATE("RBRNNA04L47D488P")</f>
        <v>RBRNNA04L47D488P</v>
      </c>
      <c r="N1347" s="3" t="s">
        <v>1475</v>
      </c>
      <c r="O1347" s="3" t="s">
        <v>38</v>
      </c>
      <c r="P1347" s="3"/>
      <c r="Q1347" s="4">
        <v>45944</v>
      </c>
      <c r="R1347" s="3" t="s">
        <v>39</v>
      </c>
      <c r="S1347" s="3" t="s">
        <v>38</v>
      </c>
      <c r="T1347" s="3" t="s">
        <v>40</v>
      </c>
      <c r="U1347" s="3"/>
      <c r="V1347" s="3" t="s">
        <v>41</v>
      </c>
      <c r="W1347" s="5">
        <v>1407.23</v>
      </c>
      <c r="X1347" s="5">
        <v>1055.42</v>
      </c>
      <c r="Y1347" s="3">
        <v>246.27</v>
      </c>
      <c r="Z1347" s="3">
        <v>105.54</v>
      </c>
      <c r="AA1347" s="3">
        <v>0</v>
      </c>
    </row>
    <row r="1348" spans="1:27" ht="60.75" x14ac:dyDescent="0.25">
      <c r="A1348" s="3" t="s">
        <v>28</v>
      </c>
      <c r="B1348" s="3" t="s">
        <v>29</v>
      </c>
      <c r="C1348" s="3" t="s">
        <v>30</v>
      </c>
      <c r="D1348" s="3" t="s">
        <v>49</v>
      </c>
      <c r="E1348" s="3" t="s">
        <v>46</v>
      </c>
      <c r="F1348" s="3" t="s">
        <v>205</v>
      </c>
      <c r="G1348" s="3">
        <v>2025</v>
      </c>
      <c r="H1348" s="3" t="str">
        <f>CONCATENATE("54240524675")</f>
        <v>54240524675</v>
      </c>
      <c r="I1348" s="3" t="s">
        <v>34</v>
      </c>
      <c r="J1348" s="3" t="s">
        <v>35</v>
      </c>
      <c r="K1348" s="3"/>
      <c r="L1348" s="3" t="s">
        <v>36</v>
      </c>
      <c r="M1348" s="3" t="str">
        <f>CONCATENATE("CRDVNT76M18L191O")</f>
        <v>CRDVNT76M18L191O</v>
      </c>
      <c r="N1348" s="3" t="s">
        <v>1476</v>
      </c>
      <c r="O1348" s="3" t="s">
        <v>38</v>
      </c>
      <c r="P1348" s="3"/>
      <c r="Q1348" s="4">
        <v>45944</v>
      </c>
      <c r="R1348" s="3" t="s">
        <v>39</v>
      </c>
      <c r="S1348" s="3" t="s">
        <v>38</v>
      </c>
      <c r="T1348" s="3" t="s">
        <v>40</v>
      </c>
      <c r="U1348" s="3"/>
      <c r="V1348" s="3" t="s">
        <v>41</v>
      </c>
      <c r="W1348" s="5">
        <v>11163.92</v>
      </c>
      <c r="X1348" s="5">
        <v>8372.94</v>
      </c>
      <c r="Y1348" s="5">
        <v>1953.69</v>
      </c>
      <c r="Z1348" s="3">
        <v>837.29</v>
      </c>
      <c r="AA1348" s="3">
        <v>0</v>
      </c>
    </row>
    <row r="1349" spans="1:27" ht="60.75" x14ac:dyDescent="0.25">
      <c r="A1349" s="3" t="s">
        <v>28</v>
      </c>
      <c r="B1349" s="3" t="s">
        <v>29</v>
      </c>
      <c r="C1349" s="3" t="s">
        <v>30</v>
      </c>
      <c r="D1349" s="3" t="s">
        <v>31</v>
      </c>
      <c r="E1349" s="3" t="s">
        <v>32</v>
      </c>
      <c r="F1349" s="3" t="s">
        <v>44</v>
      </c>
      <c r="G1349" s="3">
        <v>2025</v>
      </c>
      <c r="H1349" s="3" t="str">
        <f>CONCATENATE("54240524790")</f>
        <v>54240524790</v>
      </c>
      <c r="I1349" s="3" t="s">
        <v>34</v>
      </c>
      <c r="J1349" s="3" t="s">
        <v>35</v>
      </c>
      <c r="K1349" s="3"/>
      <c r="L1349" s="3" t="s">
        <v>36</v>
      </c>
      <c r="M1349" s="3" t="str">
        <f>CONCATENATE("CPPMTT78H01B352Y")</f>
        <v>CPPMTT78H01B352Y</v>
      </c>
      <c r="N1349" s="3" t="s">
        <v>1477</v>
      </c>
      <c r="O1349" s="3" t="s">
        <v>38</v>
      </c>
      <c r="P1349" s="3"/>
      <c r="Q1349" s="4">
        <v>45944</v>
      </c>
      <c r="R1349" s="3" t="s">
        <v>39</v>
      </c>
      <c r="S1349" s="3" t="s">
        <v>38</v>
      </c>
      <c r="T1349" s="3" t="s">
        <v>40</v>
      </c>
      <c r="U1349" s="3"/>
      <c r="V1349" s="3" t="s">
        <v>41</v>
      </c>
      <c r="W1349" s="5">
        <v>1947.49</v>
      </c>
      <c r="X1349" s="5">
        <v>1460.62</v>
      </c>
      <c r="Y1349" s="3">
        <v>340.81</v>
      </c>
      <c r="Z1349" s="3">
        <v>146.06</v>
      </c>
      <c r="AA1349" s="3">
        <v>0</v>
      </c>
    </row>
    <row r="1350" spans="1:27" ht="36.75" x14ac:dyDescent="0.25">
      <c r="A1350" s="3" t="s">
        <v>28</v>
      </c>
      <c r="B1350" s="3" t="s">
        <v>29</v>
      </c>
      <c r="C1350" s="3" t="s">
        <v>30</v>
      </c>
      <c r="D1350" s="3" t="s">
        <v>49</v>
      </c>
      <c r="E1350" s="3" t="s">
        <v>53</v>
      </c>
      <c r="F1350" s="3" t="s">
        <v>136</v>
      </c>
      <c r="G1350" s="3">
        <v>2025</v>
      </c>
      <c r="H1350" s="3" t="str">
        <f>CONCATENATE("54240526316")</f>
        <v>54240526316</v>
      </c>
      <c r="I1350" s="3" t="s">
        <v>34</v>
      </c>
      <c r="J1350" s="3" t="s">
        <v>35</v>
      </c>
      <c r="K1350" s="3"/>
      <c r="L1350" s="3" t="s">
        <v>36</v>
      </c>
      <c r="M1350" s="3" t="str">
        <f>CONCATENATE("01931270431")</f>
        <v>01931270431</v>
      </c>
      <c r="N1350" s="3" t="s">
        <v>1478</v>
      </c>
      <c r="O1350" s="3" t="s">
        <v>38</v>
      </c>
      <c r="P1350" s="3"/>
      <c r="Q1350" s="4">
        <v>45944</v>
      </c>
      <c r="R1350" s="3" t="s">
        <v>39</v>
      </c>
      <c r="S1350" s="3" t="s">
        <v>38</v>
      </c>
      <c r="T1350" s="3" t="s">
        <v>40</v>
      </c>
      <c r="U1350" s="3"/>
      <c r="V1350" s="3" t="s">
        <v>41</v>
      </c>
      <c r="W1350" s="5">
        <v>3840.46</v>
      </c>
      <c r="X1350" s="5">
        <v>2880.35</v>
      </c>
      <c r="Y1350" s="3">
        <v>672.08</v>
      </c>
      <c r="Z1350" s="3">
        <v>288.02999999999997</v>
      </c>
      <c r="AA1350" s="3">
        <v>0</v>
      </c>
    </row>
    <row r="1351" spans="1:27" ht="36.75" x14ac:dyDescent="0.25">
      <c r="A1351" s="3" t="s">
        <v>28</v>
      </c>
      <c r="B1351" s="3" t="s">
        <v>29</v>
      </c>
      <c r="C1351" s="3" t="s">
        <v>30</v>
      </c>
      <c r="D1351" s="3" t="s">
        <v>58</v>
      </c>
      <c r="E1351" s="3" t="s">
        <v>53</v>
      </c>
      <c r="F1351" s="3" t="s">
        <v>426</v>
      </c>
      <c r="G1351" s="3">
        <v>2025</v>
      </c>
      <c r="H1351" s="3" t="str">
        <f>CONCATENATE("54240526464")</f>
        <v>54240526464</v>
      </c>
      <c r="I1351" s="3" t="s">
        <v>34</v>
      </c>
      <c r="J1351" s="3" t="s">
        <v>35</v>
      </c>
      <c r="K1351" s="3"/>
      <c r="L1351" s="3" t="s">
        <v>36</v>
      </c>
      <c r="M1351" s="3" t="str">
        <f>CONCATENATE("02578620425")</f>
        <v>02578620425</v>
      </c>
      <c r="N1351" s="3" t="s">
        <v>1479</v>
      </c>
      <c r="O1351" s="3" t="s">
        <v>38</v>
      </c>
      <c r="P1351" s="3"/>
      <c r="Q1351" s="4">
        <v>45944</v>
      </c>
      <c r="R1351" s="3" t="s">
        <v>39</v>
      </c>
      <c r="S1351" s="3" t="s">
        <v>38</v>
      </c>
      <c r="T1351" s="3" t="s">
        <v>40</v>
      </c>
      <c r="U1351" s="3"/>
      <c r="V1351" s="3" t="s">
        <v>41</v>
      </c>
      <c r="W1351" s="5">
        <v>14740.41</v>
      </c>
      <c r="X1351" s="5">
        <v>11055.31</v>
      </c>
      <c r="Y1351" s="5">
        <v>2579.5700000000002</v>
      </c>
      <c r="Z1351" s="5">
        <v>1105.53</v>
      </c>
      <c r="AA1351" s="3">
        <v>0</v>
      </c>
    </row>
    <row r="1352" spans="1:27" ht="60.75" x14ac:dyDescent="0.25">
      <c r="A1352" s="3" t="s">
        <v>28</v>
      </c>
      <c r="B1352" s="3" t="s">
        <v>29</v>
      </c>
      <c r="C1352" s="3" t="s">
        <v>30</v>
      </c>
      <c r="D1352" s="3" t="s">
        <v>63</v>
      </c>
      <c r="E1352" s="3" t="s">
        <v>32</v>
      </c>
      <c r="F1352" s="3" t="s">
        <v>142</v>
      </c>
      <c r="G1352" s="3">
        <v>2025</v>
      </c>
      <c r="H1352" s="3" t="str">
        <f>CONCATENATE("54240526548")</f>
        <v>54240526548</v>
      </c>
      <c r="I1352" s="3" t="s">
        <v>34</v>
      </c>
      <c r="J1352" s="3" t="s">
        <v>35</v>
      </c>
      <c r="K1352" s="3"/>
      <c r="L1352" s="3" t="s">
        <v>36</v>
      </c>
      <c r="M1352" s="3" t="str">
        <f>CONCATENATE("GNNGNI49T54C935L")</f>
        <v>GNNGNI49T54C935L</v>
      </c>
      <c r="N1352" s="3" t="s">
        <v>1480</v>
      </c>
      <c r="O1352" s="3" t="s">
        <v>38</v>
      </c>
      <c r="P1352" s="3"/>
      <c r="Q1352" s="4">
        <v>45944</v>
      </c>
      <c r="R1352" s="3" t="s">
        <v>39</v>
      </c>
      <c r="S1352" s="3" t="s">
        <v>38</v>
      </c>
      <c r="T1352" s="3" t="s">
        <v>40</v>
      </c>
      <c r="U1352" s="3"/>
      <c r="V1352" s="3" t="s">
        <v>41</v>
      </c>
      <c r="W1352" s="5">
        <v>2175.39</v>
      </c>
      <c r="X1352" s="5">
        <v>1631.54</v>
      </c>
      <c r="Y1352" s="3">
        <v>380.69</v>
      </c>
      <c r="Z1352" s="3">
        <v>163.16</v>
      </c>
      <c r="AA1352" s="3">
        <v>0</v>
      </c>
    </row>
    <row r="1353" spans="1:27" ht="60.75" x14ac:dyDescent="0.25">
      <c r="A1353" s="3" t="s">
        <v>28</v>
      </c>
      <c r="B1353" s="3" t="s">
        <v>29</v>
      </c>
      <c r="C1353" s="3" t="s">
        <v>30</v>
      </c>
      <c r="D1353" s="3" t="s">
        <v>58</v>
      </c>
      <c r="E1353" s="3" t="s">
        <v>53</v>
      </c>
      <c r="F1353" s="3" t="s">
        <v>426</v>
      </c>
      <c r="G1353" s="3">
        <v>2025</v>
      </c>
      <c r="H1353" s="3" t="str">
        <f>CONCATENATE("54240526720")</f>
        <v>54240526720</v>
      </c>
      <c r="I1353" s="3" t="s">
        <v>34</v>
      </c>
      <c r="J1353" s="3" t="s">
        <v>35</v>
      </c>
      <c r="K1353" s="3"/>
      <c r="L1353" s="3" t="s">
        <v>36</v>
      </c>
      <c r="M1353" s="3" t="str">
        <f>CONCATENATE("GMMLNE56L53G687F")</f>
        <v>GMMLNE56L53G687F</v>
      </c>
      <c r="N1353" s="3" t="s">
        <v>1481</v>
      </c>
      <c r="O1353" s="3" t="s">
        <v>38</v>
      </c>
      <c r="P1353" s="3"/>
      <c r="Q1353" s="4">
        <v>45944</v>
      </c>
      <c r="R1353" s="3" t="s">
        <v>39</v>
      </c>
      <c r="S1353" s="3" t="s">
        <v>38</v>
      </c>
      <c r="T1353" s="3" t="s">
        <v>40</v>
      </c>
      <c r="U1353" s="3"/>
      <c r="V1353" s="3" t="s">
        <v>41</v>
      </c>
      <c r="W1353" s="5">
        <v>1111.46</v>
      </c>
      <c r="X1353" s="3">
        <v>833.6</v>
      </c>
      <c r="Y1353" s="3">
        <v>194.51</v>
      </c>
      <c r="Z1353" s="3">
        <v>83.35</v>
      </c>
      <c r="AA1353" s="3">
        <v>0</v>
      </c>
    </row>
    <row r="1354" spans="1:27" ht="60.75" x14ac:dyDescent="0.25">
      <c r="A1354" s="3" t="s">
        <v>28</v>
      </c>
      <c r="B1354" s="3" t="s">
        <v>29</v>
      </c>
      <c r="C1354" s="3" t="s">
        <v>30</v>
      </c>
      <c r="D1354" s="3" t="s">
        <v>63</v>
      </c>
      <c r="E1354" s="3" t="s">
        <v>32</v>
      </c>
      <c r="F1354" s="3" t="s">
        <v>142</v>
      </c>
      <c r="G1354" s="3">
        <v>2025</v>
      </c>
      <c r="H1354" s="3" t="str">
        <f>CONCATENATE("54240526993")</f>
        <v>54240526993</v>
      </c>
      <c r="I1354" s="3" t="s">
        <v>34</v>
      </c>
      <c r="J1354" s="3" t="s">
        <v>35</v>
      </c>
      <c r="K1354" s="3"/>
      <c r="L1354" s="3" t="s">
        <v>36</v>
      </c>
      <c r="M1354" s="3" t="str">
        <f>CONCATENATE("MTTLSN78L05H769Y")</f>
        <v>MTTLSN78L05H769Y</v>
      </c>
      <c r="N1354" s="3" t="s">
        <v>1482</v>
      </c>
      <c r="O1354" s="3" t="s">
        <v>38</v>
      </c>
      <c r="P1354" s="3"/>
      <c r="Q1354" s="4">
        <v>45944</v>
      </c>
      <c r="R1354" s="3" t="s">
        <v>39</v>
      </c>
      <c r="S1354" s="3" t="s">
        <v>38</v>
      </c>
      <c r="T1354" s="3" t="s">
        <v>40</v>
      </c>
      <c r="U1354" s="3"/>
      <c r="V1354" s="3" t="s">
        <v>41</v>
      </c>
      <c r="W1354" s="3">
        <v>682.57</v>
      </c>
      <c r="X1354" s="3">
        <v>511.93</v>
      </c>
      <c r="Y1354" s="3">
        <v>119.45</v>
      </c>
      <c r="Z1354" s="3">
        <v>51.19</v>
      </c>
      <c r="AA1354" s="3">
        <v>0</v>
      </c>
    </row>
    <row r="1355" spans="1:27" ht="60.75" x14ac:dyDescent="0.25">
      <c r="A1355" s="3" t="s">
        <v>28</v>
      </c>
      <c r="B1355" s="3" t="s">
        <v>29</v>
      </c>
      <c r="C1355" s="3" t="s">
        <v>30</v>
      </c>
      <c r="D1355" s="3" t="s">
        <v>63</v>
      </c>
      <c r="E1355" s="3" t="s">
        <v>32</v>
      </c>
      <c r="F1355" s="3" t="s">
        <v>696</v>
      </c>
      <c r="G1355" s="3">
        <v>2025</v>
      </c>
      <c r="H1355" s="3" t="str">
        <f>CONCATENATE("54240551132")</f>
        <v>54240551132</v>
      </c>
      <c r="I1355" s="3" t="s">
        <v>149</v>
      </c>
      <c r="J1355" s="3" t="s">
        <v>35</v>
      </c>
      <c r="K1355" s="3"/>
      <c r="L1355" s="3" t="s">
        <v>36</v>
      </c>
      <c r="M1355" s="3" t="str">
        <f>CONCATENATE("LRAPLA59H05A437S")</f>
        <v>LRAPLA59H05A437S</v>
      </c>
      <c r="N1355" s="3" t="s">
        <v>1483</v>
      </c>
      <c r="O1355" s="3" t="s">
        <v>38</v>
      </c>
      <c r="P1355" s="3"/>
      <c r="Q1355" s="4">
        <v>45944</v>
      </c>
      <c r="R1355" s="3" t="s">
        <v>39</v>
      </c>
      <c r="S1355" s="3" t="s">
        <v>38</v>
      </c>
      <c r="T1355" s="3" t="s">
        <v>40</v>
      </c>
      <c r="U1355" s="3"/>
      <c r="V1355" s="3" t="s">
        <v>41</v>
      </c>
      <c r="W1355" s="5">
        <v>4572.53</v>
      </c>
      <c r="X1355" s="5">
        <v>3429.4</v>
      </c>
      <c r="Y1355" s="3">
        <v>800.19</v>
      </c>
      <c r="Z1355" s="3">
        <v>342.94</v>
      </c>
      <c r="AA1355" s="3">
        <v>0</v>
      </c>
    </row>
    <row r="1356" spans="1:27" ht="36.75" x14ac:dyDescent="0.25">
      <c r="A1356" s="3" t="s">
        <v>28</v>
      </c>
      <c r="B1356" s="3" t="s">
        <v>29</v>
      </c>
      <c r="C1356" s="3" t="s">
        <v>30</v>
      </c>
      <c r="D1356" s="3" t="s">
        <v>31</v>
      </c>
      <c r="E1356" s="3" t="s">
        <v>32</v>
      </c>
      <c r="F1356" s="3" t="s">
        <v>56</v>
      </c>
      <c r="G1356" s="3">
        <v>2025</v>
      </c>
      <c r="H1356" s="3" t="str">
        <f>CONCATENATE("54240652443")</f>
        <v>54240652443</v>
      </c>
      <c r="I1356" s="3" t="s">
        <v>34</v>
      </c>
      <c r="J1356" s="3" t="s">
        <v>35</v>
      </c>
      <c r="K1356" s="3"/>
      <c r="L1356" s="3" t="s">
        <v>36</v>
      </c>
      <c r="M1356" s="3" t="str">
        <f>CONCATENATE("02787510417")</f>
        <v>02787510417</v>
      </c>
      <c r="N1356" s="3" t="s">
        <v>1484</v>
      </c>
      <c r="O1356" s="3" t="s">
        <v>38</v>
      </c>
      <c r="P1356" s="3"/>
      <c r="Q1356" s="4">
        <v>45944</v>
      </c>
      <c r="R1356" s="3" t="s">
        <v>39</v>
      </c>
      <c r="S1356" s="3" t="s">
        <v>38</v>
      </c>
      <c r="T1356" s="3" t="s">
        <v>40</v>
      </c>
      <c r="U1356" s="3"/>
      <c r="V1356" s="3" t="s">
        <v>41</v>
      </c>
      <c r="W1356" s="5">
        <v>1219.78</v>
      </c>
      <c r="X1356" s="3">
        <v>914.84</v>
      </c>
      <c r="Y1356" s="3">
        <v>213.46</v>
      </c>
      <c r="Z1356" s="3">
        <v>91.48</v>
      </c>
      <c r="AA1356" s="3">
        <v>0</v>
      </c>
    </row>
    <row r="1357" spans="1:27" ht="36.75" x14ac:dyDescent="0.25">
      <c r="A1357" s="3" t="s">
        <v>28</v>
      </c>
      <c r="B1357" s="3" t="s">
        <v>29</v>
      </c>
      <c r="C1357" s="3" t="s">
        <v>30</v>
      </c>
      <c r="D1357" s="3" t="s">
        <v>31</v>
      </c>
      <c r="E1357" s="3" t="s">
        <v>343</v>
      </c>
      <c r="F1357" s="3" t="s">
        <v>344</v>
      </c>
      <c r="G1357" s="3">
        <v>2025</v>
      </c>
      <c r="H1357" s="3" t="str">
        <f>CONCATENATE("54240652815")</f>
        <v>54240652815</v>
      </c>
      <c r="I1357" s="3" t="s">
        <v>34</v>
      </c>
      <c r="J1357" s="3" t="s">
        <v>35</v>
      </c>
      <c r="K1357" s="3"/>
      <c r="L1357" s="3" t="s">
        <v>36</v>
      </c>
      <c r="M1357" s="3" t="str">
        <f>CONCATENATE("02761650411")</f>
        <v>02761650411</v>
      </c>
      <c r="N1357" s="3" t="s">
        <v>1485</v>
      </c>
      <c r="O1357" s="3" t="s">
        <v>38</v>
      </c>
      <c r="P1357" s="3"/>
      <c r="Q1357" s="4">
        <v>45944</v>
      </c>
      <c r="R1357" s="3" t="s">
        <v>39</v>
      </c>
      <c r="S1357" s="3" t="s">
        <v>38</v>
      </c>
      <c r="T1357" s="3" t="s">
        <v>40</v>
      </c>
      <c r="U1357" s="3"/>
      <c r="V1357" s="3" t="s">
        <v>41</v>
      </c>
      <c r="W1357" s="5">
        <v>4084.21</v>
      </c>
      <c r="X1357" s="5">
        <v>3063.16</v>
      </c>
      <c r="Y1357" s="3">
        <v>714.74</v>
      </c>
      <c r="Z1357" s="3">
        <v>306.31</v>
      </c>
      <c r="AA1357" s="3">
        <v>0</v>
      </c>
    </row>
    <row r="1358" spans="1:27" ht="36.75" x14ac:dyDescent="0.25">
      <c r="A1358" s="3" t="s">
        <v>28</v>
      </c>
      <c r="B1358" s="3" t="s">
        <v>29</v>
      </c>
      <c r="C1358" s="3" t="s">
        <v>30</v>
      </c>
      <c r="D1358" s="3" t="s">
        <v>49</v>
      </c>
      <c r="E1358" s="3" t="s">
        <v>46</v>
      </c>
      <c r="F1358" s="3" t="s">
        <v>205</v>
      </c>
      <c r="G1358" s="3">
        <v>2025</v>
      </c>
      <c r="H1358" s="3" t="str">
        <f>CONCATENATE("54240654159")</f>
        <v>54240654159</v>
      </c>
      <c r="I1358" s="3" t="s">
        <v>34</v>
      </c>
      <c r="J1358" s="3" t="s">
        <v>35</v>
      </c>
      <c r="K1358" s="3"/>
      <c r="L1358" s="3" t="s">
        <v>36</v>
      </c>
      <c r="M1358" s="3" t="str">
        <f>CONCATENATE("01990470435")</f>
        <v>01990470435</v>
      </c>
      <c r="N1358" s="3" t="s">
        <v>1486</v>
      </c>
      <c r="O1358" s="3" t="s">
        <v>38</v>
      </c>
      <c r="P1358" s="3"/>
      <c r="Q1358" s="4">
        <v>45944</v>
      </c>
      <c r="R1358" s="3" t="s">
        <v>39</v>
      </c>
      <c r="S1358" s="3" t="s">
        <v>38</v>
      </c>
      <c r="T1358" s="3" t="s">
        <v>40</v>
      </c>
      <c r="U1358" s="3"/>
      <c r="V1358" s="3" t="s">
        <v>41</v>
      </c>
      <c r="W1358" s="5">
        <v>4851.6000000000004</v>
      </c>
      <c r="X1358" s="5">
        <v>3638.7</v>
      </c>
      <c r="Y1358" s="3">
        <v>849.03</v>
      </c>
      <c r="Z1358" s="3">
        <v>363.87</v>
      </c>
      <c r="AA1358" s="3">
        <v>0</v>
      </c>
    </row>
    <row r="1359" spans="1:27" ht="36.75" x14ac:dyDescent="0.25">
      <c r="A1359" s="3" t="s">
        <v>28</v>
      </c>
      <c r="B1359" s="3" t="s">
        <v>29</v>
      </c>
      <c r="C1359" s="3" t="s">
        <v>30</v>
      </c>
      <c r="D1359" s="3" t="s">
        <v>49</v>
      </c>
      <c r="E1359" s="3" t="s">
        <v>46</v>
      </c>
      <c r="F1359" s="3" t="s">
        <v>129</v>
      </c>
      <c r="G1359" s="3">
        <v>2025</v>
      </c>
      <c r="H1359" s="3" t="str">
        <f>CONCATENATE("54240658010")</f>
        <v>54240658010</v>
      </c>
      <c r="I1359" s="3" t="s">
        <v>34</v>
      </c>
      <c r="J1359" s="3" t="s">
        <v>35</v>
      </c>
      <c r="K1359" s="3"/>
      <c r="L1359" s="3" t="s">
        <v>36</v>
      </c>
      <c r="M1359" s="3" t="str">
        <f>CONCATENATE("00626190433")</f>
        <v>00626190433</v>
      </c>
      <c r="N1359" s="3" t="s">
        <v>1487</v>
      </c>
      <c r="O1359" s="3" t="s">
        <v>38</v>
      </c>
      <c r="P1359" s="3"/>
      <c r="Q1359" s="4">
        <v>45944</v>
      </c>
      <c r="R1359" s="3" t="s">
        <v>39</v>
      </c>
      <c r="S1359" s="3" t="s">
        <v>38</v>
      </c>
      <c r="T1359" s="3" t="s">
        <v>40</v>
      </c>
      <c r="U1359" s="3"/>
      <c r="V1359" s="3" t="s">
        <v>41</v>
      </c>
      <c r="W1359" s="5">
        <v>3900.28</v>
      </c>
      <c r="X1359" s="5">
        <v>2925.21</v>
      </c>
      <c r="Y1359" s="3">
        <v>682.55</v>
      </c>
      <c r="Z1359" s="3">
        <v>292.52</v>
      </c>
      <c r="AA1359" s="3">
        <v>0</v>
      </c>
    </row>
    <row r="1360" spans="1:27" ht="60.75" x14ac:dyDescent="0.25">
      <c r="A1360" s="3" t="s">
        <v>28</v>
      </c>
      <c r="B1360" s="3" t="s">
        <v>29</v>
      </c>
      <c r="C1360" s="3" t="s">
        <v>30</v>
      </c>
      <c r="D1360" s="3" t="s">
        <v>31</v>
      </c>
      <c r="E1360" s="3" t="s">
        <v>32</v>
      </c>
      <c r="F1360" s="3" t="s">
        <v>33</v>
      </c>
      <c r="G1360" s="3">
        <v>2025</v>
      </c>
      <c r="H1360" s="3" t="str">
        <f>CONCATENATE("54240654001")</f>
        <v>54240654001</v>
      </c>
      <c r="I1360" s="3" t="s">
        <v>34</v>
      </c>
      <c r="J1360" s="3" t="s">
        <v>35</v>
      </c>
      <c r="K1360" s="3"/>
      <c r="L1360" s="3" t="s">
        <v>36</v>
      </c>
      <c r="M1360" s="3" t="str">
        <f>CONCATENATE("PLMBHS62R03A895L")</f>
        <v>PLMBHS62R03A895L</v>
      </c>
      <c r="N1360" s="3" t="s">
        <v>1488</v>
      </c>
      <c r="O1360" s="3" t="s">
        <v>38</v>
      </c>
      <c r="P1360" s="3"/>
      <c r="Q1360" s="4">
        <v>45944</v>
      </c>
      <c r="R1360" s="3" t="s">
        <v>39</v>
      </c>
      <c r="S1360" s="3" t="s">
        <v>38</v>
      </c>
      <c r="T1360" s="3" t="s">
        <v>40</v>
      </c>
      <c r="U1360" s="3"/>
      <c r="V1360" s="3" t="s">
        <v>41</v>
      </c>
      <c r="W1360" s="5">
        <v>11747.43</v>
      </c>
      <c r="X1360" s="5">
        <v>8810.57</v>
      </c>
      <c r="Y1360" s="5">
        <v>2055.8000000000002</v>
      </c>
      <c r="Z1360" s="3">
        <v>881.06</v>
      </c>
      <c r="AA1360" s="3">
        <v>0</v>
      </c>
    </row>
    <row r="1361" spans="1:27" ht="60.75" x14ac:dyDescent="0.25">
      <c r="A1361" s="3" t="s">
        <v>28</v>
      </c>
      <c r="B1361" s="3" t="s">
        <v>29</v>
      </c>
      <c r="C1361" s="3" t="s">
        <v>30</v>
      </c>
      <c r="D1361" s="3" t="s">
        <v>31</v>
      </c>
      <c r="E1361" s="3" t="s">
        <v>53</v>
      </c>
      <c r="F1361" s="3" t="s">
        <v>172</v>
      </c>
      <c r="G1361" s="3">
        <v>2025</v>
      </c>
      <c r="H1361" s="3" t="str">
        <f>CONCATENATE("54240654639")</f>
        <v>54240654639</v>
      </c>
      <c r="I1361" s="3" t="s">
        <v>34</v>
      </c>
      <c r="J1361" s="3" t="s">
        <v>35</v>
      </c>
      <c r="K1361" s="3"/>
      <c r="L1361" s="3" t="s">
        <v>36</v>
      </c>
      <c r="M1361" s="3" t="str">
        <f>CONCATENATE("PMPPLA67P18D488R")</f>
        <v>PMPPLA67P18D488R</v>
      </c>
      <c r="N1361" s="3" t="s">
        <v>1489</v>
      </c>
      <c r="O1361" s="3" t="s">
        <v>38</v>
      </c>
      <c r="P1361" s="3"/>
      <c r="Q1361" s="4">
        <v>45944</v>
      </c>
      <c r="R1361" s="3" t="s">
        <v>39</v>
      </c>
      <c r="S1361" s="3" t="s">
        <v>38</v>
      </c>
      <c r="T1361" s="3" t="s">
        <v>40</v>
      </c>
      <c r="U1361" s="3"/>
      <c r="V1361" s="3" t="s">
        <v>41</v>
      </c>
      <c r="W1361" s="5">
        <v>1857.2</v>
      </c>
      <c r="X1361" s="5">
        <v>1392.9</v>
      </c>
      <c r="Y1361" s="3">
        <v>325.01</v>
      </c>
      <c r="Z1361" s="3">
        <v>139.29</v>
      </c>
      <c r="AA1361" s="3">
        <v>0</v>
      </c>
    </row>
    <row r="1362" spans="1:27" ht="60.75" x14ac:dyDescent="0.25">
      <c r="A1362" s="3" t="s">
        <v>28</v>
      </c>
      <c r="B1362" s="3" t="s">
        <v>29</v>
      </c>
      <c r="C1362" s="3" t="s">
        <v>30</v>
      </c>
      <c r="D1362" s="3" t="s">
        <v>58</v>
      </c>
      <c r="E1362" s="3" t="s">
        <v>53</v>
      </c>
      <c r="F1362" s="3" t="s">
        <v>59</v>
      </c>
      <c r="G1362" s="3">
        <v>2025</v>
      </c>
      <c r="H1362" s="3" t="str">
        <f>CONCATENATE("54240654514")</f>
        <v>54240654514</v>
      </c>
      <c r="I1362" s="3" t="s">
        <v>34</v>
      </c>
      <c r="J1362" s="3" t="s">
        <v>35</v>
      </c>
      <c r="K1362" s="3"/>
      <c r="L1362" s="3" t="s">
        <v>36</v>
      </c>
      <c r="M1362" s="3" t="str">
        <f>CONCATENATE("CTNLND88H68Z129N")</f>
        <v>CTNLND88H68Z129N</v>
      </c>
      <c r="N1362" s="3" t="s">
        <v>1490</v>
      </c>
      <c r="O1362" s="3" t="s">
        <v>38</v>
      </c>
      <c r="P1362" s="3"/>
      <c r="Q1362" s="4">
        <v>45944</v>
      </c>
      <c r="R1362" s="3" t="s">
        <v>39</v>
      </c>
      <c r="S1362" s="3" t="s">
        <v>38</v>
      </c>
      <c r="T1362" s="3" t="s">
        <v>40</v>
      </c>
      <c r="U1362" s="3"/>
      <c r="V1362" s="3" t="s">
        <v>41</v>
      </c>
      <c r="W1362" s="5">
        <v>14533.32</v>
      </c>
      <c r="X1362" s="5">
        <v>10899.99</v>
      </c>
      <c r="Y1362" s="5">
        <v>2543.33</v>
      </c>
      <c r="Z1362" s="5">
        <v>1090</v>
      </c>
      <c r="AA1362" s="3">
        <v>0</v>
      </c>
    </row>
    <row r="1363" spans="1:27" ht="60.75" x14ac:dyDescent="0.25">
      <c r="A1363" s="3" t="s">
        <v>28</v>
      </c>
      <c r="B1363" s="3" t="s">
        <v>29</v>
      </c>
      <c r="C1363" s="3" t="s">
        <v>30</v>
      </c>
      <c r="D1363" s="3" t="s">
        <v>49</v>
      </c>
      <c r="E1363" s="3" t="s">
        <v>32</v>
      </c>
      <c r="F1363" s="3" t="s">
        <v>71</v>
      </c>
      <c r="G1363" s="3">
        <v>2025</v>
      </c>
      <c r="H1363" s="3" t="str">
        <f>CONCATENATE("54240655867")</f>
        <v>54240655867</v>
      </c>
      <c r="I1363" s="3" t="s">
        <v>34</v>
      </c>
      <c r="J1363" s="3" t="s">
        <v>35</v>
      </c>
      <c r="K1363" s="3"/>
      <c r="L1363" s="3" t="s">
        <v>36</v>
      </c>
      <c r="M1363" s="3" t="str">
        <f>CONCATENATE("MRLMCL72B12I436X")</f>
        <v>MRLMCL72B12I436X</v>
      </c>
      <c r="N1363" s="3" t="s">
        <v>1491</v>
      </c>
      <c r="O1363" s="3" t="s">
        <v>38</v>
      </c>
      <c r="P1363" s="3"/>
      <c r="Q1363" s="4">
        <v>45944</v>
      </c>
      <c r="R1363" s="3" t="s">
        <v>39</v>
      </c>
      <c r="S1363" s="3" t="s">
        <v>38</v>
      </c>
      <c r="T1363" s="3" t="s">
        <v>40</v>
      </c>
      <c r="U1363" s="3"/>
      <c r="V1363" s="3" t="s">
        <v>41</v>
      </c>
      <c r="W1363" s="5">
        <v>7609.28</v>
      </c>
      <c r="X1363" s="5">
        <v>5706.96</v>
      </c>
      <c r="Y1363" s="5">
        <v>1331.62</v>
      </c>
      <c r="Z1363" s="3">
        <v>570.70000000000005</v>
      </c>
      <c r="AA1363" s="3">
        <v>0</v>
      </c>
    </row>
    <row r="1364" spans="1:27" ht="60.75" x14ac:dyDescent="0.25">
      <c r="A1364" s="3" t="s">
        <v>28</v>
      </c>
      <c r="B1364" s="3" t="s">
        <v>29</v>
      </c>
      <c r="C1364" s="3" t="s">
        <v>30</v>
      </c>
      <c r="D1364" s="3" t="s">
        <v>49</v>
      </c>
      <c r="E1364" s="3" t="s">
        <v>32</v>
      </c>
      <c r="F1364" s="3" t="s">
        <v>368</v>
      </c>
      <c r="G1364" s="3">
        <v>2025</v>
      </c>
      <c r="H1364" s="3" t="str">
        <f>CONCATENATE("54240658838")</f>
        <v>54240658838</v>
      </c>
      <c r="I1364" s="3" t="s">
        <v>34</v>
      </c>
      <c r="J1364" s="3" t="s">
        <v>35</v>
      </c>
      <c r="K1364" s="3"/>
      <c r="L1364" s="3" t="s">
        <v>36</v>
      </c>
      <c r="M1364" s="3" t="str">
        <f>CONCATENATE("SCPRCR98D23I156Z")</f>
        <v>SCPRCR98D23I156Z</v>
      </c>
      <c r="N1364" s="3" t="s">
        <v>1492</v>
      </c>
      <c r="O1364" s="3" t="s">
        <v>38</v>
      </c>
      <c r="P1364" s="3"/>
      <c r="Q1364" s="4">
        <v>45944</v>
      </c>
      <c r="R1364" s="3" t="s">
        <v>39</v>
      </c>
      <c r="S1364" s="3" t="s">
        <v>38</v>
      </c>
      <c r="T1364" s="3" t="s">
        <v>40</v>
      </c>
      <c r="U1364" s="3"/>
      <c r="V1364" s="3" t="s">
        <v>41</v>
      </c>
      <c r="W1364" s="5">
        <v>7440.95</v>
      </c>
      <c r="X1364" s="5">
        <v>5580.71</v>
      </c>
      <c r="Y1364" s="5">
        <v>1302.17</v>
      </c>
      <c r="Z1364" s="3">
        <v>558.07000000000005</v>
      </c>
      <c r="AA1364" s="3">
        <v>0</v>
      </c>
    </row>
    <row r="1365" spans="1:27" ht="36.75" x14ac:dyDescent="0.25">
      <c r="A1365" s="3" t="s">
        <v>28</v>
      </c>
      <c r="B1365" s="3" t="s">
        <v>29</v>
      </c>
      <c r="C1365" s="3" t="s">
        <v>30</v>
      </c>
      <c r="D1365" s="3" t="s">
        <v>58</v>
      </c>
      <c r="E1365" s="3" t="s">
        <v>32</v>
      </c>
      <c r="F1365" s="3" t="s">
        <v>96</v>
      </c>
      <c r="G1365" s="3">
        <v>2025</v>
      </c>
      <c r="H1365" s="3" t="str">
        <f>CONCATENATE("54240656766")</f>
        <v>54240656766</v>
      </c>
      <c r="I1365" s="3" t="s">
        <v>34</v>
      </c>
      <c r="J1365" s="3" t="s">
        <v>35</v>
      </c>
      <c r="K1365" s="3"/>
      <c r="L1365" s="3" t="s">
        <v>36</v>
      </c>
      <c r="M1365" s="3" t="str">
        <f>CONCATENATE("02896460421")</f>
        <v>02896460421</v>
      </c>
      <c r="N1365" s="3" t="s">
        <v>1493</v>
      </c>
      <c r="O1365" s="3" t="s">
        <v>38</v>
      </c>
      <c r="P1365" s="3"/>
      <c r="Q1365" s="4">
        <v>45944</v>
      </c>
      <c r="R1365" s="3" t="s">
        <v>39</v>
      </c>
      <c r="S1365" s="3" t="s">
        <v>38</v>
      </c>
      <c r="T1365" s="3" t="s">
        <v>40</v>
      </c>
      <c r="U1365" s="3"/>
      <c r="V1365" s="3" t="s">
        <v>41</v>
      </c>
      <c r="W1365" s="5">
        <v>9280.1</v>
      </c>
      <c r="X1365" s="5">
        <v>6960.08</v>
      </c>
      <c r="Y1365" s="5">
        <v>1624.02</v>
      </c>
      <c r="Z1365" s="3">
        <v>696</v>
      </c>
      <c r="AA1365" s="3">
        <v>0</v>
      </c>
    </row>
    <row r="1366" spans="1:27" ht="60.75" x14ac:dyDescent="0.25">
      <c r="A1366" s="3" t="s">
        <v>28</v>
      </c>
      <c r="B1366" s="3" t="s">
        <v>29</v>
      </c>
      <c r="C1366" s="3" t="s">
        <v>30</v>
      </c>
      <c r="D1366" s="3" t="s">
        <v>63</v>
      </c>
      <c r="E1366" s="3" t="s">
        <v>145</v>
      </c>
      <c r="F1366" s="3" t="s">
        <v>146</v>
      </c>
      <c r="G1366" s="3">
        <v>2025</v>
      </c>
      <c r="H1366" s="3" t="str">
        <f>CONCATENATE("54240657061")</f>
        <v>54240657061</v>
      </c>
      <c r="I1366" s="3" t="s">
        <v>34</v>
      </c>
      <c r="J1366" s="3" t="s">
        <v>35</v>
      </c>
      <c r="K1366" s="3"/>
      <c r="L1366" s="3" t="s">
        <v>36</v>
      </c>
      <c r="M1366" s="3" t="str">
        <f>CONCATENATE("MCKJTH68H05Z404S")</f>
        <v>MCKJTH68H05Z404S</v>
      </c>
      <c r="N1366" s="3" t="s">
        <v>1494</v>
      </c>
      <c r="O1366" s="3" t="s">
        <v>38</v>
      </c>
      <c r="P1366" s="3"/>
      <c r="Q1366" s="4">
        <v>45944</v>
      </c>
      <c r="R1366" s="3" t="s">
        <v>39</v>
      </c>
      <c r="S1366" s="3" t="s">
        <v>38</v>
      </c>
      <c r="T1366" s="3" t="s">
        <v>40</v>
      </c>
      <c r="U1366" s="3"/>
      <c r="V1366" s="3" t="s">
        <v>41</v>
      </c>
      <c r="W1366" s="5">
        <v>1607.21</v>
      </c>
      <c r="X1366" s="5">
        <v>1205.4100000000001</v>
      </c>
      <c r="Y1366" s="3">
        <v>281.26</v>
      </c>
      <c r="Z1366" s="3">
        <v>120.54</v>
      </c>
      <c r="AA1366" s="3">
        <v>0</v>
      </c>
    </row>
    <row r="1367" spans="1:27" ht="60.75" x14ac:dyDescent="0.25">
      <c r="A1367" s="3" t="s">
        <v>28</v>
      </c>
      <c r="B1367" s="3" t="s">
        <v>29</v>
      </c>
      <c r="C1367" s="3" t="s">
        <v>30</v>
      </c>
      <c r="D1367" s="3" t="s">
        <v>58</v>
      </c>
      <c r="E1367" s="3" t="s">
        <v>74</v>
      </c>
      <c r="F1367" s="3" t="s">
        <v>84</v>
      </c>
      <c r="G1367" s="3">
        <v>2025</v>
      </c>
      <c r="H1367" s="3" t="str">
        <f>CONCATENATE("54240657871")</f>
        <v>54240657871</v>
      </c>
      <c r="I1367" s="3" t="s">
        <v>34</v>
      </c>
      <c r="J1367" s="3" t="s">
        <v>35</v>
      </c>
      <c r="K1367" s="3"/>
      <c r="L1367" s="3" t="s">
        <v>36</v>
      </c>
      <c r="M1367" s="3" t="str">
        <f>CONCATENATE("SRGGDN00B21I156X")</f>
        <v>SRGGDN00B21I156X</v>
      </c>
      <c r="N1367" s="3" t="s">
        <v>1495</v>
      </c>
      <c r="O1367" s="3" t="s">
        <v>38</v>
      </c>
      <c r="P1367" s="3"/>
      <c r="Q1367" s="4">
        <v>45944</v>
      </c>
      <c r="R1367" s="3" t="s">
        <v>39</v>
      </c>
      <c r="S1367" s="3" t="s">
        <v>38</v>
      </c>
      <c r="T1367" s="3" t="s">
        <v>40</v>
      </c>
      <c r="U1367" s="3"/>
      <c r="V1367" s="3" t="s">
        <v>41</v>
      </c>
      <c r="W1367" s="5">
        <v>3175.38</v>
      </c>
      <c r="X1367" s="5">
        <v>2381.54</v>
      </c>
      <c r="Y1367" s="3">
        <v>555.69000000000005</v>
      </c>
      <c r="Z1367" s="3">
        <v>238.15</v>
      </c>
      <c r="AA1367" s="3">
        <v>0</v>
      </c>
    </row>
    <row r="1368" spans="1:27" ht="60.75" x14ac:dyDescent="0.25">
      <c r="A1368" s="3" t="s">
        <v>28</v>
      </c>
      <c r="B1368" s="3" t="s">
        <v>29</v>
      </c>
      <c r="C1368" s="3" t="s">
        <v>30</v>
      </c>
      <c r="D1368" s="3" t="s">
        <v>49</v>
      </c>
      <c r="E1368" s="3" t="s">
        <v>32</v>
      </c>
      <c r="F1368" s="3" t="s">
        <v>71</v>
      </c>
      <c r="G1368" s="3">
        <v>2025</v>
      </c>
      <c r="H1368" s="3" t="str">
        <f>CONCATENATE("54240658861")</f>
        <v>54240658861</v>
      </c>
      <c r="I1368" s="3" t="s">
        <v>34</v>
      </c>
      <c r="J1368" s="3" t="s">
        <v>35</v>
      </c>
      <c r="K1368" s="3"/>
      <c r="L1368" s="3" t="s">
        <v>36</v>
      </c>
      <c r="M1368" s="3" t="str">
        <f>CONCATENATE("PZZSFN95L20E783I")</f>
        <v>PZZSFN95L20E783I</v>
      </c>
      <c r="N1368" s="3" t="s">
        <v>1496</v>
      </c>
      <c r="O1368" s="3" t="s">
        <v>38</v>
      </c>
      <c r="P1368" s="3"/>
      <c r="Q1368" s="4">
        <v>45944</v>
      </c>
      <c r="R1368" s="3" t="s">
        <v>39</v>
      </c>
      <c r="S1368" s="3" t="s">
        <v>38</v>
      </c>
      <c r="T1368" s="3" t="s">
        <v>40</v>
      </c>
      <c r="U1368" s="3"/>
      <c r="V1368" s="3" t="s">
        <v>41</v>
      </c>
      <c r="W1368" s="5">
        <v>1785.02</v>
      </c>
      <c r="X1368" s="5">
        <v>1338.77</v>
      </c>
      <c r="Y1368" s="3">
        <v>312.38</v>
      </c>
      <c r="Z1368" s="3">
        <v>133.87</v>
      </c>
      <c r="AA1368" s="3">
        <v>0</v>
      </c>
    </row>
    <row r="1369" spans="1:27" ht="60.75" x14ac:dyDescent="0.25">
      <c r="A1369" s="3" t="s">
        <v>28</v>
      </c>
      <c r="B1369" s="3" t="s">
        <v>29</v>
      </c>
      <c r="C1369" s="3" t="s">
        <v>30</v>
      </c>
      <c r="D1369" s="3" t="s">
        <v>63</v>
      </c>
      <c r="E1369" s="3" t="s">
        <v>74</v>
      </c>
      <c r="F1369" s="3" t="s">
        <v>252</v>
      </c>
      <c r="G1369" s="3">
        <v>2025</v>
      </c>
      <c r="H1369" s="3" t="str">
        <f>CONCATENATE("54240660263")</f>
        <v>54240660263</v>
      </c>
      <c r="I1369" s="3" t="s">
        <v>34</v>
      </c>
      <c r="J1369" s="3" t="s">
        <v>35</v>
      </c>
      <c r="K1369" s="3"/>
      <c r="L1369" s="3" t="s">
        <v>36</v>
      </c>
      <c r="M1369" s="3" t="str">
        <f>CONCATENATE("SCCNZR81P07A252X")</f>
        <v>SCCNZR81P07A252X</v>
      </c>
      <c r="N1369" s="3" t="s">
        <v>1497</v>
      </c>
      <c r="O1369" s="3" t="s">
        <v>38</v>
      </c>
      <c r="P1369" s="3"/>
      <c r="Q1369" s="4">
        <v>45944</v>
      </c>
      <c r="R1369" s="3" t="s">
        <v>39</v>
      </c>
      <c r="S1369" s="3" t="s">
        <v>38</v>
      </c>
      <c r="T1369" s="3" t="s">
        <v>40</v>
      </c>
      <c r="U1369" s="3"/>
      <c r="V1369" s="3" t="s">
        <v>41</v>
      </c>
      <c r="W1369" s="5">
        <v>3824.72</v>
      </c>
      <c r="X1369" s="5">
        <v>2868.54</v>
      </c>
      <c r="Y1369" s="3">
        <v>669.33</v>
      </c>
      <c r="Z1369" s="3">
        <v>286.85000000000002</v>
      </c>
      <c r="AA1369" s="3">
        <v>0</v>
      </c>
    </row>
    <row r="1370" spans="1:27" ht="72.75" x14ac:dyDescent="0.25">
      <c r="A1370" s="3" t="s">
        <v>28</v>
      </c>
      <c r="B1370" s="3" t="s">
        <v>29</v>
      </c>
      <c r="C1370" s="3" t="s">
        <v>30</v>
      </c>
      <c r="D1370" s="3" t="s">
        <v>63</v>
      </c>
      <c r="E1370" s="3" t="s">
        <v>74</v>
      </c>
      <c r="F1370" s="3" t="s">
        <v>252</v>
      </c>
      <c r="G1370" s="3">
        <v>2025</v>
      </c>
      <c r="H1370" s="3" t="str">
        <f>CONCATENATE("54240660271")</f>
        <v>54240660271</v>
      </c>
      <c r="I1370" s="3" t="s">
        <v>34</v>
      </c>
      <c r="J1370" s="3" t="s">
        <v>35</v>
      </c>
      <c r="K1370" s="3"/>
      <c r="L1370" s="3" t="s">
        <v>36</v>
      </c>
      <c r="M1370" s="3" t="str">
        <f>CONCATENATE("TRBGLN69A19A252M")</f>
        <v>TRBGLN69A19A252M</v>
      </c>
      <c r="N1370" s="3" t="s">
        <v>1498</v>
      </c>
      <c r="O1370" s="3" t="s">
        <v>38</v>
      </c>
      <c r="P1370" s="3"/>
      <c r="Q1370" s="4">
        <v>45944</v>
      </c>
      <c r="R1370" s="3" t="s">
        <v>39</v>
      </c>
      <c r="S1370" s="3" t="s">
        <v>38</v>
      </c>
      <c r="T1370" s="3" t="s">
        <v>40</v>
      </c>
      <c r="U1370" s="3"/>
      <c r="V1370" s="3" t="s">
        <v>41</v>
      </c>
      <c r="W1370" s="5">
        <v>1638.07</v>
      </c>
      <c r="X1370" s="5">
        <v>1228.55</v>
      </c>
      <c r="Y1370" s="3">
        <v>286.66000000000003</v>
      </c>
      <c r="Z1370" s="3">
        <v>122.86</v>
      </c>
      <c r="AA1370" s="3">
        <v>0</v>
      </c>
    </row>
    <row r="1371" spans="1:27" ht="72.75" x14ac:dyDescent="0.25">
      <c r="A1371" s="3" t="s">
        <v>28</v>
      </c>
      <c r="B1371" s="3" t="s">
        <v>29</v>
      </c>
      <c r="C1371" s="3" t="s">
        <v>30</v>
      </c>
      <c r="D1371" s="3" t="s">
        <v>63</v>
      </c>
      <c r="E1371" s="3" t="s">
        <v>74</v>
      </c>
      <c r="F1371" s="3" t="s">
        <v>252</v>
      </c>
      <c r="G1371" s="3">
        <v>2025</v>
      </c>
      <c r="H1371" s="3" t="str">
        <f>CONCATENATE("54240660396")</f>
        <v>54240660396</v>
      </c>
      <c r="I1371" s="3" t="s">
        <v>34</v>
      </c>
      <c r="J1371" s="3" t="s">
        <v>35</v>
      </c>
      <c r="K1371" s="3"/>
      <c r="L1371" s="3" t="s">
        <v>36</v>
      </c>
      <c r="M1371" s="3" t="str">
        <f>CONCATENATE("GNNLCU96D30A252H")</f>
        <v>GNNLCU96D30A252H</v>
      </c>
      <c r="N1371" s="3" t="s">
        <v>1499</v>
      </c>
      <c r="O1371" s="3" t="s">
        <v>38</v>
      </c>
      <c r="P1371" s="3"/>
      <c r="Q1371" s="4">
        <v>45944</v>
      </c>
      <c r="R1371" s="3" t="s">
        <v>39</v>
      </c>
      <c r="S1371" s="3" t="s">
        <v>38</v>
      </c>
      <c r="T1371" s="3" t="s">
        <v>40</v>
      </c>
      <c r="U1371" s="3"/>
      <c r="V1371" s="3" t="s">
        <v>41</v>
      </c>
      <c r="W1371" s="5">
        <v>3988.28</v>
      </c>
      <c r="X1371" s="5">
        <v>2991.21</v>
      </c>
      <c r="Y1371" s="3">
        <v>697.95</v>
      </c>
      <c r="Z1371" s="3">
        <v>299.12</v>
      </c>
      <c r="AA1371" s="3">
        <v>0</v>
      </c>
    </row>
    <row r="1372" spans="1:27" ht="60.75" x14ac:dyDescent="0.25">
      <c r="A1372" s="3" t="s">
        <v>28</v>
      </c>
      <c r="B1372" s="3" t="s">
        <v>29</v>
      </c>
      <c r="C1372" s="3" t="s">
        <v>30</v>
      </c>
      <c r="D1372" s="3" t="s">
        <v>63</v>
      </c>
      <c r="E1372" s="3" t="s">
        <v>74</v>
      </c>
      <c r="F1372" s="3" t="s">
        <v>252</v>
      </c>
      <c r="G1372" s="3">
        <v>2025</v>
      </c>
      <c r="H1372" s="3" t="str">
        <f>CONCATENATE("54240660347")</f>
        <v>54240660347</v>
      </c>
      <c r="I1372" s="3" t="s">
        <v>34</v>
      </c>
      <c r="J1372" s="3" t="s">
        <v>35</v>
      </c>
      <c r="K1372" s="3"/>
      <c r="L1372" s="3" t="s">
        <v>36</v>
      </c>
      <c r="M1372" s="3" t="str">
        <f>CONCATENATE("SNTCCT52R66A044T")</f>
        <v>SNTCCT52R66A044T</v>
      </c>
      <c r="N1372" s="3" t="s">
        <v>1500</v>
      </c>
      <c r="O1372" s="3" t="s">
        <v>38</v>
      </c>
      <c r="P1372" s="3"/>
      <c r="Q1372" s="4">
        <v>45944</v>
      </c>
      <c r="R1372" s="3" t="s">
        <v>39</v>
      </c>
      <c r="S1372" s="3" t="s">
        <v>38</v>
      </c>
      <c r="T1372" s="3" t="s">
        <v>40</v>
      </c>
      <c r="U1372" s="3"/>
      <c r="V1372" s="3" t="s">
        <v>41</v>
      </c>
      <c r="W1372" s="3">
        <v>960.85</v>
      </c>
      <c r="X1372" s="3">
        <v>720.64</v>
      </c>
      <c r="Y1372" s="3">
        <v>168.15</v>
      </c>
      <c r="Z1372" s="3">
        <v>72.06</v>
      </c>
      <c r="AA1372" s="3">
        <v>0</v>
      </c>
    </row>
    <row r="1373" spans="1:27" ht="60.75" x14ac:dyDescent="0.25">
      <c r="A1373" s="3" t="s">
        <v>28</v>
      </c>
      <c r="B1373" s="3" t="s">
        <v>29</v>
      </c>
      <c r="C1373" s="3" t="s">
        <v>30</v>
      </c>
      <c r="D1373" s="3" t="s">
        <v>63</v>
      </c>
      <c r="E1373" s="3" t="s">
        <v>74</v>
      </c>
      <c r="F1373" s="3" t="s">
        <v>252</v>
      </c>
      <c r="G1373" s="3">
        <v>2025</v>
      </c>
      <c r="H1373" s="3" t="str">
        <f>CONCATENATE("54240660511")</f>
        <v>54240660511</v>
      </c>
      <c r="I1373" s="3" t="s">
        <v>34</v>
      </c>
      <c r="J1373" s="3" t="s">
        <v>35</v>
      </c>
      <c r="K1373" s="3"/>
      <c r="L1373" s="3" t="s">
        <v>36</v>
      </c>
      <c r="M1373" s="3" t="str">
        <f>CONCATENATE("MRNLRA84P47I459I")</f>
        <v>MRNLRA84P47I459I</v>
      </c>
      <c r="N1373" s="3" t="s">
        <v>1501</v>
      </c>
      <c r="O1373" s="3" t="s">
        <v>38</v>
      </c>
      <c r="P1373" s="3"/>
      <c r="Q1373" s="4">
        <v>45944</v>
      </c>
      <c r="R1373" s="3" t="s">
        <v>39</v>
      </c>
      <c r="S1373" s="3" t="s">
        <v>38</v>
      </c>
      <c r="T1373" s="3" t="s">
        <v>40</v>
      </c>
      <c r="U1373" s="3"/>
      <c r="V1373" s="3" t="s">
        <v>41</v>
      </c>
      <c r="W1373" s="5">
        <v>1303.69</v>
      </c>
      <c r="X1373" s="3">
        <v>977.77</v>
      </c>
      <c r="Y1373" s="3">
        <v>228.15</v>
      </c>
      <c r="Z1373" s="3">
        <v>97.77</v>
      </c>
      <c r="AA1373" s="3">
        <v>0</v>
      </c>
    </row>
    <row r="1374" spans="1:27" ht="60.75" x14ac:dyDescent="0.25">
      <c r="A1374" s="3" t="s">
        <v>28</v>
      </c>
      <c r="B1374" s="3" t="s">
        <v>29</v>
      </c>
      <c r="C1374" s="3" t="s">
        <v>30</v>
      </c>
      <c r="D1374" s="3" t="s">
        <v>49</v>
      </c>
      <c r="E1374" s="3" t="s">
        <v>32</v>
      </c>
      <c r="F1374" s="3" t="s">
        <v>78</v>
      </c>
      <c r="G1374" s="3">
        <v>2025</v>
      </c>
      <c r="H1374" s="3" t="str">
        <f>CONCATENATE("54240661378")</f>
        <v>54240661378</v>
      </c>
      <c r="I1374" s="3" t="s">
        <v>34</v>
      </c>
      <c r="J1374" s="3" t="s">
        <v>35</v>
      </c>
      <c r="K1374" s="3"/>
      <c r="L1374" s="3" t="s">
        <v>36</v>
      </c>
      <c r="M1374" s="3" t="str">
        <f>CONCATENATE("CRSRND69S02D429U")</f>
        <v>CRSRND69S02D429U</v>
      </c>
      <c r="N1374" s="3" t="s">
        <v>1502</v>
      </c>
      <c r="O1374" s="3" t="s">
        <v>38</v>
      </c>
      <c r="P1374" s="3"/>
      <c r="Q1374" s="4">
        <v>45944</v>
      </c>
      <c r="R1374" s="3" t="s">
        <v>39</v>
      </c>
      <c r="S1374" s="3" t="s">
        <v>38</v>
      </c>
      <c r="T1374" s="3" t="s">
        <v>40</v>
      </c>
      <c r="U1374" s="3"/>
      <c r="V1374" s="3" t="s">
        <v>41</v>
      </c>
      <c r="W1374" s="5">
        <v>19614.71</v>
      </c>
      <c r="X1374" s="5">
        <v>14711.03</v>
      </c>
      <c r="Y1374" s="5">
        <v>3432.57</v>
      </c>
      <c r="Z1374" s="5">
        <v>1471.11</v>
      </c>
      <c r="AA1374" s="3">
        <v>0</v>
      </c>
    </row>
    <row r="1375" spans="1:27" ht="72.75" x14ac:dyDescent="0.25">
      <c r="A1375" s="3" t="s">
        <v>28</v>
      </c>
      <c r="B1375" s="3" t="s">
        <v>29</v>
      </c>
      <c r="C1375" s="3" t="s">
        <v>30</v>
      </c>
      <c r="D1375" s="3" t="s">
        <v>63</v>
      </c>
      <c r="E1375" s="3" t="s">
        <v>74</v>
      </c>
      <c r="F1375" s="3" t="s">
        <v>252</v>
      </c>
      <c r="G1375" s="3">
        <v>2025</v>
      </c>
      <c r="H1375" s="3" t="str">
        <f>CONCATENATE("54240661527")</f>
        <v>54240661527</v>
      </c>
      <c r="I1375" s="3" t="s">
        <v>34</v>
      </c>
      <c r="J1375" s="3" t="s">
        <v>35</v>
      </c>
      <c r="K1375" s="3"/>
      <c r="L1375" s="3" t="s">
        <v>36</v>
      </c>
      <c r="M1375" s="3" t="str">
        <f>CONCATENATE("GMNMRC89B28A252D")</f>
        <v>GMNMRC89B28A252D</v>
      </c>
      <c r="N1375" s="3" t="s">
        <v>1503</v>
      </c>
      <c r="O1375" s="3" t="s">
        <v>38</v>
      </c>
      <c r="P1375" s="3"/>
      <c r="Q1375" s="4">
        <v>45944</v>
      </c>
      <c r="R1375" s="3" t="s">
        <v>39</v>
      </c>
      <c r="S1375" s="3" t="s">
        <v>38</v>
      </c>
      <c r="T1375" s="3" t="s">
        <v>40</v>
      </c>
      <c r="U1375" s="3"/>
      <c r="V1375" s="3" t="s">
        <v>41</v>
      </c>
      <c r="W1375" s="5">
        <v>5724.61</v>
      </c>
      <c r="X1375" s="5">
        <v>4293.46</v>
      </c>
      <c r="Y1375" s="5">
        <v>1001.81</v>
      </c>
      <c r="Z1375" s="3">
        <v>429.34</v>
      </c>
      <c r="AA1375" s="3">
        <v>0</v>
      </c>
    </row>
    <row r="1376" spans="1:27" ht="60.75" x14ac:dyDescent="0.25">
      <c r="A1376" s="3" t="s">
        <v>28</v>
      </c>
      <c r="B1376" s="3" t="s">
        <v>29</v>
      </c>
      <c r="C1376" s="3" t="s">
        <v>30</v>
      </c>
      <c r="D1376" s="3" t="s">
        <v>63</v>
      </c>
      <c r="E1376" s="3" t="s">
        <v>74</v>
      </c>
      <c r="F1376" s="3" t="s">
        <v>252</v>
      </c>
      <c r="G1376" s="3">
        <v>2025</v>
      </c>
      <c r="H1376" s="3" t="str">
        <f>CONCATENATE("54240661790")</f>
        <v>54240661790</v>
      </c>
      <c r="I1376" s="3" t="s">
        <v>34</v>
      </c>
      <c r="J1376" s="3" t="s">
        <v>35</v>
      </c>
      <c r="K1376" s="3"/>
      <c r="L1376" s="3" t="s">
        <v>36</v>
      </c>
      <c r="M1376" s="3" t="str">
        <f>CONCATENATE("DMSVCN83H42H501I")</f>
        <v>DMSVCN83H42H501I</v>
      </c>
      <c r="N1376" s="3" t="s">
        <v>1504</v>
      </c>
      <c r="O1376" s="3" t="s">
        <v>38</v>
      </c>
      <c r="P1376" s="3"/>
      <c r="Q1376" s="4">
        <v>45944</v>
      </c>
      <c r="R1376" s="3" t="s">
        <v>39</v>
      </c>
      <c r="S1376" s="3" t="s">
        <v>38</v>
      </c>
      <c r="T1376" s="3" t="s">
        <v>40</v>
      </c>
      <c r="U1376" s="3"/>
      <c r="V1376" s="3" t="s">
        <v>41</v>
      </c>
      <c r="W1376" s="5">
        <v>11217.72</v>
      </c>
      <c r="X1376" s="5">
        <v>8413.2900000000009</v>
      </c>
      <c r="Y1376" s="5">
        <v>1963.1</v>
      </c>
      <c r="Z1376" s="3">
        <v>841.33</v>
      </c>
      <c r="AA1376" s="3">
        <v>0</v>
      </c>
    </row>
    <row r="1377" spans="1:27" ht="60.75" x14ac:dyDescent="0.25">
      <c r="A1377" s="3" t="s">
        <v>28</v>
      </c>
      <c r="B1377" s="3" t="s">
        <v>29</v>
      </c>
      <c r="C1377" s="3" t="s">
        <v>30</v>
      </c>
      <c r="D1377" s="3" t="s">
        <v>63</v>
      </c>
      <c r="E1377" s="3" t="s">
        <v>74</v>
      </c>
      <c r="F1377" s="3" t="s">
        <v>252</v>
      </c>
      <c r="G1377" s="3">
        <v>2025</v>
      </c>
      <c r="H1377" s="3" t="str">
        <f>CONCATENATE("54240661832")</f>
        <v>54240661832</v>
      </c>
      <c r="I1377" s="3" t="s">
        <v>34</v>
      </c>
      <c r="J1377" s="3" t="s">
        <v>35</v>
      </c>
      <c r="K1377" s="3"/>
      <c r="L1377" s="3" t="s">
        <v>36</v>
      </c>
      <c r="M1377" s="3" t="str">
        <f>CONCATENATE("TCCNGL67C03A252F")</f>
        <v>TCCNGL67C03A252F</v>
      </c>
      <c r="N1377" s="3" t="s">
        <v>1505</v>
      </c>
      <c r="O1377" s="3" t="s">
        <v>38</v>
      </c>
      <c r="P1377" s="3"/>
      <c r="Q1377" s="4">
        <v>45944</v>
      </c>
      <c r="R1377" s="3" t="s">
        <v>39</v>
      </c>
      <c r="S1377" s="3" t="s">
        <v>38</v>
      </c>
      <c r="T1377" s="3" t="s">
        <v>40</v>
      </c>
      <c r="U1377" s="3"/>
      <c r="V1377" s="3" t="s">
        <v>41</v>
      </c>
      <c r="W1377" s="5">
        <v>4662.17</v>
      </c>
      <c r="X1377" s="5">
        <v>3496.63</v>
      </c>
      <c r="Y1377" s="3">
        <v>815.88</v>
      </c>
      <c r="Z1377" s="3">
        <v>349.66</v>
      </c>
      <c r="AA1377" s="3">
        <v>0</v>
      </c>
    </row>
    <row r="1378" spans="1:27" ht="36.75" x14ac:dyDescent="0.25">
      <c r="A1378" s="3" t="s">
        <v>28</v>
      </c>
      <c r="B1378" s="3" t="s">
        <v>29</v>
      </c>
      <c r="C1378" s="3" t="s">
        <v>30</v>
      </c>
      <c r="D1378" s="3" t="s">
        <v>63</v>
      </c>
      <c r="E1378" s="3" t="s">
        <v>74</v>
      </c>
      <c r="F1378" s="3" t="s">
        <v>252</v>
      </c>
      <c r="G1378" s="3">
        <v>2025</v>
      </c>
      <c r="H1378" s="3" t="str">
        <f>CONCATENATE("54240661857")</f>
        <v>54240661857</v>
      </c>
      <c r="I1378" s="3" t="s">
        <v>34</v>
      </c>
      <c r="J1378" s="3" t="s">
        <v>35</v>
      </c>
      <c r="K1378" s="3"/>
      <c r="L1378" s="3" t="s">
        <v>36</v>
      </c>
      <c r="M1378" s="3" t="str">
        <f>CONCATENATE("00775820442")</f>
        <v>00775820442</v>
      </c>
      <c r="N1378" s="3" t="s">
        <v>1506</v>
      </c>
      <c r="O1378" s="3" t="s">
        <v>38</v>
      </c>
      <c r="P1378" s="3"/>
      <c r="Q1378" s="4">
        <v>45944</v>
      </c>
      <c r="R1378" s="3" t="s">
        <v>39</v>
      </c>
      <c r="S1378" s="3" t="s">
        <v>38</v>
      </c>
      <c r="T1378" s="3" t="s">
        <v>40</v>
      </c>
      <c r="U1378" s="3"/>
      <c r="V1378" s="3" t="s">
        <v>41</v>
      </c>
      <c r="W1378" s="5">
        <v>4498.1899999999996</v>
      </c>
      <c r="X1378" s="5">
        <v>3373.64</v>
      </c>
      <c r="Y1378" s="3">
        <v>787.18</v>
      </c>
      <c r="Z1378" s="3">
        <v>337.37</v>
      </c>
      <c r="AA1378" s="3">
        <v>0</v>
      </c>
    </row>
    <row r="1379" spans="1:27" ht="60.75" x14ac:dyDescent="0.25">
      <c r="A1379" s="3" t="s">
        <v>28</v>
      </c>
      <c r="B1379" s="3" t="s">
        <v>29</v>
      </c>
      <c r="C1379" s="3" t="s">
        <v>30</v>
      </c>
      <c r="D1379" s="3" t="s">
        <v>63</v>
      </c>
      <c r="E1379" s="3" t="s">
        <v>74</v>
      </c>
      <c r="F1379" s="3" t="s">
        <v>252</v>
      </c>
      <c r="G1379" s="3">
        <v>2025</v>
      </c>
      <c r="H1379" s="3" t="str">
        <f>CONCATENATE("54240662244")</f>
        <v>54240662244</v>
      </c>
      <c r="I1379" s="3" t="s">
        <v>34</v>
      </c>
      <c r="J1379" s="3" t="s">
        <v>35</v>
      </c>
      <c r="K1379" s="3"/>
      <c r="L1379" s="3" t="s">
        <v>36</v>
      </c>
      <c r="M1379" s="3" t="str">
        <f>CONCATENATE("DNGSRG75P14A462S")</f>
        <v>DNGSRG75P14A462S</v>
      </c>
      <c r="N1379" s="3" t="s">
        <v>1507</v>
      </c>
      <c r="O1379" s="3" t="s">
        <v>38</v>
      </c>
      <c r="P1379" s="3"/>
      <c r="Q1379" s="4">
        <v>45944</v>
      </c>
      <c r="R1379" s="3" t="s">
        <v>39</v>
      </c>
      <c r="S1379" s="3" t="s">
        <v>38</v>
      </c>
      <c r="T1379" s="3" t="s">
        <v>40</v>
      </c>
      <c r="U1379" s="3"/>
      <c r="V1379" s="3" t="s">
        <v>41</v>
      </c>
      <c r="W1379" s="5">
        <v>9413.0499999999993</v>
      </c>
      <c r="X1379" s="5">
        <v>7059.79</v>
      </c>
      <c r="Y1379" s="5">
        <v>1647.28</v>
      </c>
      <c r="Z1379" s="3">
        <v>705.98</v>
      </c>
      <c r="AA1379" s="3">
        <v>0</v>
      </c>
    </row>
    <row r="1380" spans="1:27" ht="60.75" x14ac:dyDescent="0.25">
      <c r="A1380" s="3" t="s">
        <v>28</v>
      </c>
      <c r="B1380" s="3" t="s">
        <v>29</v>
      </c>
      <c r="C1380" s="3" t="s">
        <v>30</v>
      </c>
      <c r="D1380" s="3" t="s">
        <v>63</v>
      </c>
      <c r="E1380" s="3" t="s">
        <v>74</v>
      </c>
      <c r="F1380" s="3" t="s">
        <v>252</v>
      </c>
      <c r="G1380" s="3">
        <v>2025</v>
      </c>
      <c r="H1380" s="3" t="str">
        <f>CONCATENATE("54240662368")</f>
        <v>54240662368</v>
      </c>
      <c r="I1380" s="3" t="s">
        <v>34</v>
      </c>
      <c r="J1380" s="3" t="s">
        <v>35</v>
      </c>
      <c r="K1380" s="3"/>
      <c r="L1380" s="3" t="s">
        <v>36</v>
      </c>
      <c r="M1380" s="3" t="str">
        <f>CONCATENATE("CRBLGN60E22F570O")</f>
        <v>CRBLGN60E22F570O</v>
      </c>
      <c r="N1380" s="3" t="s">
        <v>1508</v>
      </c>
      <c r="O1380" s="3" t="s">
        <v>38</v>
      </c>
      <c r="P1380" s="3"/>
      <c r="Q1380" s="4">
        <v>45944</v>
      </c>
      <c r="R1380" s="3" t="s">
        <v>39</v>
      </c>
      <c r="S1380" s="3" t="s">
        <v>38</v>
      </c>
      <c r="T1380" s="3" t="s">
        <v>40</v>
      </c>
      <c r="U1380" s="3"/>
      <c r="V1380" s="3" t="s">
        <v>41</v>
      </c>
      <c r="W1380" s="5">
        <v>4771.33</v>
      </c>
      <c r="X1380" s="5">
        <v>3578.5</v>
      </c>
      <c r="Y1380" s="3">
        <v>834.98</v>
      </c>
      <c r="Z1380" s="3">
        <v>357.85</v>
      </c>
      <c r="AA1380" s="3">
        <v>0</v>
      </c>
    </row>
    <row r="1381" spans="1:27" ht="36.75" x14ac:dyDescent="0.25">
      <c r="A1381" s="3" t="s">
        <v>28</v>
      </c>
      <c r="B1381" s="3" t="s">
        <v>29</v>
      </c>
      <c r="C1381" s="3" t="s">
        <v>30</v>
      </c>
      <c r="D1381" s="3" t="s">
        <v>31</v>
      </c>
      <c r="E1381" s="3" t="s">
        <v>343</v>
      </c>
      <c r="F1381" s="3" t="s">
        <v>344</v>
      </c>
      <c r="G1381" s="3">
        <v>2025</v>
      </c>
      <c r="H1381" s="3" t="str">
        <f>CONCATENATE("54240662673")</f>
        <v>54240662673</v>
      </c>
      <c r="I1381" s="3" t="s">
        <v>34</v>
      </c>
      <c r="J1381" s="3" t="s">
        <v>35</v>
      </c>
      <c r="K1381" s="3"/>
      <c r="L1381" s="3" t="s">
        <v>36</v>
      </c>
      <c r="M1381" s="3" t="str">
        <f>CONCATENATE("02686380417")</f>
        <v>02686380417</v>
      </c>
      <c r="N1381" s="3" t="s">
        <v>1509</v>
      </c>
      <c r="O1381" s="3" t="s">
        <v>38</v>
      </c>
      <c r="P1381" s="3"/>
      <c r="Q1381" s="4">
        <v>45944</v>
      </c>
      <c r="R1381" s="3" t="s">
        <v>39</v>
      </c>
      <c r="S1381" s="3" t="s">
        <v>38</v>
      </c>
      <c r="T1381" s="3" t="s">
        <v>40</v>
      </c>
      <c r="U1381" s="3"/>
      <c r="V1381" s="3" t="s">
        <v>41</v>
      </c>
      <c r="W1381" s="5">
        <v>1355.92</v>
      </c>
      <c r="X1381" s="5">
        <v>1016.94</v>
      </c>
      <c r="Y1381" s="3">
        <v>237.29</v>
      </c>
      <c r="Z1381" s="3">
        <v>101.69</v>
      </c>
      <c r="AA1381" s="3">
        <v>0</v>
      </c>
    </row>
    <row r="1382" spans="1:27" ht="60.75" x14ac:dyDescent="0.25">
      <c r="A1382" s="3" t="s">
        <v>28</v>
      </c>
      <c r="B1382" s="3" t="s">
        <v>29</v>
      </c>
      <c r="C1382" s="3" t="s">
        <v>30</v>
      </c>
      <c r="D1382" s="3" t="s">
        <v>49</v>
      </c>
      <c r="E1382" s="3" t="s">
        <v>32</v>
      </c>
      <c r="F1382" s="3" t="s">
        <v>272</v>
      </c>
      <c r="G1382" s="3">
        <v>2025</v>
      </c>
      <c r="H1382" s="3" t="str">
        <f>CONCATENATE("54240512894")</f>
        <v>54240512894</v>
      </c>
      <c r="I1382" s="3" t="s">
        <v>34</v>
      </c>
      <c r="J1382" s="3" t="s">
        <v>35</v>
      </c>
      <c r="K1382" s="3"/>
      <c r="L1382" s="3" t="s">
        <v>36</v>
      </c>
      <c r="M1382" s="3" t="str">
        <f>CONCATENATE("CMPSNL48R68F567E")</f>
        <v>CMPSNL48R68F567E</v>
      </c>
      <c r="N1382" s="3" t="s">
        <v>1510</v>
      </c>
      <c r="O1382" s="3" t="s">
        <v>38</v>
      </c>
      <c r="P1382" s="3"/>
      <c r="Q1382" s="4">
        <v>45944</v>
      </c>
      <c r="R1382" s="3" t="s">
        <v>39</v>
      </c>
      <c r="S1382" s="3" t="s">
        <v>38</v>
      </c>
      <c r="T1382" s="3" t="s">
        <v>40</v>
      </c>
      <c r="U1382" s="3"/>
      <c r="V1382" s="3" t="s">
        <v>41</v>
      </c>
      <c r="W1382" s="5">
        <v>3415.82</v>
      </c>
      <c r="X1382" s="5">
        <v>2561.87</v>
      </c>
      <c r="Y1382" s="3">
        <v>597.77</v>
      </c>
      <c r="Z1382" s="3">
        <v>256.18</v>
      </c>
      <c r="AA1382" s="3">
        <v>0</v>
      </c>
    </row>
    <row r="1383" spans="1:27" ht="60.75" x14ac:dyDescent="0.25">
      <c r="A1383" s="3" t="s">
        <v>28</v>
      </c>
      <c r="B1383" s="3" t="s">
        <v>29</v>
      </c>
      <c r="C1383" s="3" t="s">
        <v>30</v>
      </c>
      <c r="D1383" s="3" t="s">
        <v>49</v>
      </c>
      <c r="E1383" s="3" t="s">
        <v>74</v>
      </c>
      <c r="F1383" s="3" t="s">
        <v>217</v>
      </c>
      <c r="G1383" s="3">
        <v>2025</v>
      </c>
      <c r="H1383" s="3" t="str">
        <f>CONCATENATE("54240513090")</f>
        <v>54240513090</v>
      </c>
      <c r="I1383" s="3" t="s">
        <v>34</v>
      </c>
      <c r="J1383" s="3" t="s">
        <v>35</v>
      </c>
      <c r="K1383" s="3"/>
      <c r="L1383" s="3" t="s">
        <v>36</v>
      </c>
      <c r="M1383" s="3" t="str">
        <f>CONCATENATE("PRNLRA04A46E783Q")</f>
        <v>PRNLRA04A46E783Q</v>
      </c>
      <c r="N1383" s="3" t="s">
        <v>1511</v>
      </c>
      <c r="O1383" s="3" t="s">
        <v>38</v>
      </c>
      <c r="P1383" s="3"/>
      <c r="Q1383" s="4">
        <v>45944</v>
      </c>
      <c r="R1383" s="3" t="s">
        <v>39</v>
      </c>
      <c r="S1383" s="3" t="s">
        <v>38</v>
      </c>
      <c r="T1383" s="3" t="s">
        <v>40</v>
      </c>
      <c r="U1383" s="3"/>
      <c r="V1383" s="3" t="s">
        <v>41</v>
      </c>
      <c r="W1383" s="5">
        <v>2953.72</v>
      </c>
      <c r="X1383" s="5">
        <v>2215.29</v>
      </c>
      <c r="Y1383" s="3">
        <v>516.9</v>
      </c>
      <c r="Z1383" s="3">
        <v>221.53</v>
      </c>
      <c r="AA1383" s="3">
        <v>0</v>
      </c>
    </row>
    <row r="1384" spans="1:27" ht="36.75" x14ac:dyDescent="0.25">
      <c r="A1384" s="3" t="s">
        <v>28</v>
      </c>
      <c r="B1384" s="3" t="s">
        <v>29</v>
      </c>
      <c r="C1384" s="3" t="s">
        <v>30</v>
      </c>
      <c r="D1384" s="3" t="s">
        <v>31</v>
      </c>
      <c r="E1384" s="3" t="s">
        <v>32</v>
      </c>
      <c r="F1384" s="3" t="s">
        <v>440</v>
      </c>
      <c r="G1384" s="3">
        <v>2025</v>
      </c>
      <c r="H1384" s="3" t="str">
        <f>CONCATENATE("54240512910")</f>
        <v>54240512910</v>
      </c>
      <c r="I1384" s="3" t="s">
        <v>34</v>
      </c>
      <c r="J1384" s="3" t="s">
        <v>35</v>
      </c>
      <c r="K1384" s="3"/>
      <c r="L1384" s="3" t="s">
        <v>36</v>
      </c>
      <c r="M1384" s="3" t="str">
        <f>CONCATENATE("00409240413")</f>
        <v>00409240413</v>
      </c>
      <c r="N1384" s="3" t="s">
        <v>1512</v>
      </c>
      <c r="O1384" s="3" t="s">
        <v>38</v>
      </c>
      <c r="P1384" s="3"/>
      <c r="Q1384" s="4">
        <v>45944</v>
      </c>
      <c r="R1384" s="3" t="s">
        <v>39</v>
      </c>
      <c r="S1384" s="3" t="s">
        <v>38</v>
      </c>
      <c r="T1384" s="3" t="s">
        <v>40</v>
      </c>
      <c r="U1384" s="3"/>
      <c r="V1384" s="3" t="s">
        <v>41</v>
      </c>
      <c r="W1384" s="5">
        <v>11302.11</v>
      </c>
      <c r="X1384" s="5">
        <v>8476.58</v>
      </c>
      <c r="Y1384" s="5">
        <v>1977.87</v>
      </c>
      <c r="Z1384" s="3">
        <v>847.66</v>
      </c>
      <c r="AA1384" s="3">
        <v>0</v>
      </c>
    </row>
    <row r="1385" spans="1:27" ht="72.75" x14ac:dyDescent="0.25">
      <c r="A1385" s="3" t="s">
        <v>28</v>
      </c>
      <c r="B1385" s="3" t="s">
        <v>29</v>
      </c>
      <c r="C1385" s="3" t="s">
        <v>30</v>
      </c>
      <c r="D1385" s="3" t="s">
        <v>58</v>
      </c>
      <c r="E1385" s="3" t="s">
        <v>53</v>
      </c>
      <c r="F1385" s="3" t="s">
        <v>123</v>
      </c>
      <c r="G1385" s="3">
        <v>2025</v>
      </c>
      <c r="H1385" s="3" t="str">
        <f>CONCATENATE("54240515111")</f>
        <v>54240515111</v>
      </c>
      <c r="I1385" s="3" t="s">
        <v>34</v>
      </c>
      <c r="J1385" s="3" t="s">
        <v>35</v>
      </c>
      <c r="K1385" s="3"/>
      <c r="L1385" s="3" t="s">
        <v>36</v>
      </c>
      <c r="M1385" s="3" t="str">
        <f>CONCATENATE("CRZGMR87H18E388F")</f>
        <v>CRZGMR87H18E388F</v>
      </c>
      <c r="N1385" s="3" t="s">
        <v>1513</v>
      </c>
      <c r="O1385" s="3" t="s">
        <v>38</v>
      </c>
      <c r="P1385" s="3"/>
      <c r="Q1385" s="4">
        <v>45944</v>
      </c>
      <c r="R1385" s="3" t="s">
        <v>39</v>
      </c>
      <c r="S1385" s="3" t="s">
        <v>38</v>
      </c>
      <c r="T1385" s="3" t="s">
        <v>40</v>
      </c>
      <c r="U1385" s="3"/>
      <c r="V1385" s="3" t="s">
        <v>41</v>
      </c>
      <c r="W1385" s="5">
        <v>12509.58</v>
      </c>
      <c r="X1385" s="5">
        <v>9382.19</v>
      </c>
      <c r="Y1385" s="5">
        <v>2189.1799999999998</v>
      </c>
      <c r="Z1385" s="3">
        <v>938.21</v>
      </c>
      <c r="AA1385" s="3">
        <v>0</v>
      </c>
    </row>
    <row r="1386" spans="1:27" ht="60.75" x14ac:dyDescent="0.25">
      <c r="A1386" s="3" t="s">
        <v>28</v>
      </c>
      <c r="B1386" s="3" t="s">
        <v>29</v>
      </c>
      <c r="C1386" s="3" t="s">
        <v>30</v>
      </c>
      <c r="D1386" s="3" t="s">
        <v>31</v>
      </c>
      <c r="E1386" s="3" t="s">
        <v>32</v>
      </c>
      <c r="F1386" s="3" t="s">
        <v>44</v>
      </c>
      <c r="G1386" s="3">
        <v>2025</v>
      </c>
      <c r="H1386" s="3" t="str">
        <f>CONCATENATE("54240514171")</f>
        <v>54240514171</v>
      </c>
      <c r="I1386" s="3" t="s">
        <v>34</v>
      </c>
      <c r="J1386" s="3" t="s">
        <v>35</v>
      </c>
      <c r="K1386" s="3"/>
      <c r="L1386" s="3" t="s">
        <v>36</v>
      </c>
      <c r="M1386" s="3" t="str">
        <f>CONCATENATE("BCCFRZ62A30A327P")</f>
        <v>BCCFRZ62A30A327P</v>
      </c>
      <c r="N1386" s="3" t="s">
        <v>1514</v>
      </c>
      <c r="O1386" s="3" t="s">
        <v>38</v>
      </c>
      <c r="P1386" s="3"/>
      <c r="Q1386" s="4">
        <v>45944</v>
      </c>
      <c r="R1386" s="3" t="s">
        <v>39</v>
      </c>
      <c r="S1386" s="3" t="s">
        <v>38</v>
      </c>
      <c r="T1386" s="3" t="s">
        <v>40</v>
      </c>
      <c r="U1386" s="3"/>
      <c r="V1386" s="3" t="s">
        <v>41</v>
      </c>
      <c r="W1386" s="5">
        <v>1613.23</v>
      </c>
      <c r="X1386" s="5">
        <v>1209.92</v>
      </c>
      <c r="Y1386" s="3">
        <v>282.32</v>
      </c>
      <c r="Z1386" s="3">
        <v>120.99</v>
      </c>
      <c r="AA1386" s="3">
        <v>0</v>
      </c>
    </row>
    <row r="1387" spans="1:27" ht="36.75" x14ac:dyDescent="0.25">
      <c r="A1387" s="3" t="s">
        <v>28</v>
      </c>
      <c r="B1387" s="3" t="s">
        <v>29</v>
      </c>
      <c r="C1387" s="3" t="s">
        <v>30</v>
      </c>
      <c r="D1387" s="3" t="s">
        <v>31</v>
      </c>
      <c r="E1387" s="3" t="s">
        <v>46</v>
      </c>
      <c r="F1387" s="3" t="s">
        <v>47</v>
      </c>
      <c r="G1387" s="3">
        <v>2025</v>
      </c>
      <c r="H1387" s="3" t="str">
        <f>CONCATENATE("54240514387")</f>
        <v>54240514387</v>
      </c>
      <c r="I1387" s="3" t="s">
        <v>34</v>
      </c>
      <c r="J1387" s="3" t="s">
        <v>35</v>
      </c>
      <c r="K1387" s="3"/>
      <c r="L1387" s="3" t="s">
        <v>36</v>
      </c>
      <c r="M1387" s="3" t="str">
        <f>CONCATENATE("02673600413")</f>
        <v>02673600413</v>
      </c>
      <c r="N1387" s="3" t="s">
        <v>1515</v>
      </c>
      <c r="O1387" s="3" t="s">
        <v>38</v>
      </c>
      <c r="P1387" s="3"/>
      <c r="Q1387" s="4">
        <v>45944</v>
      </c>
      <c r="R1387" s="3" t="s">
        <v>39</v>
      </c>
      <c r="S1387" s="3" t="s">
        <v>38</v>
      </c>
      <c r="T1387" s="3" t="s">
        <v>40</v>
      </c>
      <c r="U1387" s="3"/>
      <c r="V1387" s="3" t="s">
        <v>41</v>
      </c>
      <c r="W1387" s="5">
        <v>3529.55</v>
      </c>
      <c r="X1387" s="5">
        <v>2647.16</v>
      </c>
      <c r="Y1387" s="3">
        <v>617.66999999999996</v>
      </c>
      <c r="Z1387" s="3">
        <v>264.72000000000003</v>
      </c>
      <c r="AA1387" s="3">
        <v>0</v>
      </c>
    </row>
    <row r="1388" spans="1:27" ht="60.75" x14ac:dyDescent="0.25">
      <c r="A1388" s="3" t="s">
        <v>28</v>
      </c>
      <c r="B1388" s="3" t="s">
        <v>29</v>
      </c>
      <c r="C1388" s="3" t="s">
        <v>30</v>
      </c>
      <c r="D1388" s="3" t="s">
        <v>31</v>
      </c>
      <c r="E1388" s="3" t="s">
        <v>32</v>
      </c>
      <c r="F1388" s="3" t="s">
        <v>115</v>
      </c>
      <c r="G1388" s="3">
        <v>2025</v>
      </c>
      <c r="H1388" s="3" t="str">
        <f>CONCATENATE("54240514775")</f>
        <v>54240514775</v>
      </c>
      <c r="I1388" s="3" t="s">
        <v>149</v>
      </c>
      <c r="J1388" s="3" t="s">
        <v>35</v>
      </c>
      <c r="K1388" s="3"/>
      <c r="L1388" s="3" t="s">
        <v>36</v>
      </c>
      <c r="M1388" s="3" t="str">
        <f>CONCATENATE("MTTLVN48P48L500X")</f>
        <v>MTTLVN48P48L500X</v>
      </c>
      <c r="N1388" s="3" t="s">
        <v>1516</v>
      </c>
      <c r="O1388" s="3" t="s">
        <v>38</v>
      </c>
      <c r="P1388" s="3"/>
      <c r="Q1388" s="4">
        <v>45944</v>
      </c>
      <c r="R1388" s="3" t="s">
        <v>39</v>
      </c>
      <c r="S1388" s="3" t="s">
        <v>38</v>
      </c>
      <c r="T1388" s="3" t="s">
        <v>40</v>
      </c>
      <c r="U1388" s="3"/>
      <c r="V1388" s="3" t="s">
        <v>41</v>
      </c>
      <c r="W1388" s="3">
        <v>309.16000000000003</v>
      </c>
      <c r="X1388" s="3">
        <v>231.87</v>
      </c>
      <c r="Y1388" s="3">
        <v>54.1</v>
      </c>
      <c r="Z1388" s="3">
        <v>23.19</v>
      </c>
      <c r="AA1388" s="3">
        <v>0</v>
      </c>
    </row>
    <row r="1389" spans="1:27" ht="48.75" x14ac:dyDescent="0.25">
      <c r="A1389" s="3" t="s">
        <v>28</v>
      </c>
      <c r="B1389" s="3" t="s">
        <v>29</v>
      </c>
      <c r="C1389" s="3" t="s">
        <v>30</v>
      </c>
      <c r="D1389" s="3" t="s">
        <v>63</v>
      </c>
      <c r="E1389" s="3" t="s">
        <v>32</v>
      </c>
      <c r="F1389" s="3" t="s">
        <v>142</v>
      </c>
      <c r="G1389" s="3">
        <v>2025</v>
      </c>
      <c r="H1389" s="3" t="str">
        <f>CONCATENATE("54240514577")</f>
        <v>54240514577</v>
      </c>
      <c r="I1389" s="3" t="s">
        <v>34</v>
      </c>
      <c r="J1389" s="3" t="s">
        <v>35</v>
      </c>
      <c r="K1389" s="3"/>
      <c r="L1389" s="3" t="s">
        <v>36</v>
      </c>
      <c r="M1389" s="3" t="str">
        <f>CONCATENATE("CRLPIO58S27F415Y")</f>
        <v>CRLPIO58S27F415Y</v>
      </c>
      <c r="N1389" s="3" t="s">
        <v>1517</v>
      </c>
      <c r="O1389" s="3" t="s">
        <v>38</v>
      </c>
      <c r="P1389" s="3"/>
      <c r="Q1389" s="4">
        <v>45944</v>
      </c>
      <c r="R1389" s="3" t="s">
        <v>39</v>
      </c>
      <c r="S1389" s="3" t="s">
        <v>38</v>
      </c>
      <c r="T1389" s="3" t="s">
        <v>40</v>
      </c>
      <c r="U1389" s="3"/>
      <c r="V1389" s="3" t="s">
        <v>41</v>
      </c>
      <c r="W1389" s="5">
        <v>4478.05</v>
      </c>
      <c r="X1389" s="5">
        <v>3358.54</v>
      </c>
      <c r="Y1389" s="3">
        <v>783.66</v>
      </c>
      <c r="Z1389" s="3">
        <v>335.85</v>
      </c>
      <c r="AA1389" s="3">
        <v>0</v>
      </c>
    </row>
    <row r="1390" spans="1:27" ht="36.75" x14ac:dyDescent="0.25">
      <c r="A1390" s="3" t="s">
        <v>28</v>
      </c>
      <c r="B1390" s="3" t="s">
        <v>29</v>
      </c>
      <c r="C1390" s="3" t="s">
        <v>30</v>
      </c>
      <c r="D1390" s="3" t="s">
        <v>31</v>
      </c>
      <c r="E1390" s="3" t="s">
        <v>32</v>
      </c>
      <c r="F1390" s="3" t="s">
        <v>153</v>
      </c>
      <c r="G1390" s="3">
        <v>2025</v>
      </c>
      <c r="H1390" s="3" t="str">
        <f>CONCATENATE("54240516762")</f>
        <v>54240516762</v>
      </c>
      <c r="I1390" s="3" t="s">
        <v>34</v>
      </c>
      <c r="J1390" s="3" t="s">
        <v>35</v>
      </c>
      <c r="K1390" s="3"/>
      <c r="L1390" s="3" t="s">
        <v>36</v>
      </c>
      <c r="M1390" s="3" t="str">
        <f>CONCATENATE("02577080415")</f>
        <v>02577080415</v>
      </c>
      <c r="N1390" s="3" t="s">
        <v>1518</v>
      </c>
      <c r="O1390" s="3" t="s">
        <v>38</v>
      </c>
      <c r="P1390" s="3"/>
      <c r="Q1390" s="4">
        <v>45944</v>
      </c>
      <c r="R1390" s="3" t="s">
        <v>39</v>
      </c>
      <c r="S1390" s="3" t="s">
        <v>38</v>
      </c>
      <c r="T1390" s="3" t="s">
        <v>40</v>
      </c>
      <c r="U1390" s="3"/>
      <c r="V1390" s="3" t="s">
        <v>41</v>
      </c>
      <c r="W1390" s="5">
        <v>11017.2</v>
      </c>
      <c r="X1390" s="5">
        <v>8262.9</v>
      </c>
      <c r="Y1390" s="5">
        <v>1928.01</v>
      </c>
      <c r="Z1390" s="3">
        <v>826.29</v>
      </c>
      <c r="AA1390" s="3">
        <v>0</v>
      </c>
    </row>
    <row r="1391" spans="1:27" ht="60.75" x14ac:dyDescent="0.25">
      <c r="A1391" s="3" t="s">
        <v>28</v>
      </c>
      <c r="B1391" s="3" t="s">
        <v>29</v>
      </c>
      <c r="C1391" s="3" t="s">
        <v>30</v>
      </c>
      <c r="D1391" s="3" t="s">
        <v>58</v>
      </c>
      <c r="E1391" s="3" t="s">
        <v>91</v>
      </c>
      <c r="F1391" s="3" t="s">
        <v>106</v>
      </c>
      <c r="G1391" s="3">
        <v>2025</v>
      </c>
      <c r="H1391" s="3" t="str">
        <f>CONCATENATE("54240515905")</f>
        <v>54240515905</v>
      </c>
      <c r="I1391" s="3" t="s">
        <v>34</v>
      </c>
      <c r="J1391" s="3" t="s">
        <v>35</v>
      </c>
      <c r="K1391" s="3"/>
      <c r="L1391" s="3" t="s">
        <v>36</v>
      </c>
      <c r="M1391" s="3" t="str">
        <f>CONCATENATE("CNSFPP59S07D969Z")</f>
        <v>CNSFPP59S07D969Z</v>
      </c>
      <c r="N1391" s="3" t="s">
        <v>1519</v>
      </c>
      <c r="O1391" s="3" t="s">
        <v>38</v>
      </c>
      <c r="P1391" s="3"/>
      <c r="Q1391" s="4">
        <v>45944</v>
      </c>
      <c r="R1391" s="3" t="s">
        <v>39</v>
      </c>
      <c r="S1391" s="3" t="s">
        <v>38</v>
      </c>
      <c r="T1391" s="3" t="s">
        <v>40</v>
      </c>
      <c r="U1391" s="3"/>
      <c r="V1391" s="3" t="s">
        <v>41</v>
      </c>
      <c r="W1391" s="5">
        <v>10236.09</v>
      </c>
      <c r="X1391" s="5">
        <v>7677.07</v>
      </c>
      <c r="Y1391" s="5">
        <v>1791.32</v>
      </c>
      <c r="Z1391" s="3">
        <v>767.7</v>
      </c>
      <c r="AA1391" s="3">
        <v>0</v>
      </c>
    </row>
    <row r="1392" spans="1:27" ht="72.75" x14ac:dyDescent="0.25">
      <c r="A1392" s="3" t="s">
        <v>28</v>
      </c>
      <c r="B1392" s="3" t="s">
        <v>29</v>
      </c>
      <c r="C1392" s="3" t="s">
        <v>30</v>
      </c>
      <c r="D1392" s="3" t="s">
        <v>49</v>
      </c>
      <c r="E1392" s="3" t="s">
        <v>46</v>
      </c>
      <c r="F1392" s="3" t="s">
        <v>131</v>
      </c>
      <c r="G1392" s="3">
        <v>2025</v>
      </c>
      <c r="H1392" s="3" t="str">
        <f>CONCATENATE("54240516523")</f>
        <v>54240516523</v>
      </c>
      <c r="I1392" s="3" t="s">
        <v>34</v>
      </c>
      <c r="J1392" s="3" t="s">
        <v>35</v>
      </c>
      <c r="K1392" s="3"/>
      <c r="L1392" s="3" t="s">
        <v>36</v>
      </c>
      <c r="M1392" s="3" t="str">
        <f>CONCATENATE("NDRMSM73E09H501H")</f>
        <v>NDRMSM73E09H501H</v>
      </c>
      <c r="N1392" s="3" t="s">
        <v>1520</v>
      </c>
      <c r="O1392" s="3" t="s">
        <v>38</v>
      </c>
      <c r="P1392" s="3"/>
      <c r="Q1392" s="4">
        <v>45944</v>
      </c>
      <c r="R1392" s="3" t="s">
        <v>39</v>
      </c>
      <c r="S1392" s="3" t="s">
        <v>38</v>
      </c>
      <c r="T1392" s="3" t="s">
        <v>40</v>
      </c>
      <c r="U1392" s="3"/>
      <c r="V1392" s="3" t="s">
        <v>41</v>
      </c>
      <c r="W1392" s="5">
        <v>1739.73</v>
      </c>
      <c r="X1392" s="5">
        <v>1304.8</v>
      </c>
      <c r="Y1392" s="3">
        <v>304.45</v>
      </c>
      <c r="Z1392" s="3">
        <v>130.47999999999999</v>
      </c>
      <c r="AA1392" s="3">
        <v>0</v>
      </c>
    </row>
    <row r="1393" spans="1:27" ht="60.75" x14ac:dyDescent="0.25">
      <c r="A1393" s="3" t="s">
        <v>28</v>
      </c>
      <c r="B1393" s="3" t="s">
        <v>29</v>
      </c>
      <c r="C1393" s="3" t="s">
        <v>30</v>
      </c>
      <c r="D1393" s="3" t="s">
        <v>58</v>
      </c>
      <c r="E1393" s="3" t="s">
        <v>46</v>
      </c>
      <c r="F1393" s="3" t="s">
        <v>131</v>
      </c>
      <c r="G1393" s="3">
        <v>2025</v>
      </c>
      <c r="H1393" s="3" t="str">
        <f>CONCATENATE("54240519998")</f>
        <v>54240519998</v>
      </c>
      <c r="I1393" s="3" t="s">
        <v>34</v>
      </c>
      <c r="J1393" s="3" t="s">
        <v>35</v>
      </c>
      <c r="K1393" s="3"/>
      <c r="L1393" s="3" t="s">
        <v>36</v>
      </c>
      <c r="M1393" s="3" t="str">
        <f>CONCATENATE("BSSLNE66E57L682A")</f>
        <v>BSSLNE66E57L682A</v>
      </c>
      <c r="N1393" s="3" t="s">
        <v>1521</v>
      </c>
      <c r="O1393" s="3" t="s">
        <v>38</v>
      </c>
      <c r="P1393" s="3"/>
      <c r="Q1393" s="4">
        <v>45944</v>
      </c>
      <c r="R1393" s="3" t="s">
        <v>39</v>
      </c>
      <c r="S1393" s="3" t="s">
        <v>38</v>
      </c>
      <c r="T1393" s="3" t="s">
        <v>40</v>
      </c>
      <c r="U1393" s="3"/>
      <c r="V1393" s="3" t="s">
        <v>41</v>
      </c>
      <c r="W1393" s="5">
        <v>1162.6300000000001</v>
      </c>
      <c r="X1393" s="3">
        <v>871.97</v>
      </c>
      <c r="Y1393" s="3">
        <v>203.46</v>
      </c>
      <c r="Z1393" s="3">
        <v>87.2</v>
      </c>
      <c r="AA1393" s="3">
        <v>0</v>
      </c>
    </row>
    <row r="1394" spans="1:27" ht="60.75" x14ac:dyDescent="0.25">
      <c r="A1394" s="3" t="s">
        <v>28</v>
      </c>
      <c r="B1394" s="3" t="s">
        <v>29</v>
      </c>
      <c r="C1394" s="3" t="s">
        <v>30</v>
      </c>
      <c r="D1394" s="3" t="s">
        <v>49</v>
      </c>
      <c r="E1394" s="3" t="s">
        <v>46</v>
      </c>
      <c r="F1394" s="3" t="s">
        <v>131</v>
      </c>
      <c r="G1394" s="3">
        <v>2025</v>
      </c>
      <c r="H1394" s="3" t="str">
        <f>CONCATENATE("54240516549")</f>
        <v>54240516549</v>
      </c>
      <c r="I1394" s="3" t="s">
        <v>34</v>
      </c>
      <c r="J1394" s="3" t="s">
        <v>35</v>
      </c>
      <c r="K1394" s="3"/>
      <c r="L1394" s="3" t="s">
        <v>36</v>
      </c>
      <c r="M1394" s="3" t="str">
        <f>CONCATENATE("CCCFNC67P11I156P")</f>
        <v>CCCFNC67P11I156P</v>
      </c>
      <c r="N1394" s="3" t="s">
        <v>1522</v>
      </c>
      <c r="O1394" s="3" t="s">
        <v>38</v>
      </c>
      <c r="P1394" s="3"/>
      <c r="Q1394" s="4">
        <v>45944</v>
      </c>
      <c r="R1394" s="3" t="s">
        <v>39</v>
      </c>
      <c r="S1394" s="3" t="s">
        <v>38</v>
      </c>
      <c r="T1394" s="3" t="s">
        <v>40</v>
      </c>
      <c r="U1394" s="3"/>
      <c r="V1394" s="3" t="s">
        <v>41</v>
      </c>
      <c r="W1394" s="5">
        <v>1924.36</v>
      </c>
      <c r="X1394" s="5">
        <v>1443.27</v>
      </c>
      <c r="Y1394" s="3">
        <v>336.76</v>
      </c>
      <c r="Z1394" s="3">
        <v>144.33000000000001</v>
      </c>
      <c r="AA1394" s="3">
        <v>0</v>
      </c>
    </row>
    <row r="1395" spans="1:27" ht="60.75" x14ac:dyDescent="0.25">
      <c r="A1395" s="3" t="s">
        <v>28</v>
      </c>
      <c r="B1395" s="3" t="s">
        <v>29</v>
      </c>
      <c r="C1395" s="3" t="s">
        <v>30</v>
      </c>
      <c r="D1395" s="3" t="s">
        <v>49</v>
      </c>
      <c r="E1395" s="3" t="s">
        <v>46</v>
      </c>
      <c r="F1395" s="3" t="s">
        <v>131</v>
      </c>
      <c r="G1395" s="3">
        <v>2025</v>
      </c>
      <c r="H1395" s="3" t="str">
        <f>CONCATENATE("54240516598")</f>
        <v>54240516598</v>
      </c>
      <c r="I1395" s="3" t="s">
        <v>34</v>
      </c>
      <c r="J1395" s="3" t="s">
        <v>35</v>
      </c>
      <c r="K1395" s="3"/>
      <c r="L1395" s="3" t="s">
        <v>36</v>
      </c>
      <c r="M1395" s="3" t="str">
        <f>CONCATENATE("FBALRD90R07I156H")</f>
        <v>FBALRD90R07I156H</v>
      </c>
      <c r="N1395" s="3" t="s">
        <v>1523</v>
      </c>
      <c r="O1395" s="3" t="s">
        <v>38</v>
      </c>
      <c r="P1395" s="3"/>
      <c r="Q1395" s="4">
        <v>45944</v>
      </c>
      <c r="R1395" s="3" t="s">
        <v>39</v>
      </c>
      <c r="S1395" s="3" t="s">
        <v>38</v>
      </c>
      <c r="T1395" s="3" t="s">
        <v>40</v>
      </c>
      <c r="U1395" s="3"/>
      <c r="V1395" s="3" t="s">
        <v>41</v>
      </c>
      <c r="W1395" s="3">
        <v>742.39</v>
      </c>
      <c r="X1395" s="3">
        <v>556.79</v>
      </c>
      <c r="Y1395" s="3">
        <v>129.91999999999999</v>
      </c>
      <c r="Z1395" s="3">
        <v>55.68</v>
      </c>
      <c r="AA1395" s="3">
        <v>0</v>
      </c>
    </row>
    <row r="1396" spans="1:27" ht="60.75" x14ac:dyDescent="0.25">
      <c r="A1396" s="3" t="s">
        <v>28</v>
      </c>
      <c r="B1396" s="3" t="s">
        <v>29</v>
      </c>
      <c r="C1396" s="3" t="s">
        <v>30</v>
      </c>
      <c r="D1396" s="3" t="s">
        <v>49</v>
      </c>
      <c r="E1396" s="3" t="s">
        <v>46</v>
      </c>
      <c r="F1396" s="3" t="s">
        <v>131</v>
      </c>
      <c r="G1396" s="3">
        <v>2025</v>
      </c>
      <c r="H1396" s="3" t="str">
        <f>CONCATENATE("54240517448")</f>
        <v>54240517448</v>
      </c>
      <c r="I1396" s="3" t="s">
        <v>34</v>
      </c>
      <c r="J1396" s="3" t="s">
        <v>35</v>
      </c>
      <c r="K1396" s="3"/>
      <c r="L1396" s="3" t="s">
        <v>36</v>
      </c>
      <c r="M1396" s="3" t="str">
        <f>CONCATENATE("PLMFPP95D10I156O")</f>
        <v>PLMFPP95D10I156O</v>
      </c>
      <c r="N1396" s="3" t="s">
        <v>1524</v>
      </c>
      <c r="O1396" s="3" t="s">
        <v>38</v>
      </c>
      <c r="P1396" s="3"/>
      <c r="Q1396" s="4">
        <v>45944</v>
      </c>
      <c r="R1396" s="3" t="s">
        <v>39</v>
      </c>
      <c r="S1396" s="3" t="s">
        <v>38</v>
      </c>
      <c r="T1396" s="3" t="s">
        <v>40</v>
      </c>
      <c r="U1396" s="3"/>
      <c r="V1396" s="3" t="s">
        <v>41</v>
      </c>
      <c r="W1396" s="5">
        <v>1181.19</v>
      </c>
      <c r="X1396" s="3">
        <v>885.89</v>
      </c>
      <c r="Y1396" s="3">
        <v>206.71</v>
      </c>
      <c r="Z1396" s="3">
        <v>88.59</v>
      </c>
      <c r="AA1396" s="3">
        <v>0</v>
      </c>
    </row>
    <row r="1397" spans="1:27" ht="60.75" x14ac:dyDescent="0.25">
      <c r="A1397" s="3" t="s">
        <v>28</v>
      </c>
      <c r="B1397" s="3" t="s">
        <v>29</v>
      </c>
      <c r="C1397" s="3" t="s">
        <v>30</v>
      </c>
      <c r="D1397" s="3" t="s">
        <v>31</v>
      </c>
      <c r="E1397" s="3" t="s">
        <v>46</v>
      </c>
      <c r="F1397" s="3" t="s">
        <v>108</v>
      </c>
      <c r="G1397" s="3">
        <v>2025</v>
      </c>
      <c r="H1397" s="3" t="str">
        <f>CONCATENATE("54240516887")</f>
        <v>54240516887</v>
      </c>
      <c r="I1397" s="3" t="s">
        <v>34</v>
      </c>
      <c r="J1397" s="3" t="s">
        <v>35</v>
      </c>
      <c r="K1397" s="3"/>
      <c r="L1397" s="3" t="s">
        <v>36</v>
      </c>
      <c r="M1397" s="3" t="str">
        <f>CONCATENATE("RSTGNI45B22E743X")</f>
        <v>RSTGNI45B22E743X</v>
      </c>
      <c r="N1397" s="3" t="s">
        <v>1525</v>
      </c>
      <c r="O1397" s="3" t="s">
        <v>38</v>
      </c>
      <c r="P1397" s="3"/>
      <c r="Q1397" s="4">
        <v>45944</v>
      </c>
      <c r="R1397" s="3" t="s">
        <v>39</v>
      </c>
      <c r="S1397" s="3" t="s">
        <v>38</v>
      </c>
      <c r="T1397" s="3" t="s">
        <v>40</v>
      </c>
      <c r="U1397" s="3"/>
      <c r="V1397" s="3" t="s">
        <v>41</v>
      </c>
      <c r="W1397" s="5">
        <v>6048.87</v>
      </c>
      <c r="X1397" s="5">
        <v>4536.6499999999996</v>
      </c>
      <c r="Y1397" s="5">
        <v>1058.55</v>
      </c>
      <c r="Z1397" s="3">
        <v>453.67</v>
      </c>
      <c r="AA1397" s="3">
        <v>0</v>
      </c>
    </row>
    <row r="1398" spans="1:27" ht="36.75" x14ac:dyDescent="0.25">
      <c r="A1398" s="3" t="s">
        <v>28</v>
      </c>
      <c r="B1398" s="3" t="s">
        <v>29</v>
      </c>
      <c r="C1398" s="3" t="s">
        <v>30</v>
      </c>
      <c r="D1398" s="3" t="s">
        <v>31</v>
      </c>
      <c r="E1398" s="3" t="s">
        <v>46</v>
      </c>
      <c r="F1398" s="3" t="s">
        <v>47</v>
      </c>
      <c r="G1398" s="3">
        <v>2025</v>
      </c>
      <c r="H1398" s="3" t="str">
        <f>CONCATENATE("54240517059")</f>
        <v>54240517059</v>
      </c>
      <c r="I1398" s="3" t="s">
        <v>34</v>
      </c>
      <c r="J1398" s="3" t="s">
        <v>35</v>
      </c>
      <c r="K1398" s="3"/>
      <c r="L1398" s="3" t="s">
        <v>36</v>
      </c>
      <c r="M1398" s="3" t="str">
        <f>CONCATENATE("02615600414")</f>
        <v>02615600414</v>
      </c>
      <c r="N1398" s="3" t="s">
        <v>1526</v>
      </c>
      <c r="O1398" s="3" t="s">
        <v>38</v>
      </c>
      <c r="P1398" s="3"/>
      <c r="Q1398" s="4">
        <v>45944</v>
      </c>
      <c r="R1398" s="3" t="s">
        <v>39</v>
      </c>
      <c r="S1398" s="3" t="s">
        <v>38</v>
      </c>
      <c r="T1398" s="3" t="s">
        <v>40</v>
      </c>
      <c r="U1398" s="3"/>
      <c r="V1398" s="3" t="s">
        <v>41</v>
      </c>
      <c r="W1398" s="5">
        <v>19707.03</v>
      </c>
      <c r="X1398" s="5">
        <v>14780.27</v>
      </c>
      <c r="Y1398" s="5">
        <v>3448.73</v>
      </c>
      <c r="Z1398" s="5">
        <v>1478.03</v>
      </c>
      <c r="AA1398" s="3">
        <v>0</v>
      </c>
    </row>
    <row r="1399" spans="1:27" ht="60.75" x14ac:dyDescent="0.25">
      <c r="A1399" s="3" t="s">
        <v>28</v>
      </c>
      <c r="B1399" s="3" t="s">
        <v>29</v>
      </c>
      <c r="C1399" s="3" t="s">
        <v>30</v>
      </c>
      <c r="D1399" s="3" t="s">
        <v>31</v>
      </c>
      <c r="E1399" s="3" t="s">
        <v>32</v>
      </c>
      <c r="F1399" s="3" t="s">
        <v>56</v>
      </c>
      <c r="G1399" s="3">
        <v>2025</v>
      </c>
      <c r="H1399" s="3" t="str">
        <f>CONCATENATE("54240517000")</f>
        <v>54240517000</v>
      </c>
      <c r="I1399" s="3" t="s">
        <v>34</v>
      </c>
      <c r="J1399" s="3" t="s">
        <v>35</v>
      </c>
      <c r="K1399" s="3"/>
      <c r="L1399" s="3" t="s">
        <v>36</v>
      </c>
      <c r="M1399" s="3" t="str">
        <f>CONCATENATE("DLLLCU93A16C265V")</f>
        <v>DLLLCU93A16C265V</v>
      </c>
      <c r="N1399" s="3" t="s">
        <v>1527</v>
      </c>
      <c r="O1399" s="3" t="s">
        <v>38</v>
      </c>
      <c r="P1399" s="3"/>
      <c r="Q1399" s="4">
        <v>45944</v>
      </c>
      <c r="R1399" s="3" t="s">
        <v>39</v>
      </c>
      <c r="S1399" s="3" t="s">
        <v>38</v>
      </c>
      <c r="T1399" s="3" t="s">
        <v>40</v>
      </c>
      <c r="U1399" s="3"/>
      <c r="V1399" s="3" t="s">
        <v>41</v>
      </c>
      <c r="W1399" s="5">
        <v>3808.4</v>
      </c>
      <c r="X1399" s="5">
        <v>2856.3</v>
      </c>
      <c r="Y1399" s="3">
        <v>666.47</v>
      </c>
      <c r="Z1399" s="3">
        <v>285.63</v>
      </c>
      <c r="AA1399" s="3">
        <v>0</v>
      </c>
    </row>
    <row r="1400" spans="1:27" ht="36.75" x14ac:dyDescent="0.25">
      <c r="A1400" s="3" t="s">
        <v>28</v>
      </c>
      <c r="B1400" s="3" t="s">
        <v>29</v>
      </c>
      <c r="C1400" s="3" t="s">
        <v>30</v>
      </c>
      <c r="D1400" s="3" t="s">
        <v>49</v>
      </c>
      <c r="E1400" s="3" t="s">
        <v>46</v>
      </c>
      <c r="F1400" s="3" t="s">
        <v>131</v>
      </c>
      <c r="G1400" s="3">
        <v>2025</v>
      </c>
      <c r="H1400" s="3" t="str">
        <f>CONCATENATE("54240517307")</f>
        <v>54240517307</v>
      </c>
      <c r="I1400" s="3" t="s">
        <v>34</v>
      </c>
      <c r="J1400" s="3" t="s">
        <v>35</v>
      </c>
      <c r="K1400" s="3"/>
      <c r="L1400" s="3" t="s">
        <v>36</v>
      </c>
      <c r="M1400" s="3" t="str">
        <f>CONCATENATE("01597000437")</f>
        <v>01597000437</v>
      </c>
      <c r="N1400" s="3" t="s">
        <v>1528</v>
      </c>
      <c r="O1400" s="3" t="s">
        <v>38</v>
      </c>
      <c r="P1400" s="3"/>
      <c r="Q1400" s="4">
        <v>45944</v>
      </c>
      <c r="R1400" s="3" t="s">
        <v>39</v>
      </c>
      <c r="S1400" s="3" t="s">
        <v>38</v>
      </c>
      <c r="T1400" s="3" t="s">
        <v>40</v>
      </c>
      <c r="U1400" s="3"/>
      <c r="V1400" s="3" t="s">
        <v>41</v>
      </c>
      <c r="W1400" s="5">
        <v>17976.38</v>
      </c>
      <c r="X1400" s="5">
        <v>13482.29</v>
      </c>
      <c r="Y1400" s="5">
        <v>3145.87</v>
      </c>
      <c r="Z1400" s="5">
        <v>1348.22</v>
      </c>
      <c r="AA1400" s="3">
        <v>0</v>
      </c>
    </row>
    <row r="1401" spans="1:27" ht="60.75" x14ac:dyDescent="0.25">
      <c r="A1401" s="3" t="s">
        <v>28</v>
      </c>
      <c r="B1401" s="3" t="s">
        <v>29</v>
      </c>
      <c r="C1401" s="3" t="s">
        <v>30</v>
      </c>
      <c r="D1401" s="3" t="s">
        <v>31</v>
      </c>
      <c r="E1401" s="3" t="s">
        <v>46</v>
      </c>
      <c r="F1401" s="3" t="s">
        <v>47</v>
      </c>
      <c r="G1401" s="3">
        <v>2025</v>
      </c>
      <c r="H1401" s="3" t="str">
        <f>CONCATENATE("54240517414")</f>
        <v>54240517414</v>
      </c>
      <c r="I1401" s="3" t="s">
        <v>34</v>
      </c>
      <c r="J1401" s="3" t="s">
        <v>35</v>
      </c>
      <c r="K1401" s="3"/>
      <c r="L1401" s="3" t="s">
        <v>36</v>
      </c>
      <c r="M1401" s="3" t="str">
        <f>CONCATENATE("DNRNAA73D45Z611X")</f>
        <v>DNRNAA73D45Z611X</v>
      </c>
      <c r="N1401" s="3" t="s">
        <v>1529</v>
      </c>
      <c r="O1401" s="3" t="s">
        <v>38</v>
      </c>
      <c r="P1401" s="3"/>
      <c r="Q1401" s="4">
        <v>45944</v>
      </c>
      <c r="R1401" s="3" t="s">
        <v>39</v>
      </c>
      <c r="S1401" s="3" t="s">
        <v>38</v>
      </c>
      <c r="T1401" s="3" t="s">
        <v>40</v>
      </c>
      <c r="U1401" s="3"/>
      <c r="V1401" s="3" t="s">
        <v>41</v>
      </c>
      <c r="W1401" s="5">
        <v>1464.47</v>
      </c>
      <c r="X1401" s="5">
        <v>1098.3499999999999</v>
      </c>
      <c r="Y1401" s="3">
        <v>256.27999999999997</v>
      </c>
      <c r="Z1401" s="3">
        <v>109.84</v>
      </c>
      <c r="AA1401" s="3">
        <v>0</v>
      </c>
    </row>
    <row r="1402" spans="1:27" ht="60.75" x14ac:dyDescent="0.25">
      <c r="A1402" s="3" t="s">
        <v>28</v>
      </c>
      <c r="B1402" s="3" t="s">
        <v>29</v>
      </c>
      <c r="C1402" s="3" t="s">
        <v>30</v>
      </c>
      <c r="D1402" s="3" t="s">
        <v>49</v>
      </c>
      <c r="E1402" s="3" t="s">
        <v>32</v>
      </c>
      <c r="F1402" s="3" t="s">
        <v>86</v>
      </c>
      <c r="G1402" s="3">
        <v>2025</v>
      </c>
      <c r="H1402" s="3" t="str">
        <f>CONCATENATE("54240517679")</f>
        <v>54240517679</v>
      </c>
      <c r="I1402" s="3" t="s">
        <v>34</v>
      </c>
      <c r="J1402" s="3" t="s">
        <v>35</v>
      </c>
      <c r="K1402" s="3"/>
      <c r="L1402" s="3" t="s">
        <v>36</v>
      </c>
      <c r="M1402" s="3" t="str">
        <f>CONCATENATE("NBLCNZ73S59I156C")</f>
        <v>NBLCNZ73S59I156C</v>
      </c>
      <c r="N1402" s="3" t="s">
        <v>1530</v>
      </c>
      <c r="O1402" s="3" t="s">
        <v>38</v>
      </c>
      <c r="P1402" s="3"/>
      <c r="Q1402" s="4">
        <v>45944</v>
      </c>
      <c r="R1402" s="3" t="s">
        <v>39</v>
      </c>
      <c r="S1402" s="3" t="s">
        <v>38</v>
      </c>
      <c r="T1402" s="3" t="s">
        <v>40</v>
      </c>
      <c r="U1402" s="3"/>
      <c r="V1402" s="3" t="s">
        <v>41</v>
      </c>
      <c r="W1402" s="5">
        <v>7436.23</v>
      </c>
      <c r="X1402" s="5">
        <v>5577.17</v>
      </c>
      <c r="Y1402" s="5">
        <v>1301.3399999999999</v>
      </c>
      <c r="Z1402" s="3">
        <v>557.72</v>
      </c>
      <c r="AA1402" s="3">
        <v>0</v>
      </c>
    </row>
    <row r="1403" spans="1:27" ht="36.75" x14ac:dyDescent="0.25">
      <c r="A1403" s="3" t="s">
        <v>28</v>
      </c>
      <c r="B1403" s="3" t="s">
        <v>29</v>
      </c>
      <c r="C1403" s="3" t="s">
        <v>30</v>
      </c>
      <c r="D1403" s="3" t="s">
        <v>49</v>
      </c>
      <c r="E1403" s="3" t="s">
        <v>46</v>
      </c>
      <c r="F1403" s="3" t="s">
        <v>140</v>
      </c>
      <c r="G1403" s="3">
        <v>2025</v>
      </c>
      <c r="H1403" s="3" t="str">
        <f>CONCATENATE("54240517505")</f>
        <v>54240517505</v>
      </c>
      <c r="I1403" s="3" t="s">
        <v>34</v>
      </c>
      <c r="J1403" s="3" t="s">
        <v>35</v>
      </c>
      <c r="K1403" s="3"/>
      <c r="L1403" s="3" t="s">
        <v>36</v>
      </c>
      <c r="M1403" s="3" t="str">
        <f>CONCATENATE("01976990430")</f>
        <v>01976990430</v>
      </c>
      <c r="N1403" s="3" t="s">
        <v>1531</v>
      </c>
      <c r="O1403" s="3" t="s">
        <v>38</v>
      </c>
      <c r="P1403" s="3"/>
      <c r="Q1403" s="4">
        <v>45944</v>
      </c>
      <c r="R1403" s="3" t="s">
        <v>39</v>
      </c>
      <c r="S1403" s="3" t="s">
        <v>38</v>
      </c>
      <c r="T1403" s="3" t="s">
        <v>40</v>
      </c>
      <c r="U1403" s="3"/>
      <c r="V1403" s="3" t="s">
        <v>41</v>
      </c>
      <c r="W1403" s="5">
        <v>4442.91</v>
      </c>
      <c r="X1403" s="5">
        <v>3332.18</v>
      </c>
      <c r="Y1403" s="3">
        <v>777.51</v>
      </c>
      <c r="Z1403" s="3">
        <v>333.22</v>
      </c>
      <c r="AA1403" s="3">
        <v>0</v>
      </c>
    </row>
    <row r="1404" spans="1:27" ht="36.75" x14ac:dyDescent="0.25">
      <c r="A1404" s="3" t="s">
        <v>28</v>
      </c>
      <c r="B1404" s="3" t="s">
        <v>29</v>
      </c>
      <c r="C1404" s="3" t="s">
        <v>30</v>
      </c>
      <c r="D1404" s="3" t="s">
        <v>31</v>
      </c>
      <c r="E1404" s="3" t="s">
        <v>46</v>
      </c>
      <c r="F1404" s="3" t="s">
        <v>108</v>
      </c>
      <c r="G1404" s="3">
        <v>2025</v>
      </c>
      <c r="H1404" s="3" t="str">
        <f>CONCATENATE("54240517786")</f>
        <v>54240517786</v>
      </c>
      <c r="I1404" s="3" t="s">
        <v>34</v>
      </c>
      <c r="J1404" s="3" t="s">
        <v>35</v>
      </c>
      <c r="K1404" s="3"/>
      <c r="L1404" s="3" t="s">
        <v>36</v>
      </c>
      <c r="M1404" s="3" t="str">
        <f>CONCATENATE("01383860416")</f>
        <v>01383860416</v>
      </c>
      <c r="N1404" s="3" t="s">
        <v>1532</v>
      </c>
      <c r="O1404" s="3" t="s">
        <v>38</v>
      </c>
      <c r="P1404" s="3"/>
      <c r="Q1404" s="4">
        <v>45944</v>
      </c>
      <c r="R1404" s="3" t="s">
        <v>39</v>
      </c>
      <c r="S1404" s="3" t="s">
        <v>38</v>
      </c>
      <c r="T1404" s="3" t="s">
        <v>40</v>
      </c>
      <c r="U1404" s="3"/>
      <c r="V1404" s="3" t="s">
        <v>41</v>
      </c>
      <c r="W1404" s="5">
        <v>11902.13</v>
      </c>
      <c r="X1404" s="5">
        <v>8926.6</v>
      </c>
      <c r="Y1404" s="5">
        <v>2082.87</v>
      </c>
      <c r="Z1404" s="3">
        <v>892.66</v>
      </c>
      <c r="AA1404" s="3">
        <v>0</v>
      </c>
    </row>
    <row r="1405" spans="1:27" ht="60.75" x14ac:dyDescent="0.25">
      <c r="A1405" s="3" t="s">
        <v>28</v>
      </c>
      <c r="B1405" s="3" t="s">
        <v>29</v>
      </c>
      <c r="C1405" s="3" t="s">
        <v>30</v>
      </c>
      <c r="D1405" s="3" t="s">
        <v>63</v>
      </c>
      <c r="E1405" s="3" t="s">
        <v>53</v>
      </c>
      <c r="F1405" s="3" t="s">
        <v>180</v>
      </c>
      <c r="G1405" s="3">
        <v>2025</v>
      </c>
      <c r="H1405" s="3" t="str">
        <f>CONCATENATE("54240517794")</f>
        <v>54240517794</v>
      </c>
      <c r="I1405" s="3" t="s">
        <v>34</v>
      </c>
      <c r="J1405" s="3" t="s">
        <v>35</v>
      </c>
      <c r="K1405" s="3"/>
      <c r="L1405" s="3" t="s">
        <v>36</v>
      </c>
      <c r="M1405" s="3" t="str">
        <f>CONCATENATE("GNNLCU84C20I819I")</f>
        <v>GNNLCU84C20I819I</v>
      </c>
      <c r="N1405" s="3" t="s">
        <v>1533</v>
      </c>
      <c r="O1405" s="3" t="s">
        <v>38</v>
      </c>
      <c r="P1405" s="3"/>
      <c r="Q1405" s="4">
        <v>45944</v>
      </c>
      <c r="R1405" s="3" t="s">
        <v>39</v>
      </c>
      <c r="S1405" s="3" t="s">
        <v>38</v>
      </c>
      <c r="T1405" s="3" t="s">
        <v>40</v>
      </c>
      <c r="U1405" s="3"/>
      <c r="V1405" s="3" t="s">
        <v>41</v>
      </c>
      <c r="W1405" s="5">
        <v>2907.81</v>
      </c>
      <c r="X1405" s="5">
        <v>2180.86</v>
      </c>
      <c r="Y1405" s="3">
        <v>508.87</v>
      </c>
      <c r="Z1405" s="3">
        <v>218.08</v>
      </c>
      <c r="AA1405" s="3">
        <v>0</v>
      </c>
    </row>
    <row r="1406" spans="1:27" ht="36.75" x14ac:dyDescent="0.25">
      <c r="A1406" s="3" t="s">
        <v>28</v>
      </c>
      <c r="B1406" s="3" t="s">
        <v>29</v>
      </c>
      <c r="C1406" s="3" t="s">
        <v>30</v>
      </c>
      <c r="D1406" s="3" t="s">
        <v>31</v>
      </c>
      <c r="E1406" s="3" t="s">
        <v>46</v>
      </c>
      <c r="F1406" s="3" t="s">
        <v>47</v>
      </c>
      <c r="G1406" s="3">
        <v>2025</v>
      </c>
      <c r="H1406" s="3" t="str">
        <f>CONCATENATE("54240517943")</f>
        <v>54240517943</v>
      </c>
      <c r="I1406" s="3" t="s">
        <v>34</v>
      </c>
      <c r="J1406" s="3" t="s">
        <v>35</v>
      </c>
      <c r="K1406" s="3"/>
      <c r="L1406" s="3" t="s">
        <v>36</v>
      </c>
      <c r="M1406" s="3" t="str">
        <f>CONCATENATE("02615390412")</f>
        <v>02615390412</v>
      </c>
      <c r="N1406" s="3" t="s">
        <v>1534</v>
      </c>
      <c r="O1406" s="3" t="s">
        <v>38</v>
      </c>
      <c r="P1406" s="3"/>
      <c r="Q1406" s="4">
        <v>45944</v>
      </c>
      <c r="R1406" s="3" t="s">
        <v>39</v>
      </c>
      <c r="S1406" s="3" t="s">
        <v>38</v>
      </c>
      <c r="T1406" s="3" t="s">
        <v>40</v>
      </c>
      <c r="U1406" s="3"/>
      <c r="V1406" s="3" t="s">
        <v>41</v>
      </c>
      <c r="W1406" s="3">
        <v>815.38</v>
      </c>
      <c r="X1406" s="3">
        <v>611.54</v>
      </c>
      <c r="Y1406" s="3">
        <v>142.69</v>
      </c>
      <c r="Z1406" s="3">
        <v>61.15</v>
      </c>
      <c r="AA1406" s="3">
        <v>0</v>
      </c>
    </row>
    <row r="1407" spans="1:27" ht="36.75" x14ac:dyDescent="0.25">
      <c r="A1407" s="3" t="s">
        <v>28</v>
      </c>
      <c r="B1407" s="3" t="s">
        <v>29</v>
      </c>
      <c r="C1407" s="3" t="s">
        <v>30</v>
      </c>
      <c r="D1407" s="3" t="s">
        <v>63</v>
      </c>
      <c r="E1407" s="3" t="s">
        <v>91</v>
      </c>
      <c r="F1407" s="3" t="s">
        <v>94</v>
      </c>
      <c r="G1407" s="3">
        <v>2025</v>
      </c>
      <c r="H1407" s="3" t="str">
        <f>CONCATENATE("54240518024")</f>
        <v>54240518024</v>
      </c>
      <c r="I1407" s="3" t="s">
        <v>34</v>
      </c>
      <c r="J1407" s="3" t="s">
        <v>35</v>
      </c>
      <c r="K1407" s="3"/>
      <c r="L1407" s="3" t="s">
        <v>36</v>
      </c>
      <c r="M1407" s="3" t="str">
        <f>CONCATENATE("02310580440")</f>
        <v>02310580440</v>
      </c>
      <c r="N1407" s="3" t="s">
        <v>1535</v>
      </c>
      <c r="O1407" s="3" t="s">
        <v>38</v>
      </c>
      <c r="P1407" s="3"/>
      <c r="Q1407" s="4">
        <v>45944</v>
      </c>
      <c r="R1407" s="3" t="s">
        <v>39</v>
      </c>
      <c r="S1407" s="3" t="s">
        <v>38</v>
      </c>
      <c r="T1407" s="3" t="s">
        <v>40</v>
      </c>
      <c r="U1407" s="3"/>
      <c r="V1407" s="3" t="s">
        <v>41</v>
      </c>
      <c r="W1407" s="5">
        <v>2619.4699999999998</v>
      </c>
      <c r="X1407" s="5">
        <v>1964.6</v>
      </c>
      <c r="Y1407" s="3">
        <v>458.41</v>
      </c>
      <c r="Z1407" s="3">
        <v>196.46</v>
      </c>
      <c r="AA1407" s="3">
        <v>0</v>
      </c>
    </row>
    <row r="1408" spans="1:27" ht="60.75" x14ac:dyDescent="0.25">
      <c r="A1408" s="3" t="s">
        <v>28</v>
      </c>
      <c r="B1408" s="3" t="s">
        <v>29</v>
      </c>
      <c r="C1408" s="3" t="s">
        <v>30</v>
      </c>
      <c r="D1408" s="3" t="s">
        <v>49</v>
      </c>
      <c r="E1408" s="3" t="s">
        <v>32</v>
      </c>
      <c r="F1408" s="3" t="s">
        <v>69</v>
      </c>
      <c r="G1408" s="3">
        <v>2025</v>
      </c>
      <c r="H1408" s="3" t="str">
        <f>CONCATENATE("54240517836")</f>
        <v>54240517836</v>
      </c>
      <c r="I1408" s="3" t="s">
        <v>34</v>
      </c>
      <c r="J1408" s="3" t="s">
        <v>35</v>
      </c>
      <c r="K1408" s="3"/>
      <c r="L1408" s="3" t="s">
        <v>36</v>
      </c>
      <c r="M1408" s="3" t="str">
        <f>CONCATENATE("DBGDLM45L16B398I")</f>
        <v>DBGDLM45L16B398I</v>
      </c>
      <c r="N1408" s="3" t="s">
        <v>1536</v>
      </c>
      <c r="O1408" s="3" t="s">
        <v>38</v>
      </c>
      <c r="P1408" s="3"/>
      <c r="Q1408" s="4">
        <v>45944</v>
      </c>
      <c r="R1408" s="3" t="s">
        <v>39</v>
      </c>
      <c r="S1408" s="3" t="s">
        <v>38</v>
      </c>
      <c r="T1408" s="3" t="s">
        <v>40</v>
      </c>
      <c r="U1408" s="3"/>
      <c r="V1408" s="3" t="s">
        <v>41</v>
      </c>
      <c r="W1408" s="5">
        <v>12060.91</v>
      </c>
      <c r="X1408" s="5">
        <v>9045.68</v>
      </c>
      <c r="Y1408" s="5">
        <v>2110.66</v>
      </c>
      <c r="Z1408" s="3">
        <v>904.57</v>
      </c>
      <c r="AA1408" s="3">
        <v>0</v>
      </c>
    </row>
    <row r="1409" spans="1:27" ht="60.75" x14ac:dyDescent="0.25">
      <c r="A1409" s="3" t="s">
        <v>28</v>
      </c>
      <c r="B1409" s="3" t="s">
        <v>29</v>
      </c>
      <c r="C1409" s="3" t="s">
        <v>30</v>
      </c>
      <c r="D1409" s="3" t="s">
        <v>63</v>
      </c>
      <c r="E1409" s="3" t="s">
        <v>32</v>
      </c>
      <c r="F1409" s="3" t="s">
        <v>142</v>
      </c>
      <c r="G1409" s="3">
        <v>2025</v>
      </c>
      <c r="H1409" s="3" t="str">
        <f>CONCATENATE("54240518362")</f>
        <v>54240518362</v>
      </c>
      <c r="I1409" s="3" t="s">
        <v>34</v>
      </c>
      <c r="J1409" s="3" t="s">
        <v>35</v>
      </c>
      <c r="K1409" s="3"/>
      <c r="L1409" s="3" t="s">
        <v>36</v>
      </c>
      <c r="M1409" s="3" t="str">
        <f>CONCATENATE("LNDSMN74L50G516J")</f>
        <v>LNDSMN74L50G516J</v>
      </c>
      <c r="N1409" s="3" t="s">
        <v>1537</v>
      </c>
      <c r="O1409" s="3" t="s">
        <v>38</v>
      </c>
      <c r="P1409" s="3"/>
      <c r="Q1409" s="4">
        <v>45944</v>
      </c>
      <c r="R1409" s="3" t="s">
        <v>39</v>
      </c>
      <c r="S1409" s="3" t="s">
        <v>38</v>
      </c>
      <c r="T1409" s="3" t="s">
        <v>40</v>
      </c>
      <c r="U1409" s="3"/>
      <c r="V1409" s="3" t="s">
        <v>41</v>
      </c>
      <c r="W1409" s="5">
        <v>3994.41</v>
      </c>
      <c r="X1409" s="5">
        <v>2995.81</v>
      </c>
      <c r="Y1409" s="3">
        <v>699.02</v>
      </c>
      <c r="Z1409" s="3">
        <v>299.58</v>
      </c>
      <c r="AA1409" s="3">
        <v>0</v>
      </c>
    </row>
    <row r="1410" spans="1:27" ht="60.75" x14ac:dyDescent="0.25">
      <c r="A1410" s="3" t="s">
        <v>28</v>
      </c>
      <c r="B1410" s="3" t="s">
        <v>29</v>
      </c>
      <c r="C1410" s="3" t="s">
        <v>30</v>
      </c>
      <c r="D1410" s="3" t="s">
        <v>63</v>
      </c>
      <c r="E1410" s="3" t="s">
        <v>32</v>
      </c>
      <c r="F1410" s="3" t="s">
        <v>392</v>
      </c>
      <c r="G1410" s="3">
        <v>2025</v>
      </c>
      <c r="H1410" s="3" t="str">
        <f>CONCATENATE("54240518487")</f>
        <v>54240518487</v>
      </c>
      <c r="I1410" s="3" t="s">
        <v>149</v>
      </c>
      <c r="J1410" s="3" t="s">
        <v>35</v>
      </c>
      <c r="K1410" s="3"/>
      <c r="L1410" s="3" t="s">
        <v>36</v>
      </c>
      <c r="M1410" s="3" t="str">
        <f>CONCATENATE("LSNGRG99R25H769K")</f>
        <v>LSNGRG99R25H769K</v>
      </c>
      <c r="N1410" s="3" t="s">
        <v>1538</v>
      </c>
      <c r="O1410" s="3" t="s">
        <v>38</v>
      </c>
      <c r="P1410" s="3"/>
      <c r="Q1410" s="4">
        <v>45944</v>
      </c>
      <c r="R1410" s="3" t="s">
        <v>39</v>
      </c>
      <c r="S1410" s="3" t="s">
        <v>38</v>
      </c>
      <c r="T1410" s="3" t="s">
        <v>40</v>
      </c>
      <c r="U1410" s="3"/>
      <c r="V1410" s="3" t="s">
        <v>41</v>
      </c>
      <c r="W1410" s="5">
        <v>3669.92</v>
      </c>
      <c r="X1410" s="5">
        <v>2752.44</v>
      </c>
      <c r="Y1410" s="3">
        <v>642.24</v>
      </c>
      <c r="Z1410" s="3">
        <v>275.24</v>
      </c>
      <c r="AA1410" s="3">
        <v>0</v>
      </c>
    </row>
    <row r="1411" spans="1:27" ht="60.75" x14ac:dyDescent="0.25">
      <c r="A1411" s="3" t="s">
        <v>28</v>
      </c>
      <c r="B1411" s="3" t="s">
        <v>29</v>
      </c>
      <c r="C1411" s="3" t="s">
        <v>30</v>
      </c>
      <c r="D1411" s="3" t="s">
        <v>49</v>
      </c>
      <c r="E1411" s="3" t="s">
        <v>46</v>
      </c>
      <c r="F1411" s="3" t="s">
        <v>131</v>
      </c>
      <c r="G1411" s="3">
        <v>2025</v>
      </c>
      <c r="H1411" s="3" t="str">
        <f>CONCATENATE("54240518693")</f>
        <v>54240518693</v>
      </c>
      <c r="I1411" s="3" t="s">
        <v>34</v>
      </c>
      <c r="J1411" s="3" t="s">
        <v>35</v>
      </c>
      <c r="K1411" s="3"/>
      <c r="L1411" s="3" t="s">
        <v>36</v>
      </c>
      <c r="M1411" s="3" t="str">
        <f>CONCATENATE("SRGMTN67T21I653A")</f>
        <v>SRGMTN67T21I653A</v>
      </c>
      <c r="N1411" s="3" t="s">
        <v>1539</v>
      </c>
      <c r="O1411" s="3" t="s">
        <v>38</v>
      </c>
      <c r="P1411" s="3"/>
      <c r="Q1411" s="4">
        <v>45944</v>
      </c>
      <c r="R1411" s="3" t="s">
        <v>39</v>
      </c>
      <c r="S1411" s="3" t="s">
        <v>38</v>
      </c>
      <c r="T1411" s="3" t="s">
        <v>40</v>
      </c>
      <c r="U1411" s="3"/>
      <c r="V1411" s="3" t="s">
        <v>41</v>
      </c>
      <c r="W1411" s="5">
        <v>12756.38</v>
      </c>
      <c r="X1411" s="5">
        <v>9567.2900000000009</v>
      </c>
      <c r="Y1411" s="5">
        <v>2232.37</v>
      </c>
      <c r="Z1411" s="3">
        <v>956.72</v>
      </c>
      <c r="AA1411" s="3">
        <v>0</v>
      </c>
    </row>
    <row r="1412" spans="1:27" ht="60.75" x14ac:dyDescent="0.25">
      <c r="A1412" s="3" t="s">
        <v>28</v>
      </c>
      <c r="B1412" s="3" t="s">
        <v>29</v>
      </c>
      <c r="C1412" s="3" t="s">
        <v>30</v>
      </c>
      <c r="D1412" s="3" t="s">
        <v>31</v>
      </c>
      <c r="E1412" s="3" t="s">
        <v>53</v>
      </c>
      <c r="F1412" s="3" t="s">
        <v>414</v>
      </c>
      <c r="G1412" s="3">
        <v>2025</v>
      </c>
      <c r="H1412" s="3" t="str">
        <f>CONCATENATE("54240518586")</f>
        <v>54240518586</v>
      </c>
      <c r="I1412" s="3" t="s">
        <v>34</v>
      </c>
      <c r="J1412" s="3" t="s">
        <v>35</v>
      </c>
      <c r="K1412" s="3"/>
      <c r="L1412" s="3" t="s">
        <v>36</v>
      </c>
      <c r="M1412" s="3" t="str">
        <f>CONCATENATE("SNCLSN69L29D488A")</f>
        <v>SNCLSN69L29D488A</v>
      </c>
      <c r="N1412" s="3" t="s">
        <v>1540</v>
      </c>
      <c r="O1412" s="3" t="s">
        <v>38</v>
      </c>
      <c r="P1412" s="3"/>
      <c r="Q1412" s="4">
        <v>45944</v>
      </c>
      <c r="R1412" s="3" t="s">
        <v>39</v>
      </c>
      <c r="S1412" s="3" t="s">
        <v>38</v>
      </c>
      <c r="T1412" s="3" t="s">
        <v>40</v>
      </c>
      <c r="U1412" s="3"/>
      <c r="V1412" s="3" t="s">
        <v>41</v>
      </c>
      <c r="W1412" s="5">
        <v>2166.85</v>
      </c>
      <c r="X1412" s="5">
        <v>1625.14</v>
      </c>
      <c r="Y1412" s="3">
        <v>379.2</v>
      </c>
      <c r="Z1412" s="3">
        <v>162.51</v>
      </c>
      <c r="AA1412" s="3">
        <v>0</v>
      </c>
    </row>
    <row r="1413" spans="1:27" ht="36.75" x14ac:dyDescent="0.25">
      <c r="A1413" s="3" t="s">
        <v>28</v>
      </c>
      <c r="B1413" s="3" t="s">
        <v>29</v>
      </c>
      <c r="C1413" s="3" t="s">
        <v>30</v>
      </c>
      <c r="D1413" s="3" t="s">
        <v>58</v>
      </c>
      <c r="E1413" s="3" t="s">
        <v>53</v>
      </c>
      <c r="F1413" s="3" t="s">
        <v>59</v>
      </c>
      <c r="G1413" s="3">
        <v>2025</v>
      </c>
      <c r="H1413" s="3" t="str">
        <f>CONCATENATE("54240518719")</f>
        <v>54240518719</v>
      </c>
      <c r="I1413" s="3" t="s">
        <v>34</v>
      </c>
      <c r="J1413" s="3" t="s">
        <v>35</v>
      </c>
      <c r="K1413" s="3"/>
      <c r="L1413" s="3" t="s">
        <v>36</v>
      </c>
      <c r="M1413" s="3" t="str">
        <f>CONCATENATE("02627340421")</f>
        <v>02627340421</v>
      </c>
      <c r="N1413" s="3" t="s">
        <v>1541</v>
      </c>
      <c r="O1413" s="3" t="s">
        <v>38</v>
      </c>
      <c r="P1413" s="3"/>
      <c r="Q1413" s="4">
        <v>45944</v>
      </c>
      <c r="R1413" s="3" t="s">
        <v>39</v>
      </c>
      <c r="S1413" s="3" t="s">
        <v>38</v>
      </c>
      <c r="T1413" s="3" t="s">
        <v>40</v>
      </c>
      <c r="U1413" s="3"/>
      <c r="V1413" s="3" t="s">
        <v>41</v>
      </c>
      <c r="W1413" s="3">
        <v>653.49</v>
      </c>
      <c r="X1413" s="3">
        <v>490.12</v>
      </c>
      <c r="Y1413" s="3">
        <v>114.36</v>
      </c>
      <c r="Z1413" s="3">
        <v>49.01</v>
      </c>
      <c r="AA1413" s="3">
        <v>0</v>
      </c>
    </row>
    <row r="1414" spans="1:27" ht="36.75" x14ac:dyDescent="0.25">
      <c r="A1414" s="3" t="s">
        <v>28</v>
      </c>
      <c r="B1414" s="3" t="s">
        <v>29</v>
      </c>
      <c r="C1414" s="3" t="s">
        <v>30</v>
      </c>
      <c r="D1414" s="3" t="s">
        <v>31</v>
      </c>
      <c r="E1414" s="3" t="s">
        <v>53</v>
      </c>
      <c r="F1414" s="3" t="s">
        <v>54</v>
      </c>
      <c r="G1414" s="3">
        <v>2025</v>
      </c>
      <c r="H1414" s="3" t="str">
        <f>CONCATENATE("54240518974")</f>
        <v>54240518974</v>
      </c>
      <c r="I1414" s="3" t="s">
        <v>34</v>
      </c>
      <c r="J1414" s="3" t="s">
        <v>35</v>
      </c>
      <c r="K1414" s="3"/>
      <c r="L1414" s="3" t="s">
        <v>36</v>
      </c>
      <c r="M1414" s="3" t="str">
        <f>CONCATENATE("02828930418")</f>
        <v>02828930418</v>
      </c>
      <c r="N1414" s="3" t="s">
        <v>1542</v>
      </c>
      <c r="O1414" s="3" t="s">
        <v>38</v>
      </c>
      <c r="P1414" s="3"/>
      <c r="Q1414" s="4">
        <v>45944</v>
      </c>
      <c r="R1414" s="3" t="s">
        <v>39</v>
      </c>
      <c r="S1414" s="3" t="s">
        <v>38</v>
      </c>
      <c r="T1414" s="3" t="s">
        <v>40</v>
      </c>
      <c r="U1414" s="3"/>
      <c r="V1414" s="3" t="s">
        <v>41</v>
      </c>
      <c r="W1414" s="5">
        <v>9828.1299999999992</v>
      </c>
      <c r="X1414" s="5">
        <v>7371.1</v>
      </c>
      <c r="Y1414" s="5">
        <v>1719.92</v>
      </c>
      <c r="Z1414" s="3">
        <v>737.11</v>
      </c>
      <c r="AA1414" s="3">
        <v>0</v>
      </c>
    </row>
    <row r="1415" spans="1:27" ht="60.75" x14ac:dyDescent="0.25">
      <c r="A1415" s="3" t="s">
        <v>28</v>
      </c>
      <c r="B1415" s="3" t="s">
        <v>29</v>
      </c>
      <c r="C1415" s="3" t="s">
        <v>30</v>
      </c>
      <c r="D1415" s="3" t="s">
        <v>31</v>
      </c>
      <c r="E1415" s="3" t="s">
        <v>53</v>
      </c>
      <c r="F1415" s="3" t="s">
        <v>414</v>
      </c>
      <c r="G1415" s="3">
        <v>2025</v>
      </c>
      <c r="H1415" s="3" t="str">
        <f>CONCATENATE("54240518800")</f>
        <v>54240518800</v>
      </c>
      <c r="I1415" s="3" t="s">
        <v>34</v>
      </c>
      <c r="J1415" s="3" t="s">
        <v>35</v>
      </c>
      <c r="K1415" s="3"/>
      <c r="L1415" s="3" t="s">
        <v>36</v>
      </c>
      <c r="M1415" s="3" t="str">
        <f>CONCATENATE("BLDFNC55C20D488G")</f>
        <v>BLDFNC55C20D488G</v>
      </c>
      <c r="N1415" s="3" t="s">
        <v>1543</v>
      </c>
      <c r="O1415" s="3" t="s">
        <v>38</v>
      </c>
      <c r="P1415" s="3"/>
      <c r="Q1415" s="4">
        <v>45944</v>
      </c>
      <c r="R1415" s="3" t="s">
        <v>39</v>
      </c>
      <c r="S1415" s="3" t="s">
        <v>38</v>
      </c>
      <c r="T1415" s="3" t="s">
        <v>40</v>
      </c>
      <c r="U1415" s="3"/>
      <c r="V1415" s="3" t="s">
        <v>41</v>
      </c>
      <c r="W1415" s="5">
        <v>5450.27</v>
      </c>
      <c r="X1415" s="5">
        <v>4087.7</v>
      </c>
      <c r="Y1415" s="3">
        <v>953.8</v>
      </c>
      <c r="Z1415" s="3">
        <v>408.77</v>
      </c>
      <c r="AA1415" s="3">
        <v>0</v>
      </c>
    </row>
    <row r="1416" spans="1:27" ht="60.75" x14ac:dyDescent="0.25">
      <c r="A1416" s="3" t="s">
        <v>28</v>
      </c>
      <c r="B1416" s="3" t="s">
        <v>29</v>
      </c>
      <c r="C1416" s="3" t="s">
        <v>30</v>
      </c>
      <c r="D1416" s="3" t="s">
        <v>49</v>
      </c>
      <c r="E1416" s="3" t="s">
        <v>91</v>
      </c>
      <c r="F1416" s="3" t="s">
        <v>92</v>
      </c>
      <c r="G1416" s="3">
        <v>2025</v>
      </c>
      <c r="H1416" s="3" t="str">
        <f>CONCATENATE("54240519170")</f>
        <v>54240519170</v>
      </c>
      <c r="I1416" s="3" t="s">
        <v>34</v>
      </c>
      <c r="J1416" s="3" t="s">
        <v>35</v>
      </c>
      <c r="K1416" s="3"/>
      <c r="L1416" s="3" t="s">
        <v>36</v>
      </c>
      <c r="M1416" s="3" t="str">
        <f>CONCATENATE("CSTLVN75E57H501O")</f>
        <v>CSTLVN75E57H501O</v>
      </c>
      <c r="N1416" s="3" t="s">
        <v>1544</v>
      </c>
      <c r="O1416" s="3" t="s">
        <v>38</v>
      </c>
      <c r="P1416" s="3"/>
      <c r="Q1416" s="4">
        <v>45944</v>
      </c>
      <c r="R1416" s="3" t="s">
        <v>39</v>
      </c>
      <c r="S1416" s="3" t="s">
        <v>38</v>
      </c>
      <c r="T1416" s="3" t="s">
        <v>40</v>
      </c>
      <c r="U1416" s="3"/>
      <c r="V1416" s="3" t="s">
        <v>41</v>
      </c>
      <c r="W1416" s="5">
        <v>7968.44</v>
      </c>
      <c r="X1416" s="5">
        <v>5976.33</v>
      </c>
      <c r="Y1416" s="5">
        <v>1394.48</v>
      </c>
      <c r="Z1416" s="3">
        <v>597.63</v>
      </c>
      <c r="AA1416" s="3">
        <v>0</v>
      </c>
    </row>
    <row r="1417" spans="1:27" ht="60.75" x14ac:dyDescent="0.25">
      <c r="A1417" s="3" t="s">
        <v>28</v>
      </c>
      <c r="B1417" s="3" t="s">
        <v>29</v>
      </c>
      <c r="C1417" s="3" t="s">
        <v>30</v>
      </c>
      <c r="D1417" s="3" t="s">
        <v>31</v>
      </c>
      <c r="E1417" s="3" t="s">
        <v>53</v>
      </c>
      <c r="F1417" s="3" t="s">
        <v>414</v>
      </c>
      <c r="G1417" s="3">
        <v>2025</v>
      </c>
      <c r="H1417" s="3" t="str">
        <f>CONCATENATE("54240519626")</f>
        <v>54240519626</v>
      </c>
      <c r="I1417" s="3" t="s">
        <v>34</v>
      </c>
      <c r="J1417" s="3" t="s">
        <v>35</v>
      </c>
      <c r="K1417" s="3"/>
      <c r="L1417" s="3" t="s">
        <v>36</v>
      </c>
      <c r="M1417" s="3" t="str">
        <f>CONCATENATE("TDRFRC93S19I608K")</f>
        <v>TDRFRC93S19I608K</v>
      </c>
      <c r="N1417" s="3" t="s">
        <v>1545</v>
      </c>
      <c r="O1417" s="3" t="s">
        <v>38</v>
      </c>
      <c r="P1417" s="3"/>
      <c r="Q1417" s="4">
        <v>45944</v>
      </c>
      <c r="R1417" s="3" t="s">
        <v>39</v>
      </c>
      <c r="S1417" s="3" t="s">
        <v>38</v>
      </c>
      <c r="T1417" s="3" t="s">
        <v>40</v>
      </c>
      <c r="U1417" s="3"/>
      <c r="V1417" s="3" t="s">
        <v>41</v>
      </c>
      <c r="W1417" s="5">
        <v>2099.98</v>
      </c>
      <c r="X1417" s="5">
        <v>1574.99</v>
      </c>
      <c r="Y1417" s="3">
        <v>367.5</v>
      </c>
      <c r="Z1417" s="3">
        <v>157.49</v>
      </c>
      <c r="AA1417" s="3">
        <v>0</v>
      </c>
    </row>
    <row r="1418" spans="1:27" ht="48.75" x14ac:dyDescent="0.25">
      <c r="A1418" s="3" t="s">
        <v>28</v>
      </c>
      <c r="B1418" s="3" t="s">
        <v>29</v>
      </c>
      <c r="C1418" s="3" t="s">
        <v>30</v>
      </c>
      <c r="D1418" s="3" t="s">
        <v>31</v>
      </c>
      <c r="E1418" s="3" t="s">
        <v>46</v>
      </c>
      <c r="F1418" s="3" t="s">
        <v>47</v>
      </c>
      <c r="G1418" s="3">
        <v>2025</v>
      </c>
      <c r="H1418" s="3" t="str">
        <f>CONCATENATE("54240519527")</f>
        <v>54240519527</v>
      </c>
      <c r="I1418" s="3" t="s">
        <v>34</v>
      </c>
      <c r="J1418" s="3" t="s">
        <v>35</v>
      </c>
      <c r="K1418" s="3"/>
      <c r="L1418" s="3" t="s">
        <v>36</v>
      </c>
      <c r="M1418" s="3" t="str">
        <f>CONCATENATE("JNSSTP79E17Z105C")</f>
        <v>JNSSTP79E17Z105C</v>
      </c>
      <c r="N1418" s="3" t="s">
        <v>1546</v>
      </c>
      <c r="O1418" s="3" t="s">
        <v>38</v>
      </c>
      <c r="P1418" s="3"/>
      <c r="Q1418" s="4">
        <v>45944</v>
      </c>
      <c r="R1418" s="3" t="s">
        <v>39</v>
      </c>
      <c r="S1418" s="3" t="s">
        <v>38</v>
      </c>
      <c r="T1418" s="3" t="s">
        <v>40</v>
      </c>
      <c r="U1418" s="3"/>
      <c r="V1418" s="3" t="s">
        <v>41</v>
      </c>
      <c r="W1418" s="5">
        <v>4950.71</v>
      </c>
      <c r="X1418" s="5">
        <v>3713.03</v>
      </c>
      <c r="Y1418" s="3">
        <v>866.37</v>
      </c>
      <c r="Z1418" s="3">
        <v>371.31</v>
      </c>
      <c r="AA1418" s="3">
        <v>0</v>
      </c>
    </row>
    <row r="1419" spans="1:27" ht="72.75" x14ac:dyDescent="0.25">
      <c r="A1419" s="3" t="s">
        <v>28</v>
      </c>
      <c r="B1419" s="3" t="s">
        <v>29</v>
      </c>
      <c r="C1419" s="3" t="s">
        <v>30</v>
      </c>
      <c r="D1419" s="3" t="s">
        <v>49</v>
      </c>
      <c r="E1419" s="3" t="s">
        <v>46</v>
      </c>
      <c r="F1419" s="3" t="s">
        <v>205</v>
      </c>
      <c r="G1419" s="3">
        <v>2025</v>
      </c>
      <c r="H1419" s="3" t="str">
        <f>CONCATENATE("54240519642")</f>
        <v>54240519642</v>
      </c>
      <c r="I1419" s="3" t="s">
        <v>34</v>
      </c>
      <c r="J1419" s="3" t="s">
        <v>35</v>
      </c>
      <c r="K1419" s="3"/>
      <c r="L1419" s="3" t="s">
        <v>36</v>
      </c>
      <c r="M1419" s="3" t="str">
        <f>CONCATENATE("BTTFNC77B47H211O")</f>
        <v>BTTFNC77B47H211O</v>
      </c>
      <c r="N1419" s="3" t="s">
        <v>1547</v>
      </c>
      <c r="O1419" s="3" t="s">
        <v>38</v>
      </c>
      <c r="P1419" s="3"/>
      <c r="Q1419" s="4">
        <v>45944</v>
      </c>
      <c r="R1419" s="3" t="s">
        <v>39</v>
      </c>
      <c r="S1419" s="3" t="s">
        <v>38</v>
      </c>
      <c r="T1419" s="3" t="s">
        <v>40</v>
      </c>
      <c r="U1419" s="3"/>
      <c r="V1419" s="3" t="s">
        <v>41</v>
      </c>
      <c r="W1419" s="5">
        <v>1103.1300000000001</v>
      </c>
      <c r="X1419" s="3">
        <v>827.35</v>
      </c>
      <c r="Y1419" s="3">
        <v>193.05</v>
      </c>
      <c r="Z1419" s="3">
        <v>82.73</v>
      </c>
      <c r="AA1419" s="3">
        <v>0</v>
      </c>
    </row>
    <row r="1420" spans="1:27" ht="72.75" x14ac:dyDescent="0.25">
      <c r="A1420" s="3" t="s">
        <v>28</v>
      </c>
      <c r="B1420" s="3" t="s">
        <v>29</v>
      </c>
      <c r="C1420" s="3" t="s">
        <v>30</v>
      </c>
      <c r="D1420" s="3" t="s">
        <v>31</v>
      </c>
      <c r="E1420" s="3" t="s">
        <v>53</v>
      </c>
      <c r="F1420" s="3" t="s">
        <v>414</v>
      </c>
      <c r="G1420" s="3">
        <v>2025</v>
      </c>
      <c r="H1420" s="3" t="str">
        <f>CONCATENATE("54240519956")</f>
        <v>54240519956</v>
      </c>
      <c r="I1420" s="3" t="s">
        <v>34</v>
      </c>
      <c r="J1420" s="3" t="s">
        <v>35</v>
      </c>
      <c r="K1420" s="3"/>
      <c r="L1420" s="3" t="s">
        <v>36</v>
      </c>
      <c r="M1420" s="3" t="str">
        <f>CONCATENATE("RZTGCM72H15D488D")</f>
        <v>RZTGCM72H15D488D</v>
      </c>
      <c r="N1420" s="3" t="s">
        <v>1548</v>
      </c>
      <c r="O1420" s="3" t="s">
        <v>38</v>
      </c>
      <c r="P1420" s="3"/>
      <c r="Q1420" s="4">
        <v>45944</v>
      </c>
      <c r="R1420" s="3" t="s">
        <v>39</v>
      </c>
      <c r="S1420" s="3" t="s">
        <v>38</v>
      </c>
      <c r="T1420" s="3" t="s">
        <v>40</v>
      </c>
      <c r="U1420" s="3"/>
      <c r="V1420" s="3" t="s">
        <v>41</v>
      </c>
      <c r="W1420" s="5">
        <v>4033.56</v>
      </c>
      <c r="X1420" s="5">
        <v>3025.17</v>
      </c>
      <c r="Y1420" s="3">
        <v>705.87</v>
      </c>
      <c r="Z1420" s="3">
        <v>302.52</v>
      </c>
      <c r="AA1420" s="3">
        <v>0</v>
      </c>
    </row>
    <row r="1421" spans="1:27" ht="60.75" x14ac:dyDescent="0.25">
      <c r="A1421" s="3" t="s">
        <v>28</v>
      </c>
      <c r="B1421" s="3" t="s">
        <v>29</v>
      </c>
      <c r="C1421" s="3" t="s">
        <v>30</v>
      </c>
      <c r="D1421" s="3" t="s">
        <v>63</v>
      </c>
      <c r="E1421" s="3" t="s">
        <v>32</v>
      </c>
      <c r="F1421" s="3" t="s">
        <v>243</v>
      </c>
      <c r="G1421" s="3">
        <v>2025</v>
      </c>
      <c r="H1421" s="3" t="str">
        <f>CONCATENATE("54240520087")</f>
        <v>54240520087</v>
      </c>
      <c r="I1421" s="3" t="s">
        <v>34</v>
      </c>
      <c r="J1421" s="3" t="s">
        <v>35</v>
      </c>
      <c r="K1421" s="3"/>
      <c r="L1421" s="3" t="s">
        <v>36</v>
      </c>
      <c r="M1421" s="3" t="str">
        <f>CONCATENATE("MRSFNC86E23F522M")</f>
        <v>MRSFNC86E23F522M</v>
      </c>
      <c r="N1421" s="3" t="s">
        <v>1549</v>
      </c>
      <c r="O1421" s="3" t="s">
        <v>38</v>
      </c>
      <c r="P1421" s="3"/>
      <c r="Q1421" s="4">
        <v>45944</v>
      </c>
      <c r="R1421" s="3" t="s">
        <v>39</v>
      </c>
      <c r="S1421" s="3" t="s">
        <v>38</v>
      </c>
      <c r="T1421" s="3" t="s">
        <v>40</v>
      </c>
      <c r="U1421" s="3"/>
      <c r="V1421" s="3" t="s">
        <v>41</v>
      </c>
      <c r="W1421" s="5">
        <v>7400.44</v>
      </c>
      <c r="X1421" s="5">
        <v>5550.33</v>
      </c>
      <c r="Y1421" s="5">
        <v>1295.08</v>
      </c>
      <c r="Z1421" s="3">
        <v>555.03</v>
      </c>
      <c r="AA1421" s="3">
        <v>0</v>
      </c>
    </row>
    <row r="1422" spans="1:27" ht="60.75" x14ac:dyDescent="0.25">
      <c r="A1422" s="3" t="s">
        <v>28</v>
      </c>
      <c r="B1422" s="3" t="s">
        <v>29</v>
      </c>
      <c r="C1422" s="3" t="s">
        <v>30</v>
      </c>
      <c r="D1422" s="3" t="s">
        <v>49</v>
      </c>
      <c r="E1422" s="3" t="s">
        <v>46</v>
      </c>
      <c r="F1422" s="3" t="s">
        <v>131</v>
      </c>
      <c r="G1422" s="3">
        <v>2025</v>
      </c>
      <c r="H1422" s="3" t="str">
        <f>CONCATENATE("54240520004")</f>
        <v>54240520004</v>
      </c>
      <c r="I1422" s="3" t="s">
        <v>34</v>
      </c>
      <c r="J1422" s="3" t="s">
        <v>35</v>
      </c>
      <c r="K1422" s="3"/>
      <c r="L1422" s="3" t="s">
        <v>36</v>
      </c>
      <c r="M1422" s="3" t="str">
        <f>CONCATENATE("SCGRSR82P50I156D")</f>
        <v>SCGRSR82P50I156D</v>
      </c>
      <c r="N1422" s="3" t="s">
        <v>1550</v>
      </c>
      <c r="O1422" s="3" t="s">
        <v>38</v>
      </c>
      <c r="P1422" s="3"/>
      <c r="Q1422" s="4">
        <v>45944</v>
      </c>
      <c r="R1422" s="3" t="s">
        <v>39</v>
      </c>
      <c r="S1422" s="3" t="s">
        <v>38</v>
      </c>
      <c r="T1422" s="3" t="s">
        <v>40</v>
      </c>
      <c r="U1422" s="3"/>
      <c r="V1422" s="3" t="s">
        <v>41</v>
      </c>
      <c r="W1422" s="3">
        <v>613.5</v>
      </c>
      <c r="X1422" s="3">
        <v>460.13</v>
      </c>
      <c r="Y1422" s="3">
        <v>107.36</v>
      </c>
      <c r="Z1422" s="3">
        <v>46.01</v>
      </c>
      <c r="AA1422" s="3">
        <v>0</v>
      </c>
    </row>
    <row r="1423" spans="1:27" ht="36.75" x14ac:dyDescent="0.25">
      <c r="A1423" s="3" t="s">
        <v>28</v>
      </c>
      <c r="B1423" s="3" t="s">
        <v>29</v>
      </c>
      <c r="C1423" s="3" t="s">
        <v>30</v>
      </c>
      <c r="D1423" s="3" t="s">
        <v>49</v>
      </c>
      <c r="E1423" s="3" t="s">
        <v>46</v>
      </c>
      <c r="F1423" s="3" t="s">
        <v>131</v>
      </c>
      <c r="G1423" s="3">
        <v>2025</v>
      </c>
      <c r="H1423" s="3" t="str">
        <f>CONCATENATE("54240520251")</f>
        <v>54240520251</v>
      </c>
      <c r="I1423" s="3" t="s">
        <v>34</v>
      </c>
      <c r="J1423" s="3" t="s">
        <v>35</v>
      </c>
      <c r="K1423" s="3"/>
      <c r="L1423" s="3" t="s">
        <v>36</v>
      </c>
      <c r="M1423" s="3" t="str">
        <f>CONCATENATE("02072420439")</f>
        <v>02072420439</v>
      </c>
      <c r="N1423" s="3" t="s">
        <v>1551</v>
      </c>
      <c r="O1423" s="3" t="s">
        <v>38</v>
      </c>
      <c r="P1423" s="3"/>
      <c r="Q1423" s="4">
        <v>45944</v>
      </c>
      <c r="R1423" s="3" t="s">
        <v>39</v>
      </c>
      <c r="S1423" s="3" t="s">
        <v>38</v>
      </c>
      <c r="T1423" s="3" t="s">
        <v>40</v>
      </c>
      <c r="U1423" s="3"/>
      <c r="V1423" s="3" t="s">
        <v>41</v>
      </c>
      <c r="W1423" s="5">
        <v>1866.85</v>
      </c>
      <c r="X1423" s="5">
        <v>1400.14</v>
      </c>
      <c r="Y1423" s="3">
        <v>326.7</v>
      </c>
      <c r="Z1423" s="3">
        <v>140.01</v>
      </c>
      <c r="AA1423" s="3">
        <v>0</v>
      </c>
    </row>
    <row r="1424" spans="1:27" ht="72.75" x14ac:dyDescent="0.25">
      <c r="A1424" s="3" t="s">
        <v>28</v>
      </c>
      <c r="B1424" s="3" t="s">
        <v>29</v>
      </c>
      <c r="C1424" s="3" t="s">
        <v>30</v>
      </c>
      <c r="D1424" s="3" t="s">
        <v>58</v>
      </c>
      <c r="E1424" s="3" t="s">
        <v>53</v>
      </c>
      <c r="F1424" s="3" t="s">
        <v>59</v>
      </c>
      <c r="G1424" s="3">
        <v>2025</v>
      </c>
      <c r="H1424" s="3" t="str">
        <f>CONCATENATE("54240520343")</f>
        <v>54240520343</v>
      </c>
      <c r="I1424" s="3" t="s">
        <v>34</v>
      </c>
      <c r="J1424" s="3" t="s">
        <v>35</v>
      </c>
      <c r="K1424" s="3"/>
      <c r="L1424" s="3" t="s">
        <v>36</v>
      </c>
      <c r="M1424" s="3" t="str">
        <f>CONCATENATE("CRBPRZ61M70G771M")</f>
        <v>CRBPRZ61M70G771M</v>
      </c>
      <c r="N1424" s="3" t="s">
        <v>1552</v>
      </c>
      <c r="O1424" s="3" t="s">
        <v>38</v>
      </c>
      <c r="P1424" s="3"/>
      <c r="Q1424" s="4">
        <v>45944</v>
      </c>
      <c r="R1424" s="3" t="s">
        <v>39</v>
      </c>
      <c r="S1424" s="3" t="s">
        <v>38</v>
      </c>
      <c r="T1424" s="3" t="s">
        <v>40</v>
      </c>
      <c r="U1424" s="3"/>
      <c r="V1424" s="3" t="s">
        <v>41</v>
      </c>
      <c r="W1424" s="5">
        <v>7820.67</v>
      </c>
      <c r="X1424" s="5">
        <v>5865.5</v>
      </c>
      <c r="Y1424" s="5">
        <v>1368.62</v>
      </c>
      <c r="Z1424" s="3">
        <v>586.54999999999995</v>
      </c>
      <c r="AA1424" s="3">
        <v>0</v>
      </c>
    </row>
    <row r="1425" spans="1:27" ht="36.75" x14ac:dyDescent="0.25">
      <c r="A1425" s="3" t="s">
        <v>28</v>
      </c>
      <c r="B1425" s="3" t="s">
        <v>29</v>
      </c>
      <c r="C1425" s="3" t="s">
        <v>30</v>
      </c>
      <c r="D1425" s="3" t="s">
        <v>58</v>
      </c>
      <c r="E1425" s="3" t="s">
        <v>53</v>
      </c>
      <c r="F1425" s="3" t="s">
        <v>59</v>
      </c>
      <c r="G1425" s="3">
        <v>2025</v>
      </c>
      <c r="H1425" s="3" t="str">
        <f>CONCATENATE("54240520616")</f>
        <v>54240520616</v>
      </c>
      <c r="I1425" s="3" t="s">
        <v>34</v>
      </c>
      <c r="J1425" s="3" t="s">
        <v>35</v>
      </c>
      <c r="K1425" s="3"/>
      <c r="L1425" s="3" t="s">
        <v>36</v>
      </c>
      <c r="M1425" s="3" t="str">
        <f>CONCATENATE("01234180428")</f>
        <v>01234180428</v>
      </c>
      <c r="N1425" s="3" t="s">
        <v>1553</v>
      </c>
      <c r="O1425" s="3" t="s">
        <v>38</v>
      </c>
      <c r="P1425" s="3"/>
      <c r="Q1425" s="4">
        <v>45944</v>
      </c>
      <c r="R1425" s="3" t="s">
        <v>39</v>
      </c>
      <c r="S1425" s="3" t="s">
        <v>38</v>
      </c>
      <c r="T1425" s="3" t="s">
        <v>40</v>
      </c>
      <c r="U1425" s="3"/>
      <c r="V1425" s="3" t="s">
        <v>41</v>
      </c>
      <c r="W1425" s="5">
        <v>4094.01</v>
      </c>
      <c r="X1425" s="5">
        <v>3070.51</v>
      </c>
      <c r="Y1425" s="3">
        <v>716.45</v>
      </c>
      <c r="Z1425" s="3">
        <v>307.05</v>
      </c>
      <c r="AA1425" s="3">
        <v>0</v>
      </c>
    </row>
    <row r="1426" spans="1:27" ht="36.75" x14ac:dyDescent="0.25">
      <c r="A1426" s="3" t="s">
        <v>28</v>
      </c>
      <c r="B1426" s="3" t="s">
        <v>29</v>
      </c>
      <c r="C1426" s="3" t="s">
        <v>30</v>
      </c>
      <c r="D1426" s="3" t="s">
        <v>63</v>
      </c>
      <c r="E1426" s="3" t="s">
        <v>32</v>
      </c>
      <c r="F1426" s="3" t="s">
        <v>269</v>
      </c>
      <c r="G1426" s="3">
        <v>2025</v>
      </c>
      <c r="H1426" s="3" t="str">
        <f>CONCATENATE("54240647781")</f>
        <v>54240647781</v>
      </c>
      <c r="I1426" s="3" t="s">
        <v>34</v>
      </c>
      <c r="J1426" s="3" t="s">
        <v>35</v>
      </c>
      <c r="K1426" s="3"/>
      <c r="L1426" s="3" t="s">
        <v>36</v>
      </c>
      <c r="M1426" s="3" t="str">
        <f>CONCATENATE("01781190440")</f>
        <v>01781190440</v>
      </c>
      <c r="N1426" s="3" t="s">
        <v>1554</v>
      </c>
      <c r="O1426" s="3" t="s">
        <v>38</v>
      </c>
      <c r="P1426" s="3"/>
      <c r="Q1426" s="4">
        <v>45944</v>
      </c>
      <c r="R1426" s="3" t="s">
        <v>39</v>
      </c>
      <c r="S1426" s="3" t="s">
        <v>38</v>
      </c>
      <c r="T1426" s="3" t="s">
        <v>40</v>
      </c>
      <c r="U1426" s="3"/>
      <c r="V1426" s="3" t="s">
        <v>41</v>
      </c>
      <c r="W1426" s="3">
        <v>443.01</v>
      </c>
      <c r="X1426" s="3">
        <v>332.26</v>
      </c>
      <c r="Y1426" s="3">
        <v>77.53</v>
      </c>
      <c r="Z1426" s="3">
        <v>33.22</v>
      </c>
      <c r="AA1426" s="3">
        <v>0</v>
      </c>
    </row>
    <row r="1427" spans="1:27" ht="60.75" x14ac:dyDescent="0.25">
      <c r="A1427" s="3" t="s">
        <v>28</v>
      </c>
      <c r="B1427" s="3" t="s">
        <v>29</v>
      </c>
      <c r="C1427" s="3" t="s">
        <v>30</v>
      </c>
      <c r="D1427" s="3" t="s">
        <v>31</v>
      </c>
      <c r="E1427" s="3" t="s">
        <v>32</v>
      </c>
      <c r="F1427" s="3" t="s">
        <v>56</v>
      </c>
      <c r="G1427" s="3">
        <v>2025</v>
      </c>
      <c r="H1427" s="3" t="str">
        <f>CONCATENATE("54240648078")</f>
        <v>54240648078</v>
      </c>
      <c r="I1427" s="3" t="s">
        <v>34</v>
      </c>
      <c r="J1427" s="3" t="s">
        <v>35</v>
      </c>
      <c r="K1427" s="3"/>
      <c r="L1427" s="3" t="s">
        <v>36</v>
      </c>
      <c r="M1427" s="3" t="str">
        <f>CONCATENATE("SCCMRC02P07G479D")</f>
        <v>SCCMRC02P07G479D</v>
      </c>
      <c r="N1427" s="3" t="s">
        <v>1555</v>
      </c>
      <c r="O1427" s="3" t="s">
        <v>38</v>
      </c>
      <c r="P1427" s="3"/>
      <c r="Q1427" s="4">
        <v>45944</v>
      </c>
      <c r="R1427" s="3" t="s">
        <v>39</v>
      </c>
      <c r="S1427" s="3" t="s">
        <v>38</v>
      </c>
      <c r="T1427" s="3" t="s">
        <v>40</v>
      </c>
      <c r="U1427" s="3"/>
      <c r="V1427" s="3" t="s">
        <v>41</v>
      </c>
      <c r="W1427" s="3">
        <v>794.88</v>
      </c>
      <c r="X1427" s="3">
        <v>596.16</v>
      </c>
      <c r="Y1427" s="3">
        <v>139.1</v>
      </c>
      <c r="Z1427" s="3">
        <v>59.62</v>
      </c>
      <c r="AA1427" s="3">
        <v>0</v>
      </c>
    </row>
    <row r="1428" spans="1:27" ht="60.75" x14ac:dyDescent="0.25">
      <c r="A1428" s="3" t="s">
        <v>28</v>
      </c>
      <c r="B1428" s="3" t="s">
        <v>29</v>
      </c>
      <c r="C1428" s="3" t="s">
        <v>30</v>
      </c>
      <c r="D1428" s="3" t="s">
        <v>58</v>
      </c>
      <c r="E1428" s="3" t="s">
        <v>32</v>
      </c>
      <c r="F1428" s="3" t="s">
        <v>471</v>
      </c>
      <c r="G1428" s="3">
        <v>2025</v>
      </c>
      <c r="H1428" s="3" t="str">
        <f>CONCATENATE("54240648730")</f>
        <v>54240648730</v>
      </c>
      <c r="I1428" s="3" t="s">
        <v>34</v>
      </c>
      <c r="J1428" s="3" t="s">
        <v>35</v>
      </c>
      <c r="K1428" s="3"/>
      <c r="L1428" s="3" t="s">
        <v>36</v>
      </c>
      <c r="M1428" s="3" t="str">
        <f>CONCATENATE("LSTNNL62A01I461R")</f>
        <v>LSTNNL62A01I461R</v>
      </c>
      <c r="N1428" s="3" t="s">
        <v>1556</v>
      </c>
      <c r="O1428" s="3" t="s">
        <v>38</v>
      </c>
      <c r="P1428" s="3"/>
      <c r="Q1428" s="4">
        <v>45944</v>
      </c>
      <c r="R1428" s="3" t="s">
        <v>39</v>
      </c>
      <c r="S1428" s="3" t="s">
        <v>38</v>
      </c>
      <c r="T1428" s="3" t="s">
        <v>40</v>
      </c>
      <c r="U1428" s="3"/>
      <c r="V1428" s="3" t="s">
        <v>41</v>
      </c>
      <c r="W1428" s="5">
        <v>9075.36</v>
      </c>
      <c r="X1428" s="5">
        <v>6806.52</v>
      </c>
      <c r="Y1428" s="5">
        <v>1588.19</v>
      </c>
      <c r="Z1428" s="3">
        <v>680.65</v>
      </c>
      <c r="AA1428" s="3">
        <v>0</v>
      </c>
    </row>
    <row r="1429" spans="1:27" ht="60.75" x14ac:dyDescent="0.25">
      <c r="A1429" s="3" t="s">
        <v>28</v>
      </c>
      <c r="B1429" s="3" t="s">
        <v>29</v>
      </c>
      <c r="C1429" s="3" t="s">
        <v>30</v>
      </c>
      <c r="D1429" s="3" t="s">
        <v>58</v>
      </c>
      <c r="E1429" s="3" t="s">
        <v>32</v>
      </c>
      <c r="F1429" s="3" t="s">
        <v>471</v>
      </c>
      <c r="G1429" s="3">
        <v>2025</v>
      </c>
      <c r="H1429" s="3" t="str">
        <f>CONCATENATE("54240648896")</f>
        <v>54240648896</v>
      </c>
      <c r="I1429" s="3" t="s">
        <v>34</v>
      </c>
      <c r="J1429" s="3" t="s">
        <v>35</v>
      </c>
      <c r="K1429" s="3"/>
      <c r="L1429" s="3" t="s">
        <v>36</v>
      </c>
      <c r="M1429" s="3" t="str">
        <f>CONCATENATE("MRLPLA40P61H501S")</f>
        <v>MRLPLA40P61H501S</v>
      </c>
      <c r="N1429" s="3" t="s">
        <v>1557</v>
      </c>
      <c r="O1429" s="3" t="s">
        <v>38</v>
      </c>
      <c r="P1429" s="3"/>
      <c r="Q1429" s="4">
        <v>45944</v>
      </c>
      <c r="R1429" s="3" t="s">
        <v>39</v>
      </c>
      <c r="S1429" s="3" t="s">
        <v>38</v>
      </c>
      <c r="T1429" s="3" t="s">
        <v>40</v>
      </c>
      <c r="U1429" s="3"/>
      <c r="V1429" s="3" t="s">
        <v>41</v>
      </c>
      <c r="W1429" s="5">
        <v>4399.3599999999997</v>
      </c>
      <c r="X1429" s="5">
        <v>3299.52</v>
      </c>
      <c r="Y1429" s="3">
        <v>769.89</v>
      </c>
      <c r="Z1429" s="3">
        <v>329.95</v>
      </c>
      <c r="AA1429" s="3">
        <v>0</v>
      </c>
    </row>
    <row r="1430" spans="1:27" ht="60.75" x14ac:dyDescent="0.25">
      <c r="A1430" s="3" t="s">
        <v>28</v>
      </c>
      <c r="B1430" s="3" t="s">
        <v>29</v>
      </c>
      <c r="C1430" s="3" t="s">
        <v>30</v>
      </c>
      <c r="D1430" s="3" t="s">
        <v>49</v>
      </c>
      <c r="E1430" s="3" t="s">
        <v>32</v>
      </c>
      <c r="F1430" s="3" t="s">
        <v>78</v>
      </c>
      <c r="G1430" s="3">
        <v>2025</v>
      </c>
      <c r="H1430" s="3" t="str">
        <f>CONCATENATE("54240661485")</f>
        <v>54240661485</v>
      </c>
      <c r="I1430" s="3" t="s">
        <v>34</v>
      </c>
      <c r="J1430" s="3" t="s">
        <v>35</v>
      </c>
      <c r="K1430" s="3"/>
      <c r="L1430" s="3" t="s">
        <v>36</v>
      </c>
      <c r="M1430" s="3" t="str">
        <f>CONCATENATE("MNTCSR68A25B474L")</f>
        <v>MNTCSR68A25B474L</v>
      </c>
      <c r="N1430" s="3" t="s">
        <v>1558</v>
      </c>
      <c r="O1430" s="3" t="s">
        <v>38</v>
      </c>
      <c r="P1430" s="3"/>
      <c r="Q1430" s="4">
        <v>45944</v>
      </c>
      <c r="R1430" s="3" t="s">
        <v>39</v>
      </c>
      <c r="S1430" s="3" t="s">
        <v>38</v>
      </c>
      <c r="T1430" s="3" t="s">
        <v>40</v>
      </c>
      <c r="U1430" s="3"/>
      <c r="V1430" s="3" t="s">
        <v>41</v>
      </c>
      <c r="W1430" s="5">
        <v>5608.12</v>
      </c>
      <c r="X1430" s="5">
        <v>4206.09</v>
      </c>
      <c r="Y1430" s="3">
        <v>981.42</v>
      </c>
      <c r="Z1430" s="3">
        <v>420.61</v>
      </c>
      <c r="AA1430" s="3">
        <v>0</v>
      </c>
    </row>
    <row r="1431" spans="1:27" ht="60.75" x14ac:dyDescent="0.25">
      <c r="A1431" s="3" t="s">
        <v>28</v>
      </c>
      <c r="B1431" s="3" t="s">
        <v>29</v>
      </c>
      <c r="C1431" s="3" t="s">
        <v>30</v>
      </c>
      <c r="D1431" s="3" t="s">
        <v>58</v>
      </c>
      <c r="E1431" s="3" t="s">
        <v>32</v>
      </c>
      <c r="F1431" s="3" t="s">
        <v>471</v>
      </c>
      <c r="G1431" s="3">
        <v>2025</v>
      </c>
      <c r="H1431" s="3" t="str">
        <f>CONCATENATE("54240649159")</f>
        <v>54240649159</v>
      </c>
      <c r="I1431" s="3" t="s">
        <v>34</v>
      </c>
      <c r="J1431" s="3" t="s">
        <v>35</v>
      </c>
      <c r="K1431" s="3"/>
      <c r="L1431" s="3" t="s">
        <v>36</v>
      </c>
      <c r="M1431" s="3" t="str">
        <f>CONCATENATE("PTRSDR56M66I653J")</f>
        <v>PTRSDR56M66I653J</v>
      </c>
      <c r="N1431" s="3" t="s">
        <v>1559</v>
      </c>
      <c r="O1431" s="3" t="s">
        <v>38</v>
      </c>
      <c r="P1431" s="3"/>
      <c r="Q1431" s="4">
        <v>45944</v>
      </c>
      <c r="R1431" s="3" t="s">
        <v>39</v>
      </c>
      <c r="S1431" s="3" t="s">
        <v>38</v>
      </c>
      <c r="T1431" s="3" t="s">
        <v>40</v>
      </c>
      <c r="U1431" s="3"/>
      <c r="V1431" s="3" t="s">
        <v>41</v>
      </c>
      <c r="W1431" s="5">
        <v>3120.55</v>
      </c>
      <c r="X1431" s="5">
        <v>2340.41</v>
      </c>
      <c r="Y1431" s="3">
        <v>546.1</v>
      </c>
      <c r="Z1431" s="3">
        <v>234.04</v>
      </c>
      <c r="AA1431" s="3">
        <v>0</v>
      </c>
    </row>
    <row r="1432" spans="1:27" ht="72.75" x14ac:dyDescent="0.25">
      <c r="A1432" s="3" t="s">
        <v>28</v>
      </c>
      <c r="B1432" s="3" t="s">
        <v>29</v>
      </c>
      <c r="C1432" s="3" t="s">
        <v>30</v>
      </c>
      <c r="D1432" s="3" t="s">
        <v>63</v>
      </c>
      <c r="E1432" s="3" t="s">
        <v>145</v>
      </c>
      <c r="F1432" s="3" t="s">
        <v>146</v>
      </c>
      <c r="G1432" s="3">
        <v>2025</v>
      </c>
      <c r="H1432" s="3" t="str">
        <f>CONCATENATE("54240649308")</f>
        <v>54240649308</v>
      </c>
      <c r="I1432" s="3" t="s">
        <v>34</v>
      </c>
      <c r="J1432" s="3" t="s">
        <v>35</v>
      </c>
      <c r="K1432" s="3"/>
      <c r="L1432" s="3" t="s">
        <v>36</v>
      </c>
      <c r="M1432" s="3" t="str">
        <f>CONCATENATE("NBISVT57R31A258R")</f>
        <v>NBISVT57R31A258R</v>
      </c>
      <c r="N1432" s="3" t="s">
        <v>1560</v>
      </c>
      <c r="O1432" s="3" t="s">
        <v>38</v>
      </c>
      <c r="P1432" s="3"/>
      <c r="Q1432" s="4">
        <v>45944</v>
      </c>
      <c r="R1432" s="3" t="s">
        <v>39</v>
      </c>
      <c r="S1432" s="3" t="s">
        <v>38</v>
      </c>
      <c r="T1432" s="3" t="s">
        <v>40</v>
      </c>
      <c r="U1432" s="3"/>
      <c r="V1432" s="3" t="s">
        <v>41</v>
      </c>
      <c r="W1432" s="5">
        <v>7985.84</v>
      </c>
      <c r="X1432" s="5">
        <v>5989.38</v>
      </c>
      <c r="Y1432" s="5">
        <v>1397.52</v>
      </c>
      <c r="Z1432" s="3">
        <v>598.94000000000005</v>
      </c>
      <c r="AA1432" s="3">
        <v>0</v>
      </c>
    </row>
    <row r="1433" spans="1:27" ht="36.75" x14ac:dyDescent="0.25">
      <c r="A1433" s="3" t="s">
        <v>28</v>
      </c>
      <c r="B1433" s="3" t="s">
        <v>29</v>
      </c>
      <c r="C1433" s="3" t="s">
        <v>30</v>
      </c>
      <c r="D1433" s="3" t="s">
        <v>49</v>
      </c>
      <c r="E1433" s="3" t="s">
        <v>32</v>
      </c>
      <c r="F1433" s="3" t="s">
        <v>78</v>
      </c>
      <c r="G1433" s="3">
        <v>2025</v>
      </c>
      <c r="H1433" s="3" t="str">
        <f>CONCATENATE("54240661550")</f>
        <v>54240661550</v>
      </c>
      <c r="I1433" s="3" t="s">
        <v>34</v>
      </c>
      <c r="J1433" s="3" t="s">
        <v>35</v>
      </c>
      <c r="K1433" s="3"/>
      <c r="L1433" s="3" t="s">
        <v>36</v>
      </c>
      <c r="M1433" s="3" t="str">
        <f>CONCATENATE("01990730432")</f>
        <v>01990730432</v>
      </c>
      <c r="N1433" s="3" t="s">
        <v>1561</v>
      </c>
      <c r="O1433" s="3" t="s">
        <v>38</v>
      </c>
      <c r="P1433" s="3"/>
      <c r="Q1433" s="4">
        <v>45944</v>
      </c>
      <c r="R1433" s="3" t="s">
        <v>39</v>
      </c>
      <c r="S1433" s="3" t="s">
        <v>38</v>
      </c>
      <c r="T1433" s="3" t="s">
        <v>40</v>
      </c>
      <c r="U1433" s="3"/>
      <c r="V1433" s="3" t="s">
        <v>41</v>
      </c>
      <c r="W1433" s="5">
        <v>13186.53</v>
      </c>
      <c r="X1433" s="5">
        <v>9889.9</v>
      </c>
      <c r="Y1433" s="5">
        <v>2307.64</v>
      </c>
      <c r="Z1433" s="3">
        <v>988.99</v>
      </c>
      <c r="AA1433" s="3">
        <v>0</v>
      </c>
    </row>
    <row r="1434" spans="1:27" ht="36.75" x14ac:dyDescent="0.25">
      <c r="A1434" s="3" t="s">
        <v>28</v>
      </c>
      <c r="B1434" s="3" t="s">
        <v>29</v>
      </c>
      <c r="C1434" s="3" t="s">
        <v>30</v>
      </c>
      <c r="D1434" s="3" t="s">
        <v>63</v>
      </c>
      <c r="E1434" s="3" t="s">
        <v>32</v>
      </c>
      <c r="F1434" s="3" t="s">
        <v>269</v>
      </c>
      <c r="G1434" s="3">
        <v>2025</v>
      </c>
      <c r="H1434" s="3" t="str">
        <f>CONCATENATE("54240649902")</f>
        <v>54240649902</v>
      </c>
      <c r="I1434" s="3" t="s">
        <v>34</v>
      </c>
      <c r="J1434" s="3" t="s">
        <v>35</v>
      </c>
      <c r="K1434" s="3"/>
      <c r="L1434" s="3" t="s">
        <v>36</v>
      </c>
      <c r="M1434" s="3" t="str">
        <f>CONCATENATE("02017140449")</f>
        <v>02017140449</v>
      </c>
      <c r="N1434" s="3" t="s">
        <v>1562</v>
      </c>
      <c r="O1434" s="3" t="s">
        <v>38</v>
      </c>
      <c r="P1434" s="3"/>
      <c r="Q1434" s="4">
        <v>45944</v>
      </c>
      <c r="R1434" s="3" t="s">
        <v>39</v>
      </c>
      <c r="S1434" s="3" t="s">
        <v>38</v>
      </c>
      <c r="T1434" s="3" t="s">
        <v>40</v>
      </c>
      <c r="U1434" s="3"/>
      <c r="V1434" s="3" t="s">
        <v>41</v>
      </c>
      <c r="W1434" s="5">
        <v>2836.17</v>
      </c>
      <c r="X1434" s="5">
        <v>2127.13</v>
      </c>
      <c r="Y1434" s="3">
        <v>496.33</v>
      </c>
      <c r="Z1434" s="3">
        <v>212.71</v>
      </c>
      <c r="AA1434" s="3">
        <v>0</v>
      </c>
    </row>
    <row r="1435" spans="1:27" ht="60.75" x14ac:dyDescent="0.25">
      <c r="A1435" s="3" t="s">
        <v>28</v>
      </c>
      <c r="B1435" s="3" t="s">
        <v>29</v>
      </c>
      <c r="C1435" s="3" t="s">
        <v>30</v>
      </c>
      <c r="D1435" s="3" t="s">
        <v>63</v>
      </c>
      <c r="E1435" s="3" t="s">
        <v>32</v>
      </c>
      <c r="F1435" s="3" t="s">
        <v>269</v>
      </c>
      <c r="G1435" s="3">
        <v>2025</v>
      </c>
      <c r="H1435" s="3" t="str">
        <f>CONCATENATE("54240649936")</f>
        <v>54240649936</v>
      </c>
      <c r="I1435" s="3" t="s">
        <v>34</v>
      </c>
      <c r="J1435" s="3" t="s">
        <v>35</v>
      </c>
      <c r="K1435" s="3"/>
      <c r="L1435" s="3" t="s">
        <v>36</v>
      </c>
      <c r="M1435" s="3" t="str">
        <f>CONCATENATE("VRDRRT79M08D542K")</f>
        <v>VRDRRT79M08D542K</v>
      </c>
      <c r="N1435" s="3" t="s">
        <v>1563</v>
      </c>
      <c r="O1435" s="3" t="s">
        <v>38</v>
      </c>
      <c r="P1435" s="3"/>
      <c r="Q1435" s="4">
        <v>45944</v>
      </c>
      <c r="R1435" s="3" t="s">
        <v>39</v>
      </c>
      <c r="S1435" s="3" t="s">
        <v>38</v>
      </c>
      <c r="T1435" s="3" t="s">
        <v>40</v>
      </c>
      <c r="U1435" s="3"/>
      <c r="V1435" s="3" t="s">
        <v>41</v>
      </c>
      <c r="W1435" s="5">
        <v>1881.88</v>
      </c>
      <c r="X1435" s="5">
        <v>1411.41</v>
      </c>
      <c r="Y1435" s="3">
        <v>329.33</v>
      </c>
      <c r="Z1435" s="3">
        <v>141.13999999999999</v>
      </c>
      <c r="AA1435" s="3">
        <v>0</v>
      </c>
    </row>
    <row r="1436" spans="1:27" ht="60.75" x14ac:dyDescent="0.25">
      <c r="A1436" s="3" t="s">
        <v>28</v>
      </c>
      <c r="B1436" s="3" t="s">
        <v>29</v>
      </c>
      <c r="C1436" s="3" t="s">
        <v>30</v>
      </c>
      <c r="D1436" s="3" t="s">
        <v>58</v>
      </c>
      <c r="E1436" s="3" t="s">
        <v>32</v>
      </c>
      <c r="F1436" s="3" t="s">
        <v>239</v>
      </c>
      <c r="G1436" s="3">
        <v>2025</v>
      </c>
      <c r="H1436" s="3" t="str">
        <f>CONCATENATE("54240650462")</f>
        <v>54240650462</v>
      </c>
      <c r="I1436" s="3" t="s">
        <v>34</v>
      </c>
      <c r="J1436" s="3" t="s">
        <v>35</v>
      </c>
      <c r="K1436" s="3"/>
      <c r="L1436" s="3" t="s">
        <v>36</v>
      </c>
      <c r="M1436" s="3" t="str">
        <f>CONCATENATE("LSARCR67B19D007X")</f>
        <v>LSARCR67B19D007X</v>
      </c>
      <c r="N1436" s="3" t="s">
        <v>1564</v>
      </c>
      <c r="O1436" s="3" t="s">
        <v>38</v>
      </c>
      <c r="P1436" s="3"/>
      <c r="Q1436" s="4">
        <v>45944</v>
      </c>
      <c r="R1436" s="3" t="s">
        <v>39</v>
      </c>
      <c r="S1436" s="3" t="s">
        <v>38</v>
      </c>
      <c r="T1436" s="3" t="s">
        <v>40</v>
      </c>
      <c r="U1436" s="3"/>
      <c r="V1436" s="3" t="s">
        <v>41</v>
      </c>
      <c r="W1436" s="5">
        <v>5183.22</v>
      </c>
      <c r="X1436" s="5">
        <v>3887.42</v>
      </c>
      <c r="Y1436" s="3">
        <v>907.06</v>
      </c>
      <c r="Z1436" s="3">
        <v>388.74</v>
      </c>
      <c r="AA1436" s="3">
        <v>0</v>
      </c>
    </row>
    <row r="1437" spans="1:27" ht="36.75" x14ac:dyDescent="0.25">
      <c r="A1437" s="3" t="s">
        <v>28</v>
      </c>
      <c r="B1437" s="3" t="s">
        <v>29</v>
      </c>
      <c r="C1437" s="3" t="s">
        <v>30</v>
      </c>
      <c r="D1437" s="3" t="s">
        <v>49</v>
      </c>
      <c r="E1437" s="3" t="s">
        <v>32</v>
      </c>
      <c r="F1437" s="3" t="s">
        <v>78</v>
      </c>
      <c r="G1437" s="3">
        <v>2025</v>
      </c>
      <c r="H1437" s="3" t="str">
        <f>CONCATENATE("54240661543")</f>
        <v>54240661543</v>
      </c>
      <c r="I1437" s="3" t="s">
        <v>34</v>
      </c>
      <c r="J1437" s="3" t="s">
        <v>35</v>
      </c>
      <c r="K1437" s="3"/>
      <c r="L1437" s="3" t="s">
        <v>36</v>
      </c>
      <c r="M1437" s="3" t="str">
        <f>CONCATENATE("01015260431")</f>
        <v>01015260431</v>
      </c>
      <c r="N1437" s="3" t="s">
        <v>1565</v>
      </c>
      <c r="O1437" s="3" t="s">
        <v>38</v>
      </c>
      <c r="P1437" s="3"/>
      <c r="Q1437" s="4">
        <v>45944</v>
      </c>
      <c r="R1437" s="3" t="s">
        <v>39</v>
      </c>
      <c r="S1437" s="3" t="s">
        <v>38</v>
      </c>
      <c r="T1437" s="3" t="s">
        <v>40</v>
      </c>
      <c r="U1437" s="3"/>
      <c r="V1437" s="3" t="s">
        <v>41</v>
      </c>
      <c r="W1437" s="5">
        <v>28519.66</v>
      </c>
      <c r="X1437" s="5">
        <v>21389.75</v>
      </c>
      <c r="Y1437" s="5">
        <v>4990.9399999999996</v>
      </c>
      <c r="Z1437" s="5">
        <v>2138.9699999999998</v>
      </c>
      <c r="AA1437" s="3">
        <v>0</v>
      </c>
    </row>
    <row r="1438" spans="1:27" ht="36.75" x14ac:dyDescent="0.25">
      <c r="A1438" s="3" t="s">
        <v>28</v>
      </c>
      <c r="B1438" s="3" t="s">
        <v>29</v>
      </c>
      <c r="C1438" s="3" t="s">
        <v>30</v>
      </c>
      <c r="D1438" s="3" t="s">
        <v>63</v>
      </c>
      <c r="E1438" s="3" t="s">
        <v>1448</v>
      </c>
      <c r="F1438" s="3" t="s">
        <v>1449</v>
      </c>
      <c r="G1438" s="3">
        <v>2025</v>
      </c>
      <c r="H1438" s="3" t="str">
        <f>CONCATENATE("54240651007")</f>
        <v>54240651007</v>
      </c>
      <c r="I1438" s="3" t="s">
        <v>34</v>
      </c>
      <c r="J1438" s="3" t="s">
        <v>35</v>
      </c>
      <c r="K1438" s="3"/>
      <c r="L1438" s="3" t="s">
        <v>36</v>
      </c>
      <c r="M1438" s="3" t="str">
        <f>CONCATENATE("02347570448")</f>
        <v>02347570448</v>
      </c>
      <c r="N1438" s="3" t="s">
        <v>1566</v>
      </c>
      <c r="O1438" s="3" t="s">
        <v>38</v>
      </c>
      <c r="P1438" s="3"/>
      <c r="Q1438" s="4">
        <v>45944</v>
      </c>
      <c r="R1438" s="3" t="s">
        <v>39</v>
      </c>
      <c r="S1438" s="3" t="s">
        <v>38</v>
      </c>
      <c r="T1438" s="3" t="s">
        <v>40</v>
      </c>
      <c r="U1438" s="3"/>
      <c r="V1438" s="3" t="s">
        <v>41</v>
      </c>
      <c r="W1438" s="3">
        <v>802.13</v>
      </c>
      <c r="X1438" s="3">
        <v>601.6</v>
      </c>
      <c r="Y1438" s="3">
        <v>140.37</v>
      </c>
      <c r="Z1438" s="3">
        <v>60.16</v>
      </c>
      <c r="AA1438" s="3">
        <v>0</v>
      </c>
    </row>
    <row r="1439" spans="1:27" ht="36.75" x14ac:dyDescent="0.25">
      <c r="A1439" s="3" t="s">
        <v>28</v>
      </c>
      <c r="B1439" s="3" t="s">
        <v>29</v>
      </c>
      <c r="C1439" s="3" t="s">
        <v>30</v>
      </c>
      <c r="D1439" s="3" t="s">
        <v>63</v>
      </c>
      <c r="E1439" s="3" t="s">
        <v>32</v>
      </c>
      <c r="F1439" s="3" t="s">
        <v>269</v>
      </c>
      <c r="G1439" s="3">
        <v>2025</v>
      </c>
      <c r="H1439" s="3" t="str">
        <f>CONCATENATE("54240651122")</f>
        <v>54240651122</v>
      </c>
      <c r="I1439" s="3" t="s">
        <v>34</v>
      </c>
      <c r="J1439" s="3" t="s">
        <v>35</v>
      </c>
      <c r="K1439" s="3"/>
      <c r="L1439" s="3" t="s">
        <v>36</v>
      </c>
      <c r="M1439" s="3" t="str">
        <f>CONCATENATE("01348350446")</f>
        <v>01348350446</v>
      </c>
      <c r="N1439" s="3" t="s">
        <v>1567</v>
      </c>
      <c r="O1439" s="3" t="s">
        <v>38</v>
      </c>
      <c r="P1439" s="3"/>
      <c r="Q1439" s="4">
        <v>45944</v>
      </c>
      <c r="R1439" s="3" t="s">
        <v>39</v>
      </c>
      <c r="S1439" s="3" t="s">
        <v>38</v>
      </c>
      <c r="T1439" s="3" t="s">
        <v>40</v>
      </c>
      <c r="U1439" s="3"/>
      <c r="V1439" s="3" t="s">
        <v>41</v>
      </c>
      <c r="W1439" s="5">
        <v>20724.46</v>
      </c>
      <c r="X1439" s="5">
        <v>15543.35</v>
      </c>
      <c r="Y1439" s="5">
        <v>3626.78</v>
      </c>
      <c r="Z1439" s="5">
        <v>1554.33</v>
      </c>
      <c r="AA1439" s="3">
        <v>0</v>
      </c>
    </row>
    <row r="1440" spans="1:27" ht="60.75" x14ac:dyDescent="0.25">
      <c r="A1440" s="3" t="s">
        <v>28</v>
      </c>
      <c r="B1440" s="3" t="s">
        <v>29</v>
      </c>
      <c r="C1440" s="3" t="s">
        <v>30</v>
      </c>
      <c r="D1440" s="3" t="s">
        <v>58</v>
      </c>
      <c r="E1440" s="3" t="s">
        <v>32</v>
      </c>
      <c r="F1440" s="3" t="s">
        <v>239</v>
      </c>
      <c r="G1440" s="3">
        <v>2024</v>
      </c>
      <c r="H1440" s="3" t="str">
        <f>CONCATENATE("44240017903")</f>
        <v>44240017903</v>
      </c>
      <c r="I1440" s="3" t="s">
        <v>34</v>
      </c>
      <c r="J1440" s="3" t="s">
        <v>35</v>
      </c>
      <c r="K1440" s="3"/>
      <c r="L1440" s="3" t="s">
        <v>36</v>
      </c>
      <c r="M1440" s="3" t="str">
        <f>CONCATENATE("MRSRRT64C54D472X")</f>
        <v>MRSRRT64C54D472X</v>
      </c>
      <c r="N1440" s="3" t="s">
        <v>1568</v>
      </c>
      <c r="O1440" s="3" t="s">
        <v>68</v>
      </c>
      <c r="P1440" s="3"/>
      <c r="Q1440" s="4">
        <v>45807</v>
      </c>
      <c r="R1440" s="3" t="s">
        <v>39</v>
      </c>
      <c r="S1440" s="3" t="s">
        <v>62</v>
      </c>
      <c r="T1440" s="3" t="s">
        <v>40</v>
      </c>
      <c r="U1440" s="3"/>
      <c r="V1440" s="3" t="s">
        <v>41</v>
      </c>
      <c r="W1440" s="3">
        <v>452.17</v>
      </c>
      <c r="X1440" s="3">
        <v>339.13</v>
      </c>
      <c r="Y1440" s="3">
        <v>79.13</v>
      </c>
      <c r="Z1440" s="3">
        <v>33.909999999999997</v>
      </c>
      <c r="AA1440" s="3">
        <v>0</v>
      </c>
    </row>
    <row r="1441" spans="1:27" ht="60.75" x14ac:dyDescent="0.25">
      <c r="A1441" s="3" t="s">
        <v>28</v>
      </c>
      <c r="B1441" s="3" t="s">
        <v>29</v>
      </c>
      <c r="C1441" s="3" t="s">
        <v>30</v>
      </c>
      <c r="D1441" s="3" t="s">
        <v>58</v>
      </c>
      <c r="E1441" s="3" t="s">
        <v>74</v>
      </c>
      <c r="F1441" s="3" t="s">
        <v>84</v>
      </c>
      <c r="G1441" s="3">
        <v>2025</v>
      </c>
      <c r="H1441" s="3" t="str">
        <f>CONCATENATE("54240512258")</f>
        <v>54240512258</v>
      </c>
      <c r="I1441" s="3" t="s">
        <v>34</v>
      </c>
      <c r="J1441" s="3" t="s">
        <v>35</v>
      </c>
      <c r="K1441" s="3"/>
      <c r="L1441" s="3" t="s">
        <v>36</v>
      </c>
      <c r="M1441" s="3" t="str">
        <f>CONCATENATE("SSSNCL95B17E388X")</f>
        <v>SSSNCL95B17E388X</v>
      </c>
      <c r="N1441" s="3" t="s">
        <v>1569</v>
      </c>
      <c r="O1441" s="3" t="s">
        <v>38</v>
      </c>
      <c r="P1441" s="3"/>
      <c r="Q1441" s="4">
        <v>45944</v>
      </c>
      <c r="R1441" s="3" t="s">
        <v>39</v>
      </c>
      <c r="S1441" s="3" t="s">
        <v>38</v>
      </c>
      <c r="T1441" s="3" t="s">
        <v>40</v>
      </c>
      <c r="U1441" s="3"/>
      <c r="V1441" s="3" t="s">
        <v>41</v>
      </c>
      <c r="W1441" s="5">
        <v>2226.69</v>
      </c>
      <c r="X1441" s="5">
        <v>1670.02</v>
      </c>
      <c r="Y1441" s="3">
        <v>389.67</v>
      </c>
      <c r="Z1441" s="3">
        <v>167</v>
      </c>
      <c r="AA1441" s="3">
        <v>0</v>
      </c>
    </row>
    <row r="1442" spans="1:27" ht="60.75" x14ac:dyDescent="0.25">
      <c r="A1442" s="3" t="s">
        <v>28</v>
      </c>
      <c r="B1442" s="3" t="s">
        <v>29</v>
      </c>
      <c r="C1442" s="3" t="s">
        <v>30</v>
      </c>
      <c r="D1442" s="3" t="s">
        <v>63</v>
      </c>
      <c r="E1442" s="3" t="s">
        <v>32</v>
      </c>
      <c r="F1442" s="3" t="s">
        <v>392</v>
      </c>
      <c r="G1442" s="3">
        <v>2025</v>
      </c>
      <c r="H1442" s="3" t="str">
        <f>CONCATENATE("54240512670")</f>
        <v>54240512670</v>
      </c>
      <c r="I1442" s="3" t="s">
        <v>34</v>
      </c>
      <c r="J1442" s="3" t="s">
        <v>35</v>
      </c>
      <c r="K1442" s="3"/>
      <c r="L1442" s="3" t="s">
        <v>36</v>
      </c>
      <c r="M1442" s="3" t="str">
        <f>CONCATENATE("BLLCST84M51H769P")</f>
        <v>BLLCST84M51H769P</v>
      </c>
      <c r="N1442" s="3" t="s">
        <v>1570</v>
      </c>
      <c r="O1442" s="3" t="s">
        <v>38</v>
      </c>
      <c r="P1442" s="3"/>
      <c r="Q1442" s="4">
        <v>45944</v>
      </c>
      <c r="R1442" s="3" t="s">
        <v>39</v>
      </c>
      <c r="S1442" s="3" t="s">
        <v>38</v>
      </c>
      <c r="T1442" s="3" t="s">
        <v>40</v>
      </c>
      <c r="U1442" s="3"/>
      <c r="V1442" s="3" t="s">
        <v>41</v>
      </c>
      <c r="W1442" s="5">
        <v>1175.5899999999999</v>
      </c>
      <c r="X1442" s="3">
        <v>881.69</v>
      </c>
      <c r="Y1442" s="3">
        <v>205.73</v>
      </c>
      <c r="Z1442" s="3">
        <v>88.17</v>
      </c>
      <c r="AA1442" s="3">
        <v>0</v>
      </c>
    </row>
  </sheetData>
  <mergeCells count="2">
    <mergeCell ref="A1:AA1"/>
    <mergeCell ref="A2:AA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DOMANDE_PAGATE_REGI_PSR_Decreto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 Galeazzi</cp:lastModifiedBy>
  <dcterms:created xsi:type="dcterms:W3CDTF">2025-11-03T14:05:50Z</dcterms:created>
  <dcterms:modified xsi:type="dcterms:W3CDTF">2025-11-03T14:05:50Z</dcterms:modified>
</cp:coreProperties>
</file>