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agov-my.sharepoint.com/personal/gi_greco_agea_gov_it/Documents/Decreti/694/SPACCHETTAMENTO/"/>
    </mc:Choice>
  </mc:AlternateContent>
  <xr:revisionPtr revIDLastSave="0" documentId="8_{234F7130-BFCA-4F29-9C0C-73482FC8D6A9}" xr6:coauthVersionLast="47" xr6:coauthVersionMax="47" xr10:uidLastSave="{00000000-0000-0000-0000-000000000000}"/>
  <bookViews>
    <workbookView xWindow="-110" yWindow="-110" windowWidth="19420" windowHeight="10300" xr2:uid="{9EA85D94-6632-4AD2-B43C-06AD634A124D}"/>
  </bookViews>
  <sheets>
    <sheet name="MARCH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6" i="1" l="1"/>
  <c r="L186" i="1"/>
  <c r="K186" i="1"/>
  <c r="H186" i="1"/>
  <c r="M185" i="1"/>
  <c r="L185" i="1"/>
  <c r="K185" i="1"/>
  <c r="H185" i="1"/>
  <c r="M184" i="1"/>
  <c r="L184" i="1"/>
  <c r="K184" i="1"/>
  <c r="H184" i="1"/>
  <c r="M183" i="1"/>
  <c r="L183" i="1"/>
  <c r="K183" i="1"/>
  <c r="H183" i="1"/>
  <c r="M182" i="1"/>
  <c r="L182" i="1"/>
  <c r="K182" i="1"/>
  <c r="H182" i="1"/>
  <c r="M181" i="1"/>
  <c r="L181" i="1"/>
  <c r="K181" i="1"/>
  <c r="H181" i="1"/>
  <c r="M180" i="1"/>
  <c r="L180" i="1"/>
  <c r="K180" i="1"/>
  <c r="H180" i="1"/>
  <c r="M179" i="1"/>
  <c r="L179" i="1"/>
  <c r="K179" i="1"/>
  <c r="H179" i="1"/>
  <c r="M178" i="1"/>
  <c r="L178" i="1"/>
  <c r="K178" i="1"/>
  <c r="H178" i="1"/>
  <c r="M177" i="1"/>
  <c r="L177" i="1"/>
  <c r="K177" i="1"/>
  <c r="H177" i="1"/>
  <c r="M176" i="1"/>
  <c r="L176" i="1"/>
  <c r="K176" i="1"/>
  <c r="H176" i="1"/>
  <c r="M175" i="1"/>
  <c r="L175" i="1"/>
  <c r="K175" i="1"/>
  <c r="H175" i="1"/>
  <c r="M174" i="1"/>
  <c r="L174" i="1"/>
  <c r="K174" i="1"/>
  <c r="H174" i="1"/>
  <c r="M173" i="1"/>
  <c r="L173" i="1"/>
  <c r="K173" i="1"/>
  <c r="H173" i="1"/>
  <c r="M172" i="1"/>
  <c r="L172" i="1"/>
  <c r="K172" i="1"/>
  <c r="H172" i="1"/>
  <c r="M171" i="1"/>
  <c r="L171" i="1"/>
  <c r="K171" i="1"/>
  <c r="H171" i="1"/>
  <c r="M170" i="1"/>
  <c r="L170" i="1"/>
  <c r="K170" i="1"/>
  <c r="H170" i="1"/>
  <c r="M169" i="1"/>
  <c r="L169" i="1"/>
  <c r="K169" i="1"/>
  <c r="H169" i="1"/>
  <c r="M168" i="1"/>
  <c r="L168" i="1"/>
  <c r="K168" i="1"/>
  <c r="H168" i="1"/>
  <c r="M167" i="1"/>
  <c r="L167" i="1"/>
  <c r="K167" i="1"/>
  <c r="H167" i="1"/>
  <c r="M166" i="1"/>
  <c r="L166" i="1"/>
  <c r="K166" i="1"/>
  <c r="H166" i="1"/>
  <c r="M165" i="1"/>
  <c r="L165" i="1"/>
  <c r="K165" i="1"/>
  <c r="H165" i="1"/>
  <c r="M164" i="1"/>
  <c r="L164" i="1"/>
  <c r="K164" i="1"/>
  <c r="H164" i="1"/>
  <c r="M163" i="1"/>
  <c r="L163" i="1"/>
  <c r="K163" i="1"/>
  <c r="H163" i="1"/>
  <c r="M162" i="1"/>
  <c r="L162" i="1"/>
  <c r="K162" i="1"/>
  <c r="H162" i="1"/>
  <c r="M161" i="1"/>
  <c r="L161" i="1"/>
  <c r="K161" i="1"/>
  <c r="H161" i="1"/>
  <c r="M160" i="1"/>
  <c r="L160" i="1"/>
  <c r="K160" i="1"/>
  <c r="H160" i="1"/>
  <c r="M159" i="1"/>
  <c r="L159" i="1"/>
  <c r="K159" i="1"/>
  <c r="H159" i="1"/>
  <c r="M158" i="1"/>
  <c r="L158" i="1"/>
  <c r="K158" i="1"/>
  <c r="H158" i="1"/>
  <c r="M157" i="1"/>
  <c r="L157" i="1"/>
  <c r="K157" i="1"/>
  <c r="H157" i="1"/>
  <c r="M156" i="1"/>
  <c r="L156" i="1"/>
  <c r="K156" i="1"/>
  <c r="H156" i="1"/>
  <c r="M155" i="1"/>
  <c r="L155" i="1"/>
  <c r="K155" i="1"/>
  <c r="H155" i="1"/>
  <c r="M154" i="1"/>
  <c r="L154" i="1"/>
  <c r="K154" i="1"/>
  <c r="H154" i="1"/>
  <c r="M153" i="1"/>
  <c r="L153" i="1"/>
  <c r="K153" i="1"/>
  <c r="H153" i="1"/>
  <c r="M152" i="1"/>
  <c r="L152" i="1"/>
  <c r="K152" i="1"/>
  <c r="H152" i="1"/>
  <c r="M151" i="1"/>
  <c r="L151" i="1"/>
  <c r="K151" i="1"/>
  <c r="H151" i="1"/>
  <c r="M150" i="1"/>
  <c r="L150" i="1"/>
  <c r="K150" i="1"/>
  <c r="H150" i="1"/>
  <c r="M149" i="1"/>
  <c r="L149" i="1"/>
  <c r="K149" i="1"/>
  <c r="H149" i="1"/>
  <c r="M148" i="1"/>
  <c r="L148" i="1"/>
  <c r="K148" i="1"/>
  <c r="H148" i="1"/>
  <c r="M147" i="1"/>
  <c r="L147" i="1"/>
  <c r="K147" i="1"/>
  <c r="H147" i="1"/>
  <c r="M146" i="1"/>
  <c r="L146" i="1"/>
  <c r="K146" i="1"/>
  <c r="H146" i="1"/>
  <c r="M145" i="1"/>
  <c r="L145" i="1"/>
  <c r="K145" i="1"/>
  <c r="H145" i="1"/>
  <c r="M144" i="1"/>
  <c r="L144" i="1"/>
  <c r="K144" i="1"/>
  <c r="H144" i="1"/>
  <c r="M143" i="1"/>
  <c r="L143" i="1"/>
  <c r="K143" i="1"/>
  <c r="H143" i="1"/>
  <c r="M142" i="1"/>
  <c r="L142" i="1"/>
  <c r="K142" i="1"/>
  <c r="H142" i="1"/>
  <c r="M141" i="1"/>
  <c r="L141" i="1"/>
  <c r="K141" i="1"/>
  <c r="H141" i="1"/>
  <c r="M140" i="1"/>
  <c r="L140" i="1"/>
  <c r="K140" i="1"/>
  <c r="H140" i="1"/>
  <c r="M139" i="1"/>
  <c r="L139" i="1"/>
  <c r="K139" i="1"/>
  <c r="H139" i="1"/>
  <c r="M138" i="1"/>
  <c r="L138" i="1"/>
  <c r="K138" i="1"/>
  <c r="H138" i="1"/>
  <c r="M137" i="1"/>
  <c r="L137" i="1"/>
  <c r="K137" i="1"/>
  <c r="H137" i="1"/>
  <c r="M136" i="1"/>
  <c r="L136" i="1"/>
  <c r="K136" i="1"/>
  <c r="H136" i="1"/>
  <c r="M135" i="1"/>
  <c r="L135" i="1"/>
  <c r="K135" i="1"/>
  <c r="H135" i="1"/>
  <c r="M134" i="1"/>
  <c r="L134" i="1"/>
  <c r="K134" i="1"/>
  <c r="H134" i="1"/>
  <c r="M133" i="1"/>
  <c r="L133" i="1"/>
  <c r="K133" i="1"/>
  <c r="H133" i="1"/>
  <c r="M132" i="1"/>
  <c r="L132" i="1"/>
  <c r="K132" i="1"/>
  <c r="H132" i="1"/>
  <c r="M131" i="1"/>
  <c r="L131" i="1"/>
  <c r="K131" i="1"/>
  <c r="H131" i="1"/>
  <c r="M130" i="1"/>
  <c r="L130" i="1"/>
  <c r="K130" i="1"/>
  <c r="H130" i="1"/>
  <c r="M129" i="1"/>
  <c r="L129" i="1"/>
  <c r="K129" i="1"/>
  <c r="H129" i="1"/>
  <c r="M128" i="1"/>
  <c r="L128" i="1"/>
  <c r="K128" i="1"/>
  <c r="H128" i="1"/>
  <c r="M127" i="1"/>
  <c r="L127" i="1"/>
  <c r="K127" i="1"/>
  <c r="H127" i="1"/>
  <c r="M126" i="1"/>
  <c r="L126" i="1"/>
  <c r="K126" i="1"/>
  <c r="H126" i="1"/>
  <c r="M125" i="1"/>
  <c r="L125" i="1"/>
  <c r="K125" i="1"/>
  <c r="H125" i="1"/>
  <c r="M124" i="1"/>
  <c r="L124" i="1"/>
  <c r="K124" i="1"/>
  <c r="H124" i="1"/>
  <c r="M123" i="1"/>
  <c r="L123" i="1"/>
  <c r="K123" i="1"/>
  <c r="H123" i="1"/>
  <c r="M122" i="1"/>
  <c r="L122" i="1"/>
  <c r="K122" i="1"/>
  <c r="H122" i="1"/>
  <c r="M121" i="1"/>
  <c r="L121" i="1"/>
  <c r="K121" i="1"/>
  <c r="H121" i="1"/>
  <c r="M120" i="1"/>
  <c r="L120" i="1"/>
  <c r="K120" i="1"/>
  <c r="H120" i="1"/>
  <c r="M119" i="1"/>
  <c r="L119" i="1"/>
  <c r="K119" i="1"/>
  <c r="H119" i="1"/>
  <c r="M118" i="1"/>
  <c r="L118" i="1"/>
  <c r="K118" i="1"/>
  <c r="H118" i="1"/>
  <c r="M117" i="1"/>
  <c r="L117" i="1"/>
  <c r="K117" i="1"/>
  <c r="H117" i="1"/>
  <c r="M116" i="1"/>
  <c r="L116" i="1"/>
  <c r="K116" i="1"/>
  <c r="H116" i="1"/>
  <c r="M115" i="1"/>
  <c r="L115" i="1"/>
  <c r="K115" i="1"/>
  <c r="H115" i="1"/>
  <c r="M114" i="1"/>
  <c r="L114" i="1"/>
  <c r="K114" i="1"/>
  <c r="H114" i="1"/>
  <c r="M113" i="1"/>
  <c r="L113" i="1"/>
  <c r="K113" i="1"/>
  <c r="H113" i="1"/>
  <c r="M112" i="1"/>
  <c r="L112" i="1"/>
  <c r="K112" i="1"/>
  <c r="H112" i="1"/>
  <c r="M111" i="1"/>
  <c r="L111" i="1"/>
  <c r="K111" i="1"/>
  <c r="H111" i="1"/>
  <c r="M110" i="1"/>
  <c r="L110" i="1"/>
  <c r="K110" i="1"/>
  <c r="H110" i="1"/>
  <c r="M109" i="1"/>
  <c r="L109" i="1"/>
  <c r="K109" i="1"/>
  <c r="H109" i="1"/>
  <c r="M108" i="1"/>
  <c r="L108" i="1"/>
  <c r="K108" i="1"/>
  <c r="H108" i="1"/>
  <c r="M107" i="1"/>
  <c r="L107" i="1"/>
  <c r="K107" i="1"/>
  <c r="H107" i="1"/>
  <c r="M106" i="1"/>
  <c r="L106" i="1"/>
  <c r="K106" i="1"/>
  <c r="H106" i="1"/>
  <c r="M105" i="1"/>
  <c r="L105" i="1"/>
  <c r="K105" i="1"/>
  <c r="H105" i="1"/>
  <c r="M104" i="1"/>
  <c r="L104" i="1"/>
  <c r="K104" i="1"/>
  <c r="H104" i="1"/>
  <c r="M103" i="1"/>
  <c r="L103" i="1"/>
  <c r="K103" i="1"/>
  <c r="H103" i="1"/>
  <c r="M102" i="1"/>
  <c r="L102" i="1"/>
  <c r="K102" i="1"/>
  <c r="H102" i="1"/>
  <c r="M101" i="1"/>
  <c r="L101" i="1"/>
  <c r="K101" i="1"/>
  <c r="H101" i="1"/>
  <c r="M100" i="1"/>
  <c r="L100" i="1"/>
  <c r="K100" i="1"/>
  <c r="H100" i="1"/>
  <c r="M99" i="1"/>
  <c r="L99" i="1"/>
  <c r="K99" i="1"/>
  <c r="H99" i="1"/>
  <c r="M98" i="1"/>
  <c r="L98" i="1"/>
  <c r="K98" i="1"/>
  <c r="H98" i="1"/>
  <c r="M97" i="1"/>
  <c r="L97" i="1"/>
  <c r="K97" i="1"/>
  <c r="H97" i="1"/>
  <c r="M96" i="1"/>
  <c r="L96" i="1"/>
  <c r="K96" i="1"/>
  <c r="H96" i="1"/>
  <c r="M95" i="1"/>
  <c r="L95" i="1"/>
  <c r="K95" i="1"/>
  <c r="H95" i="1"/>
  <c r="M94" i="1"/>
  <c r="L94" i="1"/>
  <c r="K94" i="1"/>
  <c r="H94" i="1"/>
  <c r="M93" i="1"/>
  <c r="L93" i="1"/>
  <c r="K93" i="1"/>
  <c r="H93" i="1"/>
  <c r="M92" i="1"/>
  <c r="L92" i="1"/>
  <c r="K92" i="1"/>
  <c r="H92" i="1"/>
  <c r="M91" i="1"/>
  <c r="L91" i="1"/>
  <c r="K91" i="1"/>
  <c r="H91" i="1"/>
  <c r="M90" i="1"/>
  <c r="L90" i="1"/>
  <c r="K90" i="1"/>
  <c r="H90" i="1"/>
  <c r="M89" i="1"/>
  <c r="L89" i="1"/>
  <c r="K89" i="1"/>
  <c r="H89" i="1"/>
  <c r="M88" i="1"/>
  <c r="L88" i="1"/>
  <c r="K88" i="1"/>
  <c r="H88" i="1"/>
  <c r="M87" i="1"/>
  <c r="L87" i="1"/>
  <c r="K87" i="1"/>
  <c r="H87" i="1"/>
  <c r="M86" i="1"/>
  <c r="L86" i="1"/>
  <c r="K86" i="1"/>
  <c r="H86" i="1"/>
  <c r="M85" i="1"/>
  <c r="L85" i="1"/>
  <c r="K85" i="1"/>
  <c r="H85" i="1"/>
  <c r="M84" i="1"/>
  <c r="L84" i="1"/>
  <c r="K84" i="1"/>
  <c r="H84" i="1"/>
  <c r="M83" i="1"/>
  <c r="L83" i="1"/>
  <c r="K83" i="1"/>
  <c r="H83" i="1"/>
  <c r="M82" i="1"/>
  <c r="L82" i="1"/>
  <c r="K82" i="1"/>
  <c r="H82" i="1"/>
  <c r="M81" i="1"/>
  <c r="L81" i="1"/>
  <c r="K81" i="1"/>
  <c r="H81" i="1"/>
  <c r="M80" i="1"/>
  <c r="L80" i="1"/>
  <c r="K80" i="1"/>
  <c r="H80" i="1"/>
  <c r="M79" i="1"/>
  <c r="L79" i="1"/>
  <c r="K79" i="1"/>
  <c r="H79" i="1"/>
  <c r="M78" i="1"/>
  <c r="L78" i="1"/>
  <c r="K78" i="1"/>
  <c r="H78" i="1"/>
  <c r="M77" i="1"/>
  <c r="L77" i="1"/>
  <c r="K77" i="1"/>
  <c r="H77" i="1"/>
  <c r="M76" i="1"/>
  <c r="L76" i="1"/>
  <c r="K76" i="1"/>
  <c r="H76" i="1"/>
  <c r="M75" i="1"/>
  <c r="L75" i="1"/>
  <c r="K75" i="1"/>
  <c r="H75" i="1"/>
  <c r="M74" i="1"/>
  <c r="L74" i="1"/>
  <c r="K74" i="1"/>
  <c r="H74" i="1"/>
  <c r="M73" i="1"/>
  <c r="L73" i="1"/>
  <c r="K73" i="1"/>
  <c r="H73" i="1"/>
  <c r="M72" i="1"/>
  <c r="L72" i="1"/>
  <c r="K72" i="1"/>
  <c r="H72" i="1"/>
  <c r="M71" i="1"/>
  <c r="L71" i="1"/>
  <c r="K71" i="1"/>
  <c r="H71" i="1"/>
  <c r="M70" i="1"/>
  <c r="L70" i="1"/>
  <c r="K70" i="1"/>
  <c r="H70" i="1"/>
  <c r="M69" i="1"/>
  <c r="L69" i="1"/>
  <c r="K69" i="1"/>
  <c r="H69" i="1"/>
  <c r="M68" i="1"/>
  <c r="L68" i="1"/>
  <c r="K68" i="1"/>
  <c r="H68" i="1"/>
  <c r="M67" i="1"/>
  <c r="L67" i="1"/>
  <c r="K67" i="1"/>
  <c r="H67" i="1"/>
  <c r="M66" i="1"/>
  <c r="L66" i="1"/>
  <c r="K66" i="1"/>
  <c r="H66" i="1"/>
  <c r="M65" i="1"/>
  <c r="L65" i="1"/>
  <c r="K65" i="1"/>
  <c r="H65" i="1"/>
  <c r="M64" i="1"/>
  <c r="L64" i="1"/>
  <c r="K64" i="1"/>
  <c r="H64" i="1"/>
  <c r="M63" i="1"/>
  <c r="L63" i="1"/>
  <c r="K63" i="1"/>
  <c r="H63" i="1"/>
  <c r="M62" i="1"/>
  <c r="L62" i="1"/>
  <c r="K62" i="1"/>
  <c r="H62" i="1"/>
  <c r="M61" i="1"/>
  <c r="L61" i="1"/>
  <c r="K61" i="1"/>
  <c r="H61" i="1"/>
  <c r="M60" i="1"/>
  <c r="L60" i="1"/>
  <c r="K60" i="1"/>
  <c r="H60" i="1"/>
  <c r="M59" i="1"/>
  <c r="L59" i="1"/>
  <c r="K59" i="1"/>
  <c r="H59" i="1"/>
  <c r="M58" i="1"/>
  <c r="L58" i="1"/>
  <c r="K58" i="1"/>
  <c r="H58" i="1"/>
  <c r="M57" i="1"/>
  <c r="L57" i="1"/>
  <c r="K57" i="1"/>
  <c r="H57" i="1"/>
  <c r="M56" i="1"/>
  <c r="L56" i="1"/>
  <c r="K56" i="1"/>
  <c r="H56" i="1"/>
  <c r="M55" i="1"/>
  <c r="L55" i="1"/>
  <c r="K55" i="1"/>
  <c r="H55" i="1"/>
  <c r="M54" i="1"/>
  <c r="L54" i="1"/>
  <c r="K54" i="1"/>
  <c r="H54" i="1"/>
  <c r="M53" i="1"/>
  <c r="L53" i="1"/>
  <c r="K53" i="1"/>
  <c r="H53" i="1"/>
  <c r="M52" i="1"/>
  <c r="L52" i="1"/>
  <c r="K52" i="1"/>
  <c r="H52" i="1"/>
  <c r="M51" i="1"/>
  <c r="L51" i="1"/>
  <c r="K51" i="1"/>
  <c r="H51" i="1"/>
  <c r="M50" i="1"/>
  <c r="L50" i="1"/>
  <c r="K50" i="1"/>
  <c r="H50" i="1"/>
  <c r="M49" i="1"/>
  <c r="L49" i="1"/>
  <c r="K49" i="1"/>
  <c r="H49" i="1"/>
  <c r="M48" i="1"/>
  <c r="L48" i="1"/>
  <c r="K48" i="1"/>
  <c r="H48" i="1"/>
  <c r="M47" i="1"/>
  <c r="L47" i="1"/>
  <c r="K47" i="1"/>
  <c r="H47" i="1"/>
  <c r="M46" i="1"/>
  <c r="L46" i="1"/>
  <c r="K46" i="1"/>
  <c r="H46" i="1"/>
  <c r="M45" i="1"/>
  <c r="L45" i="1"/>
  <c r="K45" i="1"/>
  <c r="H45" i="1"/>
  <c r="M44" i="1"/>
  <c r="L44" i="1"/>
  <c r="K44" i="1"/>
  <c r="H44" i="1"/>
  <c r="M43" i="1"/>
  <c r="L43" i="1"/>
  <c r="K43" i="1"/>
  <c r="H43" i="1"/>
  <c r="M42" i="1"/>
  <c r="L42" i="1"/>
  <c r="K42" i="1"/>
  <c r="H42" i="1"/>
  <c r="M41" i="1"/>
  <c r="L41" i="1"/>
  <c r="K41" i="1"/>
  <c r="H41" i="1"/>
  <c r="M40" i="1"/>
  <c r="L40" i="1"/>
  <c r="K40" i="1"/>
  <c r="H40" i="1"/>
  <c r="M39" i="1"/>
  <c r="L39" i="1"/>
  <c r="K39" i="1"/>
  <c r="H39" i="1"/>
  <c r="M38" i="1"/>
  <c r="L38" i="1"/>
  <c r="K38" i="1"/>
  <c r="H38" i="1"/>
  <c r="M37" i="1"/>
  <c r="L37" i="1"/>
  <c r="K37" i="1"/>
  <c r="H37" i="1"/>
  <c r="M36" i="1"/>
  <c r="L36" i="1"/>
  <c r="K36" i="1"/>
  <c r="H36" i="1"/>
  <c r="M35" i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<sst xmlns="http://schemas.openxmlformats.org/spreadsheetml/2006/main" count="2773" uniqueCount="280">
  <si>
    <t>Dettaglio Domande Pagabili Decreto 694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</si>
  <si>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</si>
  <si>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</si>
  <si>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</si>
  <si>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</si>
  <si>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</si>
  <si>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</si>
  <si>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</si>
  <si>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</si>
  <si>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</si>
  <si>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</si>
  <si>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</si>
  <si>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</si>
  <si>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</si>
  <si>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</si>
  <si>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Tipologia Elenco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</si>
  <si>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</si>
  <si>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</si>
  <si>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</si>
  <si>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</si>
  <si>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</si>
  <si>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</si>
  <si>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</si>
  <si>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</si>
  <si>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</si>
  <si>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</si>
  <si>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</si>
  <si>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</si>
  <si>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</si>
  <si>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Strutturali</t>
  </si>
  <si>
    <t>MARCHE</t>
  </si>
  <si>
    <t>SERV. DEC. AGRICOLTURA E ALIM. - MACERATA</t>
  </si>
  <si>
    <t>IN PROPRIO</t>
  </si>
  <si>
    <t>NO</t>
  </si>
  <si>
    <t>PSR 2014/2022</t>
  </si>
  <si>
    <t>ORSOLINI FLAVIO</t>
  </si>
  <si>
    <t>Decreto Ordinario</t>
  </si>
  <si>
    <t>AGEA.ASR.2024.0953148</t>
  </si>
  <si>
    <t>In Liquidazione</t>
  </si>
  <si>
    <t>Saldo</t>
  </si>
  <si>
    <t>Co-Finanziato</t>
  </si>
  <si>
    <t>Ordinario</t>
  </si>
  <si>
    <t>SERV. DEC. AGRICOLTURA E ALIMENTAZIONE - PESARO</t>
  </si>
  <si>
    <t>VENELLA ENRICO</t>
  </si>
  <si>
    <t>SERV. DEC. AGRICOLTURA E ALIM. -ASCOLI PICENO</t>
  </si>
  <si>
    <t>CAA Coldiretti srl</t>
  </si>
  <si>
    <t>CAA Coldiretti - ASCOLI PICENO - 040</t>
  </si>
  <si>
    <t>FALCIONI ALDO</t>
  </si>
  <si>
    <t>AGEA.ASR.2024.1031879</t>
  </si>
  <si>
    <t>FILANTI NICOLA</t>
  </si>
  <si>
    <t>SAL</t>
  </si>
  <si>
    <t>SI</t>
  </si>
  <si>
    <t>TENUTA OTTAVIANI GIUSEPPE E FIGLI SOCIETA' AGRICOLA SEMPLICE IN SIGLA</t>
  </si>
  <si>
    <t>AGEA.ASR.2024.0953136</t>
  </si>
  <si>
    <t>CAA Coldiretti - MACERATA - 017</t>
  </si>
  <si>
    <t>SOCIETA' AGRICOLA COLLE NARA DI CAGNUCCI DIEGO S.S.</t>
  </si>
  <si>
    <t>AGEA.ASR.2024.0954215</t>
  </si>
  <si>
    <t>ROSSI EMIDIO</t>
  </si>
  <si>
    <t>AGEA.ASR.2024.1031101</t>
  </si>
  <si>
    <t>Misure a Superficie</t>
  </si>
  <si>
    <t>CAA Coldiretti - MACERATA - 009</t>
  </si>
  <si>
    <t>HORBATA MARIIA</t>
  </si>
  <si>
    <t>AGEA.ASR.2024.0975139</t>
  </si>
  <si>
    <t>CAA LiberiAgricoltori srl già CAA AGCI srl</t>
  </si>
  <si>
    <t>CAA LiberiAgricoltori - MACERATA - 003</t>
  </si>
  <si>
    <t>BENEDETTI RICCARDO</t>
  </si>
  <si>
    <t>CAA Confagricoltura srl</t>
  </si>
  <si>
    <t>CAA Confagricoltura - ASCOLI PICENO - 001</t>
  </si>
  <si>
    <t>LODDO PIER GIORGIO &amp; C. S.N.C. SOCIETA' AGRICOLA</t>
  </si>
  <si>
    <t>AGEA.ASR.2024.1023310</t>
  </si>
  <si>
    <t>SOCIETA' AGRICOLA RIVELLI SOCIETA' SEMPLICE</t>
  </si>
  <si>
    <t>SERV. DEC. AGRICOLTURA E ALIMENTAZIONE - ANCONA</t>
  </si>
  <si>
    <t>BOVINMARCHE - ALLEVATORI MARCHIGIANI SOCIETA' COOPERATIVA CONSORTILE A</t>
  </si>
  <si>
    <t>AGEA.ASR.2024.1024918</t>
  </si>
  <si>
    <t>CAA CIA srl</t>
  </si>
  <si>
    <t>CAA CIA - ANCONA - 002</t>
  </si>
  <si>
    <t>SOC.AGR.FOR.DI GESTIONE DIE BENI AGRO SILVO PASTORALI MARCHE</t>
  </si>
  <si>
    <t>UNIONE DEI SUINICOLTORI MARCHIGIANI SOCIETA' COOPERATIVA AGRICOLA</t>
  </si>
  <si>
    <t>AGEA.ASR.2024.0953172</t>
  </si>
  <si>
    <t>CONSORZIO FORMACOOP MARCHE - SOCIETA' COOPERATIVA</t>
  </si>
  <si>
    <t>AGEA.ASR.2024.1030888</t>
  </si>
  <si>
    <t>CAA LiberiAgricoltori - MACERATA - 001</t>
  </si>
  <si>
    <t>SOCIETA' AGRICOLA "NUCES"SOCIETA' SEMPLICE</t>
  </si>
  <si>
    <t>SOCIETA' AGRICOLA COLLE CASINI CORTESI DI DIGNANI MATTEO &amp; C. S.S.</t>
  </si>
  <si>
    <t>SOCIETA' AGRICOLA PASCUCCI DI PASCUCCI EMANUELE E C. S.S.</t>
  </si>
  <si>
    <t>CAA-CAF AGRI S.R.L.</t>
  </si>
  <si>
    <t>CAA CAF AGRI - ANCONA - 225</t>
  </si>
  <si>
    <t>CESARONI CLAUDIO</t>
  </si>
  <si>
    <t>PODERE LA CACCETTA SOCIETA' AGRICOLA SEMPLICE</t>
  </si>
  <si>
    <t>CAA CAF AGRI - MACERATA - 223</t>
  </si>
  <si>
    <t>SOCIETA' COOPERATIVA SOCIALE A RESPONSABILITA' LIMITATA BERTA '80</t>
  </si>
  <si>
    <t>CAA Confagricoltura - MACERATA - 001</t>
  </si>
  <si>
    <t>SOCIETA' AGRICOLA IL MULINO DI PONTANI GIULIA E C. S.S.</t>
  </si>
  <si>
    <t>CAA Coldiretti - MACERATA - 010</t>
  </si>
  <si>
    <t>AGRICOLA ROCCHETTA SOCIETA' AGRICOLA A R.L.</t>
  </si>
  <si>
    <t>CAA Coldiretti - MACERATA - 008</t>
  </si>
  <si>
    <t>TURCHI RENZO</t>
  </si>
  <si>
    <t>GMG AGROFORESTALE SAS DI MARINOZZI GINO &amp; C.</t>
  </si>
  <si>
    <t>SOCIETA AGRICOLA FERRANTI GIULIA S.S.</t>
  </si>
  <si>
    <t>AGEA.ASR.2024.0953107</t>
  </si>
  <si>
    <t>AGEA.ASR.2024.0954235</t>
  </si>
  <si>
    <t>CAA CIA - MACERATA - 001</t>
  </si>
  <si>
    <t>AGRO-FORESTALE FONTI VALLEBONA SAS DI ANTONELLI LUCA E C</t>
  </si>
  <si>
    <t>CAA LiberiAgricoltori - MACERATA - 005</t>
  </si>
  <si>
    <t>SOCIETA' AGRICOLA LICIA S.S.</t>
  </si>
  <si>
    <t>CICCONOFRI RENZO</t>
  </si>
  <si>
    <t>GATTARI DOMENICO</t>
  </si>
  <si>
    <t>SOCIETA' AGRICOLA ALESIANI DI ALESIANI MAURO E C. S.S.</t>
  </si>
  <si>
    <t>MESCHINI MARIO</t>
  </si>
  <si>
    <t>COLA GIANNI</t>
  </si>
  <si>
    <t>SOCIETA' AGRICOLA SEMPLICE SANT'ANNA</t>
  </si>
  <si>
    <t>CAA Coldiretti - PESARO E URBINO - 010</t>
  </si>
  <si>
    <t>GUERRA MASSIMO</t>
  </si>
  <si>
    <t>AGEA.ASR.2024.1024027</t>
  </si>
  <si>
    <t>SOCIETA' AGRICOLA MONSIGNORI S.S.</t>
  </si>
  <si>
    <t>AGEA.ASR.2024.1032412</t>
  </si>
  <si>
    <t>CAA Coldiretti - ASCOLI PICENO - 025</t>
  </si>
  <si>
    <t>MARSILI ANDREA</t>
  </si>
  <si>
    <t>AGEA.ASR.2024.1032429</t>
  </si>
  <si>
    <t>Anticipo</t>
  </si>
  <si>
    <t>AGEA.ASR.2024.1032419</t>
  </si>
  <si>
    <t>CAA CIA - ASCOLI PICENO - 001</t>
  </si>
  <si>
    <t>SANTOLINI GABRIELE</t>
  </si>
  <si>
    <t>AGEA.ASR.2024.1025526</t>
  </si>
  <si>
    <t>PIANTONI GABRIELE</t>
  </si>
  <si>
    <t>AGEA.ASR.2024.0975431</t>
  </si>
  <si>
    <t>AGEA.ASR.2024.1031111</t>
  </si>
  <si>
    <t>SOCIETA' AGRICOLA LUCARINI AUGUSTO E C.S.S.</t>
  </si>
  <si>
    <t>CONCETTI ANDREA</t>
  </si>
  <si>
    <t>TRENTA VALENTINA</t>
  </si>
  <si>
    <t>AGEA.ASR.2024.1015014</t>
  </si>
  <si>
    <t>SOC.AGR."LA CORTE"DI CONTI GIULIANO E FELICIONI GIORGIO S.S.</t>
  </si>
  <si>
    <t>PACIONI PIERINO</t>
  </si>
  <si>
    <t>CAA Coldiretti - MACERATA - 007</t>
  </si>
  <si>
    <t>LULANI LUCA</t>
  </si>
  <si>
    <t>AGEA.ASR.2024.0954104</t>
  </si>
  <si>
    <t>LAI LAURA</t>
  </si>
  <si>
    <t>BIANCHI MARCO</t>
  </si>
  <si>
    <t>AZIENDA SERRONE SOCIETA' AGRICOLA SEMPLICE DI FELIZIANI FEDERICO E C.</t>
  </si>
  <si>
    <t>VERDUCCI MASSIMO</t>
  </si>
  <si>
    <t>CAA LiberiAgricoltori - MACERATA - 002</t>
  </si>
  <si>
    <t>SOCIETA' AGRICOLA SU CASARU DI PORCU ANTONIO E GIUSEPPE S.S.</t>
  </si>
  <si>
    <t>SOCIETA AGRICOLA MELOGRANO DI SILEONI PIERO E C. S.S.</t>
  </si>
  <si>
    <t>SOCIETA AGRICOLA BOZZI S.S.</t>
  </si>
  <si>
    <t>BERRIA BARBARA</t>
  </si>
  <si>
    <t>PIERMATTEI MARIANO</t>
  </si>
  <si>
    <t>SINCINI MAURO</t>
  </si>
  <si>
    <t>CAA CIA - PESARO E URBINO - 002</t>
  </si>
  <si>
    <t>PASCUCCI MATTEO</t>
  </si>
  <si>
    <t>AGEA.ASR.2024.0975727</t>
  </si>
  <si>
    <t>CAA Confagricoltura - PESARO E URBINO - 001</t>
  </si>
  <si>
    <t>DI LELLA GIGLIOLA</t>
  </si>
  <si>
    <t>COSSI ELISABETTA</t>
  </si>
  <si>
    <t>CAA Coldiretti - PESARO E URBINO - 008</t>
  </si>
  <si>
    <t>LONZI MAURIZIO</t>
  </si>
  <si>
    <t>GENNARETTINI NANDO</t>
  </si>
  <si>
    <t>RENZI TERZO</t>
  </si>
  <si>
    <t>ROSELLI MARIA GABRIELLA</t>
  </si>
  <si>
    <t>SABATTINI MIRCO</t>
  </si>
  <si>
    <t>DONATI CLAUDIA</t>
  </si>
  <si>
    <t>CAA Coldiretti - ANCONA - 002</t>
  </si>
  <si>
    <t>TORTOLINI NICCOLA</t>
  </si>
  <si>
    <t>PIERPAOLI GIUSEPPA</t>
  </si>
  <si>
    <t>CAA Coldiretti - PESARO E URBINO - 006</t>
  </si>
  <si>
    <t>VENNARUCCI GIOVANNI</t>
  </si>
  <si>
    <t>CAA CIA - PESARO E URBINO - 007</t>
  </si>
  <si>
    <t>BARILOTTI PIETRO</t>
  </si>
  <si>
    <t>NOBERINI BERNARDO</t>
  </si>
  <si>
    <t>NUOVA AGRIMM S.R.L.</t>
  </si>
  <si>
    <t>CAA CIA - RIMINI - 006</t>
  </si>
  <si>
    <t>ANGELI DANNY</t>
  </si>
  <si>
    <t>CAA CIA - PESARO E URBINO - 005</t>
  </si>
  <si>
    <t>GIORGI MARIO</t>
  </si>
  <si>
    <t>CAA CAF AGRI - ASCOLI PICENO - 223</t>
  </si>
  <si>
    <t>CORBELLI LUIGINO</t>
  </si>
  <si>
    <t>PALMIERI LUIGI</t>
  </si>
  <si>
    <t>AGEA.ASR.2024.1026310</t>
  </si>
  <si>
    <t>AGEA.ASR.2024.1032424</t>
  </si>
  <si>
    <t>DELLACASA GIOVANNI</t>
  </si>
  <si>
    <t>SOCIETA AGRICOLA FORMAGGI DEI SIBILLINI E C. S.S.</t>
  </si>
  <si>
    <t>SOCIETA' AGRICOLA CANTARINI GIOVANNI E C. SOCIETA' SEMPLICE</t>
  </si>
  <si>
    <t>SCODERONI MARSILIO</t>
  </si>
  <si>
    <t>FATTOBENE SIMONE</t>
  </si>
  <si>
    <t>FIECCHI GIUSEPPE</t>
  </si>
  <si>
    <t>CONFORTI NOVELLO</t>
  </si>
  <si>
    <t>SOCIETA AGRICOLA IL MORO S.S.</t>
  </si>
  <si>
    <t>SOCIETA' AGRICOLA FRATELLI APPIGNANESI SOCIETA' SEMPLICE</t>
  </si>
  <si>
    <t>SOCIETA' AGRICOLA IL TESORO DEI SIBILLINI DI TIDEI MAURO E MARICA S.S.</t>
  </si>
  <si>
    <t>CAA CIA - PESARO E URBINO - 001</t>
  </si>
  <si>
    <t>MACCIARONI MAURO</t>
  </si>
  <si>
    <t>LIGI LUCA</t>
  </si>
  <si>
    <t>SOCIETA' AGRICOLA ANGELI SOCIETA' SEMPLICE</t>
  </si>
  <si>
    <t>CAA Coldiretti - PESARO E URBINO - 013</t>
  </si>
  <si>
    <t>SOCIETA' AGRICOLA PAGLIARI CARLO E PAOLO S.S.</t>
  </si>
  <si>
    <t>CAA CIA - PESARO E URBINO - 003</t>
  </si>
  <si>
    <t>FOSSI ALBERTO</t>
  </si>
  <si>
    <t>RUGGERI DANIELE</t>
  </si>
  <si>
    <t>RAZZETTI MONICA</t>
  </si>
  <si>
    <t>BURAIOLI PIERLUIGI</t>
  </si>
  <si>
    <t>MARONCELLI FRANCO</t>
  </si>
  <si>
    <t>CAA Coldiretti - PESARO E URBINO - 004</t>
  </si>
  <si>
    <t>SERAFINI GIUSEPPE</t>
  </si>
  <si>
    <t>ALBANI PATRIZIO</t>
  </si>
  <si>
    <t>NITISOR DUMITRU</t>
  </si>
  <si>
    <t>MAZZARONI ENRICO</t>
  </si>
  <si>
    <t>CAA CIA - PESARO E URBINO - 008</t>
  </si>
  <si>
    <t>AMBROSIO ARCANGELO</t>
  </si>
  <si>
    <t>MASSI MARZIO</t>
  </si>
  <si>
    <t>Caa Confagricoltura Emilia-Romagna S.R.L.</t>
  </si>
  <si>
    <t>CAA Confagricoltura - FORLI' - CESENA - 001</t>
  </si>
  <si>
    <t>SOCIETA' AGRICOLA F.LLI MARCHIONNI S.S.</t>
  </si>
  <si>
    <t>CUGURU MARIO</t>
  </si>
  <si>
    <t>DUCHI ALVINO</t>
  </si>
  <si>
    <t>CACCIAMANI GIANNI</t>
  </si>
  <si>
    <t>GABANNINI GIORGIO</t>
  </si>
  <si>
    <t>CAA Coldiretti - PESARO E URBINO - 001</t>
  </si>
  <si>
    <t>BARZOTTI GIORGIO</t>
  </si>
  <si>
    <t>BERLIOCCHI STEFANO</t>
  </si>
  <si>
    <t>ROMAGNOLI EDMEO</t>
  </si>
  <si>
    <t>ROSSINI ASSUNTA</t>
  </si>
  <si>
    <t>SILVESTRI DANIELE</t>
  </si>
  <si>
    <t>CAA LiberiAgricoltori - MACERATA - 004</t>
  </si>
  <si>
    <t>RINOMATA AZIENDA BIOLOGICA IMPRENDITORI LIBERTI SIMONE GIANPIETRO SOCI</t>
  </si>
  <si>
    <t>CAA LiberiAgricoltori - MACERATA - 006</t>
  </si>
  <si>
    <t>VAN DEURSEN THOMAS</t>
  </si>
  <si>
    <t>PIERMATTEI JURI</t>
  </si>
  <si>
    <t>CAA Coldiretti - VITERBO - 007</t>
  </si>
  <si>
    <t>CAMBERTONI ENRICO</t>
  </si>
  <si>
    <t>FALCIONI SIMONE</t>
  </si>
  <si>
    <t>CAA CAF AGRI - MACERATA - 224</t>
  </si>
  <si>
    <t>PASSACANTANDO ANDREA</t>
  </si>
  <si>
    <t>AGEA.ASR.2024.0953197</t>
  </si>
  <si>
    <t>CAA Coldiretti - FERMO - 001</t>
  </si>
  <si>
    <t>SPACCAPANICCIA PIERO</t>
  </si>
  <si>
    <t>AGEA.ASR.2024.1026557</t>
  </si>
  <si>
    <t>VAGNONI GIANFRANCO</t>
  </si>
  <si>
    <t>AZIENDA AGRICOLA CAMPOGIANO S.A.S. DI RICOTTA LORENZO E C.</t>
  </si>
  <si>
    <t>TEODORI DANIELE</t>
  </si>
  <si>
    <t>TIBERI TOMMASO</t>
  </si>
  <si>
    <t>LAZZARI DAVIDE</t>
  </si>
  <si>
    <t>CAA CIA - ANCONA - 005</t>
  </si>
  <si>
    <t>ANIBALDI MARIO</t>
  </si>
  <si>
    <t>CAA Confagricoltura - PERUGIA - 005</t>
  </si>
  <si>
    <t>SERAFINI DOMENICO</t>
  </si>
  <si>
    <t>PROCACCINI ALFONSO</t>
  </si>
  <si>
    <t>BATTISTONI EMANUELE</t>
  </si>
  <si>
    <t>MONTEBELLO SOCIETA' AGRICOLA SEMPLICE</t>
  </si>
  <si>
    <t>BALDELLI OLIVIERO</t>
  </si>
  <si>
    <t>CAA UNICAA srl</t>
  </si>
  <si>
    <t>CAA UNICAA - PESARO E URBINO - 003</t>
  </si>
  <si>
    <t>CLINI GIUSEPPE</t>
  </si>
  <si>
    <t>SOCIETA' AGRICOLA LA COLLINA DELLE FATE S.R.L.</t>
  </si>
  <si>
    <t>CIANCONI FRANCESCO</t>
  </si>
  <si>
    <t>IL SALICE FIORITO DI PAOLA E FRANCESCO SOCIETA' AGRICOLA S. S.</t>
  </si>
  <si>
    <t>SOCIETA'AGRICOLA GIOIELLI DELLA TERRA S.S.</t>
  </si>
  <si>
    <t>CASU ANGELA</t>
  </si>
  <si>
    <t>VOLPI RENATO</t>
  </si>
  <si>
    <t>BELARDINI MILIANO E FRANCESCO SOC.SEMP.</t>
  </si>
  <si>
    <t>CAA Coldiretti - ANCONA - 006</t>
  </si>
  <si>
    <t>SOCIETA' AGRICOLA COSTE DEL SOLE DI GARBINI LUCIA E ROSSI FOSCO MARIA</t>
  </si>
  <si>
    <t>SOCIETA' AGRICOLA CAPPUCCINI S.S.</t>
  </si>
  <si>
    <t>LATINI FIORELLA</t>
  </si>
  <si>
    <t>SERANGELI NORBERTO</t>
  </si>
  <si>
    <t>CRUCIANI ALBERTO</t>
  </si>
  <si>
    <t>MASSI GENTILONI SILVERI EMANUELE</t>
  </si>
  <si>
    <t>FUCILI FRANCO</t>
  </si>
  <si>
    <t>BATASSA ADALBERTO</t>
  </si>
  <si>
    <t>AGEA.ASR.2024.1023340</t>
  </si>
  <si>
    <t>SOCIETA' AGRICOLA LAI SS</t>
  </si>
  <si>
    <t>PALAZZETTI GIOVANNA</t>
  </si>
  <si>
    <t>L.I. SOCIETA' AGRICOLA DI SECARA CIPRIAN-IONUT E LODDO IGNAZIO S.S.</t>
  </si>
  <si>
    <t>MANCINELLI GIAMMARIO</t>
  </si>
  <si>
    <t>S.S. AGRICOLA ROSSETTI MICHELE &amp; C.</t>
  </si>
  <si>
    <t>CAA Coldiretti - ANCONA - 008</t>
  </si>
  <si>
    <t>SOCIETA' AGRICOLA GIANGIACOMI DI GIANGIACOMI GIAMPAOLO, GIAN</t>
  </si>
  <si>
    <t>AGEA.ASR.2024.1031012</t>
  </si>
  <si>
    <t>CAA UNICAA - ASCOLI PICENO - 004</t>
  </si>
  <si>
    <t>GALLI STEFANO</t>
  </si>
  <si>
    <t>AGEA.ASR.2024.0955057</t>
  </si>
  <si>
    <t>PLATINETTI RENATO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</si>
</sst>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0DD3-9AD3-4244-809C-450F269CFA46}">
  <sheetPr>
    <pageSetUpPr fitToPage="1"/>
  </sheetPr>
  <dimension ref="A1:AA186"/>
  <sheetViews>
    <sheetView tabSelected="1" workbookViewId="0"/>
  </sheetViews>
  <sheetFormatPr defaultRowHeight="14.5" x14ac:dyDescent="0.35"/>
  <cols>
    <col min="1" max="1" width="9.81640625" bestFit="1" customWidth="1"/>
    <col min="2" max="2" width="10.26953125" bestFit="1" customWidth="1"/>
    <col min="3" max="3" width="7.7265625" bestFit="1" customWidth="1"/>
    <col min="4" max="4" width="27.7265625" bestFit="1" customWidth="1"/>
    <col min="5" max="5" width="21.7265625" bestFit="1" customWidth="1"/>
    <col min="6" max="6" width="22.54296875" bestFit="1" customWidth="1"/>
    <col min="7" max="7" width="5.36328125" bestFit="1" customWidth="1"/>
    <col min="8" max="8" width="8.08984375" bestFit="1" customWidth="1"/>
    <col min="9" max="9" width="13.36328125" bestFit="1" customWidth="1"/>
    <col min="10" max="10" width="14.90625" bestFit="1" customWidth="1"/>
    <col min="11" max="12" width="10.7265625" bestFit="1" customWidth="1"/>
    <col min="13" max="13" width="2.81640625" bestFit="1" customWidth="1"/>
    <col min="14" max="14" width="34.90625" bestFit="1" customWidth="1"/>
    <col min="15" max="15" width="9.453125" bestFit="1" customWidth="1"/>
    <col min="16" max="16" width="11.81640625" bestFit="1" customWidth="1"/>
    <col min="17" max="17" width="14.453125" bestFit="1" customWidth="1"/>
    <col min="18" max="18" width="10.26953125" bestFit="1" customWidth="1"/>
    <col min="19" max="19" width="11.1796875" bestFit="1" customWidth="1"/>
    <col min="20" max="20" width="14.81640625" bestFit="1" customWidth="1"/>
    <col min="21" max="21" width="3.08984375" bestFit="1" customWidth="1"/>
    <col min="22" max="22" width="16.08984375" bestFit="1" customWidth="1"/>
    <col min="23" max="23" width="11.54296875" bestFit="1" customWidth="1"/>
    <col min="24" max="24" width="15.453125" bestFit="1" customWidth="1"/>
    <col min="25" max="26" width="17.08984375" bestFit="1" customWidth="1"/>
    <col min="27" max="27" width="21.26953125" bestFit="1" customWidth="1"/>
  </cols>
  <sheetData>
    <row r="1" spans="1:27" ht="24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7" x14ac:dyDescent="0.3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  <c r="AA3" s="7" t="s">
        <v>27</v>
      </c>
    </row>
    <row r="4" spans="1:27" ht="41.5" x14ac:dyDescent="0.35">
      <c r="A4" s="8" t="s">
        <v>28</v>
      </c>
      <c r="B4" s="8" t="s">
        <v>29</v>
      </c>
      <c r="C4" s="8" t="s">
        <v>30</v>
      </c>
      <c r="D4" s="8" t="s">
        <v>31</v>
      </c>
      <c r="E4" s="8" t="s">
        <v>32</v>
      </c>
      <c r="F4" s="8" t="s">
        <v>32</v>
      </c>
      <c r="G4" s="8">
        <v>2017</v>
      </c>
      <c r="H4" s="8" t="str">
        <f>CONCATENATE("44270098211")</f>
        <v>44270098211</v>
      </c>
      <c r="I4" s="8" t="s">
        <v>33</v>
      </c>
      <c r="J4" s="8" t="s">
        <v>34</v>
      </c>
      <c r="K4" s="8" t="str">
        <f t="shared" ref="K4:K40" si="0">CONCATENATE("")</f>
        <v/>
      </c>
      <c r="L4" s="8" t="str">
        <f>CONCATENATE("4 4.1 2a")</f>
        <v>4 4.1 2a</v>
      </c>
      <c r="M4" s="8" t="str">
        <f>CONCATENATE("RSLFLV94M30H501X")</f>
        <v>RSLFLV94M30H501X</v>
      </c>
      <c r="N4" s="8" t="s">
        <v>35</v>
      </c>
      <c r="O4" s="8" t="s">
        <v>36</v>
      </c>
      <c r="P4" s="8" t="s">
        <v>37</v>
      </c>
      <c r="Q4" s="9">
        <v>45462</v>
      </c>
      <c r="R4" s="8" t="s">
        <v>38</v>
      </c>
      <c r="S4" s="8" t="s">
        <v>39</v>
      </c>
      <c r="T4" s="8" t="s">
        <v>40</v>
      </c>
      <c r="U4" s="8"/>
      <c r="V4" s="8" t="s">
        <v>41</v>
      </c>
      <c r="W4" s="10">
        <v>130370.79</v>
      </c>
      <c r="X4" s="10">
        <v>56215.88</v>
      </c>
      <c r="Y4" s="10">
        <v>51913.65</v>
      </c>
      <c r="Z4" s="10">
        <v>22241.26</v>
      </c>
      <c r="AA4" s="8">
        <v>0</v>
      </c>
    </row>
    <row r="5" spans="1:27" ht="41.5" x14ac:dyDescent="0.35">
      <c r="A5" s="8" t="s">
        <v>28</v>
      </c>
      <c r="B5" s="8" t="s">
        <v>29</v>
      </c>
      <c r="C5" s="8" t="s">
        <v>30</v>
      </c>
      <c r="D5" s="8" t="s">
        <v>42</v>
      </c>
      <c r="E5" s="8" t="s">
        <v>32</v>
      </c>
      <c r="F5" s="8" t="s">
        <v>32</v>
      </c>
      <c r="G5" s="8">
        <v>2017</v>
      </c>
      <c r="H5" s="8" t="str">
        <f>CONCATENATE("44270098310")</f>
        <v>44270098310</v>
      </c>
      <c r="I5" s="8" t="s">
        <v>33</v>
      </c>
      <c r="J5" s="8" t="s">
        <v>34</v>
      </c>
      <c r="K5" s="8" t="str">
        <f t="shared" si="0"/>
        <v/>
      </c>
      <c r="L5" s="8" t="str">
        <f>CONCATENATE("4 4.1 2a")</f>
        <v>4 4.1 2a</v>
      </c>
      <c r="M5" s="8" t="str">
        <f>CONCATENATE("VNLNRC92S27I156C")</f>
        <v>VNLNRC92S27I156C</v>
      </c>
      <c r="N5" s="8" t="s">
        <v>43</v>
      </c>
      <c r="O5" s="8" t="s">
        <v>36</v>
      </c>
      <c r="P5" s="8" t="s">
        <v>37</v>
      </c>
      <c r="Q5" s="9">
        <v>45462</v>
      </c>
      <c r="R5" s="8" t="s">
        <v>38</v>
      </c>
      <c r="S5" s="8" t="s">
        <v>39</v>
      </c>
      <c r="T5" s="8" t="s">
        <v>40</v>
      </c>
      <c r="U5" s="8"/>
      <c r="V5" s="8" t="s">
        <v>41</v>
      </c>
      <c r="W5" s="10">
        <v>41000.31</v>
      </c>
      <c r="X5" s="10">
        <v>17679.330000000002</v>
      </c>
      <c r="Y5" s="10">
        <v>16326.32</v>
      </c>
      <c r="Z5" s="10">
        <v>6994.66</v>
      </c>
      <c r="AA5" s="8">
        <v>0</v>
      </c>
    </row>
    <row r="6" spans="1:27" ht="41.5" x14ac:dyDescent="0.35">
      <c r="A6" s="8" t="s">
        <v>28</v>
      </c>
      <c r="B6" s="8" t="s">
        <v>29</v>
      </c>
      <c r="C6" s="8" t="s">
        <v>30</v>
      </c>
      <c r="D6" s="8" t="s">
        <v>44</v>
      </c>
      <c r="E6" s="8" t="s">
        <v>45</v>
      </c>
      <c r="F6" s="8" t="s">
        <v>46</v>
      </c>
      <c r="G6" s="8">
        <v>2017</v>
      </c>
      <c r="H6" s="8" t="str">
        <f>CONCATENATE("44270108804")</f>
        <v>44270108804</v>
      </c>
      <c r="I6" s="8" t="s">
        <v>33</v>
      </c>
      <c r="J6" s="8" t="s">
        <v>34</v>
      </c>
      <c r="K6" s="8" t="str">
        <f t="shared" si="0"/>
        <v/>
      </c>
      <c r="L6" s="8" t="str">
        <f>CONCATENATE("4 4.1 2a")</f>
        <v>4 4.1 2a</v>
      </c>
      <c r="M6" s="8" t="str">
        <f>CONCATENATE("FLCLDA86D11H769B")</f>
        <v>FLCLDA86D11H769B</v>
      </c>
      <c r="N6" s="8" t="s">
        <v>47</v>
      </c>
      <c r="O6" s="8" t="s">
        <v>36</v>
      </c>
      <c r="P6" s="8" t="s">
        <v>48</v>
      </c>
      <c r="Q6" s="9">
        <v>45462</v>
      </c>
      <c r="R6" s="8" t="s">
        <v>38</v>
      </c>
      <c r="S6" s="8" t="s">
        <v>39</v>
      </c>
      <c r="T6" s="8" t="s">
        <v>40</v>
      </c>
      <c r="U6" s="8"/>
      <c r="V6" s="8" t="s">
        <v>41</v>
      </c>
      <c r="W6" s="10">
        <v>51670.69</v>
      </c>
      <c r="X6" s="10">
        <v>22280.400000000001</v>
      </c>
      <c r="Y6" s="10">
        <v>20575.27</v>
      </c>
      <c r="Z6" s="10">
        <v>8815.02</v>
      </c>
      <c r="AA6" s="8">
        <v>0</v>
      </c>
    </row>
    <row r="7" spans="1:27" ht="41.5" x14ac:dyDescent="0.35">
      <c r="A7" s="8" t="s">
        <v>28</v>
      </c>
      <c r="B7" s="8" t="s">
        <v>29</v>
      </c>
      <c r="C7" s="8" t="s">
        <v>30</v>
      </c>
      <c r="D7" s="8" t="s">
        <v>42</v>
      </c>
      <c r="E7" s="8" t="s">
        <v>32</v>
      </c>
      <c r="F7" s="8" t="s">
        <v>32</v>
      </c>
      <c r="G7" s="8">
        <v>2017</v>
      </c>
      <c r="H7" s="8" t="str">
        <f>CONCATENATE("44270108788")</f>
        <v>44270108788</v>
      </c>
      <c r="I7" s="8" t="s">
        <v>33</v>
      </c>
      <c r="J7" s="8" t="s">
        <v>34</v>
      </c>
      <c r="K7" s="8" t="str">
        <f t="shared" si="0"/>
        <v/>
      </c>
      <c r="L7" s="8" t="str">
        <f>CONCATENATE("4 4.1 2a")</f>
        <v>4 4.1 2a</v>
      </c>
      <c r="M7" s="8" t="str">
        <f>CONCATENATE("FLNNCL88S05I459M")</f>
        <v>FLNNCL88S05I459M</v>
      </c>
      <c r="N7" s="8" t="s">
        <v>49</v>
      </c>
      <c r="O7" s="8" t="s">
        <v>36</v>
      </c>
      <c r="P7" s="8" t="s">
        <v>48</v>
      </c>
      <c r="Q7" s="9">
        <v>45462</v>
      </c>
      <c r="R7" s="8" t="s">
        <v>38</v>
      </c>
      <c r="S7" s="8" t="s">
        <v>50</v>
      </c>
      <c r="T7" s="8" t="s">
        <v>40</v>
      </c>
      <c r="U7" s="8"/>
      <c r="V7" s="8" t="s">
        <v>41</v>
      </c>
      <c r="W7" s="10">
        <v>59419.199999999997</v>
      </c>
      <c r="X7" s="10">
        <v>25621.56</v>
      </c>
      <c r="Y7" s="10">
        <v>23660.73</v>
      </c>
      <c r="Z7" s="10">
        <v>10136.91</v>
      </c>
      <c r="AA7" s="8">
        <v>0</v>
      </c>
    </row>
    <row r="8" spans="1:27" ht="25.5" x14ac:dyDescent="0.35">
      <c r="A8" s="8" t="s">
        <v>28</v>
      </c>
      <c r="B8" s="8" t="s">
        <v>29</v>
      </c>
      <c r="C8" s="8" t="s">
        <v>30</v>
      </c>
      <c r="D8" s="8" t="s">
        <v>44</v>
      </c>
      <c r="E8" s="8" t="s">
        <v>32</v>
      </c>
      <c r="F8" s="8" t="s">
        <v>32</v>
      </c>
      <c r="G8" s="8">
        <v>2017</v>
      </c>
      <c r="H8" s="8" t="str">
        <f>CONCATENATE("44270108796")</f>
        <v>44270108796</v>
      </c>
      <c r="I8" s="8" t="s">
        <v>51</v>
      </c>
      <c r="J8" s="8" t="s">
        <v>34</v>
      </c>
      <c r="K8" s="8" t="str">
        <f t="shared" si="0"/>
        <v/>
      </c>
      <c r="L8" s="8" t="str">
        <f>CONCATENATE("4 4.1 2a")</f>
        <v>4 4.1 2a</v>
      </c>
      <c r="M8" s="8" t="str">
        <f>CONCATENATE("02417680440")</f>
        <v>02417680440</v>
      </c>
      <c r="N8" s="8" t="s">
        <v>52</v>
      </c>
      <c r="O8" s="8" t="s">
        <v>36</v>
      </c>
      <c r="P8" s="8" t="s">
        <v>48</v>
      </c>
      <c r="Q8" s="9">
        <v>45462</v>
      </c>
      <c r="R8" s="8" t="s">
        <v>38</v>
      </c>
      <c r="S8" s="8" t="s">
        <v>39</v>
      </c>
      <c r="T8" s="8" t="s">
        <v>40</v>
      </c>
      <c r="U8" s="8"/>
      <c r="V8" s="8" t="s">
        <v>41</v>
      </c>
      <c r="W8" s="10">
        <v>90279.62</v>
      </c>
      <c r="X8" s="10">
        <v>38928.57</v>
      </c>
      <c r="Y8" s="10">
        <v>35949.339999999997</v>
      </c>
      <c r="Z8" s="10">
        <v>15401.71</v>
      </c>
      <c r="AA8" s="8">
        <v>0</v>
      </c>
    </row>
    <row r="9" spans="1:27" ht="41.5" x14ac:dyDescent="0.35">
      <c r="A9" s="8" t="s">
        <v>28</v>
      </c>
      <c r="B9" s="8" t="s">
        <v>29</v>
      </c>
      <c r="C9" s="8" t="s">
        <v>30</v>
      </c>
      <c r="D9" s="8" t="s">
        <v>31</v>
      </c>
      <c r="E9" s="8" t="s">
        <v>32</v>
      </c>
      <c r="F9" s="8" t="s">
        <v>32</v>
      </c>
      <c r="G9" s="8">
        <v>2017</v>
      </c>
      <c r="H9" s="8" t="str">
        <f>CONCATENATE("44270098229")</f>
        <v>44270098229</v>
      </c>
      <c r="I9" s="8" t="s">
        <v>33</v>
      </c>
      <c r="J9" s="8" t="s">
        <v>34</v>
      </c>
      <c r="K9" s="8" t="str">
        <f t="shared" si="0"/>
        <v/>
      </c>
      <c r="L9" s="8" t="str">
        <f>CONCATENATE("6 6.1 2b")</f>
        <v>6 6.1 2b</v>
      </c>
      <c r="M9" s="8" t="str">
        <f>CONCATENATE("RSLFLV94M30H501X")</f>
        <v>RSLFLV94M30H501X</v>
      </c>
      <c r="N9" s="8" t="s">
        <v>35</v>
      </c>
      <c r="O9" s="8" t="s">
        <v>36</v>
      </c>
      <c r="P9" s="8" t="s">
        <v>53</v>
      </c>
      <c r="Q9" s="9">
        <v>45462</v>
      </c>
      <c r="R9" s="8" t="s">
        <v>38</v>
      </c>
      <c r="S9" s="8" t="s">
        <v>39</v>
      </c>
      <c r="T9" s="8" t="s">
        <v>40</v>
      </c>
      <c r="U9" s="8"/>
      <c r="V9" s="8" t="s">
        <v>41</v>
      </c>
      <c r="W9" s="10">
        <v>18000</v>
      </c>
      <c r="X9" s="10">
        <v>7761.6</v>
      </c>
      <c r="Y9" s="10">
        <v>7167.6</v>
      </c>
      <c r="Z9" s="10">
        <v>3070.8</v>
      </c>
      <c r="AA9" s="8">
        <v>0</v>
      </c>
    </row>
    <row r="10" spans="1:27" ht="41.5" x14ac:dyDescent="0.35">
      <c r="A10" s="8" t="s">
        <v>28</v>
      </c>
      <c r="B10" s="8" t="s">
        <v>29</v>
      </c>
      <c r="C10" s="8" t="s">
        <v>30</v>
      </c>
      <c r="D10" s="8" t="s">
        <v>42</v>
      </c>
      <c r="E10" s="8" t="s">
        <v>32</v>
      </c>
      <c r="F10" s="8" t="s">
        <v>32</v>
      </c>
      <c r="G10" s="8">
        <v>2017</v>
      </c>
      <c r="H10" s="8" t="str">
        <f>CONCATENATE("44270098302")</f>
        <v>44270098302</v>
      </c>
      <c r="I10" s="8" t="s">
        <v>33</v>
      </c>
      <c r="J10" s="8" t="s">
        <v>34</v>
      </c>
      <c r="K10" s="8" t="str">
        <f t="shared" si="0"/>
        <v/>
      </c>
      <c r="L10" s="8" t="str">
        <f>CONCATENATE("6 6.1 2b")</f>
        <v>6 6.1 2b</v>
      </c>
      <c r="M10" s="8" t="str">
        <f>CONCATENATE("VNLNRC92S27I156C")</f>
        <v>VNLNRC92S27I156C</v>
      </c>
      <c r="N10" s="8" t="s">
        <v>43</v>
      </c>
      <c r="O10" s="8" t="s">
        <v>36</v>
      </c>
      <c r="P10" s="8" t="s">
        <v>53</v>
      </c>
      <c r="Q10" s="9">
        <v>45462</v>
      </c>
      <c r="R10" s="8" t="s">
        <v>38</v>
      </c>
      <c r="S10" s="8" t="s">
        <v>39</v>
      </c>
      <c r="T10" s="8" t="s">
        <v>40</v>
      </c>
      <c r="U10" s="8"/>
      <c r="V10" s="8" t="s">
        <v>41</v>
      </c>
      <c r="W10" s="10">
        <v>17460</v>
      </c>
      <c r="X10" s="10">
        <v>7528.75</v>
      </c>
      <c r="Y10" s="10">
        <v>6952.57</v>
      </c>
      <c r="Z10" s="10">
        <v>2978.68</v>
      </c>
      <c r="AA10" s="8">
        <v>0</v>
      </c>
    </row>
    <row r="11" spans="1:27" ht="25.5" x14ac:dyDescent="0.35">
      <c r="A11" s="8" t="s">
        <v>28</v>
      </c>
      <c r="B11" s="8" t="s">
        <v>29</v>
      </c>
      <c r="C11" s="8" t="s">
        <v>30</v>
      </c>
      <c r="D11" s="8" t="s">
        <v>42</v>
      </c>
      <c r="E11" s="8" t="s">
        <v>45</v>
      </c>
      <c r="F11" s="8" t="s">
        <v>54</v>
      </c>
      <c r="G11" s="8">
        <v>2017</v>
      </c>
      <c r="H11" s="8" t="str">
        <f>CONCATENATE("34270427536")</f>
        <v>34270427536</v>
      </c>
      <c r="I11" s="8" t="s">
        <v>33</v>
      </c>
      <c r="J11" s="8" t="s">
        <v>34</v>
      </c>
      <c r="K11" s="8" t="str">
        <f t="shared" si="0"/>
        <v/>
      </c>
      <c r="L11" s="8" t="str">
        <f>CONCATENATE("6 6.1 2b")</f>
        <v>6 6.1 2b</v>
      </c>
      <c r="M11" s="8" t="str">
        <f>CONCATENATE("00608910436")</f>
        <v>00608910436</v>
      </c>
      <c r="N11" s="8" t="s">
        <v>55</v>
      </c>
      <c r="O11" s="8" t="s">
        <v>36</v>
      </c>
      <c r="P11" s="8" t="s">
        <v>56</v>
      </c>
      <c r="Q11" s="9">
        <v>45462</v>
      </c>
      <c r="R11" s="8" t="s">
        <v>38</v>
      </c>
      <c r="S11" s="8" t="s">
        <v>39</v>
      </c>
      <c r="T11" s="8" t="s">
        <v>40</v>
      </c>
      <c r="U11" s="8"/>
      <c r="V11" s="8" t="s">
        <v>41</v>
      </c>
      <c r="W11" s="10">
        <v>18000</v>
      </c>
      <c r="X11" s="10">
        <v>7761.6</v>
      </c>
      <c r="Y11" s="10">
        <v>7167.6</v>
      </c>
      <c r="Z11" s="10">
        <v>3070.8</v>
      </c>
      <c r="AA11" s="8">
        <v>0</v>
      </c>
    </row>
    <row r="12" spans="1:27" ht="49.5" x14ac:dyDescent="0.35">
      <c r="A12" s="8" t="s">
        <v>28</v>
      </c>
      <c r="B12" s="8" t="s">
        <v>29</v>
      </c>
      <c r="C12" s="8" t="s">
        <v>30</v>
      </c>
      <c r="D12" s="8" t="s">
        <v>44</v>
      </c>
      <c r="E12" s="8" t="s">
        <v>45</v>
      </c>
      <c r="F12" s="8" t="s">
        <v>46</v>
      </c>
      <c r="G12" s="8">
        <v>2017</v>
      </c>
      <c r="H12" s="8" t="str">
        <f>CONCATENATE("44270108812")</f>
        <v>44270108812</v>
      </c>
      <c r="I12" s="8" t="s">
        <v>33</v>
      </c>
      <c r="J12" s="8" t="s">
        <v>34</v>
      </c>
      <c r="K12" s="8" t="str">
        <f t="shared" si="0"/>
        <v/>
      </c>
      <c r="L12" s="8" t="str">
        <f>CONCATENATE("6 6.1 2b")</f>
        <v>6 6.1 2b</v>
      </c>
      <c r="M12" s="8" t="str">
        <f>CONCATENATE("RSSMDE85D16H769D")</f>
        <v>RSSMDE85D16H769D</v>
      </c>
      <c r="N12" s="8" t="s">
        <v>57</v>
      </c>
      <c r="O12" s="8" t="s">
        <v>36</v>
      </c>
      <c r="P12" s="8" t="s">
        <v>58</v>
      </c>
      <c r="Q12" s="9">
        <v>45462</v>
      </c>
      <c r="R12" s="8" t="s">
        <v>38</v>
      </c>
      <c r="S12" s="8" t="s">
        <v>39</v>
      </c>
      <c r="T12" s="8" t="s">
        <v>40</v>
      </c>
      <c r="U12" s="8"/>
      <c r="V12" s="8" t="s">
        <v>41</v>
      </c>
      <c r="W12" s="10">
        <v>10500</v>
      </c>
      <c r="X12" s="10">
        <v>4527.6000000000004</v>
      </c>
      <c r="Y12" s="10">
        <v>4181.1000000000004</v>
      </c>
      <c r="Z12" s="10">
        <v>1791.3</v>
      </c>
      <c r="AA12" s="8">
        <v>0</v>
      </c>
    </row>
    <row r="13" spans="1:27" ht="41.5" x14ac:dyDescent="0.35">
      <c r="A13" s="8" t="s">
        <v>28</v>
      </c>
      <c r="B13" s="8" t="s">
        <v>59</v>
      </c>
      <c r="C13" s="8" t="s">
        <v>30</v>
      </c>
      <c r="D13" s="8" t="s">
        <v>31</v>
      </c>
      <c r="E13" s="8" t="s">
        <v>45</v>
      </c>
      <c r="F13" s="8" t="s">
        <v>60</v>
      </c>
      <c r="G13" s="8">
        <v>2023</v>
      </c>
      <c r="H13" s="8" t="str">
        <f>CONCATENATE("34240260926")</f>
        <v>34240260926</v>
      </c>
      <c r="I13" s="8" t="s">
        <v>51</v>
      </c>
      <c r="J13" s="8" t="s">
        <v>34</v>
      </c>
      <c r="K13" s="8" t="str">
        <f t="shared" si="0"/>
        <v/>
      </c>
      <c r="L13" s="8" t="str">
        <f>CONCATENATE("10 10.1 4a")</f>
        <v>10 10.1 4a</v>
      </c>
      <c r="M13" s="8" t="str">
        <f>CONCATENATE("HRBMRA73E63Z138N")</f>
        <v>HRBMRA73E63Z138N</v>
      </c>
      <c r="N13" s="8" t="s">
        <v>61</v>
      </c>
      <c r="O13" s="8" t="s">
        <v>36</v>
      </c>
      <c r="P13" s="8" t="s">
        <v>62</v>
      </c>
      <c r="Q13" s="9">
        <v>45461</v>
      </c>
      <c r="R13" s="8" t="s">
        <v>38</v>
      </c>
      <c r="S13" s="8" t="s">
        <v>39</v>
      </c>
      <c r="T13" s="8" t="s">
        <v>40</v>
      </c>
      <c r="U13" s="8"/>
      <c r="V13" s="8" t="s">
        <v>41</v>
      </c>
      <c r="W13" s="8">
        <v>60.82</v>
      </c>
      <c r="X13" s="8">
        <v>26.23</v>
      </c>
      <c r="Y13" s="8">
        <v>24.22</v>
      </c>
      <c r="Z13" s="8">
        <v>10.37</v>
      </c>
      <c r="AA13" s="8">
        <v>0</v>
      </c>
    </row>
    <row r="14" spans="1:27" ht="41.5" x14ac:dyDescent="0.35">
      <c r="A14" s="8" t="s">
        <v>28</v>
      </c>
      <c r="B14" s="8" t="s">
        <v>59</v>
      </c>
      <c r="C14" s="8" t="s">
        <v>30</v>
      </c>
      <c r="D14" s="8" t="s">
        <v>31</v>
      </c>
      <c r="E14" s="8" t="s">
        <v>63</v>
      </c>
      <c r="F14" s="8" t="s">
        <v>64</v>
      </c>
      <c r="G14" s="8">
        <v>2023</v>
      </c>
      <c r="H14" s="8" t="str">
        <f>CONCATENATE("34240212919")</f>
        <v>34240212919</v>
      </c>
      <c r="I14" s="8" t="s">
        <v>51</v>
      </c>
      <c r="J14" s="8" t="s">
        <v>34</v>
      </c>
      <c r="K14" s="8" t="str">
        <f t="shared" si="0"/>
        <v/>
      </c>
      <c r="L14" s="8" t="str">
        <f>CONCATENATE("10 10.1 4a")</f>
        <v>10 10.1 4a</v>
      </c>
      <c r="M14" s="8" t="str">
        <f>CONCATENATE("BNDRCR90C02B474M")</f>
        <v>BNDRCR90C02B474M</v>
      </c>
      <c r="N14" s="8" t="s">
        <v>65</v>
      </c>
      <c r="O14" s="8" t="s">
        <v>36</v>
      </c>
      <c r="P14" s="8" t="s">
        <v>62</v>
      </c>
      <c r="Q14" s="9">
        <v>45461</v>
      </c>
      <c r="R14" s="8" t="s">
        <v>38</v>
      </c>
      <c r="S14" s="8" t="s">
        <v>39</v>
      </c>
      <c r="T14" s="8" t="s">
        <v>40</v>
      </c>
      <c r="U14" s="8"/>
      <c r="V14" s="8" t="s">
        <v>41</v>
      </c>
      <c r="W14" s="8">
        <v>319.5</v>
      </c>
      <c r="X14" s="8">
        <v>137.77000000000001</v>
      </c>
      <c r="Y14" s="8">
        <v>127.22</v>
      </c>
      <c r="Z14" s="8">
        <v>54.51</v>
      </c>
      <c r="AA14" s="8">
        <v>0</v>
      </c>
    </row>
    <row r="15" spans="1:27" ht="25.5" x14ac:dyDescent="0.35">
      <c r="A15" s="8" t="s">
        <v>28</v>
      </c>
      <c r="B15" s="8" t="s">
        <v>59</v>
      </c>
      <c r="C15" s="8" t="s">
        <v>30</v>
      </c>
      <c r="D15" s="8" t="s">
        <v>31</v>
      </c>
      <c r="E15" s="8" t="s">
        <v>66</v>
      </c>
      <c r="F15" s="8" t="s">
        <v>67</v>
      </c>
      <c r="G15" s="8">
        <v>2023</v>
      </c>
      <c r="H15" s="8" t="str">
        <f>CONCATENATE("34240448182")</f>
        <v>34240448182</v>
      </c>
      <c r="I15" s="8" t="s">
        <v>33</v>
      </c>
      <c r="J15" s="8" t="s">
        <v>34</v>
      </c>
      <c r="K15" s="8" t="str">
        <f t="shared" si="0"/>
        <v/>
      </c>
      <c r="L15" s="8" t="str">
        <f>CONCATENATE("10 10.1 4a")</f>
        <v>10 10.1 4a</v>
      </c>
      <c r="M15" s="8" t="str">
        <f>CONCATENATE("01824020430")</f>
        <v>01824020430</v>
      </c>
      <c r="N15" s="8" t="s">
        <v>68</v>
      </c>
      <c r="O15" s="8" t="s">
        <v>36</v>
      </c>
      <c r="P15" s="8" t="s">
        <v>69</v>
      </c>
      <c r="Q15" s="9">
        <v>45461</v>
      </c>
      <c r="R15" s="8" t="s">
        <v>38</v>
      </c>
      <c r="S15" s="8" t="s">
        <v>39</v>
      </c>
      <c r="T15" s="8" t="s">
        <v>40</v>
      </c>
      <c r="U15" s="8"/>
      <c r="V15" s="8" t="s">
        <v>41</v>
      </c>
      <c r="W15" s="10">
        <v>8499.25</v>
      </c>
      <c r="X15" s="10">
        <v>3664.88</v>
      </c>
      <c r="Y15" s="10">
        <v>3384.4</v>
      </c>
      <c r="Z15" s="10">
        <v>1449.97</v>
      </c>
      <c r="AA15" s="8">
        <v>0</v>
      </c>
    </row>
    <row r="16" spans="1:27" ht="25.5" x14ac:dyDescent="0.35">
      <c r="A16" s="8" t="s">
        <v>28</v>
      </c>
      <c r="B16" s="8" t="s">
        <v>59</v>
      </c>
      <c r="C16" s="8" t="s">
        <v>30</v>
      </c>
      <c r="D16" s="8" t="s">
        <v>31</v>
      </c>
      <c r="E16" s="8" t="s">
        <v>45</v>
      </c>
      <c r="F16" s="8" t="s">
        <v>54</v>
      </c>
      <c r="G16" s="8">
        <v>2023</v>
      </c>
      <c r="H16" s="8" t="str">
        <f>CONCATENATE("34240713239")</f>
        <v>34240713239</v>
      </c>
      <c r="I16" s="8" t="s">
        <v>33</v>
      </c>
      <c r="J16" s="8" t="s">
        <v>34</v>
      </c>
      <c r="K16" s="8" t="str">
        <f t="shared" si="0"/>
        <v/>
      </c>
      <c r="L16" s="8" t="str">
        <f>CONCATENATE("10 10.1 4a")</f>
        <v>10 10.1 4a</v>
      </c>
      <c r="M16" s="8" t="str">
        <f>CONCATENATE("01988740435")</f>
        <v>01988740435</v>
      </c>
      <c r="N16" s="8" t="s">
        <v>70</v>
      </c>
      <c r="O16" s="8" t="s">
        <v>36</v>
      </c>
      <c r="P16" s="8" t="s">
        <v>69</v>
      </c>
      <c r="Q16" s="9">
        <v>45461</v>
      </c>
      <c r="R16" s="8" t="s">
        <v>38</v>
      </c>
      <c r="S16" s="8" t="s">
        <v>39</v>
      </c>
      <c r="T16" s="8" t="s">
        <v>40</v>
      </c>
      <c r="U16" s="8"/>
      <c r="V16" s="8" t="s">
        <v>41</v>
      </c>
      <c r="W16" s="8">
        <v>295.29000000000002</v>
      </c>
      <c r="X16" s="8">
        <v>127.33</v>
      </c>
      <c r="Y16" s="8">
        <v>117.58</v>
      </c>
      <c r="Z16" s="8">
        <v>50.38</v>
      </c>
      <c r="AA16" s="8">
        <v>0</v>
      </c>
    </row>
    <row r="17" spans="1:27" ht="25.5" x14ac:dyDescent="0.35">
      <c r="A17" s="8" t="s">
        <v>28</v>
      </c>
      <c r="B17" s="8" t="s">
        <v>29</v>
      </c>
      <c r="C17" s="8" t="s">
        <v>30</v>
      </c>
      <c r="D17" s="8" t="s">
        <v>71</v>
      </c>
      <c r="E17" s="8" t="s">
        <v>32</v>
      </c>
      <c r="F17" s="8" t="s">
        <v>32</v>
      </c>
      <c r="G17" s="8">
        <v>2017</v>
      </c>
      <c r="H17" s="8" t="str">
        <f>CONCATENATE("34270427890")</f>
        <v>34270427890</v>
      </c>
      <c r="I17" s="8" t="s">
        <v>33</v>
      </c>
      <c r="J17" s="8" t="s">
        <v>34</v>
      </c>
      <c r="K17" s="8" t="str">
        <f t="shared" si="0"/>
        <v/>
      </c>
      <c r="L17" s="8" t="str">
        <f>CONCATENATE("16 16.1 2a")</f>
        <v>16 16.1 2a</v>
      </c>
      <c r="M17" s="8" t="str">
        <f>CONCATENATE("93018000427")</f>
        <v>93018000427</v>
      </c>
      <c r="N17" s="8" t="s">
        <v>72</v>
      </c>
      <c r="O17" s="8" t="s">
        <v>36</v>
      </c>
      <c r="P17" s="8" t="s">
        <v>73</v>
      </c>
      <c r="Q17" s="9">
        <v>45462</v>
      </c>
      <c r="R17" s="8" t="s">
        <v>38</v>
      </c>
      <c r="S17" s="8" t="s">
        <v>39</v>
      </c>
      <c r="T17" s="8" t="s">
        <v>40</v>
      </c>
      <c r="U17" s="8"/>
      <c r="V17" s="8" t="s">
        <v>41</v>
      </c>
      <c r="W17" s="10">
        <v>223615.93</v>
      </c>
      <c r="X17" s="10">
        <v>96423.19</v>
      </c>
      <c r="Y17" s="10">
        <v>89043.86</v>
      </c>
      <c r="Z17" s="10">
        <v>38148.879999999997</v>
      </c>
      <c r="AA17" s="8">
        <v>0</v>
      </c>
    </row>
    <row r="18" spans="1:27" ht="25.5" x14ac:dyDescent="0.35">
      <c r="A18" s="8" t="s">
        <v>28</v>
      </c>
      <c r="B18" s="8" t="s">
        <v>29</v>
      </c>
      <c r="C18" s="8" t="s">
        <v>30</v>
      </c>
      <c r="D18" s="8" t="s">
        <v>71</v>
      </c>
      <c r="E18" s="8" t="s">
        <v>74</v>
      </c>
      <c r="F18" s="8" t="s">
        <v>75</v>
      </c>
      <c r="G18" s="8">
        <v>2017</v>
      </c>
      <c r="H18" s="8" t="str">
        <f>CONCATENATE("34270427908")</f>
        <v>34270427908</v>
      </c>
      <c r="I18" s="8" t="s">
        <v>33</v>
      </c>
      <c r="J18" s="8" t="s">
        <v>34</v>
      </c>
      <c r="K18" s="8" t="str">
        <f t="shared" si="0"/>
        <v/>
      </c>
      <c r="L18" s="8" t="str">
        <f>CONCATENATE("16 16.1 2a")</f>
        <v>16 16.1 2a</v>
      </c>
      <c r="M18" s="8" t="str">
        <f>CONCATENATE("02419450420")</f>
        <v>02419450420</v>
      </c>
      <c r="N18" s="8" t="s">
        <v>76</v>
      </c>
      <c r="O18" s="8" t="s">
        <v>36</v>
      </c>
      <c r="P18" s="8" t="s">
        <v>73</v>
      </c>
      <c r="Q18" s="9">
        <v>45462</v>
      </c>
      <c r="R18" s="8" t="s">
        <v>38</v>
      </c>
      <c r="S18" s="8" t="s">
        <v>39</v>
      </c>
      <c r="T18" s="8" t="s">
        <v>40</v>
      </c>
      <c r="U18" s="8"/>
      <c r="V18" s="8" t="s">
        <v>41</v>
      </c>
      <c r="W18" s="10">
        <v>124682.84</v>
      </c>
      <c r="X18" s="10">
        <v>53763.24</v>
      </c>
      <c r="Y18" s="10">
        <v>49648.71</v>
      </c>
      <c r="Z18" s="10">
        <v>21270.89</v>
      </c>
      <c r="AA18" s="8">
        <v>0</v>
      </c>
    </row>
    <row r="19" spans="1:27" ht="25.5" x14ac:dyDescent="0.35">
      <c r="A19" s="8" t="s">
        <v>28</v>
      </c>
      <c r="B19" s="8" t="s">
        <v>29</v>
      </c>
      <c r="C19" s="8" t="s">
        <v>30</v>
      </c>
      <c r="D19" s="8" t="s">
        <v>71</v>
      </c>
      <c r="E19" s="8" t="s">
        <v>32</v>
      </c>
      <c r="F19" s="8" t="s">
        <v>32</v>
      </c>
      <c r="G19" s="8">
        <v>2017</v>
      </c>
      <c r="H19" s="8" t="str">
        <f>CONCATENATE("44270098377")</f>
        <v>44270098377</v>
      </c>
      <c r="I19" s="8" t="s">
        <v>33</v>
      </c>
      <c r="J19" s="8" t="s">
        <v>34</v>
      </c>
      <c r="K19" s="8" t="str">
        <f t="shared" si="0"/>
        <v/>
      </c>
      <c r="L19" s="8" t="str">
        <f>CONCATENATE("1 1.2 2a")</f>
        <v>1 1.2 2a</v>
      </c>
      <c r="M19" s="8" t="str">
        <f>CONCATENATE("02884540424")</f>
        <v>02884540424</v>
      </c>
      <c r="N19" s="8" t="s">
        <v>77</v>
      </c>
      <c r="O19" s="8" t="s">
        <v>36</v>
      </c>
      <c r="P19" s="8" t="s">
        <v>78</v>
      </c>
      <c r="Q19" s="9">
        <v>45462</v>
      </c>
      <c r="R19" s="8" t="s">
        <v>38</v>
      </c>
      <c r="S19" s="8" t="s">
        <v>39</v>
      </c>
      <c r="T19" s="8" t="s">
        <v>40</v>
      </c>
      <c r="U19" s="8"/>
      <c r="V19" s="8" t="s">
        <v>41</v>
      </c>
      <c r="W19" s="10">
        <v>16960</v>
      </c>
      <c r="X19" s="10">
        <v>7313.15</v>
      </c>
      <c r="Y19" s="10">
        <v>6753.47</v>
      </c>
      <c r="Z19" s="10">
        <v>2893.38</v>
      </c>
      <c r="AA19" s="8">
        <v>0</v>
      </c>
    </row>
    <row r="20" spans="1:27" ht="25.5" x14ac:dyDescent="0.35">
      <c r="A20" s="8" t="s">
        <v>28</v>
      </c>
      <c r="B20" s="8" t="s">
        <v>29</v>
      </c>
      <c r="C20" s="8" t="s">
        <v>30</v>
      </c>
      <c r="D20" s="8" t="s">
        <v>31</v>
      </c>
      <c r="E20" s="8" t="s">
        <v>32</v>
      </c>
      <c r="F20" s="8" t="s">
        <v>32</v>
      </c>
      <c r="G20" s="8">
        <v>2017</v>
      </c>
      <c r="H20" s="8" t="str">
        <f>CONCATENATE("44270108770")</f>
        <v>44270108770</v>
      </c>
      <c r="I20" s="8" t="s">
        <v>51</v>
      </c>
      <c r="J20" s="8" t="s">
        <v>34</v>
      </c>
      <c r="K20" s="8" t="str">
        <f t="shared" si="0"/>
        <v/>
      </c>
      <c r="L20" s="8" t="str">
        <f>CONCATENATE("1 1.1 2a")</f>
        <v>1 1.1 2a</v>
      </c>
      <c r="M20" s="8" t="str">
        <f>CONCATENATE("01461530436")</f>
        <v>01461530436</v>
      </c>
      <c r="N20" s="8" t="s">
        <v>79</v>
      </c>
      <c r="O20" s="8" t="s">
        <v>36</v>
      </c>
      <c r="P20" s="8" t="s">
        <v>80</v>
      </c>
      <c r="Q20" s="9">
        <v>45462</v>
      </c>
      <c r="R20" s="8" t="s">
        <v>38</v>
      </c>
      <c r="S20" s="8" t="s">
        <v>39</v>
      </c>
      <c r="T20" s="8" t="s">
        <v>40</v>
      </c>
      <c r="U20" s="8"/>
      <c r="V20" s="8" t="s">
        <v>41</v>
      </c>
      <c r="W20" s="10">
        <v>2640</v>
      </c>
      <c r="X20" s="10">
        <v>1138.3699999999999</v>
      </c>
      <c r="Y20" s="10">
        <v>1051.25</v>
      </c>
      <c r="Z20" s="8">
        <v>450.38</v>
      </c>
      <c r="AA20" s="8">
        <v>0</v>
      </c>
    </row>
    <row r="21" spans="1:27" ht="25.5" x14ac:dyDescent="0.35">
      <c r="A21" s="8" t="s">
        <v>28</v>
      </c>
      <c r="B21" s="8" t="s">
        <v>59</v>
      </c>
      <c r="C21" s="8" t="s">
        <v>30</v>
      </c>
      <c r="D21" s="8" t="s">
        <v>31</v>
      </c>
      <c r="E21" s="8" t="s">
        <v>63</v>
      </c>
      <c r="F21" s="8" t="s">
        <v>81</v>
      </c>
      <c r="G21" s="8">
        <v>2023</v>
      </c>
      <c r="H21" s="8" t="str">
        <f>CONCATENATE("34240719376")</f>
        <v>34240719376</v>
      </c>
      <c r="I21" s="8" t="s">
        <v>33</v>
      </c>
      <c r="J21" s="8" t="s">
        <v>34</v>
      </c>
      <c r="K21" s="8" t="str">
        <f t="shared" si="0"/>
        <v/>
      </c>
      <c r="L21" s="8" t="str">
        <f t="shared" ref="L21:L30" si="1">CONCATENATE("10 10.1 4a")</f>
        <v>10 10.1 4a</v>
      </c>
      <c r="M21" s="8" t="str">
        <f>CONCATENATE("01648480430")</f>
        <v>01648480430</v>
      </c>
      <c r="N21" s="8" t="s">
        <v>82</v>
      </c>
      <c r="O21" s="8" t="s">
        <v>36</v>
      </c>
      <c r="P21" s="8" t="s">
        <v>62</v>
      </c>
      <c r="Q21" s="9">
        <v>45461</v>
      </c>
      <c r="R21" s="8" t="s">
        <v>38</v>
      </c>
      <c r="S21" s="8" t="s">
        <v>39</v>
      </c>
      <c r="T21" s="8" t="s">
        <v>40</v>
      </c>
      <c r="U21" s="8"/>
      <c r="V21" s="8" t="s">
        <v>41</v>
      </c>
      <c r="W21" s="8">
        <v>637.36</v>
      </c>
      <c r="X21" s="8">
        <v>274.83</v>
      </c>
      <c r="Y21" s="8">
        <v>253.8</v>
      </c>
      <c r="Z21" s="8">
        <v>108.73</v>
      </c>
      <c r="AA21" s="8">
        <v>0</v>
      </c>
    </row>
    <row r="22" spans="1:27" ht="25.5" x14ac:dyDescent="0.35">
      <c r="A22" s="8" t="s">
        <v>28</v>
      </c>
      <c r="B22" s="8" t="s">
        <v>59</v>
      </c>
      <c r="C22" s="8" t="s">
        <v>30</v>
      </c>
      <c r="D22" s="8" t="s">
        <v>31</v>
      </c>
      <c r="E22" s="8" t="s">
        <v>63</v>
      </c>
      <c r="F22" s="8" t="s">
        <v>81</v>
      </c>
      <c r="G22" s="8">
        <v>2023</v>
      </c>
      <c r="H22" s="8" t="str">
        <f>CONCATENATE("34240464817")</f>
        <v>34240464817</v>
      </c>
      <c r="I22" s="8" t="s">
        <v>33</v>
      </c>
      <c r="J22" s="8" t="s">
        <v>34</v>
      </c>
      <c r="K22" s="8" t="str">
        <f t="shared" si="0"/>
        <v/>
      </c>
      <c r="L22" s="8" t="str">
        <f t="shared" si="1"/>
        <v>10 10.1 4a</v>
      </c>
      <c r="M22" s="8" t="str">
        <f>CONCATENATE("01709190431")</f>
        <v>01709190431</v>
      </c>
      <c r="N22" s="8" t="s">
        <v>83</v>
      </c>
      <c r="O22" s="8" t="s">
        <v>36</v>
      </c>
      <c r="P22" s="8" t="s">
        <v>62</v>
      </c>
      <c r="Q22" s="9">
        <v>45461</v>
      </c>
      <c r="R22" s="8" t="s">
        <v>38</v>
      </c>
      <c r="S22" s="8" t="s">
        <v>39</v>
      </c>
      <c r="T22" s="8" t="s">
        <v>40</v>
      </c>
      <c r="U22" s="8"/>
      <c r="V22" s="8" t="s">
        <v>41</v>
      </c>
      <c r="W22" s="10">
        <v>3898.08</v>
      </c>
      <c r="X22" s="10">
        <v>1680.85</v>
      </c>
      <c r="Y22" s="10">
        <v>1552.22</v>
      </c>
      <c r="Z22" s="8">
        <v>665.01</v>
      </c>
      <c r="AA22" s="8">
        <v>0</v>
      </c>
    </row>
    <row r="23" spans="1:27" ht="25.5" x14ac:dyDescent="0.35">
      <c r="A23" s="8" t="s">
        <v>28</v>
      </c>
      <c r="B23" s="8" t="s">
        <v>59</v>
      </c>
      <c r="C23" s="8" t="s">
        <v>30</v>
      </c>
      <c r="D23" s="8" t="s">
        <v>31</v>
      </c>
      <c r="E23" s="8" t="s">
        <v>45</v>
      </c>
      <c r="F23" s="8" t="s">
        <v>60</v>
      </c>
      <c r="G23" s="8">
        <v>2023</v>
      </c>
      <c r="H23" s="8" t="str">
        <f>CONCATENATE("34240259621")</f>
        <v>34240259621</v>
      </c>
      <c r="I23" s="8" t="s">
        <v>51</v>
      </c>
      <c r="J23" s="8" t="s">
        <v>34</v>
      </c>
      <c r="K23" s="8" t="str">
        <f t="shared" si="0"/>
        <v/>
      </c>
      <c r="L23" s="8" t="str">
        <f t="shared" si="1"/>
        <v>10 10.1 4a</v>
      </c>
      <c r="M23" s="8" t="str">
        <f>CONCATENATE("01911060430")</f>
        <v>01911060430</v>
      </c>
      <c r="N23" s="8" t="s">
        <v>84</v>
      </c>
      <c r="O23" s="8" t="s">
        <v>36</v>
      </c>
      <c r="P23" s="8" t="s">
        <v>62</v>
      </c>
      <c r="Q23" s="9">
        <v>45461</v>
      </c>
      <c r="R23" s="8" t="s">
        <v>38</v>
      </c>
      <c r="S23" s="8" t="s">
        <v>39</v>
      </c>
      <c r="T23" s="8" t="s">
        <v>40</v>
      </c>
      <c r="U23" s="8"/>
      <c r="V23" s="8" t="s">
        <v>41</v>
      </c>
      <c r="W23" s="8">
        <v>54.37</v>
      </c>
      <c r="X23" s="8">
        <v>23.44</v>
      </c>
      <c r="Y23" s="8">
        <v>21.65</v>
      </c>
      <c r="Z23" s="8">
        <v>9.2799999999999994</v>
      </c>
      <c r="AA23" s="8">
        <v>0</v>
      </c>
    </row>
    <row r="24" spans="1:27" ht="41.5" x14ac:dyDescent="0.35">
      <c r="A24" s="8" t="s">
        <v>28</v>
      </c>
      <c r="B24" s="8" t="s">
        <v>59</v>
      </c>
      <c r="C24" s="8" t="s">
        <v>30</v>
      </c>
      <c r="D24" s="8" t="s">
        <v>31</v>
      </c>
      <c r="E24" s="8" t="s">
        <v>85</v>
      </c>
      <c r="F24" s="8" t="s">
        <v>86</v>
      </c>
      <c r="G24" s="8">
        <v>2023</v>
      </c>
      <c r="H24" s="8" t="str">
        <f>CONCATENATE("34240564376")</f>
        <v>34240564376</v>
      </c>
      <c r="I24" s="8" t="s">
        <v>33</v>
      </c>
      <c r="J24" s="8" t="s">
        <v>34</v>
      </c>
      <c r="K24" s="8" t="str">
        <f t="shared" si="0"/>
        <v/>
      </c>
      <c r="L24" s="8" t="str">
        <f t="shared" si="1"/>
        <v>10 10.1 4a</v>
      </c>
      <c r="M24" s="8" t="str">
        <f>CONCATENATE("CSRCLD80D09E388V")</f>
        <v>CSRCLD80D09E388V</v>
      </c>
      <c r="N24" s="8" t="s">
        <v>87</v>
      </c>
      <c r="O24" s="8" t="s">
        <v>36</v>
      </c>
      <c r="P24" s="8" t="s">
        <v>62</v>
      </c>
      <c r="Q24" s="9">
        <v>45461</v>
      </c>
      <c r="R24" s="8" t="s">
        <v>38</v>
      </c>
      <c r="S24" s="8" t="s">
        <v>39</v>
      </c>
      <c r="T24" s="8" t="s">
        <v>40</v>
      </c>
      <c r="U24" s="8"/>
      <c r="V24" s="8" t="s">
        <v>41</v>
      </c>
      <c r="W24" s="10">
        <v>4850.93</v>
      </c>
      <c r="X24" s="10">
        <v>2091.7199999999998</v>
      </c>
      <c r="Y24" s="10">
        <v>1931.64</v>
      </c>
      <c r="Z24" s="8">
        <v>827.57</v>
      </c>
      <c r="AA24" s="8">
        <v>0</v>
      </c>
    </row>
    <row r="25" spans="1:27" ht="25.5" x14ac:dyDescent="0.35">
      <c r="A25" s="8" t="s">
        <v>28</v>
      </c>
      <c r="B25" s="8" t="s">
        <v>59</v>
      </c>
      <c r="C25" s="8" t="s">
        <v>30</v>
      </c>
      <c r="D25" s="8" t="s">
        <v>31</v>
      </c>
      <c r="E25" s="8" t="s">
        <v>63</v>
      </c>
      <c r="F25" s="8" t="s">
        <v>81</v>
      </c>
      <c r="G25" s="8">
        <v>2023</v>
      </c>
      <c r="H25" s="8" t="str">
        <f>CONCATENATE("34240469535")</f>
        <v>34240469535</v>
      </c>
      <c r="I25" s="8" t="s">
        <v>33</v>
      </c>
      <c r="J25" s="8" t="s">
        <v>34</v>
      </c>
      <c r="K25" s="8" t="str">
        <f t="shared" si="0"/>
        <v/>
      </c>
      <c r="L25" s="8" t="str">
        <f t="shared" si="1"/>
        <v>10 10.1 4a</v>
      </c>
      <c r="M25" s="8" t="str">
        <f>CONCATENATE("01987370432")</f>
        <v>01987370432</v>
      </c>
      <c r="N25" s="8" t="s">
        <v>88</v>
      </c>
      <c r="O25" s="8" t="s">
        <v>36</v>
      </c>
      <c r="P25" s="8" t="s">
        <v>62</v>
      </c>
      <c r="Q25" s="9">
        <v>45461</v>
      </c>
      <c r="R25" s="8" t="s">
        <v>38</v>
      </c>
      <c r="S25" s="8" t="s">
        <v>39</v>
      </c>
      <c r="T25" s="8" t="s">
        <v>40</v>
      </c>
      <c r="U25" s="8"/>
      <c r="V25" s="8" t="s">
        <v>41</v>
      </c>
      <c r="W25" s="10">
        <v>1649.39</v>
      </c>
      <c r="X25" s="8">
        <v>711.22</v>
      </c>
      <c r="Y25" s="8">
        <v>656.79</v>
      </c>
      <c r="Z25" s="8">
        <v>281.38</v>
      </c>
      <c r="AA25" s="8">
        <v>0</v>
      </c>
    </row>
    <row r="26" spans="1:27" ht="25.5" x14ac:dyDescent="0.35">
      <c r="A26" s="8" t="s">
        <v>28</v>
      </c>
      <c r="B26" s="8" t="s">
        <v>59</v>
      </c>
      <c r="C26" s="8" t="s">
        <v>30</v>
      </c>
      <c r="D26" s="8" t="s">
        <v>31</v>
      </c>
      <c r="E26" s="8" t="s">
        <v>85</v>
      </c>
      <c r="F26" s="8" t="s">
        <v>89</v>
      </c>
      <c r="G26" s="8">
        <v>2023</v>
      </c>
      <c r="H26" s="8" t="str">
        <f>CONCATENATE("34240278522")</f>
        <v>34240278522</v>
      </c>
      <c r="I26" s="8" t="s">
        <v>33</v>
      </c>
      <c r="J26" s="8" t="s">
        <v>34</v>
      </c>
      <c r="K26" s="8" t="str">
        <f t="shared" si="0"/>
        <v/>
      </c>
      <c r="L26" s="8" t="str">
        <f t="shared" si="1"/>
        <v>10 10.1 4a</v>
      </c>
      <c r="M26" s="8" t="str">
        <f>CONCATENATE("00626190433")</f>
        <v>00626190433</v>
      </c>
      <c r="N26" s="8" t="s">
        <v>90</v>
      </c>
      <c r="O26" s="8" t="s">
        <v>36</v>
      </c>
      <c r="P26" s="8" t="s">
        <v>62</v>
      </c>
      <c r="Q26" s="9">
        <v>45461</v>
      </c>
      <c r="R26" s="8" t="s">
        <v>38</v>
      </c>
      <c r="S26" s="8" t="s">
        <v>39</v>
      </c>
      <c r="T26" s="8" t="s">
        <v>40</v>
      </c>
      <c r="U26" s="8"/>
      <c r="V26" s="8" t="s">
        <v>41</v>
      </c>
      <c r="W26" s="10">
        <v>1109.8800000000001</v>
      </c>
      <c r="X26" s="8">
        <v>478.58</v>
      </c>
      <c r="Y26" s="8">
        <v>441.95</v>
      </c>
      <c r="Z26" s="8">
        <v>189.35</v>
      </c>
      <c r="AA26" s="8">
        <v>0</v>
      </c>
    </row>
    <row r="27" spans="1:27" ht="25.5" x14ac:dyDescent="0.35">
      <c r="A27" s="8" t="s">
        <v>28</v>
      </c>
      <c r="B27" s="8" t="s">
        <v>59</v>
      </c>
      <c r="C27" s="8" t="s">
        <v>30</v>
      </c>
      <c r="D27" s="8" t="s">
        <v>31</v>
      </c>
      <c r="E27" s="8" t="s">
        <v>66</v>
      </c>
      <c r="F27" s="8" t="s">
        <v>91</v>
      </c>
      <c r="G27" s="8">
        <v>2023</v>
      </c>
      <c r="H27" s="8" t="str">
        <f>CONCATENATE("34240774744")</f>
        <v>34240774744</v>
      </c>
      <c r="I27" s="8" t="s">
        <v>33</v>
      </c>
      <c r="J27" s="8" t="s">
        <v>34</v>
      </c>
      <c r="K27" s="8" t="str">
        <f t="shared" si="0"/>
        <v/>
      </c>
      <c r="L27" s="8" t="str">
        <f t="shared" si="1"/>
        <v>10 10.1 4a</v>
      </c>
      <c r="M27" s="8" t="str">
        <f>CONCATENATE("01975760438")</f>
        <v>01975760438</v>
      </c>
      <c r="N27" s="8" t="s">
        <v>92</v>
      </c>
      <c r="O27" s="8" t="s">
        <v>36</v>
      </c>
      <c r="P27" s="8" t="s">
        <v>62</v>
      </c>
      <c r="Q27" s="9">
        <v>45461</v>
      </c>
      <c r="R27" s="8" t="s">
        <v>38</v>
      </c>
      <c r="S27" s="8" t="s">
        <v>39</v>
      </c>
      <c r="T27" s="8" t="s">
        <v>40</v>
      </c>
      <c r="U27" s="8"/>
      <c r="V27" s="8" t="s">
        <v>41</v>
      </c>
      <c r="W27" s="10">
        <v>7346.54</v>
      </c>
      <c r="X27" s="10">
        <v>3167.83</v>
      </c>
      <c r="Y27" s="10">
        <v>2925.39</v>
      </c>
      <c r="Z27" s="10">
        <v>1253.32</v>
      </c>
      <c r="AA27" s="8">
        <v>0</v>
      </c>
    </row>
    <row r="28" spans="1:27" ht="25.5" x14ac:dyDescent="0.35">
      <c r="A28" s="8" t="s">
        <v>28</v>
      </c>
      <c r="B28" s="8" t="s">
        <v>59</v>
      </c>
      <c r="C28" s="8" t="s">
        <v>30</v>
      </c>
      <c r="D28" s="8" t="s">
        <v>31</v>
      </c>
      <c r="E28" s="8" t="s">
        <v>45</v>
      </c>
      <c r="F28" s="8" t="s">
        <v>93</v>
      </c>
      <c r="G28" s="8">
        <v>2023</v>
      </c>
      <c r="H28" s="8" t="str">
        <f>CONCATENATE("34240272764")</f>
        <v>34240272764</v>
      </c>
      <c r="I28" s="8" t="s">
        <v>51</v>
      </c>
      <c r="J28" s="8" t="s">
        <v>34</v>
      </c>
      <c r="K28" s="8" t="str">
        <f t="shared" si="0"/>
        <v/>
      </c>
      <c r="L28" s="8" t="str">
        <f t="shared" si="1"/>
        <v>10 10.1 4a</v>
      </c>
      <c r="M28" s="8" t="str">
        <f>CONCATENATE("01763810437")</f>
        <v>01763810437</v>
      </c>
      <c r="N28" s="8" t="s">
        <v>94</v>
      </c>
      <c r="O28" s="8" t="s">
        <v>36</v>
      </c>
      <c r="P28" s="8" t="s">
        <v>62</v>
      </c>
      <c r="Q28" s="9">
        <v>45461</v>
      </c>
      <c r="R28" s="8" t="s">
        <v>38</v>
      </c>
      <c r="S28" s="8" t="s">
        <v>39</v>
      </c>
      <c r="T28" s="8" t="s">
        <v>40</v>
      </c>
      <c r="U28" s="8"/>
      <c r="V28" s="8" t="s">
        <v>41</v>
      </c>
      <c r="W28" s="8">
        <v>211.5</v>
      </c>
      <c r="X28" s="8">
        <v>91.2</v>
      </c>
      <c r="Y28" s="8">
        <v>84.22</v>
      </c>
      <c r="Z28" s="8">
        <v>36.08</v>
      </c>
      <c r="AA28" s="8">
        <v>0</v>
      </c>
    </row>
    <row r="29" spans="1:27" ht="41.5" x14ac:dyDescent="0.35">
      <c r="A29" s="8" t="s">
        <v>28</v>
      </c>
      <c r="B29" s="8" t="s">
        <v>59</v>
      </c>
      <c r="C29" s="8" t="s">
        <v>30</v>
      </c>
      <c r="D29" s="8" t="s">
        <v>31</v>
      </c>
      <c r="E29" s="8" t="s">
        <v>45</v>
      </c>
      <c r="F29" s="8" t="s">
        <v>95</v>
      </c>
      <c r="G29" s="8">
        <v>2023</v>
      </c>
      <c r="H29" s="8" t="str">
        <f>CONCATENATE("34240457696")</f>
        <v>34240457696</v>
      </c>
      <c r="I29" s="8" t="s">
        <v>33</v>
      </c>
      <c r="J29" s="8" t="s">
        <v>34</v>
      </c>
      <c r="K29" s="8" t="str">
        <f t="shared" si="0"/>
        <v/>
      </c>
      <c r="L29" s="8" t="str">
        <f t="shared" si="1"/>
        <v>10 10.1 4a</v>
      </c>
      <c r="M29" s="8" t="str">
        <f>CONCATENATE("TRCRNZ68E17I156U")</f>
        <v>TRCRNZ68E17I156U</v>
      </c>
      <c r="N29" s="8" t="s">
        <v>96</v>
      </c>
      <c r="O29" s="8" t="s">
        <v>36</v>
      </c>
      <c r="P29" s="8" t="s">
        <v>62</v>
      </c>
      <c r="Q29" s="9">
        <v>45461</v>
      </c>
      <c r="R29" s="8" t="s">
        <v>38</v>
      </c>
      <c r="S29" s="8" t="s">
        <v>39</v>
      </c>
      <c r="T29" s="8" t="s">
        <v>40</v>
      </c>
      <c r="U29" s="8"/>
      <c r="V29" s="8" t="s">
        <v>41</v>
      </c>
      <c r="W29" s="10">
        <v>11328.6</v>
      </c>
      <c r="X29" s="10">
        <v>4884.8900000000003</v>
      </c>
      <c r="Y29" s="10">
        <v>4511.05</v>
      </c>
      <c r="Z29" s="10">
        <v>1932.66</v>
      </c>
      <c r="AA29" s="8">
        <v>0</v>
      </c>
    </row>
    <row r="30" spans="1:27" ht="25.5" x14ac:dyDescent="0.35">
      <c r="A30" s="8" t="s">
        <v>28</v>
      </c>
      <c r="B30" s="8" t="s">
        <v>59</v>
      </c>
      <c r="C30" s="8" t="s">
        <v>30</v>
      </c>
      <c r="D30" s="8" t="s">
        <v>31</v>
      </c>
      <c r="E30" s="8" t="s">
        <v>63</v>
      </c>
      <c r="F30" s="8" t="s">
        <v>81</v>
      </c>
      <c r="G30" s="8">
        <v>2023</v>
      </c>
      <c r="H30" s="8" t="str">
        <f>CONCATENATE("34240474311")</f>
        <v>34240474311</v>
      </c>
      <c r="I30" s="8" t="s">
        <v>51</v>
      </c>
      <c r="J30" s="8" t="s">
        <v>34</v>
      </c>
      <c r="K30" s="8" t="str">
        <f t="shared" si="0"/>
        <v/>
      </c>
      <c r="L30" s="8" t="str">
        <f t="shared" si="1"/>
        <v>10 10.1 4a</v>
      </c>
      <c r="M30" s="8" t="str">
        <f>CONCATENATE("01493390437")</f>
        <v>01493390437</v>
      </c>
      <c r="N30" s="8" t="s">
        <v>97</v>
      </c>
      <c r="O30" s="8" t="s">
        <v>36</v>
      </c>
      <c r="P30" s="8" t="s">
        <v>62</v>
      </c>
      <c r="Q30" s="9">
        <v>45461</v>
      </c>
      <c r="R30" s="8" t="s">
        <v>38</v>
      </c>
      <c r="S30" s="8" t="s">
        <v>39</v>
      </c>
      <c r="T30" s="8" t="s">
        <v>40</v>
      </c>
      <c r="U30" s="8"/>
      <c r="V30" s="8" t="s">
        <v>41</v>
      </c>
      <c r="W30" s="8">
        <v>312.89999999999998</v>
      </c>
      <c r="X30" s="8">
        <v>134.91999999999999</v>
      </c>
      <c r="Y30" s="8">
        <v>124.6</v>
      </c>
      <c r="Z30" s="8">
        <v>53.38</v>
      </c>
      <c r="AA30" s="8">
        <v>0</v>
      </c>
    </row>
    <row r="31" spans="1:27" ht="25.5" x14ac:dyDescent="0.35">
      <c r="A31" s="8" t="s">
        <v>28</v>
      </c>
      <c r="B31" s="8" t="s">
        <v>29</v>
      </c>
      <c r="C31" s="8" t="s">
        <v>30</v>
      </c>
      <c r="D31" s="8" t="s">
        <v>31</v>
      </c>
      <c r="E31" s="8" t="s">
        <v>32</v>
      </c>
      <c r="F31" s="8" t="s">
        <v>32</v>
      </c>
      <c r="G31" s="8">
        <v>2017</v>
      </c>
      <c r="H31" s="8" t="str">
        <f>CONCATENATE("44270098393")</f>
        <v>44270098393</v>
      </c>
      <c r="I31" s="8" t="s">
        <v>33</v>
      </c>
      <c r="J31" s="8" t="s">
        <v>34</v>
      </c>
      <c r="K31" s="8" t="str">
        <f t="shared" si="0"/>
        <v/>
      </c>
      <c r="L31" s="8" t="str">
        <f>CONCATENATE("6 6.1 2b")</f>
        <v>6 6.1 2b</v>
      </c>
      <c r="M31" s="8" t="str">
        <f>CONCATENATE("02069020432")</f>
        <v>02069020432</v>
      </c>
      <c r="N31" s="8" t="s">
        <v>98</v>
      </c>
      <c r="O31" s="8" t="s">
        <v>36</v>
      </c>
      <c r="P31" s="8" t="s">
        <v>99</v>
      </c>
      <c r="Q31" s="9">
        <v>45462</v>
      </c>
      <c r="R31" s="8" t="s">
        <v>38</v>
      </c>
      <c r="S31" s="8" t="s">
        <v>50</v>
      </c>
      <c r="T31" s="8" t="s">
        <v>40</v>
      </c>
      <c r="U31" s="8"/>
      <c r="V31" s="8" t="s">
        <v>41</v>
      </c>
      <c r="W31" s="10">
        <v>24500</v>
      </c>
      <c r="X31" s="10">
        <v>10564.4</v>
      </c>
      <c r="Y31" s="10">
        <v>9755.9</v>
      </c>
      <c r="Z31" s="10">
        <v>4179.7</v>
      </c>
      <c r="AA31" s="8">
        <v>0</v>
      </c>
    </row>
    <row r="32" spans="1:27" ht="25.5" x14ac:dyDescent="0.35">
      <c r="A32" s="8" t="s">
        <v>28</v>
      </c>
      <c r="B32" s="8" t="s">
        <v>29</v>
      </c>
      <c r="C32" s="8" t="s">
        <v>30</v>
      </c>
      <c r="D32" s="8" t="s">
        <v>42</v>
      </c>
      <c r="E32" s="8" t="s">
        <v>45</v>
      </c>
      <c r="F32" s="8" t="s">
        <v>54</v>
      </c>
      <c r="G32" s="8">
        <v>2017</v>
      </c>
      <c r="H32" s="8" t="str">
        <f>CONCATENATE("34270427544")</f>
        <v>34270427544</v>
      </c>
      <c r="I32" s="8" t="s">
        <v>33</v>
      </c>
      <c r="J32" s="8" t="s">
        <v>34</v>
      </c>
      <c r="K32" s="8" t="str">
        <f t="shared" si="0"/>
        <v/>
      </c>
      <c r="L32" s="8" t="str">
        <f>CONCATENATE("4 4.1 2a")</f>
        <v>4 4.1 2a</v>
      </c>
      <c r="M32" s="8" t="str">
        <f>CONCATENATE("00608910436")</f>
        <v>00608910436</v>
      </c>
      <c r="N32" s="8" t="s">
        <v>55</v>
      </c>
      <c r="O32" s="8" t="s">
        <v>36</v>
      </c>
      <c r="P32" s="8" t="s">
        <v>100</v>
      </c>
      <c r="Q32" s="9">
        <v>45462</v>
      </c>
      <c r="R32" s="8" t="s">
        <v>38</v>
      </c>
      <c r="S32" s="8" t="s">
        <v>39</v>
      </c>
      <c r="T32" s="8" t="s">
        <v>40</v>
      </c>
      <c r="U32" s="8"/>
      <c r="V32" s="8" t="s">
        <v>41</v>
      </c>
      <c r="W32" s="10">
        <v>169228.79999999999</v>
      </c>
      <c r="X32" s="10">
        <v>72971.460000000006</v>
      </c>
      <c r="Y32" s="10">
        <v>67386.91</v>
      </c>
      <c r="Z32" s="10">
        <v>28870.43</v>
      </c>
      <c r="AA32" s="8">
        <v>0</v>
      </c>
    </row>
    <row r="33" spans="1:27" ht="25.5" x14ac:dyDescent="0.35">
      <c r="A33" s="8" t="s">
        <v>28</v>
      </c>
      <c r="B33" s="8" t="s">
        <v>59</v>
      </c>
      <c r="C33" s="8" t="s">
        <v>30</v>
      </c>
      <c r="D33" s="8" t="s">
        <v>31</v>
      </c>
      <c r="E33" s="8" t="s">
        <v>74</v>
      </c>
      <c r="F33" s="8" t="s">
        <v>101</v>
      </c>
      <c r="G33" s="8">
        <v>2023</v>
      </c>
      <c r="H33" s="8" t="str">
        <f>CONCATENATE("34240131374")</f>
        <v>34240131374</v>
      </c>
      <c r="I33" s="8" t="s">
        <v>33</v>
      </c>
      <c r="J33" s="8" t="s">
        <v>34</v>
      </c>
      <c r="K33" s="8" t="str">
        <f t="shared" si="0"/>
        <v/>
      </c>
      <c r="L33" s="8" t="str">
        <f t="shared" ref="L33:L40" si="2">CONCATENATE("10 10.1 4a")</f>
        <v>10 10.1 4a</v>
      </c>
      <c r="M33" s="8" t="str">
        <f>CONCATENATE("01464870433")</f>
        <v>01464870433</v>
      </c>
      <c r="N33" s="8" t="s">
        <v>102</v>
      </c>
      <c r="O33" s="8" t="s">
        <v>36</v>
      </c>
      <c r="P33" s="8" t="s">
        <v>62</v>
      </c>
      <c r="Q33" s="9">
        <v>45461</v>
      </c>
      <c r="R33" s="8" t="s">
        <v>38</v>
      </c>
      <c r="S33" s="8" t="s">
        <v>39</v>
      </c>
      <c r="T33" s="8" t="s">
        <v>40</v>
      </c>
      <c r="U33" s="8"/>
      <c r="V33" s="8" t="s">
        <v>41</v>
      </c>
      <c r="W33" s="10">
        <v>1713.24</v>
      </c>
      <c r="X33" s="8">
        <v>738.75</v>
      </c>
      <c r="Y33" s="8">
        <v>682.21</v>
      </c>
      <c r="Z33" s="8">
        <v>292.27999999999997</v>
      </c>
      <c r="AA33" s="8">
        <v>0</v>
      </c>
    </row>
    <row r="34" spans="1:27" ht="25.5" x14ac:dyDescent="0.35">
      <c r="A34" s="8" t="s">
        <v>28</v>
      </c>
      <c r="B34" s="8" t="s">
        <v>59</v>
      </c>
      <c r="C34" s="8" t="s">
        <v>30</v>
      </c>
      <c r="D34" s="8" t="s">
        <v>31</v>
      </c>
      <c r="E34" s="8" t="s">
        <v>63</v>
      </c>
      <c r="F34" s="8" t="s">
        <v>103</v>
      </c>
      <c r="G34" s="8">
        <v>2023</v>
      </c>
      <c r="H34" s="8" t="str">
        <f>CONCATENATE("34240630573")</f>
        <v>34240630573</v>
      </c>
      <c r="I34" s="8" t="s">
        <v>51</v>
      </c>
      <c r="J34" s="8" t="s">
        <v>34</v>
      </c>
      <c r="K34" s="8" t="str">
        <f t="shared" si="0"/>
        <v/>
      </c>
      <c r="L34" s="8" t="str">
        <f t="shared" si="2"/>
        <v>10 10.1 4a</v>
      </c>
      <c r="M34" s="8" t="str">
        <f>CONCATENATE("01822020432")</f>
        <v>01822020432</v>
      </c>
      <c r="N34" s="8" t="s">
        <v>104</v>
      </c>
      <c r="O34" s="8" t="s">
        <v>36</v>
      </c>
      <c r="P34" s="8" t="s">
        <v>62</v>
      </c>
      <c r="Q34" s="9">
        <v>45461</v>
      </c>
      <c r="R34" s="8" t="s">
        <v>38</v>
      </c>
      <c r="S34" s="8" t="s">
        <v>39</v>
      </c>
      <c r="T34" s="8" t="s">
        <v>40</v>
      </c>
      <c r="U34" s="8"/>
      <c r="V34" s="8" t="s">
        <v>41</v>
      </c>
      <c r="W34" s="8">
        <v>251.15</v>
      </c>
      <c r="X34" s="8">
        <v>108.3</v>
      </c>
      <c r="Y34" s="8">
        <v>100.01</v>
      </c>
      <c r="Z34" s="8">
        <v>42.84</v>
      </c>
      <c r="AA34" s="8">
        <v>0</v>
      </c>
    </row>
    <row r="35" spans="1:27" ht="41.5" x14ac:dyDescent="0.35">
      <c r="A35" s="8" t="s">
        <v>28</v>
      </c>
      <c r="B35" s="8" t="s">
        <v>59</v>
      </c>
      <c r="C35" s="8" t="s">
        <v>30</v>
      </c>
      <c r="D35" s="8" t="s">
        <v>31</v>
      </c>
      <c r="E35" s="8" t="s">
        <v>63</v>
      </c>
      <c r="F35" s="8" t="s">
        <v>81</v>
      </c>
      <c r="G35" s="8">
        <v>2023</v>
      </c>
      <c r="H35" s="8" t="str">
        <f>CONCATENATE("34240295955")</f>
        <v>34240295955</v>
      </c>
      <c r="I35" s="8" t="s">
        <v>51</v>
      </c>
      <c r="J35" s="8" t="s">
        <v>34</v>
      </c>
      <c r="K35" s="8" t="str">
        <f t="shared" si="0"/>
        <v/>
      </c>
      <c r="L35" s="8" t="str">
        <f t="shared" si="2"/>
        <v>10 10.1 4a</v>
      </c>
      <c r="M35" s="8" t="str">
        <f>CONCATENATE("CCCRNZ49T31I156H")</f>
        <v>CCCRNZ49T31I156H</v>
      </c>
      <c r="N35" s="8" t="s">
        <v>105</v>
      </c>
      <c r="O35" s="8" t="s">
        <v>36</v>
      </c>
      <c r="P35" s="8" t="s">
        <v>62</v>
      </c>
      <c r="Q35" s="9">
        <v>45461</v>
      </c>
      <c r="R35" s="8" t="s">
        <v>38</v>
      </c>
      <c r="S35" s="8" t="s">
        <v>39</v>
      </c>
      <c r="T35" s="8" t="s">
        <v>40</v>
      </c>
      <c r="U35" s="8"/>
      <c r="V35" s="8" t="s">
        <v>41</v>
      </c>
      <c r="W35" s="8">
        <v>141.99</v>
      </c>
      <c r="X35" s="8">
        <v>61.23</v>
      </c>
      <c r="Y35" s="8">
        <v>56.54</v>
      </c>
      <c r="Z35" s="8">
        <v>24.22</v>
      </c>
      <c r="AA35" s="8">
        <v>0</v>
      </c>
    </row>
    <row r="36" spans="1:27" ht="41.5" x14ac:dyDescent="0.35">
      <c r="A36" s="8" t="s">
        <v>28</v>
      </c>
      <c r="B36" s="8" t="s">
        <v>59</v>
      </c>
      <c r="C36" s="8" t="s">
        <v>30</v>
      </c>
      <c r="D36" s="8" t="s">
        <v>31</v>
      </c>
      <c r="E36" s="8" t="s">
        <v>63</v>
      </c>
      <c r="F36" s="8" t="s">
        <v>81</v>
      </c>
      <c r="G36" s="8">
        <v>2023</v>
      </c>
      <c r="H36" s="8" t="str">
        <f>CONCATENATE("34240413574")</f>
        <v>34240413574</v>
      </c>
      <c r="I36" s="8" t="s">
        <v>33</v>
      </c>
      <c r="J36" s="8" t="s">
        <v>34</v>
      </c>
      <c r="K36" s="8" t="str">
        <f t="shared" si="0"/>
        <v/>
      </c>
      <c r="L36" s="8" t="str">
        <f t="shared" si="2"/>
        <v>10 10.1 4a</v>
      </c>
      <c r="M36" s="8" t="str">
        <f>CONCATENATE("GTTDNC48H24B398Y")</f>
        <v>GTTDNC48H24B398Y</v>
      </c>
      <c r="N36" s="8" t="s">
        <v>106</v>
      </c>
      <c r="O36" s="8" t="s">
        <v>36</v>
      </c>
      <c r="P36" s="8" t="s">
        <v>62</v>
      </c>
      <c r="Q36" s="9">
        <v>45461</v>
      </c>
      <c r="R36" s="8" t="s">
        <v>38</v>
      </c>
      <c r="S36" s="8" t="s">
        <v>39</v>
      </c>
      <c r="T36" s="8" t="s">
        <v>40</v>
      </c>
      <c r="U36" s="8"/>
      <c r="V36" s="8" t="s">
        <v>41</v>
      </c>
      <c r="W36" s="10">
        <v>1984.2</v>
      </c>
      <c r="X36" s="8">
        <v>855.59</v>
      </c>
      <c r="Y36" s="8">
        <v>790.11</v>
      </c>
      <c r="Z36" s="8">
        <v>338.5</v>
      </c>
      <c r="AA36" s="8">
        <v>0</v>
      </c>
    </row>
    <row r="37" spans="1:27" ht="25.5" x14ac:dyDescent="0.35">
      <c r="A37" s="8" t="s">
        <v>28</v>
      </c>
      <c r="B37" s="8" t="s">
        <v>59</v>
      </c>
      <c r="C37" s="8" t="s">
        <v>30</v>
      </c>
      <c r="D37" s="8" t="s">
        <v>31</v>
      </c>
      <c r="E37" s="8" t="s">
        <v>45</v>
      </c>
      <c r="F37" s="8" t="s">
        <v>60</v>
      </c>
      <c r="G37" s="8">
        <v>2023</v>
      </c>
      <c r="H37" s="8" t="str">
        <f>CONCATENATE("34240358456")</f>
        <v>34240358456</v>
      </c>
      <c r="I37" s="8" t="s">
        <v>33</v>
      </c>
      <c r="J37" s="8" t="s">
        <v>34</v>
      </c>
      <c r="K37" s="8" t="str">
        <f t="shared" si="0"/>
        <v/>
      </c>
      <c r="L37" s="8" t="str">
        <f t="shared" si="2"/>
        <v>10 10.1 4a</v>
      </c>
      <c r="M37" s="8" t="str">
        <f>CONCATENATE("02070830431")</f>
        <v>02070830431</v>
      </c>
      <c r="N37" s="8" t="s">
        <v>107</v>
      </c>
      <c r="O37" s="8" t="s">
        <v>36</v>
      </c>
      <c r="P37" s="8" t="s">
        <v>62</v>
      </c>
      <c r="Q37" s="9">
        <v>45461</v>
      </c>
      <c r="R37" s="8" t="s">
        <v>38</v>
      </c>
      <c r="S37" s="8" t="s">
        <v>39</v>
      </c>
      <c r="T37" s="8" t="s">
        <v>40</v>
      </c>
      <c r="U37" s="8"/>
      <c r="V37" s="8" t="s">
        <v>41</v>
      </c>
      <c r="W37" s="8">
        <v>961.16</v>
      </c>
      <c r="X37" s="8">
        <v>414.45</v>
      </c>
      <c r="Y37" s="8">
        <v>382.73</v>
      </c>
      <c r="Z37" s="8">
        <v>163.98</v>
      </c>
      <c r="AA37" s="8">
        <v>0</v>
      </c>
    </row>
    <row r="38" spans="1:27" ht="41.5" x14ac:dyDescent="0.35">
      <c r="A38" s="8" t="s">
        <v>28</v>
      </c>
      <c r="B38" s="8" t="s">
        <v>59</v>
      </c>
      <c r="C38" s="8" t="s">
        <v>30</v>
      </c>
      <c r="D38" s="8" t="s">
        <v>31</v>
      </c>
      <c r="E38" s="8" t="s">
        <v>63</v>
      </c>
      <c r="F38" s="8" t="s">
        <v>81</v>
      </c>
      <c r="G38" s="8">
        <v>2023</v>
      </c>
      <c r="H38" s="8" t="str">
        <f>CONCATENATE("34240474527")</f>
        <v>34240474527</v>
      </c>
      <c r="I38" s="8" t="s">
        <v>51</v>
      </c>
      <c r="J38" s="8" t="s">
        <v>34</v>
      </c>
      <c r="K38" s="8" t="str">
        <f t="shared" si="0"/>
        <v/>
      </c>
      <c r="L38" s="8" t="str">
        <f t="shared" si="2"/>
        <v>10 10.1 4a</v>
      </c>
      <c r="M38" s="8" t="str">
        <f>CONCATENATE("MSCMRA53L25I156U")</f>
        <v>MSCMRA53L25I156U</v>
      </c>
      <c r="N38" s="8" t="s">
        <v>108</v>
      </c>
      <c r="O38" s="8" t="s">
        <v>36</v>
      </c>
      <c r="P38" s="8" t="s">
        <v>62</v>
      </c>
      <c r="Q38" s="9">
        <v>45461</v>
      </c>
      <c r="R38" s="8" t="s">
        <v>38</v>
      </c>
      <c r="S38" s="8" t="s">
        <v>39</v>
      </c>
      <c r="T38" s="8" t="s">
        <v>40</v>
      </c>
      <c r="U38" s="8"/>
      <c r="V38" s="8" t="s">
        <v>41</v>
      </c>
      <c r="W38" s="8">
        <v>49.85</v>
      </c>
      <c r="X38" s="8">
        <v>21.5</v>
      </c>
      <c r="Y38" s="8">
        <v>19.850000000000001</v>
      </c>
      <c r="Z38" s="8">
        <v>8.5</v>
      </c>
      <c r="AA38" s="8">
        <v>0</v>
      </c>
    </row>
    <row r="39" spans="1:27" ht="49.5" x14ac:dyDescent="0.35">
      <c r="A39" s="8" t="s">
        <v>28</v>
      </c>
      <c r="B39" s="8" t="s">
        <v>59</v>
      </c>
      <c r="C39" s="8" t="s">
        <v>30</v>
      </c>
      <c r="D39" s="8" t="s">
        <v>31</v>
      </c>
      <c r="E39" s="8" t="s">
        <v>45</v>
      </c>
      <c r="F39" s="8" t="s">
        <v>60</v>
      </c>
      <c r="G39" s="8">
        <v>2023</v>
      </c>
      <c r="H39" s="8" t="str">
        <f>CONCATENATE("34240057421")</f>
        <v>34240057421</v>
      </c>
      <c r="I39" s="8" t="s">
        <v>51</v>
      </c>
      <c r="J39" s="8" t="s">
        <v>34</v>
      </c>
      <c r="K39" s="8" t="str">
        <f t="shared" si="0"/>
        <v/>
      </c>
      <c r="L39" s="8" t="str">
        <f t="shared" si="2"/>
        <v>10 10.1 4a</v>
      </c>
      <c r="M39" s="8" t="str">
        <f>CONCATENATE("CLOGNN66R25B474G")</f>
        <v>CLOGNN66R25B474G</v>
      </c>
      <c r="N39" s="8" t="s">
        <v>109</v>
      </c>
      <c r="O39" s="8" t="s">
        <v>36</v>
      </c>
      <c r="P39" s="8" t="s">
        <v>62</v>
      </c>
      <c r="Q39" s="9">
        <v>45461</v>
      </c>
      <c r="R39" s="8" t="s">
        <v>38</v>
      </c>
      <c r="S39" s="8" t="s">
        <v>39</v>
      </c>
      <c r="T39" s="8" t="s">
        <v>40</v>
      </c>
      <c r="U39" s="8"/>
      <c r="V39" s="8" t="s">
        <v>41</v>
      </c>
      <c r="W39" s="8">
        <v>109.33</v>
      </c>
      <c r="X39" s="8">
        <v>47.14</v>
      </c>
      <c r="Y39" s="8">
        <v>43.54</v>
      </c>
      <c r="Z39" s="8">
        <v>18.649999999999999</v>
      </c>
      <c r="AA39" s="8">
        <v>0</v>
      </c>
    </row>
    <row r="40" spans="1:27" ht="25.5" x14ac:dyDescent="0.35">
      <c r="A40" s="8" t="s">
        <v>28</v>
      </c>
      <c r="B40" s="8" t="s">
        <v>59</v>
      </c>
      <c r="C40" s="8" t="s">
        <v>30</v>
      </c>
      <c r="D40" s="8" t="s">
        <v>31</v>
      </c>
      <c r="E40" s="8" t="s">
        <v>45</v>
      </c>
      <c r="F40" s="8" t="s">
        <v>54</v>
      </c>
      <c r="G40" s="8">
        <v>2023</v>
      </c>
      <c r="H40" s="8" t="str">
        <f>CONCATENATE("34240245414")</f>
        <v>34240245414</v>
      </c>
      <c r="I40" s="8" t="s">
        <v>51</v>
      </c>
      <c r="J40" s="8" t="s">
        <v>34</v>
      </c>
      <c r="K40" s="8" t="str">
        <f t="shared" si="0"/>
        <v/>
      </c>
      <c r="L40" s="8" t="str">
        <f t="shared" si="2"/>
        <v>10 10.1 4a</v>
      </c>
      <c r="M40" s="8" t="str">
        <f>CONCATENATE("01917330431")</f>
        <v>01917330431</v>
      </c>
      <c r="N40" s="8" t="s">
        <v>110</v>
      </c>
      <c r="O40" s="8" t="s">
        <v>36</v>
      </c>
      <c r="P40" s="8" t="s">
        <v>62</v>
      </c>
      <c r="Q40" s="9">
        <v>45461</v>
      </c>
      <c r="R40" s="8" t="s">
        <v>38</v>
      </c>
      <c r="S40" s="8" t="s">
        <v>39</v>
      </c>
      <c r="T40" s="8" t="s">
        <v>40</v>
      </c>
      <c r="U40" s="8"/>
      <c r="V40" s="8" t="s">
        <v>41</v>
      </c>
      <c r="W40" s="10">
        <v>6254.43</v>
      </c>
      <c r="X40" s="10">
        <v>2696.91</v>
      </c>
      <c r="Y40" s="10">
        <v>2490.5100000000002</v>
      </c>
      <c r="Z40" s="10">
        <v>1067.01</v>
      </c>
      <c r="AA40" s="8">
        <v>0</v>
      </c>
    </row>
    <row r="41" spans="1:27" ht="41.5" x14ac:dyDescent="0.35">
      <c r="A41" s="8" t="s">
        <v>28</v>
      </c>
      <c r="B41" s="8" t="s">
        <v>59</v>
      </c>
      <c r="C41" s="8" t="s">
        <v>30</v>
      </c>
      <c r="D41" s="8" t="s">
        <v>42</v>
      </c>
      <c r="E41" s="8" t="s">
        <v>45</v>
      </c>
      <c r="F41" s="8" t="s">
        <v>111</v>
      </c>
      <c r="G41" s="8">
        <v>2023</v>
      </c>
      <c r="H41" s="8" t="str">
        <f>CONCATENATE("34240435650")</f>
        <v>34240435650</v>
      </c>
      <c r="I41" s="8" t="s">
        <v>33</v>
      </c>
      <c r="J41" s="8" t="s">
        <v>34</v>
      </c>
      <c r="K41" s="8" t="str">
        <f>CONCATENATE("")</f>
        <v/>
      </c>
      <c r="L41" s="8" t="str">
        <f>CONCATENATE("14 14.1 3a")</f>
        <v>14 14.1 3a</v>
      </c>
      <c r="M41" s="8" t="str">
        <f>CONCATENATE("GRRMSM69C15F135K")</f>
        <v>GRRMSM69C15F135K</v>
      </c>
      <c r="N41" s="8" t="s">
        <v>112</v>
      </c>
      <c r="O41" s="8" t="s">
        <v>36</v>
      </c>
      <c r="P41" s="8" t="s">
        <v>113</v>
      </c>
      <c r="Q41" s="9">
        <v>45461</v>
      </c>
      <c r="R41" s="8" t="s">
        <v>38</v>
      </c>
      <c r="S41" s="8" t="s">
        <v>39</v>
      </c>
      <c r="T41" s="8" t="s">
        <v>40</v>
      </c>
      <c r="U41" s="8"/>
      <c r="V41" s="8" t="s">
        <v>41</v>
      </c>
      <c r="W41" s="10">
        <v>1000</v>
      </c>
      <c r="X41" s="8">
        <v>431.2</v>
      </c>
      <c r="Y41" s="8">
        <v>398.2</v>
      </c>
      <c r="Z41" s="8">
        <v>170.6</v>
      </c>
      <c r="AA41" s="8">
        <v>0</v>
      </c>
    </row>
    <row r="42" spans="1:27" ht="25.5" x14ac:dyDescent="0.35">
      <c r="A42" s="8" t="s">
        <v>28</v>
      </c>
      <c r="B42" s="8" t="s">
        <v>29</v>
      </c>
      <c r="C42" s="8" t="s">
        <v>30</v>
      </c>
      <c r="D42" s="8" t="s">
        <v>44</v>
      </c>
      <c r="E42" s="8" t="s">
        <v>32</v>
      </c>
      <c r="F42" s="8" t="s">
        <v>32</v>
      </c>
      <c r="G42" s="8">
        <v>2017</v>
      </c>
      <c r="H42" s="8" t="str">
        <f>CONCATENATE("44270108473")</f>
        <v>44270108473</v>
      </c>
      <c r="I42" s="8" t="s">
        <v>33</v>
      </c>
      <c r="J42" s="8" t="s">
        <v>34</v>
      </c>
      <c r="K42" s="8" t="str">
        <f t="shared" ref="K42:K105" si="3">CONCATENATE("")</f>
        <v/>
      </c>
      <c r="L42" s="8" t="str">
        <f>CONCATENATE("4 4.1 2a")</f>
        <v>4 4.1 2a</v>
      </c>
      <c r="M42" s="8" t="str">
        <f>CONCATENATE("01517310445")</f>
        <v>01517310445</v>
      </c>
      <c r="N42" s="8" t="s">
        <v>114</v>
      </c>
      <c r="O42" s="8" t="s">
        <v>36</v>
      </c>
      <c r="P42" s="8" t="s">
        <v>115</v>
      </c>
      <c r="Q42" s="9">
        <v>45462</v>
      </c>
      <c r="R42" s="8" t="s">
        <v>38</v>
      </c>
      <c r="S42" s="8" t="s">
        <v>50</v>
      </c>
      <c r="T42" s="8" t="s">
        <v>40</v>
      </c>
      <c r="U42" s="8"/>
      <c r="V42" s="8" t="s">
        <v>41</v>
      </c>
      <c r="W42" s="10">
        <v>93350</v>
      </c>
      <c r="X42" s="10">
        <v>40252.519999999997</v>
      </c>
      <c r="Y42" s="10">
        <v>37171.97</v>
      </c>
      <c r="Z42" s="10">
        <v>15925.51</v>
      </c>
      <c r="AA42" s="8">
        <v>0</v>
      </c>
    </row>
    <row r="43" spans="1:27" ht="41.5" x14ac:dyDescent="0.35">
      <c r="A43" s="8" t="s">
        <v>28</v>
      </c>
      <c r="B43" s="8" t="s">
        <v>29</v>
      </c>
      <c r="C43" s="8" t="s">
        <v>30</v>
      </c>
      <c r="D43" s="8" t="s">
        <v>44</v>
      </c>
      <c r="E43" s="8" t="s">
        <v>45</v>
      </c>
      <c r="F43" s="8" t="s">
        <v>116</v>
      </c>
      <c r="G43" s="8">
        <v>2017</v>
      </c>
      <c r="H43" s="8" t="str">
        <f>CONCATENATE("44270108606")</f>
        <v>44270108606</v>
      </c>
      <c r="I43" s="8" t="s">
        <v>33</v>
      </c>
      <c r="J43" s="8" t="s">
        <v>34</v>
      </c>
      <c r="K43" s="8" t="str">
        <f t="shared" si="3"/>
        <v/>
      </c>
      <c r="L43" s="8" t="str">
        <f>CONCATENATE("4 4.1 2a")</f>
        <v>4 4.1 2a</v>
      </c>
      <c r="M43" s="8" t="str">
        <f>CONCATENATE("MRSNDR92L04D542P")</f>
        <v>MRSNDR92L04D542P</v>
      </c>
      <c r="N43" s="8" t="s">
        <v>117</v>
      </c>
      <c r="O43" s="8" t="s">
        <v>36</v>
      </c>
      <c r="P43" s="8" t="s">
        <v>118</v>
      </c>
      <c r="Q43" s="9">
        <v>45462</v>
      </c>
      <c r="R43" s="8" t="s">
        <v>38</v>
      </c>
      <c r="S43" s="8" t="s">
        <v>119</v>
      </c>
      <c r="T43" s="8" t="s">
        <v>40</v>
      </c>
      <c r="U43" s="8"/>
      <c r="V43" s="8" t="s">
        <v>41</v>
      </c>
      <c r="W43" s="10">
        <v>24073.69</v>
      </c>
      <c r="X43" s="10">
        <v>10380.58</v>
      </c>
      <c r="Y43" s="10">
        <v>9586.14</v>
      </c>
      <c r="Z43" s="10">
        <v>4106.97</v>
      </c>
      <c r="AA43" s="8">
        <v>0</v>
      </c>
    </row>
    <row r="44" spans="1:27" ht="41.5" x14ac:dyDescent="0.35">
      <c r="A44" s="8" t="s">
        <v>28</v>
      </c>
      <c r="B44" s="8" t="s">
        <v>29</v>
      </c>
      <c r="C44" s="8" t="s">
        <v>30</v>
      </c>
      <c r="D44" s="8" t="s">
        <v>44</v>
      </c>
      <c r="E44" s="8" t="s">
        <v>45</v>
      </c>
      <c r="F44" s="8" t="s">
        <v>116</v>
      </c>
      <c r="G44" s="8">
        <v>2017</v>
      </c>
      <c r="H44" s="8" t="str">
        <f>CONCATENATE("44270108580")</f>
        <v>44270108580</v>
      </c>
      <c r="I44" s="8" t="s">
        <v>33</v>
      </c>
      <c r="J44" s="8" t="s">
        <v>34</v>
      </c>
      <c r="K44" s="8" t="str">
        <f t="shared" si="3"/>
        <v/>
      </c>
      <c r="L44" s="8" t="str">
        <f>CONCATENATE("6 6.4 2a")</f>
        <v>6 6.4 2a</v>
      </c>
      <c r="M44" s="8" t="str">
        <f>CONCATENATE("MRSNDR92L04D542P")</f>
        <v>MRSNDR92L04D542P</v>
      </c>
      <c r="N44" s="8" t="s">
        <v>117</v>
      </c>
      <c r="O44" s="8" t="s">
        <v>36</v>
      </c>
      <c r="P44" s="8" t="s">
        <v>120</v>
      </c>
      <c r="Q44" s="9">
        <v>45462</v>
      </c>
      <c r="R44" s="8" t="s">
        <v>38</v>
      </c>
      <c r="S44" s="8" t="s">
        <v>119</v>
      </c>
      <c r="T44" s="8" t="s">
        <v>40</v>
      </c>
      <c r="U44" s="8"/>
      <c r="V44" s="8" t="s">
        <v>41</v>
      </c>
      <c r="W44" s="10">
        <v>49936.06</v>
      </c>
      <c r="X44" s="10">
        <v>21532.43</v>
      </c>
      <c r="Y44" s="10">
        <v>19884.54</v>
      </c>
      <c r="Z44" s="10">
        <v>8519.09</v>
      </c>
      <c r="AA44" s="8">
        <v>0</v>
      </c>
    </row>
    <row r="45" spans="1:27" ht="41.5" x14ac:dyDescent="0.35">
      <c r="A45" s="8" t="s">
        <v>28</v>
      </c>
      <c r="B45" s="8" t="s">
        <v>29</v>
      </c>
      <c r="C45" s="8" t="s">
        <v>30</v>
      </c>
      <c r="D45" s="8" t="s">
        <v>44</v>
      </c>
      <c r="E45" s="8" t="s">
        <v>74</v>
      </c>
      <c r="F45" s="8" t="s">
        <v>121</v>
      </c>
      <c r="G45" s="8">
        <v>2017</v>
      </c>
      <c r="H45" s="8" t="str">
        <f>CONCATENATE("44270101833")</f>
        <v>44270101833</v>
      </c>
      <c r="I45" s="8" t="s">
        <v>33</v>
      </c>
      <c r="J45" s="8" t="s">
        <v>34</v>
      </c>
      <c r="K45" s="8" t="str">
        <f t="shared" si="3"/>
        <v/>
      </c>
      <c r="L45" s="8" t="str">
        <f>CONCATENATE("4 4.4 4c")</f>
        <v>4 4.4 4c</v>
      </c>
      <c r="M45" s="8" t="str">
        <f>CONCATENATE("SNTGRL64T09A437R")</f>
        <v>SNTGRL64T09A437R</v>
      </c>
      <c r="N45" s="8" t="s">
        <v>122</v>
      </c>
      <c r="O45" s="8" t="s">
        <v>36</v>
      </c>
      <c r="P45" s="8" t="s">
        <v>123</v>
      </c>
      <c r="Q45" s="9">
        <v>45462</v>
      </c>
      <c r="R45" s="8" t="s">
        <v>38</v>
      </c>
      <c r="S45" s="8" t="s">
        <v>39</v>
      </c>
      <c r="T45" s="8" t="s">
        <v>40</v>
      </c>
      <c r="U45" s="8"/>
      <c r="V45" s="8" t="s">
        <v>41</v>
      </c>
      <c r="W45" s="10">
        <v>4356</v>
      </c>
      <c r="X45" s="10">
        <v>1878.31</v>
      </c>
      <c r="Y45" s="10">
        <v>1734.56</v>
      </c>
      <c r="Z45" s="8">
        <v>743.13</v>
      </c>
      <c r="AA45" s="8">
        <v>0</v>
      </c>
    </row>
    <row r="46" spans="1:27" ht="41.5" x14ac:dyDescent="0.35">
      <c r="A46" s="8" t="s">
        <v>28</v>
      </c>
      <c r="B46" s="8" t="s">
        <v>59</v>
      </c>
      <c r="C46" s="8" t="s">
        <v>30</v>
      </c>
      <c r="D46" s="8" t="s">
        <v>31</v>
      </c>
      <c r="E46" s="8" t="s">
        <v>63</v>
      </c>
      <c r="F46" s="8" t="s">
        <v>81</v>
      </c>
      <c r="G46" s="8">
        <v>2023</v>
      </c>
      <c r="H46" s="8" t="str">
        <f>CONCATENATE("34240285956")</f>
        <v>34240285956</v>
      </c>
      <c r="I46" s="8" t="s">
        <v>51</v>
      </c>
      <c r="J46" s="8" t="s">
        <v>34</v>
      </c>
      <c r="K46" s="8" t="str">
        <f t="shared" si="3"/>
        <v/>
      </c>
      <c r="L46" s="8" t="str">
        <f>CONCATENATE("11 11.2 4b")</f>
        <v>11 11.2 4b</v>
      </c>
      <c r="M46" s="8" t="str">
        <f>CONCATENATE("PNTGRL69A06I156T")</f>
        <v>PNTGRL69A06I156T</v>
      </c>
      <c r="N46" s="8" t="s">
        <v>124</v>
      </c>
      <c r="O46" s="8" t="s">
        <v>36</v>
      </c>
      <c r="P46" s="8" t="s">
        <v>125</v>
      </c>
      <c r="Q46" s="9">
        <v>45461</v>
      </c>
      <c r="R46" s="8" t="s">
        <v>38</v>
      </c>
      <c r="S46" s="8" t="s">
        <v>39</v>
      </c>
      <c r="T46" s="8" t="s">
        <v>40</v>
      </c>
      <c r="U46" s="8"/>
      <c r="V46" s="8" t="s">
        <v>41</v>
      </c>
      <c r="W46" s="10">
        <v>10661.84</v>
      </c>
      <c r="X46" s="10">
        <v>4597.3900000000003</v>
      </c>
      <c r="Y46" s="10">
        <v>4245.54</v>
      </c>
      <c r="Z46" s="10">
        <v>1818.91</v>
      </c>
      <c r="AA46" s="8">
        <v>0</v>
      </c>
    </row>
    <row r="47" spans="1:27" ht="25.5" x14ac:dyDescent="0.35">
      <c r="A47" s="8" t="s">
        <v>28</v>
      </c>
      <c r="B47" s="8" t="s">
        <v>59</v>
      </c>
      <c r="C47" s="8" t="s">
        <v>30</v>
      </c>
      <c r="D47" s="8" t="s">
        <v>31</v>
      </c>
      <c r="E47" s="8" t="s">
        <v>63</v>
      </c>
      <c r="F47" s="8" t="s">
        <v>81</v>
      </c>
      <c r="G47" s="8">
        <v>2023</v>
      </c>
      <c r="H47" s="8" t="str">
        <f>CONCATENATE("34240474105")</f>
        <v>34240474105</v>
      </c>
      <c r="I47" s="8" t="s">
        <v>51</v>
      </c>
      <c r="J47" s="8" t="s">
        <v>34</v>
      </c>
      <c r="K47" s="8" t="str">
        <f t="shared" si="3"/>
        <v/>
      </c>
      <c r="L47" s="8" t="str">
        <f>CONCATENATE("11 11.2 4b")</f>
        <v>11 11.2 4b</v>
      </c>
      <c r="M47" s="8" t="str">
        <f>CONCATENATE("01493390437")</f>
        <v>01493390437</v>
      </c>
      <c r="N47" s="8" t="s">
        <v>97</v>
      </c>
      <c r="O47" s="8" t="s">
        <v>36</v>
      </c>
      <c r="P47" s="8" t="s">
        <v>125</v>
      </c>
      <c r="Q47" s="9">
        <v>45461</v>
      </c>
      <c r="R47" s="8" t="s">
        <v>38</v>
      </c>
      <c r="S47" s="8" t="s">
        <v>39</v>
      </c>
      <c r="T47" s="8" t="s">
        <v>40</v>
      </c>
      <c r="U47" s="8"/>
      <c r="V47" s="8" t="s">
        <v>41</v>
      </c>
      <c r="W47" s="10">
        <v>2887.1</v>
      </c>
      <c r="X47" s="10">
        <v>1244.92</v>
      </c>
      <c r="Y47" s="10">
        <v>1149.6400000000001</v>
      </c>
      <c r="Z47" s="8">
        <v>492.54</v>
      </c>
      <c r="AA47" s="8">
        <v>0</v>
      </c>
    </row>
    <row r="48" spans="1:27" ht="25.5" x14ac:dyDescent="0.35">
      <c r="A48" s="8" t="s">
        <v>28</v>
      </c>
      <c r="B48" s="8" t="s">
        <v>59</v>
      </c>
      <c r="C48" s="8" t="s">
        <v>30</v>
      </c>
      <c r="D48" s="8" t="s">
        <v>31</v>
      </c>
      <c r="E48" s="8" t="s">
        <v>63</v>
      </c>
      <c r="F48" s="8" t="s">
        <v>103</v>
      </c>
      <c r="G48" s="8">
        <v>2023</v>
      </c>
      <c r="H48" s="8" t="str">
        <f>CONCATENATE("34240630532")</f>
        <v>34240630532</v>
      </c>
      <c r="I48" s="8" t="s">
        <v>51</v>
      </c>
      <c r="J48" s="8" t="s">
        <v>34</v>
      </c>
      <c r="K48" s="8" t="str">
        <f t="shared" si="3"/>
        <v/>
      </c>
      <c r="L48" s="8" t="str">
        <f>CONCATENATE("11 11.2 4b")</f>
        <v>11 11.2 4b</v>
      </c>
      <c r="M48" s="8" t="str">
        <f>CONCATENATE("01822020432")</f>
        <v>01822020432</v>
      </c>
      <c r="N48" s="8" t="s">
        <v>104</v>
      </c>
      <c r="O48" s="8" t="s">
        <v>36</v>
      </c>
      <c r="P48" s="8" t="s">
        <v>125</v>
      </c>
      <c r="Q48" s="9">
        <v>45461</v>
      </c>
      <c r="R48" s="8" t="s">
        <v>38</v>
      </c>
      <c r="S48" s="8" t="s">
        <v>39</v>
      </c>
      <c r="T48" s="8" t="s">
        <v>40</v>
      </c>
      <c r="U48" s="8"/>
      <c r="V48" s="8" t="s">
        <v>41</v>
      </c>
      <c r="W48" s="10">
        <v>3547.88</v>
      </c>
      <c r="X48" s="10">
        <v>1529.85</v>
      </c>
      <c r="Y48" s="10">
        <v>1412.77</v>
      </c>
      <c r="Z48" s="8">
        <v>605.26</v>
      </c>
      <c r="AA48" s="8">
        <v>0</v>
      </c>
    </row>
    <row r="49" spans="1:27" ht="49.5" x14ac:dyDescent="0.35">
      <c r="A49" s="8" t="s">
        <v>28</v>
      </c>
      <c r="B49" s="8" t="s">
        <v>59</v>
      </c>
      <c r="C49" s="8" t="s">
        <v>30</v>
      </c>
      <c r="D49" s="8" t="s">
        <v>31</v>
      </c>
      <c r="E49" s="8" t="s">
        <v>45</v>
      </c>
      <c r="F49" s="8" t="s">
        <v>60</v>
      </c>
      <c r="G49" s="8">
        <v>2023</v>
      </c>
      <c r="H49" s="8" t="str">
        <f>CONCATENATE("34240646546")</f>
        <v>34240646546</v>
      </c>
      <c r="I49" s="8" t="s">
        <v>51</v>
      </c>
      <c r="J49" s="8" t="s">
        <v>34</v>
      </c>
      <c r="K49" s="8" t="str">
        <f t="shared" si="3"/>
        <v/>
      </c>
      <c r="L49" s="8" t="str">
        <f>CONCATENATE("11 11.2 4b")</f>
        <v>11 11.2 4b</v>
      </c>
      <c r="M49" s="8" t="str">
        <f>CONCATENATE("CLOGNN66R25B474G")</f>
        <v>CLOGNN66R25B474G</v>
      </c>
      <c r="N49" s="8" t="s">
        <v>109</v>
      </c>
      <c r="O49" s="8" t="s">
        <v>36</v>
      </c>
      <c r="P49" s="8" t="s">
        <v>125</v>
      </c>
      <c r="Q49" s="9">
        <v>45461</v>
      </c>
      <c r="R49" s="8" t="s">
        <v>38</v>
      </c>
      <c r="S49" s="8" t="s">
        <v>39</v>
      </c>
      <c r="T49" s="8" t="s">
        <v>40</v>
      </c>
      <c r="U49" s="8"/>
      <c r="V49" s="8" t="s">
        <v>41</v>
      </c>
      <c r="W49" s="10">
        <v>1001.72</v>
      </c>
      <c r="X49" s="8">
        <v>431.94</v>
      </c>
      <c r="Y49" s="8">
        <v>398.88</v>
      </c>
      <c r="Z49" s="8">
        <v>170.9</v>
      </c>
      <c r="AA49" s="8">
        <v>0</v>
      </c>
    </row>
    <row r="50" spans="1:27" ht="49.5" x14ac:dyDescent="0.35">
      <c r="A50" s="8" t="s">
        <v>28</v>
      </c>
      <c r="B50" s="8" t="s">
        <v>29</v>
      </c>
      <c r="C50" s="8" t="s">
        <v>30</v>
      </c>
      <c r="D50" s="8" t="s">
        <v>44</v>
      </c>
      <c r="E50" s="8" t="s">
        <v>45</v>
      </c>
      <c r="F50" s="8" t="s">
        <v>46</v>
      </c>
      <c r="G50" s="8">
        <v>2017</v>
      </c>
      <c r="H50" s="8" t="str">
        <f>CONCATENATE("44270108820")</f>
        <v>44270108820</v>
      </c>
      <c r="I50" s="8" t="s">
        <v>33</v>
      </c>
      <c r="J50" s="8" t="s">
        <v>34</v>
      </c>
      <c r="K50" s="8" t="str">
        <f t="shared" si="3"/>
        <v/>
      </c>
      <c r="L50" s="8" t="str">
        <f>CONCATENATE("4 4.1 2a")</f>
        <v>4 4.1 2a</v>
      </c>
      <c r="M50" s="8" t="str">
        <f>CONCATENATE("RSSMDE85D16H769D")</f>
        <v>RSSMDE85D16H769D</v>
      </c>
      <c r="N50" s="8" t="s">
        <v>57</v>
      </c>
      <c r="O50" s="8" t="s">
        <v>36</v>
      </c>
      <c r="P50" s="8" t="s">
        <v>126</v>
      </c>
      <c r="Q50" s="9">
        <v>45462</v>
      </c>
      <c r="R50" s="8" t="s">
        <v>38</v>
      </c>
      <c r="S50" s="8" t="s">
        <v>39</v>
      </c>
      <c r="T50" s="8" t="s">
        <v>40</v>
      </c>
      <c r="U50" s="8"/>
      <c r="V50" s="8" t="s">
        <v>41</v>
      </c>
      <c r="W50" s="10">
        <v>47309.2</v>
      </c>
      <c r="X50" s="10">
        <v>20399.73</v>
      </c>
      <c r="Y50" s="10">
        <v>18838.52</v>
      </c>
      <c r="Z50" s="10">
        <v>8070.95</v>
      </c>
      <c r="AA50" s="8">
        <v>0</v>
      </c>
    </row>
    <row r="51" spans="1:27" ht="25.5" x14ac:dyDescent="0.35">
      <c r="A51" s="8" t="s">
        <v>28</v>
      </c>
      <c r="B51" s="8" t="s">
        <v>59</v>
      </c>
      <c r="C51" s="8" t="s">
        <v>30</v>
      </c>
      <c r="D51" s="8" t="s">
        <v>31</v>
      </c>
      <c r="E51" s="8" t="s">
        <v>45</v>
      </c>
      <c r="F51" s="8" t="s">
        <v>54</v>
      </c>
      <c r="G51" s="8">
        <v>2023</v>
      </c>
      <c r="H51" s="8" t="str">
        <f>CONCATENATE("34240445378")</f>
        <v>34240445378</v>
      </c>
      <c r="I51" s="8" t="s">
        <v>33</v>
      </c>
      <c r="J51" s="8" t="s">
        <v>34</v>
      </c>
      <c r="K51" s="8" t="str">
        <f t="shared" si="3"/>
        <v/>
      </c>
      <c r="L51" s="8" t="str">
        <f>CONCATENATE("14 14.1 3a")</f>
        <v>14 14.1 3a</v>
      </c>
      <c r="M51" s="8" t="str">
        <f>CONCATENATE("01015260431")</f>
        <v>01015260431</v>
      </c>
      <c r="N51" s="8" t="s">
        <v>127</v>
      </c>
      <c r="O51" s="8" t="s">
        <v>36</v>
      </c>
      <c r="P51" s="8" t="s">
        <v>113</v>
      </c>
      <c r="Q51" s="9">
        <v>45461</v>
      </c>
      <c r="R51" s="8" t="s">
        <v>38</v>
      </c>
      <c r="S51" s="8" t="s">
        <v>39</v>
      </c>
      <c r="T51" s="8" t="s">
        <v>40</v>
      </c>
      <c r="U51" s="8"/>
      <c r="V51" s="8" t="s">
        <v>41</v>
      </c>
      <c r="W51" s="10">
        <v>29859.51</v>
      </c>
      <c r="X51" s="10">
        <v>12875.42</v>
      </c>
      <c r="Y51" s="10">
        <v>11890.06</v>
      </c>
      <c r="Z51" s="10">
        <v>5094.03</v>
      </c>
      <c r="AA51" s="8">
        <v>0</v>
      </c>
    </row>
    <row r="52" spans="1:27" ht="49.5" x14ac:dyDescent="0.35">
      <c r="A52" s="8" t="s">
        <v>28</v>
      </c>
      <c r="B52" s="8" t="s">
        <v>59</v>
      </c>
      <c r="C52" s="8" t="s">
        <v>30</v>
      </c>
      <c r="D52" s="8" t="s">
        <v>44</v>
      </c>
      <c r="E52" s="8" t="s">
        <v>45</v>
      </c>
      <c r="F52" s="8" t="s">
        <v>116</v>
      </c>
      <c r="G52" s="8">
        <v>2023</v>
      </c>
      <c r="H52" s="8" t="str">
        <f>CONCATENATE("34240625128")</f>
        <v>34240625128</v>
      </c>
      <c r="I52" s="8" t="s">
        <v>33</v>
      </c>
      <c r="J52" s="8" t="s">
        <v>34</v>
      </c>
      <c r="K52" s="8" t="str">
        <f t="shared" si="3"/>
        <v/>
      </c>
      <c r="L52" s="8" t="str">
        <f>CONCATENATE("14 14.1 3a")</f>
        <v>14 14.1 3a</v>
      </c>
      <c r="M52" s="8" t="str">
        <f>CONCATENATE("CNCNDR86R12H769U")</f>
        <v>CNCNDR86R12H769U</v>
      </c>
      <c r="N52" s="8" t="s">
        <v>128</v>
      </c>
      <c r="O52" s="8" t="s">
        <v>36</v>
      </c>
      <c r="P52" s="8" t="s">
        <v>113</v>
      </c>
      <c r="Q52" s="9">
        <v>45461</v>
      </c>
      <c r="R52" s="8" t="s">
        <v>38</v>
      </c>
      <c r="S52" s="8" t="s">
        <v>39</v>
      </c>
      <c r="T52" s="8" t="s">
        <v>40</v>
      </c>
      <c r="U52" s="8"/>
      <c r="V52" s="8" t="s">
        <v>41</v>
      </c>
      <c r="W52" s="10">
        <v>7800</v>
      </c>
      <c r="X52" s="10">
        <v>3363.36</v>
      </c>
      <c r="Y52" s="10">
        <v>3105.96</v>
      </c>
      <c r="Z52" s="10">
        <v>1330.68</v>
      </c>
      <c r="AA52" s="8">
        <v>0</v>
      </c>
    </row>
    <row r="53" spans="1:27" ht="41.5" x14ac:dyDescent="0.35">
      <c r="A53" s="8" t="s">
        <v>28</v>
      </c>
      <c r="B53" s="8" t="s">
        <v>59</v>
      </c>
      <c r="C53" s="8" t="s">
        <v>30</v>
      </c>
      <c r="D53" s="8" t="s">
        <v>44</v>
      </c>
      <c r="E53" s="8" t="s">
        <v>74</v>
      </c>
      <c r="F53" s="8" t="s">
        <v>121</v>
      </c>
      <c r="G53" s="8">
        <v>2023</v>
      </c>
      <c r="H53" s="8" t="str">
        <f>CONCATENATE("34240532134")</f>
        <v>34240532134</v>
      </c>
      <c r="I53" s="8" t="s">
        <v>33</v>
      </c>
      <c r="J53" s="8" t="s">
        <v>34</v>
      </c>
      <c r="K53" s="8" t="str">
        <f t="shared" si="3"/>
        <v/>
      </c>
      <c r="L53" s="8" t="str">
        <f>CONCATENATE("14 14.1 3a")</f>
        <v>14 14.1 3a</v>
      </c>
      <c r="M53" s="8" t="str">
        <f>CONCATENATE("TRNVNT87P68A462D")</f>
        <v>TRNVNT87P68A462D</v>
      </c>
      <c r="N53" s="8" t="s">
        <v>129</v>
      </c>
      <c r="O53" s="8" t="s">
        <v>36</v>
      </c>
      <c r="P53" s="8" t="s">
        <v>130</v>
      </c>
      <c r="Q53" s="9">
        <v>45461</v>
      </c>
      <c r="R53" s="8" t="s">
        <v>38</v>
      </c>
      <c r="S53" s="8" t="s">
        <v>39</v>
      </c>
      <c r="T53" s="8" t="s">
        <v>40</v>
      </c>
      <c r="U53" s="8"/>
      <c r="V53" s="8" t="s">
        <v>41</v>
      </c>
      <c r="W53" s="10">
        <v>3578.34</v>
      </c>
      <c r="X53" s="10">
        <v>1542.98</v>
      </c>
      <c r="Y53" s="10">
        <v>1424.89</v>
      </c>
      <c r="Z53" s="8">
        <v>610.47</v>
      </c>
      <c r="AA53" s="8">
        <v>0</v>
      </c>
    </row>
    <row r="54" spans="1:27" ht="41.5" x14ac:dyDescent="0.35">
      <c r="A54" s="8" t="s">
        <v>28</v>
      </c>
      <c r="B54" s="8" t="s">
        <v>29</v>
      </c>
      <c r="C54" s="8" t="s">
        <v>30</v>
      </c>
      <c r="D54" s="8" t="s">
        <v>44</v>
      </c>
      <c r="E54" s="8" t="s">
        <v>74</v>
      </c>
      <c r="F54" s="8" t="s">
        <v>121</v>
      </c>
      <c r="G54" s="8">
        <v>2017</v>
      </c>
      <c r="H54" s="8" t="str">
        <f>CONCATENATE("44270101825")</f>
        <v>44270101825</v>
      </c>
      <c r="I54" s="8" t="s">
        <v>33</v>
      </c>
      <c r="J54" s="8" t="s">
        <v>34</v>
      </c>
      <c r="K54" s="8" t="str">
        <f t="shared" si="3"/>
        <v/>
      </c>
      <c r="L54" s="8" t="str">
        <f>CONCATENATE("4 4.4 4c")</f>
        <v>4 4.4 4c</v>
      </c>
      <c r="M54" s="8" t="str">
        <f>CONCATENATE("TRNVNT87P68A462D")</f>
        <v>TRNVNT87P68A462D</v>
      </c>
      <c r="N54" s="8" t="s">
        <v>129</v>
      </c>
      <c r="O54" s="8" t="s">
        <v>36</v>
      </c>
      <c r="P54" s="8" t="s">
        <v>123</v>
      </c>
      <c r="Q54" s="9">
        <v>45462</v>
      </c>
      <c r="R54" s="8" t="s">
        <v>38</v>
      </c>
      <c r="S54" s="8" t="s">
        <v>39</v>
      </c>
      <c r="T54" s="8" t="s">
        <v>40</v>
      </c>
      <c r="U54" s="8"/>
      <c r="V54" s="8" t="s">
        <v>41</v>
      </c>
      <c r="W54" s="10">
        <v>4158</v>
      </c>
      <c r="X54" s="10">
        <v>1792.93</v>
      </c>
      <c r="Y54" s="10">
        <v>1655.72</v>
      </c>
      <c r="Z54" s="8">
        <v>709.35</v>
      </c>
      <c r="AA54" s="8">
        <v>0</v>
      </c>
    </row>
    <row r="55" spans="1:27" ht="25.5" x14ac:dyDescent="0.35">
      <c r="A55" s="8" t="s">
        <v>28</v>
      </c>
      <c r="B55" s="8" t="s">
        <v>59</v>
      </c>
      <c r="C55" s="8" t="s">
        <v>30</v>
      </c>
      <c r="D55" s="8" t="s">
        <v>44</v>
      </c>
      <c r="E55" s="8" t="s">
        <v>45</v>
      </c>
      <c r="F55" s="8" t="s">
        <v>116</v>
      </c>
      <c r="G55" s="8">
        <v>2023</v>
      </c>
      <c r="H55" s="8" t="str">
        <f>CONCATENATE("34240623404")</f>
        <v>34240623404</v>
      </c>
      <c r="I55" s="8" t="s">
        <v>33</v>
      </c>
      <c r="J55" s="8" t="s">
        <v>34</v>
      </c>
      <c r="K55" s="8" t="str">
        <f t="shared" si="3"/>
        <v/>
      </c>
      <c r="L55" s="8" t="str">
        <f t="shared" ref="L55:L56" si="4">CONCATENATE("14 14.1 3a")</f>
        <v>14 14.1 3a</v>
      </c>
      <c r="M55" s="8" t="str">
        <f>CONCATENATE("01987450440")</f>
        <v>01987450440</v>
      </c>
      <c r="N55" s="8" t="s">
        <v>131</v>
      </c>
      <c r="O55" s="8" t="s">
        <v>36</v>
      </c>
      <c r="P55" s="8" t="s">
        <v>130</v>
      </c>
      <c r="Q55" s="9">
        <v>45461</v>
      </c>
      <c r="R55" s="8" t="s">
        <v>38</v>
      </c>
      <c r="S55" s="8" t="s">
        <v>39</v>
      </c>
      <c r="T55" s="8" t="s">
        <v>40</v>
      </c>
      <c r="U55" s="8"/>
      <c r="V55" s="8" t="s">
        <v>41</v>
      </c>
      <c r="W55" s="10">
        <v>1197</v>
      </c>
      <c r="X55" s="8">
        <v>516.15</v>
      </c>
      <c r="Y55" s="8">
        <v>476.65</v>
      </c>
      <c r="Z55" s="8">
        <v>204.2</v>
      </c>
      <c r="AA55" s="8">
        <v>0</v>
      </c>
    </row>
    <row r="56" spans="1:27" ht="41.5" x14ac:dyDescent="0.35">
      <c r="A56" s="8" t="s">
        <v>28</v>
      </c>
      <c r="B56" s="8" t="s">
        <v>59</v>
      </c>
      <c r="C56" s="8" t="s">
        <v>30</v>
      </c>
      <c r="D56" s="8" t="s">
        <v>44</v>
      </c>
      <c r="E56" s="8" t="s">
        <v>45</v>
      </c>
      <c r="F56" s="8" t="s">
        <v>116</v>
      </c>
      <c r="G56" s="8">
        <v>2023</v>
      </c>
      <c r="H56" s="8" t="str">
        <f>CONCATENATE("34240621945")</f>
        <v>34240621945</v>
      </c>
      <c r="I56" s="8" t="s">
        <v>33</v>
      </c>
      <c r="J56" s="8" t="s">
        <v>34</v>
      </c>
      <c r="K56" s="8" t="str">
        <f t="shared" si="3"/>
        <v/>
      </c>
      <c r="L56" s="8" t="str">
        <f t="shared" si="4"/>
        <v>14 14.1 3a</v>
      </c>
      <c r="M56" s="8" t="str">
        <f>CONCATENATE("PCNPRN53A11F664K")</f>
        <v>PCNPRN53A11F664K</v>
      </c>
      <c r="N56" s="8" t="s">
        <v>132</v>
      </c>
      <c r="O56" s="8" t="s">
        <v>36</v>
      </c>
      <c r="P56" s="8" t="s">
        <v>130</v>
      </c>
      <c r="Q56" s="9">
        <v>45461</v>
      </c>
      <c r="R56" s="8" t="s">
        <v>38</v>
      </c>
      <c r="S56" s="8" t="s">
        <v>39</v>
      </c>
      <c r="T56" s="8" t="s">
        <v>40</v>
      </c>
      <c r="U56" s="8"/>
      <c r="V56" s="8" t="s">
        <v>41</v>
      </c>
      <c r="W56" s="10">
        <v>5040</v>
      </c>
      <c r="X56" s="10">
        <v>2173.25</v>
      </c>
      <c r="Y56" s="10">
        <v>2006.93</v>
      </c>
      <c r="Z56" s="8">
        <v>859.82</v>
      </c>
      <c r="AA56" s="8">
        <v>0</v>
      </c>
    </row>
    <row r="57" spans="1:27" ht="41.5" x14ac:dyDescent="0.35">
      <c r="A57" s="8" t="s">
        <v>28</v>
      </c>
      <c r="B57" s="8" t="s">
        <v>29</v>
      </c>
      <c r="C57" s="8" t="s">
        <v>30</v>
      </c>
      <c r="D57" s="8" t="s">
        <v>31</v>
      </c>
      <c r="E57" s="8" t="s">
        <v>45</v>
      </c>
      <c r="F57" s="8" t="s">
        <v>133</v>
      </c>
      <c r="G57" s="8">
        <v>2017</v>
      </c>
      <c r="H57" s="8" t="str">
        <f>CONCATENATE("44270101783")</f>
        <v>44270101783</v>
      </c>
      <c r="I57" s="8" t="s">
        <v>33</v>
      </c>
      <c r="J57" s="8" t="s">
        <v>34</v>
      </c>
      <c r="K57" s="8" t="str">
        <f t="shared" si="3"/>
        <v/>
      </c>
      <c r="L57" s="8" t="str">
        <f>CONCATENATE("4 4.1 2a")</f>
        <v>4 4.1 2a</v>
      </c>
      <c r="M57" s="8" t="str">
        <f>CONCATENATE("LLNLCU85L04I156G")</f>
        <v>LLNLCU85L04I156G</v>
      </c>
      <c r="N57" s="8" t="s">
        <v>134</v>
      </c>
      <c r="O57" s="8" t="s">
        <v>36</v>
      </c>
      <c r="P57" s="8" t="s">
        <v>135</v>
      </c>
      <c r="Q57" s="9">
        <v>45462</v>
      </c>
      <c r="R57" s="8" t="s">
        <v>38</v>
      </c>
      <c r="S57" s="8" t="s">
        <v>50</v>
      </c>
      <c r="T57" s="8" t="s">
        <v>40</v>
      </c>
      <c r="U57" s="8"/>
      <c r="V57" s="8" t="s">
        <v>41</v>
      </c>
      <c r="W57" s="10">
        <v>99459.66</v>
      </c>
      <c r="X57" s="10">
        <v>42887.01</v>
      </c>
      <c r="Y57" s="10">
        <v>39604.839999999997</v>
      </c>
      <c r="Z57" s="10">
        <v>16967.810000000001</v>
      </c>
      <c r="AA57" s="8">
        <v>0</v>
      </c>
    </row>
    <row r="58" spans="1:27" ht="41.5" x14ac:dyDescent="0.35">
      <c r="A58" s="8" t="s">
        <v>28</v>
      </c>
      <c r="B58" s="8" t="s">
        <v>59</v>
      </c>
      <c r="C58" s="8" t="s">
        <v>30</v>
      </c>
      <c r="D58" s="8" t="s">
        <v>31</v>
      </c>
      <c r="E58" s="8" t="s">
        <v>45</v>
      </c>
      <c r="F58" s="8" t="s">
        <v>133</v>
      </c>
      <c r="G58" s="8">
        <v>2023</v>
      </c>
      <c r="H58" s="8" t="str">
        <f>CONCATENATE("34240098771")</f>
        <v>34240098771</v>
      </c>
      <c r="I58" s="8" t="s">
        <v>33</v>
      </c>
      <c r="J58" s="8" t="s">
        <v>34</v>
      </c>
      <c r="K58" s="8" t="str">
        <f t="shared" si="3"/>
        <v/>
      </c>
      <c r="L58" s="8" t="str">
        <f t="shared" ref="L58:L70" si="5">CONCATENATE("11 11.2 4b")</f>
        <v>11 11.2 4b</v>
      </c>
      <c r="M58" s="8" t="str">
        <f>CONCATENATE("LAILRA86C60A252Q")</f>
        <v>LAILRA86C60A252Q</v>
      </c>
      <c r="N58" s="8" t="s">
        <v>136</v>
      </c>
      <c r="O58" s="8" t="s">
        <v>36</v>
      </c>
      <c r="P58" s="8" t="s">
        <v>125</v>
      </c>
      <c r="Q58" s="9">
        <v>45461</v>
      </c>
      <c r="R58" s="8" t="s">
        <v>38</v>
      </c>
      <c r="S58" s="8" t="s">
        <v>39</v>
      </c>
      <c r="T58" s="8" t="s">
        <v>40</v>
      </c>
      <c r="U58" s="8"/>
      <c r="V58" s="8" t="s">
        <v>41</v>
      </c>
      <c r="W58" s="10">
        <v>7710.97</v>
      </c>
      <c r="X58" s="10">
        <v>3324.97</v>
      </c>
      <c r="Y58" s="10">
        <v>3070.51</v>
      </c>
      <c r="Z58" s="10">
        <v>1315.49</v>
      </c>
      <c r="AA58" s="8">
        <v>0</v>
      </c>
    </row>
    <row r="59" spans="1:27" ht="41.5" x14ac:dyDescent="0.35">
      <c r="A59" s="8" t="s">
        <v>28</v>
      </c>
      <c r="B59" s="8" t="s">
        <v>59</v>
      </c>
      <c r="C59" s="8" t="s">
        <v>30</v>
      </c>
      <c r="D59" s="8" t="s">
        <v>31</v>
      </c>
      <c r="E59" s="8" t="s">
        <v>63</v>
      </c>
      <c r="F59" s="8" t="s">
        <v>81</v>
      </c>
      <c r="G59" s="8">
        <v>2023</v>
      </c>
      <c r="H59" s="8" t="str">
        <f>CONCATENATE("34240221878")</f>
        <v>34240221878</v>
      </c>
      <c r="I59" s="8" t="s">
        <v>51</v>
      </c>
      <c r="J59" s="8" t="s">
        <v>34</v>
      </c>
      <c r="K59" s="8" t="str">
        <f t="shared" si="3"/>
        <v/>
      </c>
      <c r="L59" s="8" t="str">
        <f t="shared" si="5"/>
        <v>11 11.2 4b</v>
      </c>
      <c r="M59" s="8" t="str">
        <f>CONCATENATE("BNCMRC73E05I156G")</f>
        <v>BNCMRC73E05I156G</v>
      </c>
      <c r="N59" s="8" t="s">
        <v>137</v>
      </c>
      <c r="O59" s="8" t="s">
        <v>36</v>
      </c>
      <c r="P59" s="8" t="s">
        <v>125</v>
      </c>
      <c r="Q59" s="9">
        <v>45461</v>
      </c>
      <c r="R59" s="8" t="s">
        <v>38</v>
      </c>
      <c r="S59" s="8" t="s">
        <v>39</v>
      </c>
      <c r="T59" s="8" t="s">
        <v>40</v>
      </c>
      <c r="U59" s="8"/>
      <c r="V59" s="8" t="s">
        <v>41</v>
      </c>
      <c r="W59" s="8">
        <v>949.37</v>
      </c>
      <c r="X59" s="8">
        <v>409.37</v>
      </c>
      <c r="Y59" s="8">
        <v>378.04</v>
      </c>
      <c r="Z59" s="8">
        <v>161.96</v>
      </c>
      <c r="AA59" s="8">
        <v>0</v>
      </c>
    </row>
    <row r="60" spans="1:27" ht="41.5" x14ac:dyDescent="0.35">
      <c r="A60" s="8" t="s">
        <v>28</v>
      </c>
      <c r="B60" s="8" t="s">
        <v>59</v>
      </c>
      <c r="C60" s="8" t="s">
        <v>30</v>
      </c>
      <c r="D60" s="8" t="s">
        <v>31</v>
      </c>
      <c r="E60" s="8" t="s">
        <v>63</v>
      </c>
      <c r="F60" s="8" t="s">
        <v>81</v>
      </c>
      <c r="G60" s="8">
        <v>2023</v>
      </c>
      <c r="H60" s="8" t="str">
        <f>CONCATENATE("34240223288")</f>
        <v>34240223288</v>
      </c>
      <c r="I60" s="8" t="s">
        <v>51</v>
      </c>
      <c r="J60" s="8" t="s">
        <v>34</v>
      </c>
      <c r="K60" s="8" t="str">
        <f t="shared" si="3"/>
        <v/>
      </c>
      <c r="L60" s="8" t="str">
        <f t="shared" si="5"/>
        <v>11 11.2 4b</v>
      </c>
      <c r="M60" s="8" t="str">
        <f>CONCATENATE("BNCMRC73E05I156G")</f>
        <v>BNCMRC73E05I156G</v>
      </c>
      <c r="N60" s="8" t="s">
        <v>137</v>
      </c>
      <c r="O60" s="8" t="s">
        <v>36</v>
      </c>
      <c r="P60" s="8" t="s">
        <v>125</v>
      </c>
      <c r="Q60" s="9">
        <v>45461</v>
      </c>
      <c r="R60" s="8" t="s">
        <v>38</v>
      </c>
      <c r="S60" s="8" t="s">
        <v>39</v>
      </c>
      <c r="T60" s="8" t="s">
        <v>40</v>
      </c>
      <c r="U60" s="8"/>
      <c r="V60" s="8" t="s">
        <v>41</v>
      </c>
      <c r="W60" s="10">
        <v>6185.52</v>
      </c>
      <c r="X60" s="10">
        <v>2667.2</v>
      </c>
      <c r="Y60" s="10">
        <v>2463.0700000000002</v>
      </c>
      <c r="Z60" s="10">
        <v>1055.25</v>
      </c>
      <c r="AA60" s="8">
        <v>0</v>
      </c>
    </row>
    <row r="61" spans="1:27" ht="25.5" x14ac:dyDescent="0.35">
      <c r="A61" s="8" t="s">
        <v>28</v>
      </c>
      <c r="B61" s="8" t="s">
        <v>59</v>
      </c>
      <c r="C61" s="8" t="s">
        <v>30</v>
      </c>
      <c r="D61" s="8" t="s">
        <v>31</v>
      </c>
      <c r="E61" s="8" t="s">
        <v>74</v>
      </c>
      <c r="F61" s="8" t="s">
        <v>101</v>
      </c>
      <c r="G61" s="8">
        <v>2023</v>
      </c>
      <c r="H61" s="8" t="str">
        <f>CONCATENATE("34240284199")</f>
        <v>34240284199</v>
      </c>
      <c r="I61" s="8" t="s">
        <v>51</v>
      </c>
      <c r="J61" s="8" t="s">
        <v>34</v>
      </c>
      <c r="K61" s="8" t="str">
        <f t="shared" si="3"/>
        <v/>
      </c>
      <c r="L61" s="8" t="str">
        <f t="shared" si="5"/>
        <v>11 11.2 4b</v>
      </c>
      <c r="M61" s="8" t="str">
        <f>CONCATENATE("02070750431")</f>
        <v>02070750431</v>
      </c>
      <c r="N61" s="8" t="s">
        <v>138</v>
      </c>
      <c r="O61" s="8" t="s">
        <v>36</v>
      </c>
      <c r="P61" s="8" t="s">
        <v>125</v>
      </c>
      <c r="Q61" s="9">
        <v>45461</v>
      </c>
      <c r="R61" s="8" t="s">
        <v>38</v>
      </c>
      <c r="S61" s="8" t="s">
        <v>39</v>
      </c>
      <c r="T61" s="8" t="s">
        <v>40</v>
      </c>
      <c r="U61" s="8"/>
      <c r="V61" s="8" t="s">
        <v>41</v>
      </c>
      <c r="W61" s="10">
        <v>1248.58</v>
      </c>
      <c r="X61" s="8">
        <v>538.39</v>
      </c>
      <c r="Y61" s="8">
        <v>497.18</v>
      </c>
      <c r="Z61" s="8">
        <v>213.01</v>
      </c>
      <c r="AA61" s="8">
        <v>0</v>
      </c>
    </row>
    <row r="62" spans="1:27" ht="49.5" x14ac:dyDescent="0.35">
      <c r="A62" s="8" t="s">
        <v>28</v>
      </c>
      <c r="B62" s="8" t="s">
        <v>59</v>
      </c>
      <c r="C62" s="8" t="s">
        <v>30</v>
      </c>
      <c r="D62" s="8" t="s">
        <v>31</v>
      </c>
      <c r="E62" s="8" t="s">
        <v>63</v>
      </c>
      <c r="F62" s="8" t="s">
        <v>81</v>
      </c>
      <c r="G62" s="8">
        <v>2023</v>
      </c>
      <c r="H62" s="8" t="str">
        <f>CONCATENATE("34240459437")</f>
        <v>34240459437</v>
      </c>
      <c r="I62" s="8" t="s">
        <v>51</v>
      </c>
      <c r="J62" s="8" t="s">
        <v>34</v>
      </c>
      <c r="K62" s="8" t="str">
        <f t="shared" si="3"/>
        <v/>
      </c>
      <c r="L62" s="8" t="str">
        <f t="shared" si="5"/>
        <v>11 11.2 4b</v>
      </c>
      <c r="M62" s="8" t="str">
        <f>CONCATENATE("VRDMSM96A08E783X")</f>
        <v>VRDMSM96A08E783X</v>
      </c>
      <c r="N62" s="8" t="s">
        <v>139</v>
      </c>
      <c r="O62" s="8" t="s">
        <v>36</v>
      </c>
      <c r="P62" s="8" t="s">
        <v>125</v>
      </c>
      <c r="Q62" s="9">
        <v>45461</v>
      </c>
      <c r="R62" s="8" t="s">
        <v>38</v>
      </c>
      <c r="S62" s="8" t="s">
        <v>39</v>
      </c>
      <c r="T62" s="8" t="s">
        <v>40</v>
      </c>
      <c r="U62" s="8"/>
      <c r="V62" s="8" t="s">
        <v>41</v>
      </c>
      <c r="W62" s="10">
        <v>1600.42</v>
      </c>
      <c r="X62" s="8">
        <v>690.1</v>
      </c>
      <c r="Y62" s="8">
        <v>637.29</v>
      </c>
      <c r="Z62" s="8">
        <v>273.02999999999997</v>
      </c>
      <c r="AA62" s="8">
        <v>0</v>
      </c>
    </row>
    <row r="63" spans="1:27" ht="25.5" x14ac:dyDescent="0.35">
      <c r="A63" s="8" t="s">
        <v>28</v>
      </c>
      <c r="B63" s="8" t="s">
        <v>59</v>
      </c>
      <c r="C63" s="8" t="s">
        <v>30</v>
      </c>
      <c r="D63" s="8" t="s">
        <v>31</v>
      </c>
      <c r="E63" s="8" t="s">
        <v>63</v>
      </c>
      <c r="F63" s="8" t="s">
        <v>140</v>
      </c>
      <c r="G63" s="8">
        <v>2023</v>
      </c>
      <c r="H63" s="8" t="str">
        <f>CONCATENATE("34240304120")</f>
        <v>34240304120</v>
      </c>
      <c r="I63" s="8" t="s">
        <v>51</v>
      </c>
      <c r="J63" s="8" t="s">
        <v>34</v>
      </c>
      <c r="K63" s="8" t="str">
        <f t="shared" si="3"/>
        <v/>
      </c>
      <c r="L63" s="8" t="str">
        <f t="shared" si="5"/>
        <v>11 11.2 4b</v>
      </c>
      <c r="M63" s="8" t="str">
        <f>CONCATENATE("01976990430")</f>
        <v>01976990430</v>
      </c>
      <c r="N63" s="8" t="s">
        <v>141</v>
      </c>
      <c r="O63" s="8" t="s">
        <v>36</v>
      </c>
      <c r="P63" s="8" t="s">
        <v>125</v>
      </c>
      <c r="Q63" s="9">
        <v>45461</v>
      </c>
      <c r="R63" s="8" t="s">
        <v>38</v>
      </c>
      <c r="S63" s="8" t="s">
        <v>39</v>
      </c>
      <c r="T63" s="8" t="s">
        <v>40</v>
      </c>
      <c r="U63" s="8"/>
      <c r="V63" s="8" t="s">
        <v>41</v>
      </c>
      <c r="W63" s="10">
        <v>3646.43</v>
      </c>
      <c r="X63" s="10">
        <v>1572.34</v>
      </c>
      <c r="Y63" s="10">
        <v>1452.01</v>
      </c>
      <c r="Z63" s="8">
        <v>622.08000000000004</v>
      </c>
      <c r="AA63" s="8">
        <v>0</v>
      </c>
    </row>
    <row r="64" spans="1:27" ht="25.5" x14ac:dyDescent="0.35">
      <c r="A64" s="8" t="s">
        <v>28</v>
      </c>
      <c r="B64" s="8" t="s">
        <v>59</v>
      </c>
      <c r="C64" s="8" t="s">
        <v>30</v>
      </c>
      <c r="D64" s="8" t="s">
        <v>31</v>
      </c>
      <c r="E64" s="8" t="s">
        <v>63</v>
      </c>
      <c r="F64" s="8" t="s">
        <v>64</v>
      </c>
      <c r="G64" s="8">
        <v>2023</v>
      </c>
      <c r="H64" s="8" t="str">
        <f>CONCATENATE("34240350156")</f>
        <v>34240350156</v>
      </c>
      <c r="I64" s="8" t="s">
        <v>51</v>
      </c>
      <c r="J64" s="8" t="s">
        <v>34</v>
      </c>
      <c r="K64" s="8" t="str">
        <f t="shared" si="3"/>
        <v/>
      </c>
      <c r="L64" s="8" t="str">
        <f t="shared" si="5"/>
        <v>11 11.2 4b</v>
      </c>
      <c r="M64" s="8" t="str">
        <f>CONCATENATE("02078550437")</f>
        <v>02078550437</v>
      </c>
      <c r="N64" s="8" t="s">
        <v>142</v>
      </c>
      <c r="O64" s="8" t="s">
        <v>36</v>
      </c>
      <c r="P64" s="8" t="s">
        <v>125</v>
      </c>
      <c r="Q64" s="9">
        <v>45461</v>
      </c>
      <c r="R64" s="8" t="s">
        <v>38</v>
      </c>
      <c r="S64" s="8" t="s">
        <v>39</v>
      </c>
      <c r="T64" s="8" t="s">
        <v>40</v>
      </c>
      <c r="U64" s="8"/>
      <c r="V64" s="8" t="s">
        <v>41</v>
      </c>
      <c r="W64" s="8">
        <v>930.43</v>
      </c>
      <c r="X64" s="8">
        <v>401.2</v>
      </c>
      <c r="Y64" s="8">
        <v>370.5</v>
      </c>
      <c r="Z64" s="8">
        <v>158.72999999999999</v>
      </c>
      <c r="AA64" s="8">
        <v>0</v>
      </c>
    </row>
    <row r="65" spans="1:27" ht="25.5" x14ac:dyDescent="0.35">
      <c r="A65" s="8" t="s">
        <v>28</v>
      </c>
      <c r="B65" s="8" t="s">
        <v>59</v>
      </c>
      <c r="C65" s="8" t="s">
        <v>30</v>
      </c>
      <c r="D65" s="8" t="s">
        <v>31</v>
      </c>
      <c r="E65" s="8" t="s">
        <v>63</v>
      </c>
      <c r="F65" s="8" t="s">
        <v>103</v>
      </c>
      <c r="G65" s="8">
        <v>2023</v>
      </c>
      <c r="H65" s="8" t="str">
        <f>CONCATENATE("34240358365")</f>
        <v>34240358365</v>
      </c>
      <c r="I65" s="8" t="s">
        <v>51</v>
      </c>
      <c r="J65" s="8" t="s">
        <v>34</v>
      </c>
      <c r="K65" s="8" t="str">
        <f t="shared" si="3"/>
        <v/>
      </c>
      <c r="L65" s="8" t="str">
        <f t="shared" si="5"/>
        <v>11 11.2 4b</v>
      </c>
      <c r="M65" s="8" t="str">
        <f>CONCATENATE("02080150432")</f>
        <v>02080150432</v>
      </c>
      <c r="N65" s="8" t="s">
        <v>143</v>
      </c>
      <c r="O65" s="8" t="s">
        <v>36</v>
      </c>
      <c r="P65" s="8" t="s">
        <v>125</v>
      </c>
      <c r="Q65" s="9">
        <v>45461</v>
      </c>
      <c r="R65" s="8" t="s">
        <v>38</v>
      </c>
      <c r="S65" s="8" t="s">
        <v>39</v>
      </c>
      <c r="T65" s="8" t="s">
        <v>40</v>
      </c>
      <c r="U65" s="8"/>
      <c r="V65" s="8" t="s">
        <v>41</v>
      </c>
      <c r="W65" s="10">
        <v>2085.4299999999998</v>
      </c>
      <c r="X65" s="8">
        <v>899.24</v>
      </c>
      <c r="Y65" s="8">
        <v>830.42</v>
      </c>
      <c r="Z65" s="8">
        <v>355.77</v>
      </c>
      <c r="AA65" s="8">
        <v>0</v>
      </c>
    </row>
    <row r="66" spans="1:27" ht="41.5" x14ac:dyDescent="0.35">
      <c r="A66" s="8" t="s">
        <v>28</v>
      </c>
      <c r="B66" s="8" t="s">
        <v>59</v>
      </c>
      <c r="C66" s="8" t="s">
        <v>30</v>
      </c>
      <c r="D66" s="8" t="s">
        <v>31</v>
      </c>
      <c r="E66" s="8" t="s">
        <v>45</v>
      </c>
      <c r="F66" s="8" t="s">
        <v>95</v>
      </c>
      <c r="G66" s="8">
        <v>2023</v>
      </c>
      <c r="H66" s="8" t="str">
        <f>CONCATENATE("34240427871")</f>
        <v>34240427871</v>
      </c>
      <c r="I66" s="8" t="s">
        <v>51</v>
      </c>
      <c r="J66" s="8" t="s">
        <v>34</v>
      </c>
      <c r="K66" s="8" t="str">
        <f t="shared" si="3"/>
        <v/>
      </c>
      <c r="L66" s="8" t="str">
        <f t="shared" si="5"/>
        <v>11 11.2 4b</v>
      </c>
      <c r="M66" s="8" t="str">
        <f>CONCATENATE("BRRBBR88T69I156J")</f>
        <v>BRRBBR88T69I156J</v>
      </c>
      <c r="N66" s="8" t="s">
        <v>144</v>
      </c>
      <c r="O66" s="8" t="s">
        <v>36</v>
      </c>
      <c r="P66" s="8" t="s">
        <v>125</v>
      </c>
      <c r="Q66" s="9">
        <v>45461</v>
      </c>
      <c r="R66" s="8" t="s">
        <v>38</v>
      </c>
      <c r="S66" s="8" t="s">
        <v>39</v>
      </c>
      <c r="T66" s="8" t="s">
        <v>40</v>
      </c>
      <c r="U66" s="8"/>
      <c r="V66" s="8" t="s">
        <v>41</v>
      </c>
      <c r="W66" s="10">
        <v>3165.28</v>
      </c>
      <c r="X66" s="10">
        <v>1364.87</v>
      </c>
      <c r="Y66" s="10">
        <v>1260.4100000000001</v>
      </c>
      <c r="Z66" s="8">
        <v>540</v>
      </c>
      <c r="AA66" s="8">
        <v>0</v>
      </c>
    </row>
    <row r="67" spans="1:27" ht="49.5" x14ac:dyDescent="0.35">
      <c r="A67" s="8" t="s">
        <v>28</v>
      </c>
      <c r="B67" s="8" t="s">
        <v>59</v>
      </c>
      <c r="C67" s="8" t="s">
        <v>30</v>
      </c>
      <c r="D67" s="8" t="s">
        <v>31</v>
      </c>
      <c r="E67" s="8" t="s">
        <v>45</v>
      </c>
      <c r="F67" s="8" t="s">
        <v>95</v>
      </c>
      <c r="G67" s="8">
        <v>2023</v>
      </c>
      <c r="H67" s="8" t="str">
        <f>CONCATENATE("34240501576")</f>
        <v>34240501576</v>
      </c>
      <c r="I67" s="8" t="s">
        <v>51</v>
      </c>
      <c r="J67" s="8" t="s">
        <v>34</v>
      </c>
      <c r="K67" s="8" t="str">
        <f t="shared" si="3"/>
        <v/>
      </c>
      <c r="L67" s="8" t="str">
        <f t="shared" si="5"/>
        <v>11 11.2 4b</v>
      </c>
      <c r="M67" s="8" t="str">
        <f>CONCATENATE("PRMMRN59B20I156U")</f>
        <v>PRMMRN59B20I156U</v>
      </c>
      <c r="N67" s="8" t="s">
        <v>145</v>
      </c>
      <c r="O67" s="8" t="s">
        <v>36</v>
      </c>
      <c r="P67" s="8" t="s">
        <v>125</v>
      </c>
      <c r="Q67" s="9">
        <v>45461</v>
      </c>
      <c r="R67" s="8" t="s">
        <v>38</v>
      </c>
      <c r="S67" s="8" t="s">
        <v>39</v>
      </c>
      <c r="T67" s="8" t="s">
        <v>40</v>
      </c>
      <c r="U67" s="8"/>
      <c r="V67" s="8" t="s">
        <v>41</v>
      </c>
      <c r="W67" s="10">
        <v>1307.7</v>
      </c>
      <c r="X67" s="8">
        <v>563.88</v>
      </c>
      <c r="Y67" s="8">
        <v>520.73</v>
      </c>
      <c r="Z67" s="8">
        <v>223.09</v>
      </c>
      <c r="AA67" s="8">
        <v>0</v>
      </c>
    </row>
    <row r="68" spans="1:27" ht="25.5" x14ac:dyDescent="0.35">
      <c r="A68" s="8" t="s">
        <v>28</v>
      </c>
      <c r="B68" s="8" t="s">
        <v>59</v>
      </c>
      <c r="C68" s="8" t="s">
        <v>30</v>
      </c>
      <c r="D68" s="8" t="s">
        <v>31</v>
      </c>
      <c r="E68" s="8" t="s">
        <v>63</v>
      </c>
      <c r="F68" s="8" t="s">
        <v>103</v>
      </c>
      <c r="G68" s="8">
        <v>2023</v>
      </c>
      <c r="H68" s="8" t="str">
        <f>CONCATENATE("34240548437")</f>
        <v>34240548437</v>
      </c>
      <c r="I68" s="8" t="s">
        <v>51</v>
      </c>
      <c r="J68" s="8" t="s">
        <v>34</v>
      </c>
      <c r="K68" s="8" t="str">
        <f t="shared" si="3"/>
        <v/>
      </c>
      <c r="L68" s="8" t="str">
        <f t="shared" si="5"/>
        <v>11 11.2 4b</v>
      </c>
      <c r="M68" s="8" t="str">
        <f>CONCATENATE("02069020432")</f>
        <v>02069020432</v>
      </c>
      <c r="N68" s="8" t="s">
        <v>98</v>
      </c>
      <c r="O68" s="8" t="s">
        <v>36</v>
      </c>
      <c r="P68" s="8" t="s">
        <v>125</v>
      </c>
      <c r="Q68" s="9">
        <v>45461</v>
      </c>
      <c r="R68" s="8" t="s">
        <v>38</v>
      </c>
      <c r="S68" s="8" t="s">
        <v>39</v>
      </c>
      <c r="T68" s="8" t="s">
        <v>40</v>
      </c>
      <c r="U68" s="8"/>
      <c r="V68" s="8" t="s">
        <v>41</v>
      </c>
      <c r="W68" s="8">
        <v>818.32</v>
      </c>
      <c r="X68" s="8">
        <v>352.86</v>
      </c>
      <c r="Y68" s="8">
        <v>325.86</v>
      </c>
      <c r="Z68" s="8">
        <v>139.6</v>
      </c>
      <c r="AA68" s="8">
        <v>0</v>
      </c>
    </row>
    <row r="69" spans="1:27" ht="41.5" x14ac:dyDescent="0.35">
      <c r="A69" s="8" t="s">
        <v>28</v>
      </c>
      <c r="B69" s="8" t="s">
        <v>59</v>
      </c>
      <c r="C69" s="8" t="s">
        <v>30</v>
      </c>
      <c r="D69" s="8" t="s">
        <v>31</v>
      </c>
      <c r="E69" s="8" t="s">
        <v>45</v>
      </c>
      <c r="F69" s="8" t="s">
        <v>60</v>
      </c>
      <c r="G69" s="8">
        <v>2023</v>
      </c>
      <c r="H69" s="8" t="str">
        <f>CONCATENATE("34240647056")</f>
        <v>34240647056</v>
      </c>
      <c r="I69" s="8" t="s">
        <v>51</v>
      </c>
      <c r="J69" s="8" t="s">
        <v>34</v>
      </c>
      <c r="K69" s="8" t="str">
        <f t="shared" si="3"/>
        <v/>
      </c>
      <c r="L69" s="8" t="str">
        <f t="shared" si="5"/>
        <v>11 11.2 4b</v>
      </c>
      <c r="M69" s="8" t="str">
        <f>CONCATENATE("SNCMRA82P08L191J")</f>
        <v>SNCMRA82P08L191J</v>
      </c>
      <c r="N69" s="8" t="s">
        <v>146</v>
      </c>
      <c r="O69" s="8" t="s">
        <v>36</v>
      </c>
      <c r="P69" s="8" t="s">
        <v>125</v>
      </c>
      <c r="Q69" s="9">
        <v>45461</v>
      </c>
      <c r="R69" s="8" t="s">
        <v>38</v>
      </c>
      <c r="S69" s="8" t="s">
        <v>39</v>
      </c>
      <c r="T69" s="8" t="s">
        <v>40</v>
      </c>
      <c r="U69" s="8"/>
      <c r="V69" s="8" t="s">
        <v>41</v>
      </c>
      <c r="W69" s="10">
        <v>8153.9</v>
      </c>
      <c r="X69" s="10">
        <v>3515.96</v>
      </c>
      <c r="Y69" s="10">
        <v>3246.88</v>
      </c>
      <c r="Z69" s="10">
        <v>1391.06</v>
      </c>
      <c r="AA69" s="8">
        <v>0</v>
      </c>
    </row>
    <row r="70" spans="1:27" ht="41.5" x14ac:dyDescent="0.35">
      <c r="A70" s="8" t="s">
        <v>28</v>
      </c>
      <c r="B70" s="8" t="s">
        <v>59</v>
      </c>
      <c r="C70" s="8" t="s">
        <v>30</v>
      </c>
      <c r="D70" s="8" t="s">
        <v>31</v>
      </c>
      <c r="E70" s="8" t="s">
        <v>45</v>
      </c>
      <c r="F70" s="8" t="s">
        <v>60</v>
      </c>
      <c r="G70" s="8">
        <v>2023</v>
      </c>
      <c r="H70" s="8" t="str">
        <f>CONCATENATE("34240644822")</f>
        <v>34240644822</v>
      </c>
      <c r="I70" s="8" t="s">
        <v>51</v>
      </c>
      <c r="J70" s="8" t="s">
        <v>34</v>
      </c>
      <c r="K70" s="8" t="str">
        <f t="shared" si="3"/>
        <v/>
      </c>
      <c r="L70" s="8" t="str">
        <f t="shared" si="5"/>
        <v>11 11.2 4b</v>
      </c>
      <c r="M70" s="8" t="str">
        <f>CONCATENATE("SNCMRA82P08L191J")</f>
        <v>SNCMRA82P08L191J</v>
      </c>
      <c r="N70" s="8" t="s">
        <v>146</v>
      </c>
      <c r="O70" s="8" t="s">
        <v>36</v>
      </c>
      <c r="P70" s="8" t="s">
        <v>125</v>
      </c>
      <c r="Q70" s="9">
        <v>45461</v>
      </c>
      <c r="R70" s="8" t="s">
        <v>38</v>
      </c>
      <c r="S70" s="8" t="s">
        <v>39</v>
      </c>
      <c r="T70" s="8" t="s">
        <v>40</v>
      </c>
      <c r="U70" s="8"/>
      <c r="V70" s="8" t="s">
        <v>41</v>
      </c>
      <c r="W70" s="10">
        <v>1074.04</v>
      </c>
      <c r="X70" s="8">
        <v>463.13</v>
      </c>
      <c r="Y70" s="8">
        <v>427.68</v>
      </c>
      <c r="Z70" s="8">
        <v>183.23</v>
      </c>
      <c r="AA70" s="8">
        <v>0</v>
      </c>
    </row>
    <row r="71" spans="1:27" ht="41.5" x14ac:dyDescent="0.35">
      <c r="A71" s="8" t="s">
        <v>28</v>
      </c>
      <c r="B71" s="8" t="s">
        <v>59</v>
      </c>
      <c r="C71" s="8" t="s">
        <v>30</v>
      </c>
      <c r="D71" s="8" t="s">
        <v>42</v>
      </c>
      <c r="E71" s="8" t="s">
        <v>74</v>
      </c>
      <c r="F71" s="8" t="s">
        <v>147</v>
      </c>
      <c r="G71" s="8">
        <v>2023</v>
      </c>
      <c r="H71" s="8" t="str">
        <f>CONCATENATE("34210068549")</f>
        <v>34210068549</v>
      </c>
      <c r="I71" s="8" t="s">
        <v>51</v>
      </c>
      <c r="J71" s="8" t="s">
        <v>34</v>
      </c>
      <c r="K71" s="8" t="str">
        <f t="shared" si="3"/>
        <v/>
      </c>
      <c r="L71" s="8" t="str">
        <f t="shared" ref="L71:L90" si="6">CONCATENATE("13 13.1 4a")</f>
        <v>13 13.1 4a</v>
      </c>
      <c r="M71" s="8" t="str">
        <f>CONCATENATE("PSCMTT86M18L500D")</f>
        <v>PSCMTT86M18L500D</v>
      </c>
      <c r="N71" s="8" t="s">
        <v>148</v>
      </c>
      <c r="O71" s="8" t="s">
        <v>36</v>
      </c>
      <c r="P71" s="8" t="s">
        <v>149</v>
      </c>
      <c r="Q71" s="9">
        <v>45461</v>
      </c>
      <c r="R71" s="8" t="s">
        <v>38</v>
      </c>
      <c r="S71" s="8" t="s">
        <v>39</v>
      </c>
      <c r="T71" s="8" t="s">
        <v>40</v>
      </c>
      <c r="U71" s="8"/>
      <c r="V71" s="8" t="s">
        <v>41</v>
      </c>
      <c r="W71" s="8">
        <v>99.43</v>
      </c>
      <c r="X71" s="8">
        <v>42.87</v>
      </c>
      <c r="Y71" s="8">
        <v>39.590000000000003</v>
      </c>
      <c r="Z71" s="8">
        <v>16.97</v>
      </c>
      <c r="AA71" s="8">
        <v>0</v>
      </c>
    </row>
    <row r="72" spans="1:27" ht="41.5" x14ac:dyDescent="0.35">
      <c r="A72" s="8" t="s">
        <v>28</v>
      </c>
      <c r="B72" s="8" t="s">
        <v>59</v>
      </c>
      <c r="C72" s="8" t="s">
        <v>30</v>
      </c>
      <c r="D72" s="8" t="s">
        <v>42</v>
      </c>
      <c r="E72" s="8" t="s">
        <v>66</v>
      </c>
      <c r="F72" s="8" t="s">
        <v>150</v>
      </c>
      <c r="G72" s="8">
        <v>2023</v>
      </c>
      <c r="H72" s="8" t="str">
        <f>CONCATENATE("34210014360")</f>
        <v>34210014360</v>
      </c>
      <c r="I72" s="8" t="s">
        <v>51</v>
      </c>
      <c r="J72" s="8" t="s">
        <v>34</v>
      </c>
      <c r="K72" s="8" t="str">
        <f t="shared" si="3"/>
        <v/>
      </c>
      <c r="L72" s="8" t="str">
        <f t="shared" si="6"/>
        <v>13 13.1 4a</v>
      </c>
      <c r="M72" s="8" t="str">
        <f>CONCATENATE("DLLGLL69T68L498Y")</f>
        <v>DLLGLL69T68L498Y</v>
      </c>
      <c r="N72" s="8" t="s">
        <v>151</v>
      </c>
      <c r="O72" s="8" t="s">
        <v>36</v>
      </c>
      <c r="P72" s="8" t="s">
        <v>149</v>
      </c>
      <c r="Q72" s="9">
        <v>45461</v>
      </c>
      <c r="R72" s="8" t="s">
        <v>38</v>
      </c>
      <c r="S72" s="8" t="s">
        <v>39</v>
      </c>
      <c r="T72" s="8" t="s">
        <v>40</v>
      </c>
      <c r="U72" s="8"/>
      <c r="V72" s="8" t="s">
        <v>41</v>
      </c>
      <c r="W72" s="8">
        <v>825.68</v>
      </c>
      <c r="X72" s="8">
        <v>356.03</v>
      </c>
      <c r="Y72" s="8">
        <v>328.79</v>
      </c>
      <c r="Z72" s="8">
        <v>140.86000000000001</v>
      </c>
      <c r="AA72" s="8">
        <v>0</v>
      </c>
    </row>
    <row r="73" spans="1:27" ht="41.5" x14ac:dyDescent="0.35">
      <c r="A73" s="8" t="s">
        <v>28</v>
      </c>
      <c r="B73" s="8" t="s">
        <v>59</v>
      </c>
      <c r="C73" s="8" t="s">
        <v>30</v>
      </c>
      <c r="D73" s="8" t="s">
        <v>42</v>
      </c>
      <c r="E73" s="8" t="s">
        <v>66</v>
      </c>
      <c r="F73" s="8" t="s">
        <v>150</v>
      </c>
      <c r="G73" s="8">
        <v>2023</v>
      </c>
      <c r="H73" s="8" t="str">
        <f>CONCATENATE("34210094529")</f>
        <v>34210094529</v>
      </c>
      <c r="I73" s="8" t="s">
        <v>51</v>
      </c>
      <c r="J73" s="8" t="s">
        <v>34</v>
      </c>
      <c r="K73" s="8" t="str">
        <f t="shared" si="3"/>
        <v/>
      </c>
      <c r="L73" s="8" t="str">
        <f t="shared" si="6"/>
        <v>13 13.1 4a</v>
      </c>
      <c r="M73" s="8" t="str">
        <f>CONCATENATE("CSSLBT03D57F205R")</f>
        <v>CSSLBT03D57F205R</v>
      </c>
      <c r="N73" s="8" t="s">
        <v>152</v>
      </c>
      <c r="O73" s="8" t="s">
        <v>36</v>
      </c>
      <c r="P73" s="8" t="s">
        <v>149</v>
      </c>
      <c r="Q73" s="9">
        <v>45461</v>
      </c>
      <c r="R73" s="8" t="s">
        <v>38</v>
      </c>
      <c r="S73" s="8" t="s">
        <v>39</v>
      </c>
      <c r="T73" s="8" t="s">
        <v>40</v>
      </c>
      <c r="U73" s="8"/>
      <c r="V73" s="8" t="s">
        <v>41</v>
      </c>
      <c r="W73" s="8">
        <v>277.36</v>
      </c>
      <c r="X73" s="8">
        <v>119.6</v>
      </c>
      <c r="Y73" s="8">
        <v>110.44</v>
      </c>
      <c r="Z73" s="8">
        <v>47.32</v>
      </c>
      <c r="AA73" s="8">
        <v>0</v>
      </c>
    </row>
    <row r="74" spans="1:27" ht="41.5" x14ac:dyDescent="0.35">
      <c r="A74" s="8" t="s">
        <v>28</v>
      </c>
      <c r="B74" s="8" t="s">
        <v>59</v>
      </c>
      <c r="C74" s="8" t="s">
        <v>30</v>
      </c>
      <c r="D74" s="8" t="s">
        <v>42</v>
      </c>
      <c r="E74" s="8" t="s">
        <v>45</v>
      </c>
      <c r="F74" s="8" t="s">
        <v>153</v>
      </c>
      <c r="G74" s="8">
        <v>2023</v>
      </c>
      <c r="H74" s="8" t="str">
        <f>CONCATENATE("34210069265")</f>
        <v>34210069265</v>
      </c>
      <c r="I74" s="8" t="s">
        <v>51</v>
      </c>
      <c r="J74" s="8" t="s">
        <v>34</v>
      </c>
      <c r="K74" s="8" t="str">
        <f t="shared" si="3"/>
        <v/>
      </c>
      <c r="L74" s="8" t="str">
        <f t="shared" si="6"/>
        <v>13 13.1 4a</v>
      </c>
      <c r="M74" s="8" t="str">
        <f>CONCATENATE("LNZMRZ62L04D541F")</f>
        <v>LNZMRZ62L04D541F</v>
      </c>
      <c r="N74" s="8" t="s">
        <v>154</v>
      </c>
      <c r="O74" s="8" t="s">
        <v>36</v>
      </c>
      <c r="P74" s="8" t="s">
        <v>149</v>
      </c>
      <c r="Q74" s="9">
        <v>45461</v>
      </c>
      <c r="R74" s="8" t="s">
        <v>38</v>
      </c>
      <c r="S74" s="8" t="s">
        <v>39</v>
      </c>
      <c r="T74" s="8" t="s">
        <v>40</v>
      </c>
      <c r="U74" s="8"/>
      <c r="V74" s="8" t="s">
        <v>41</v>
      </c>
      <c r="W74" s="8">
        <v>200.3</v>
      </c>
      <c r="X74" s="8">
        <v>86.37</v>
      </c>
      <c r="Y74" s="8">
        <v>79.760000000000005</v>
      </c>
      <c r="Z74" s="8">
        <v>34.17</v>
      </c>
      <c r="AA74" s="8">
        <v>0</v>
      </c>
    </row>
    <row r="75" spans="1:27" ht="41.5" x14ac:dyDescent="0.35">
      <c r="A75" s="8" t="s">
        <v>28</v>
      </c>
      <c r="B75" s="8" t="s">
        <v>59</v>
      </c>
      <c r="C75" s="8" t="s">
        <v>30</v>
      </c>
      <c r="D75" s="8" t="s">
        <v>31</v>
      </c>
      <c r="E75" s="8" t="s">
        <v>45</v>
      </c>
      <c r="F75" s="8" t="s">
        <v>133</v>
      </c>
      <c r="G75" s="8">
        <v>2023</v>
      </c>
      <c r="H75" s="8" t="str">
        <f>CONCATENATE("34210030846")</f>
        <v>34210030846</v>
      </c>
      <c r="I75" s="8" t="s">
        <v>33</v>
      </c>
      <c r="J75" s="8" t="s">
        <v>34</v>
      </c>
      <c r="K75" s="8" t="str">
        <f t="shared" si="3"/>
        <v/>
      </c>
      <c r="L75" s="8" t="str">
        <f t="shared" si="6"/>
        <v>13 13.1 4a</v>
      </c>
      <c r="M75" s="8" t="str">
        <f>CONCATENATE("GNNNND56B16C582R")</f>
        <v>GNNNND56B16C582R</v>
      </c>
      <c r="N75" s="8" t="s">
        <v>155</v>
      </c>
      <c r="O75" s="8" t="s">
        <v>36</v>
      </c>
      <c r="P75" s="8" t="s">
        <v>149</v>
      </c>
      <c r="Q75" s="9">
        <v>45461</v>
      </c>
      <c r="R75" s="8" t="s">
        <v>38</v>
      </c>
      <c r="S75" s="8" t="s">
        <v>39</v>
      </c>
      <c r="T75" s="8" t="s">
        <v>40</v>
      </c>
      <c r="U75" s="8"/>
      <c r="V75" s="8" t="s">
        <v>41</v>
      </c>
      <c r="W75" s="10">
        <v>1067.98</v>
      </c>
      <c r="X75" s="8">
        <v>460.51</v>
      </c>
      <c r="Y75" s="8">
        <v>425.27</v>
      </c>
      <c r="Z75" s="8">
        <v>182.2</v>
      </c>
      <c r="AA75" s="8">
        <v>0</v>
      </c>
    </row>
    <row r="76" spans="1:27" ht="41.5" x14ac:dyDescent="0.35">
      <c r="A76" s="8" t="s">
        <v>28</v>
      </c>
      <c r="B76" s="8" t="s">
        <v>59</v>
      </c>
      <c r="C76" s="8" t="s">
        <v>30</v>
      </c>
      <c r="D76" s="8" t="s">
        <v>42</v>
      </c>
      <c r="E76" s="8" t="s">
        <v>45</v>
      </c>
      <c r="F76" s="8" t="s">
        <v>153</v>
      </c>
      <c r="G76" s="8">
        <v>2023</v>
      </c>
      <c r="H76" s="8" t="str">
        <f>CONCATENATE("34210070834")</f>
        <v>34210070834</v>
      </c>
      <c r="I76" s="8" t="s">
        <v>51</v>
      </c>
      <c r="J76" s="8" t="s">
        <v>34</v>
      </c>
      <c r="K76" s="8" t="str">
        <f t="shared" si="3"/>
        <v/>
      </c>
      <c r="L76" s="8" t="str">
        <f t="shared" si="6"/>
        <v>13 13.1 4a</v>
      </c>
      <c r="M76" s="8" t="str">
        <f>CONCATENATE("RNZTRZ43E13F502S")</f>
        <v>RNZTRZ43E13F502S</v>
      </c>
      <c r="N76" s="8" t="s">
        <v>156</v>
      </c>
      <c r="O76" s="8" t="s">
        <v>36</v>
      </c>
      <c r="P76" s="8" t="s">
        <v>149</v>
      </c>
      <c r="Q76" s="9">
        <v>45461</v>
      </c>
      <c r="R76" s="8" t="s">
        <v>38</v>
      </c>
      <c r="S76" s="8" t="s">
        <v>39</v>
      </c>
      <c r="T76" s="8" t="s">
        <v>40</v>
      </c>
      <c r="U76" s="8"/>
      <c r="V76" s="8" t="s">
        <v>41</v>
      </c>
      <c r="W76" s="8">
        <v>151.65</v>
      </c>
      <c r="X76" s="8">
        <v>65.39</v>
      </c>
      <c r="Y76" s="8">
        <v>60.39</v>
      </c>
      <c r="Z76" s="8">
        <v>25.87</v>
      </c>
      <c r="AA76" s="8">
        <v>0</v>
      </c>
    </row>
    <row r="77" spans="1:27" ht="41.5" x14ac:dyDescent="0.35">
      <c r="A77" s="8" t="s">
        <v>28</v>
      </c>
      <c r="B77" s="8" t="s">
        <v>59</v>
      </c>
      <c r="C77" s="8" t="s">
        <v>30</v>
      </c>
      <c r="D77" s="8" t="s">
        <v>42</v>
      </c>
      <c r="E77" s="8" t="s">
        <v>45</v>
      </c>
      <c r="F77" s="8" t="s">
        <v>153</v>
      </c>
      <c r="G77" s="8">
        <v>2023</v>
      </c>
      <c r="H77" s="8" t="str">
        <f>CONCATENATE("34210070933")</f>
        <v>34210070933</v>
      </c>
      <c r="I77" s="8" t="s">
        <v>51</v>
      </c>
      <c r="J77" s="8" t="s">
        <v>34</v>
      </c>
      <c r="K77" s="8" t="str">
        <f t="shared" si="3"/>
        <v/>
      </c>
      <c r="L77" s="8" t="str">
        <f t="shared" si="6"/>
        <v>13 13.1 4a</v>
      </c>
      <c r="M77" s="8" t="str">
        <f>CONCATENATE("RSLMGB40B67L500L")</f>
        <v>RSLMGB40B67L500L</v>
      </c>
      <c r="N77" s="8" t="s">
        <v>157</v>
      </c>
      <c r="O77" s="8" t="s">
        <v>36</v>
      </c>
      <c r="P77" s="8" t="s">
        <v>149</v>
      </c>
      <c r="Q77" s="9">
        <v>45461</v>
      </c>
      <c r="R77" s="8" t="s">
        <v>38</v>
      </c>
      <c r="S77" s="8" t="s">
        <v>39</v>
      </c>
      <c r="T77" s="8" t="s">
        <v>40</v>
      </c>
      <c r="U77" s="8"/>
      <c r="V77" s="8" t="s">
        <v>41</v>
      </c>
      <c r="W77" s="8">
        <v>406.48</v>
      </c>
      <c r="X77" s="8">
        <v>175.27</v>
      </c>
      <c r="Y77" s="8">
        <v>161.86000000000001</v>
      </c>
      <c r="Z77" s="8">
        <v>69.349999999999994</v>
      </c>
      <c r="AA77" s="8">
        <v>0</v>
      </c>
    </row>
    <row r="78" spans="1:27" ht="41.5" x14ac:dyDescent="0.35">
      <c r="A78" s="8" t="s">
        <v>28</v>
      </c>
      <c r="B78" s="8" t="s">
        <v>59</v>
      </c>
      <c r="C78" s="8" t="s">
        <v>30</v>
      </c>
      <c r="D78" s="8" t="s">
        <v>42</v>
      </c>
      <c r="E78" s="8" t="s">
        <v>45</v>
      </c>
      <c r="F78" s="8" t="s">
        <v>153</v>
      </c>
      <c r="G78" s="8">
        <v>2023</v>
      </c>
      <c r="H78" s="8" t="str">
        <f>CONCATENATE("34210071071")</f>
        <v>34210071071</v>
      </c>
      <c r="I78" s="8" t="s">
        <v>51</v>
      </c>
      <c r="J78" s="8" t="s">
        <v>34</v>
      </c>
      <c r="K78" s="8" t="str">
        <f t="shared" si="3"/>
        <v/>
      </c>
      <c r="L78" s="8" t="str">
        <f t="shared" si="6"/>
        <v>13 13.1 4a</v>
      </c>
      <c r="M78" s="8" t="str">
        <f>CONCATENATE("SBTMRC79T07L500B")</f>
        <v>SBTMRC79T07L500B</v>
      </c>
      <c r="N78" s="8" t="s">
        <v>158</v>
      </c>
      <c r="O78" s="8" t="s">
        <v>36</v>
      </c>
      <c r="P78" s="8" t="s">
        <v>149</v>
      </c>
      <c r="Q78" s="9">
        <v>45461</v>
      </c>
      <c r="R78" s="8" t="s">
        <v>38</v>
      </c>
      <c r="S78" s="8" t="s">
        <v>39</v>
      </c>
      <c r="T78" s="8" t="s">
        <v>40</v>
      </c>
      <c r="U78" s="8"/>
      <c r="V78" s="8" t="s">
        <v>41</v>
      </c>
      <c r="W78" s="8">
        <v>224.72</v>
      </c>
      <c r="X78" s="8">
        <v>96.9</v>
      </c>
      <c r="Y78" s="8">
        <v>89.48</v>
      </c>
      <c r="Z78" s="8">
        <v>38.340000000000003</v>
      </c>
      <c r="AA78" s="8">
        <v>0</v>
      </c>
    </row>
    <row r="79" spans="1:27" ht="25.5" x14ac:dyDescent="0.35">
      <c r="A79" s="8" t="s">
        <v>28</v>
      </c>
      <c r="B79" s="8" t="s">
        <v>59</v>
      </c>
      <c r="C79" s="8" t="s">
        <v>30</v>
      </c>
      <c r="D79" s="8" t="s">
        <v>31</v>
      </c>
      <c r="E79" s="8" t="s">
        <v>63</v>
      </c>
      <c r="F79" s="8" t="s">
        <v>103</v>
      </c>
      <c r="G79" s="8">
        <v>2023</v>
      </c>
      <c r="H79" s="8" t="str">
        <f>CONCATENATE("34210104153")</f>
        <v>34210104153</v>
      </c>
      <c r="I79" s="8" t="s">
        <v>51</v>
      </c>
      <c r="J79" s="8" t="s">
        <v>34</v>
      </c>
      <c r="K79" s="8" t="str">
        <f t="shared" si="3"/>
        <v/>
      </c>
      <c r="L79" s="8" t="str">
        <f t="shared" si="6"/>
        <v>13 13.1 4a</v>
      </c>
      <c r="M79" s="8" t="str">
        <f>CONCATENATE("01822020432")</f>
        <v>01822020432</v>
      </c>
      <c r="N79" s="8" t="s">
        <v>104</v>
      </c>
      <c r="O79" s="8" t="s">
        <v>36</v>
      </c>
      <c r="P79" s="8" t="s">
        <v>149</v>
      </c>
      <c r="Q79" s="9">
        <v>45461</v>
      </c>
      <c r="R79" s="8" t="s">
        <v>38</v>
      </c>
      <c r="S79" s="8" t="s">
        <v>39</v>
      </c>
      <c r="T79" s="8" t="s">
        <v>40</v>
      </c>
      <c r="U79" s="8"/>
      <c r="V79" s="8" t="s">
        <v>41</v>
      </c>
      <c r="W79" s="8">
        <v>287.69</v>
      </c>
      <c r="X79" s="8">
        <v>124.05</v>
      </c>
      <c r="Y79" s="8">
        <v>114.56</v>
      </c>
      <c r="Z79" s="8">
        <v>49.08</v>
      </c>
      <c r="AA79" s="8">
        <v>0</v>
      </c>
    </row>
    <row r="80" spans="1:27" ht="41.5" x14ac:dyDescent="0.35">
      <c r="A80" s="8" t="s">
        <v>28</v>
      </c>
      <c r="B80" s="8" t="s">
        <v>59</v>
      </c>
      <c r="C80" s="8" t="s">
        <v>30</v>
      </c>
      <c r="D80" s="8" t="s">
        <v>42</v>
      </c>
      <c r="E80" s="8" t="s">
        <v>45</v>
      </c>
      <c r="F80" s="8" t="s">
        <v>111</v>
      </c>
      <c r="G80" s="8">
        <v>2023</v>
      </c>
      <c r="H80" s="8" t="str">
        <f>CONCATENATE("34210055454")</f>
        <v>34210055454</v>
      </c>
      <c r="I80" s="8" t="s">
        <v>33</v>
      </c>
      <c r="J80" s="8" t="s">
        <v>34</v>
      </c>
      <c r="K80" s="8" t="str">
        <f t="shared" si="3"/>
        <v/>
      </c>
      <c r="L80" s="8" t="str">
        <f t="shared" si="6"/>
        <v>13 13.1 4a</v>
      </c>
      <c r="M80" s="8" t="str">
        <f>CONCATENATE("DNTCLD72H59I287N")</f>
        <v>DNTCLD72H59I287N</v>
      </c>
      <c r="N80" s="8" t="s">
        <v>159</v>
      </c>
      <c r="O80" s="8" t="s">
        <v>36</v>
      </c>
      <c r="P80" s="8" t="s">
        <v>149</v>
      </c>
      <c r="Q80" s="9">
        <v>45461</v>
      </c>
      <c r="R80" s="8" t="s">
        <v>38</v>
      </c>
      <c r="S80" s="8" t="s">
        <v>39</v>
      </c>
      <c r="T80" s="8" t="s">
        <v>40</v>
      </c>
      <c r="U80" s="8"/>
      <c r="V80" s="8" t="s">
        <v>41</v>
      </c>
      <c r="W80" s="10">
        <v>1046.75</v>
      </c>
      <c r="X80" s="8">
        <v>451.36</v>
      </c>
      <c r="Y80" s="8">
        <v>416.82</v>
      </c>
      <c r="Z80" s="8">
        <v>178.57</v>
      </c>
      <c r="AA80" s="8">
        <v>0</v>
      </c>
    </row>
    <row r="81" spans="1:27" ht="41.5" x14ac:dyDescent="0.35">
      <c r="A81" s="8" t="s">
        <v>28</v>
      </c>
      <c r="B81" s="8" t="s">
        <v>59</v>
      </c>
      <c r="C81" s="8" t="s">
        <v>30</v>
      </c>
      <c r="D81" s="8" t="s">
        <v>71</v>
      </c>
      <c r="E81" s="8" t="s">
        <v>45</v>
      </c>
      <c r="F81" s="8" t="s">
        <v>160</v>
      </c>
      <c r="G81" s="8">
        <v>2023</v>
      </c>
      <c r="H81" s="8" t="str">
        <f>CONCATENATE("34210093315")</f>
        <v>34210093315</v>
      </c>
      <c r="I81" s="8" t="s">
        <v>33</v>
      </c>
      <c r="J81" s="8" t="s">
        <v>34</v>
      </c>
      <c r="K81" s="8" t="str">
        <f t="shared" si="3"/>
        <v/>
      </c>
      <c r="L81" s="8" t="str">
        <f t="shared" si="6"/>
        <v>13 13.1 4a</v>
      </c>
      <c r="M81" s="8" t="str">
        <f>CONCATENATE("TRTNCL40D51C524R")</f>
        <v>TRTNCL40D51C524R</v>
      </c>
      <c r="N81" s="8" t="s">
        <v>161</v>
      </c>
      <c r="O81" s="8" t="s">
        <v>36</v>
      </c>
      <c r="P81" s="8" t="s">
        <v>149</v>
      </c>
      <c r="Q81" s="9">
        <v>45461</v>
      </c>
      <c r="R81" s="8" t="s">
        <v>38</v>
      </c>
      <c r="S81" s="8" t="s">
        <v>39</v>
      </c>
      <c r="T81" s="8" t="s">
        <v>40</v>
      </c>
      <c r="U81" s="8"/>
      <c r="V81" s="8" t="s">
        <v>41</v>
      </c>
      <c r="W81" s="10">
        <v>2518.4299999999998</v>
      </c>
      <c r="X81" s="10">
        <v>1085.95</v>
      </c>
      <c r="Y81" s="10">
        <v>1002.84</v>
      </c>
      <c r="Z81" s="8">
        <v>429.64</v>
      </c>
      <c r="AA81" s="8">
        <v>0</v>
      </c>
    </row>
    <row r="82" spans="1:27" ht="41.5" x14ac:dyDescent="0.35">
      <c r="A82" s="8" t="s">
        <v>28</v>
      </c>
      <c r="B82" s="8" t="s">
        <v>59</v>
      </c>
      <c r="C82" s="8" t="s">
        <v>30</v>
      </c>
      <c r="D82" s="8" t="s">
        <v>42</v>
      </c>
      <c r="E82" s="8" t="s">
        <v>66</v>
      </c>
      <c r="F82" s="8" t="s">
        <v>150</v>
      </c>
      <c r="G82" s="8">
        <v>2023</v>
      </c>
      <c r="H82" s="8" t="str">
        <f>CONCATENATE("34210110515")</f>
        <v>34210110515</v>
      </c>
      <c r="I82" s="8" t="s">
        <v>33</v>
      </c>
      <c r="J82" s="8" t="s">
        <v>34</v>
      </c>
      <c r="K82" s="8" t="str">
        <f t="shared" si="3"/>
        <v/>
      </c>
      <c r="L82" s="8" t="str">
        <f t="shared" si="6"/>
        <v>13 13.1 4a</v>
      </c>
      <c r="M82" s="8" t="str">
        <f>CONCATENATE("PRPGPP58C59G453W")</f>
        <v>PRPGPP58C59G453W</v>
      </c>
      <c r="N82" s="8" t="s">
        <v>162</v>
      </c>
      <c r="O82" s="8" t="s">
        <v>36</v>
      </c>
      <c r="P82" s="8" t="s">
        <v>149</v>
      </c>
      <c r="Q82" s="9">
        <v>45461</v>
      </c>
      <c r="R82" s="8" t="s">
        <v>38</v>
      </c>
      <c r="S82" s="8" t="s">
        <v>39</v>
      </c>
      <c r="T82" s="8" t="s">
        <v>40</v>
      </c>
      <c r="U82" s="8"/>
      <c r="V82" s="8" t="s">
        <v>41</v>
      </c>
      <c r="W82" s="10">
        <v>1077.8800000000001</v>
      </c>
      <c r="X82" s="8">
        <v>464.78</v>
      </c>
      <c r="Y82" s="8">
        <v>429.21</v>
      </c>
      <c r="Z82" s="8">
        <v>183.89</v>
      </c>
      <c r="AA82" s="8">
        <v>0</v>
      </c>
    </row>
    <row r="83" spans="1:27" ht="41.5" x14ac:dyDescent="0.35">
      <c r="A83" s="8" t="s">
        <v>28</v>
      </c>
      <c r="B83" s="8" t="s">
        <v>59</v>
      </c>
      <c r="C83" s="8" t="s">
        <v>30</v>
      </c>
      <c r="D83" s="8" t="s">
        <v>42</v>
      </c>
      <c r="E83" s="8" t="s">
        <v>45</v>
      </c>
      <c r="F83" s="8" t="s">
        <v>163</v>
      </c>
      <c r="G83" s="8">
        <v>2018</v>
      </c>
      <c r="H83" s="8" t="str">
        <f>CONCATENATE("84210587527")</f>
        <v>84210587527</v>
      </c>
      <c r="I83" s="8" t="s">
        <v>51</v>
      </c>
      <c r="J83" s="8" t="s">
        <v>34</v>
      </c>
      <c r="K83" s="8" t="str">
        <f t="shared" si="3"/>
        <v/>
      </c>
      <c r="L83" s="8" t="str">
        <f t="shared" si="6"/>
        <v>13 13.1 4a</v>
      </c>
      <c r="M83" s="8" t="str">
        <f>CONCATENATE("VNNGNN62T14G453U")</f>
        <v>VNNGNN62T14G453U</v>
      </c>
      <c r="N83" s="8" t="s">
        <v>164</v>
      </c>
      <c r="O83" s="8" t="s">
        <v>36</v>
      </c>
      <c r="P83" s="8" t="s">
        <v>149</v>
      </c>
      <c r="Q83" s="9">
        <v>45461</v>
      </c>
      <c r="R83" s="8" t="s">
        <v>38</v>
      </c>
      <c r="S83" s="8" t="s">
        <v>39</v>
      </c>
      <c r="T83" s="8" t="s">
        <v>40</v>
      </c>
      <c r="U83" s="8"/>
      <c r="V83" s="8" t="s">
        <v>41</v>
      </c>
      <c r="W83" s="10">
        <v>1474.48</v>
      </c>
      <c r="X83" s="8">
        <v>635.79999999999995</v>
      </c>
      <c r="Y83" s="8">
        <v>587.14</v>
      </c>
      <c r="Z83" s="8">
        <v>251.54</v>
      </c>
      <c r="AA83" s="8">
        <v>0</v>
      </c>
    </row>
    <row r="84" spans="1:27" ht="41.5" x14ac:dyDescent="0.35">
      <c r="A84" s="8" t="s">
        <v>28</v>
      </c>
      <c r="B84" s="8" t="s">
        <v>59</v>
      </c>
      <c r="C84" s="8" t="s">
        <v>30</v>
      </c>
      <c r="D84" s="8" t="s">
        <v>42</v>
      </c>
      <c r="E84" s="8" t="s">
        <v>74</v>
      </c>
      <c r="F84" s="8" t="s">
        <v>165</v>
      </c>
      <c r="G84" s="8">
        <v>2023</v>
      </c>
      <c r="H84" s="8" t="str">
        <f>CONCATENATE("34210086731")</f>
        <v>34210086731</v>
      </c>
      <c r="I84" s="8" t="s">
        <v>33</v>
      </c>
      <c r="J84" s="8" t="s">
        <v>34</v>
      </c>
      <c r="K84" s="8" t="str">
        <f t="shared" si="3"/>
        <v/>
      </c>
      <c r="L84" s="8" t="str">
        <f t="shared" si="6"/>
        <v>13 13.1 4a</v>
      </c>
      <c r="M84" s="8" t="str">
        <f>CONCATENATE("BRLPTR67C18G453L")</f>
        <v>BRLPTR67C18G453L</v>
      </c>
      <c r="N84" s="8" t="s">
        <v>166</v>
      </c>
      <c r="O84" s="8" t="s">
        <v>36</v>
      </c>
      <c r="P84" s="8" t="s">
        <v>149</v>
      </c>
      <c r="Q84" s="9">
        <v>45461</v>
      </c>
      <c r="R84" s="8" t="s">
        <v>38</v>
      </c>
      <c r="S84" s="8" t="s">
        <v>39</v>
      </c>
      <c r="T84" s="8" t="s">
        <v>40</v>
      </c>
      <c r="U84" s="8"/>
      <c r="V84" s="8" t="s">
        <v>41</v>
      </c>
      <c r="W84" s="10">
        <v>5622.83</v>
      </c>
      <c r="X84" s="10">
        <v>2424.56</v>
      </c>
      <c r="Y84" s="10">
        <v>2239.0100000000002</v>
      </c>
      <c r="Z84" s="8">
        <v>959.26</v>
      </c>
      <c r="AA84" s="8">
        <v>0</v>
      </c>
    </row>
    <row r="85" spans="1:27" ht="41.5" x14ac:dyDescent="0.35">
      <c r="A85" s="8" t="s">
        <v>28</v>
      </c>
      <c r="B85" s="8" t="s">
        <v>59</v>
      </c>
      <c r="C85" s="8" t="s">
        <v>30</v>
      </c>
      <c r="D85" s="8" t="s">
        <v>31</v>
      </c>
      <c r="E85" s="8" t="s">
        <v>63</v>
      </c>
      <c r="F85" s="8" t="s">
        <v>64</v>
      </c>
      <c r="G85" s="8">
        <v>2023</v>
      </c>
      <c r="H85" s="8" t="str">
        <f>CONCATENATE("34210046073")</f>
        <v>34210046073</v>
      </c>
      <c r="I85" s="8" t="s">
        <v>51</v>
      </c>
      <c r="J85" s="8" t="s">
        <v>34</v>
      </c>
      <c r="K85" s="8" t="str">
        <f t="shared" si="3"/>
        <v/>
      </c>
      <c r="L85" s="8" t="str">
        <f t="shared" si="6"/>
        <v>13 13.1 4a</v>
      </c>
      <c r="M85" s="8" t="str">
        <f>CONCATENATE("BNDRCR90C02B474M")</f>
        <v>BNDRCR90C02B474M</v>
      </c>
      <c r="N85" s="8" t="s">
        <v>65</v>
      </c>
      <c r="O85" s="8" t="s">
        <v>36</v>
      </c>
      <c r="P85" s="8" t="s">
        <v>149</v>
      </c>
      <c r="Q85" s="9">
        <v>45461</v>
      </c>
      <c r="R85" s="8" t="s">
        <v>38</v>
      </c>
      <c r="S85" s="8" t="s">
        <v>39</v>
      </c>
      <c r="T85" s="8" t="s">
        <v>40</v>
      </c>
      <c r="U85" s="8"/>
      <c r="V85" s="8" t="s">
        <v>41</v>
      </c>
      <c r="W85" s="10">
        <v>1687.5</v>
      </c>
      <c r="X85" s="8">
        <v>727.65</v>
      </c>
      <c r="Y85" s="8">
        <v>671.96</v>
      </c>
      <c r="Z85" s="8">
        <v>287.89</v>
      </c>
      <c r="AA85" s="8">
        <v>0</v>
      </c>
    </row>
    <row r="86" spans="1:27" ht="41.5" x14ac:dyDescent="0.35">
      <c r="A86" s="8" t="s">
        <v>28</v>
      </c>
      <c r="B86" s="8" t="s">
        <v>59</v>
      </c>
      <c r="C86" s="8" t="s">
        <v>30</v>
      </c>
      <c r="D86" s="8" t="s">
        <v>31</v>
      </c>
      <c r="E86" s="8" t="s">
        <v>45</v>
      </c>
      <c r="F86" s="8" t="s">
        <v>133</v>
      </c>
      <c r="G86" s="8">
        <v>2023</v>
      </c>
      <c r="H86" s="8" t="str">
        <f>CONCATENATE("34210023114")</f>
        <v>34210023114</v>
      </c>
      <c r="I86" s="8" t="s">
        <v>33</v>
      </c>
      <c r="J86" s="8" t="s">
        <v>34</v>
      </c>
      <c r="K86" s="8" t="str">
        <f t="shared" si="3"/>
        <v/>
      </c>
      <c r="L86" s="8" t="str">
        <f t="shared" si="6"/>
        <v>13 13.1 4a</v>
      </c>
      <c r="M86" s="8" t="str">
        <f>CONCATENATE("LAILRA86C60A252Q")</f>
        <v>LAILRA86C60A252Q</v>
      </c>
      <c r="N86" s="8" t="s">
        <v>136</v>
      </c>
      <c r="O86" s="8" t="s">
        <v>36</v>
      </c>
      <c r="P86" s="8" t="s">
        <v>149</v>
      </c>
      <c r="Q86" s="9">
        <v>45461</v>
      </c>
      <c r="R86" s="8" t="s">
        <v>38</v>
      </c>
      <c r="S86" s="8" t="s">
        <v>39</v>
      </c>
      <c r="T86" s="8" t="s">
        <v>40</v>
      </c>
      <c r="U86" s="8"/>
      <c r="V86" s="8" t="s">
        <v>41</v>
      </c>
      <c r="W86" s="10">
        <v>7690.33</v>
      </c>
      <c r="X86" s="10">
        <v>3316.07</v>
      </c>
      <c r="Y86" s="10">
        <v>3062.29</v>
      </c>
      <c r="Z86" s="10">
        <v>1311.97</v>
      </c>
      <c r="AA86" s="8">
        <v>0</v>
      </c>
    </row>
    <row r="87" spans="1:27" ht="49.5" x14ac:dyDescent="0.35">
      <c r="A87" s="8" t="s">
        <v>28</v>
      </c>
      <c r="B87" s="8" t="s">
        <v>59</v>
      </c>
      <c r="C87" s="8" t="s">
        <v>30</v>
      </c>
      <c r="D87" s="8" t="s">
        <v>42</v>
      </c>
      <c r="E87" s="8" t="s">
        <v>45</v>
      </c>
      <c r="F87" s="8" t="s">
        <v>111</v>
      </c>
      <c r="G87" s="8">
        <v>2023</v>
      </c>
      <c r="H87" s="8" t="str">
        <f>CONCATENATE("34210060934")</f>
        <v>34210060934</v>
      </c>
      <c r="I87" s="8" t="s">
        <v>33</v>
      </c>
      <c r="J87" s="8" t="s">
        <v>34</v>
      </c>
      <c r="K87" s="8" t="str">
        <f t="shared" si="3"/>
        <v/>
      </c>
      <c r="L87" s="8" t="str">
        <f t="shared" si="6"/>
        <v>13 13.1 4a</v>
      </c>
      <c r="M87" s="8" t="str">
        <f>CONCATENATE("NBRBNR64H18G337A")</f>
        <v>NBRBNR64H18G337A</v>
      </c>
      <c r="N87" s="8" t="s">
        <v>167</v>
      </c>
      <c r="O87" s="8" t="s">
        <v>36</v>
      </c>
      <c r="P87" s="8" t="s">
        <v>149</v>
      </c>
      <c r="Q87" s="9">
        <v>45461</v>
      </c>
      <c r="R87" s="8" t="s">
        <v>38</v>
      </c>
      <c r="S87" s="8" t="s">
        <v>39</v>
      </c>
      <c r="T87" s="8" t="s">
        <v>40</v>
      </c>
      <c r="U87" s="8"/>
      <c r="V87" s="8" t="s">
        <v>41</v>
      </c>
      <c r="W87" s="8">
        <v>759.28</v>
      </c>
      <c r="X87" s="8">
        <v>327.39999999999998</v>
      </c>
      <c r="Y87" s="8">
        <v>302.35000000000002</v>
      </c>
      <c r="Z87" s="8">
        <v>129.53</v>
      </c>
      <c r="AA87" s="8">
        <v>0</v>
      </c>
    </row>
    <row r="88" spans="1:27" ht="25.5" x14ac:dyDescent="0.35">
      <c r="A88" s="8" t="s">
        <v>28</v>
      </c>
      <c r="B88" s="8" t="s">
        <v>59</v>
      </c>
      <c r="C88" s="8" t="s">
        <v>30</v>
      </c>
      <c r="D88" s="8" t="s">
        <v>31</v>
      </c>
      <c r="E88" s="8" t="s">
        <v>66</v>
      </c>
      <c r="F88" s="8" t="s">
        <v>91</v>
      </c>
      <c r="G88" s="8">
        <v>2023</v>
      </c>
      <c r="H88" s="8" t="str">
        <f>CONCATENATE("34210339981")</f>
        <v>34210339981</v>
      </c>
      <c r="I88" s="8" t="s">
        <v>33</v>
      </c>
      <c r="J88" s="8" t="s">
        <v>34</v>
      </c>
      <c r="K88" s="8" t="str">
        <f t="shared" si="3"/>
        <v/>
      </c>
      <c r="L88" s="8" t="str">
        <f t="shared" si="6"/>
        <v>13 13.1 4a</v>
      </c>
      <c r="M88" s="8" t="str">
        <f>CONCATENATE("01975760438")</f>
        <v>01975760438</v>
      </c>
      <c r="N88" s="8" t="s">
        <v>92</v>
      </c>
      <c r="O88" s="8" t="s">
        <v>36</v>
      </c>
      <c r="P88" s="8" t="s">
        <v>149</v>
      </c>
      <c r="Q88" s="9">
        <v>45461</v>
      </c>
      <c r="R88" s="8" t="s">
        <v>38</v>
      </c>
      <c r="S88" s="8" t="s">
        <v>39</v>
      </c>
      <c r="T88" s="8" t="s">
        <v>40</v>
      </c>
      <c r="U88" s="8"/>
      <c r="V88" s="8" t="s">
        <v>41</v>
      </c>
      <c r="W88" s="10">
        <v>11250</v>
      </c>
      <c r="X88" s="10">
        <v>4851</v>
      </c>
      <c r="Y88" s="10">
        <v>4479.75</v>
      </c>
      <c r="Z88" s="10">
        <v>1919.25</v>
      </c>
      <c r="AA88" s="8">
        <v>0</v>
      </c>
    </row>
    <row r="89" spans="1:27" ht="49.5" x14ac:dyDescent="0.35">
      <c r="A89" s="8" t="s">
        <v>28</v>
      </c>
      <c r="B89" s="8" t="s">
        <v>59</v>
      </c>
      <c r="C89" s="8" t="s">
        <v>30</v>
      </c>
      <c r="D89" s="8" t="s">
        <v>42</v>
      </c>
      <c r="E89" s="8" t="s">
        <v>168</v>
      </c>
      <c r="F89" s="8" t="s">
        <v>169</v>
      </c>
      <c r="G89" s="8">
        <v>2022</v>
      </c>
      <c r="H89" s="8" t="str">
        <f>CONCATENATE("24211522040")</f>
        <v>24211522040</v>
      </c>
      <c r="I89" s="8" t="s">
        <v>33</v>
      </c>
      <c r="J89" s="8" t="s">
        <v>34</v>
      </c>
      <c r="K89" s="8" t="str">
        <f t="shared" si="3"/>
        <v/>
      </c>
      <c r="L89" s="8" t="str">
        <f t="shared" si="6"/>
        <v>13 13.1 4a</v>
      </c>
      <c r="M89" s="8" t="str">
        <f>CONCATENATE("NGLDNY90R03H294N")</f>
        <v>NGLDNY90R03H294N</v>
      </c>
      <c r="N89" s="8" t="s">
        <v>170</v>
      </c>
      <c r="O89" s="8" t="s">
        <v>36</v>
      </c>
      <c r="P89" s="8" t="s">
        <v>149</v>
      </c>
      <c r="Q89" s="9">
        <v>45461</v>
      </c>
      <c r="R89" s="8" t="s">
        <v>38</v>
      </c>
      <c r="S89" s="8" t="s">
        <v>39</v>
      </c>
      <c r="T89" s="8" t="s">
        <v>40</v>
      </c>
      <c r="U89" s="8"/>
      <c r="V89" s="8" t="s">
        <v>41</v>
      </c>
      <c r="W89" s="8">
        <v>614.79999999999995</v>
      </c>
      <c r="X89" s="8">
        <v>265.10000000000002</v>
      </c>
      <c r="Y89" s="8">
        <v>244.81</v>
      </c>
      <c r="Z89" s="8">
        <v>104.89</v>
      </c>
      <c r="AA89" s="8">
        <v>0</v>
      </c>
    </row>
    <row r="90" spans="1:27" ht="41.5" x14ac:dyDescent="0.35">
      <c r="A90" s="8" t="s">
        <v>28</v>
      </c>
      <c r="B90" s="8" t="s">
        <v>59</v>
      </c>
      <c r="C90" s="8" t="s">
        <v>30</v>
      </c>
      <c r="D90" s="8" t="s">
        <v>42</v>
      </c>
      <c r="E90" s="8" t="s">
        <v>74</v>
      </c>
      <c r="F90" s="8" t="s">
        <v>171</v>
      </c>
      <c r="G90" s="8">
        <v>2023</v>
      </c>
      <c r="H90" s="8" t="str">
        <f>CONCATENATE("34210044979")</f>
        <v>34210044979</v>
      </c>
      <c r="I90" s="8" t="s">
        <v>33</v>
      </c>
      <c r="J90" s="8" t="s">
        <v>34</v>
      </c>
      <c r="K90" s="8" t="str">
        <f t="shared" si="3"/>
        <v/>
      </c>
      <c r="L90" s="8" t="str">
        <f t="shared" si="6"/>
        <v>13 13.1 4a</v>
      </c>
      <c r="M90" s="8" t="str">
        <f>CONCATENATE("GRGMRA32M15Z404V")</f>
        <v>GRGMRA32M15Z404V</v>
      </c>
      <c r="N90" s="8" t="s">
        <v>172</v>
      </c>
      <c r="O90" s="8" t="s">
        <v>36</v>
      </c>
      <c r="P90" s="8" t="s">
        <v>149</v>
      </c>
      <c r="Q90" s="9">
        <v>45461</v>
      </c>
      <c r="R90" s="8" t="s">
        <v>38</v>
      </c>
      <c r="S90" s="8" t="s">
        <v>39</v>
      </c>
      <c r="T90" s="8" t="s">
        <v>40</v>
      </c>
      <c r="U90" s="8"/>
      <c r="V90" s="8" t="s">
        <v>41</v>
      </c>
      <c r="W90" s="10">
        <v>8918.76</v>
      </c>
      <c r="X90" s="10">
        <v>3845.77</v>
      </c>
      <c r="Y90" s="10">
        <v>3551.45</v>
      </c>
      <c r="Z90" s="10">
        <v>1521.54</v>
      </c>
      <c r="AA90" s="8">
        <v>0</v>
      </c>
    </row>
    <row r="91" spans="1:27" ht="41.5" x14ac:dyDescent="0.35">
      <c r="A91" s="8" t="s">
        <v>28</v>
      </c>
      <c r="B91" s="8" t="s">
        <v>59</v>
      </c>
      <c r="C91" s="8" t="s">
        <v>30</v>
      </c>
      <c r="D91" s="8" t="s">
        <v>44</v>
      </c>
      <c r="E91" s="8" t="s">
        <v>85</v>
      </c>
      <c r="F91" s="8" t="s">
        <v>173</v>
      </c>
      <c r="G91" s="8">
        <v>2023</v>
      </c>
      <c r="H91" s="8" t="str">
        <f>CONCATENATE("34210110127")</f>
        <v>34210110127</v>
      </c>
      <c r="I91" s="8" t="s">
        <v>33</v>
      </c>
      <c r="J91" s="8" t="s">
        <v>34</v>
      </c>
      <c r="K91" s="8" t="str">
        <f t="shared" si="3"/>
        <v/>
      </c>
      <c r="L91" s="8" t="str">
        <f>CONCATENATE("13 13.1 4a")</f>
        <v>13 13.1 4a</v>
      </c>
      <c r="M91" s="8" t="str">
        <f>CONCATENATE("CRBLGN60E22F570O")</f>
        <v>CRBLGN60E22F570O</v>
      </c>
      <c r="N91" s="8" t="s">
        <v>174</v>
      </c>
      <c r="O91" s="8" t="s">
        <v>36</v>
      </c>
      <c r="P91" s="8" t="s">
        <v>149</v>
      </c>
      <c r="Q91" s="9">
        <v>45461</v>
      </c>
      <c r="R91" s="8" t="s">
        <v>38</v>
      </c>
      <c r="S91" s="8" t="s">
        <v>39</v>
      </c>
      <c r="T91" s="8" t="s">
        <v>40</v>
      </c>
      <c r="U91" s="8"/>
      <c r="V91" s="8" t="s">
        <v>41</v>
      </c>
      <c r="W91" s="10">
        <v>4390.2</v>
      </c>
      <c r="X91" s="10">
        <v>1893.05</v>
      </c>
      <c r="Y91" s="10">
        <v>1748.18</v>
      </c>
      <c r="Z91" s="8">
        <v>748.97</v>
      </c>
      <c r="AA91" s="8">
        <v>0</v>
      </c>
    </row>
    <row r="92" spans="1:27" ht="41.5" x14ac:dyDescent="0.35">
      <c r="A92" s="8" t="s">
        <v>28</v>
      </c>
      <c r="B92" s="8" t="s">
        <v>29</v>
      </c>
      <c r="C92" s="8" t="s">
        <v>30</v>
      </c>
      <c r="D92" s="8" t="s">
        <v>31</v>
      </c>
      <c r="E92" s="8" t="s">
        <v>32</v>
      </c>
      <c r="F92" s="8" t="s">
        <v>32</v>
      </c>
      <c r="G92" s="8">
        <v>2017</v>
      </c>
      <c r="H92" s="8" t="str">
        <f>CONCATENATE("44270106535")</f>
        <v>44270106535</v>
      </c>
      <c r="I92" s="8" t="s">
        <v>33</v>
      </c>
      <c r="J92" s="8" t="s">
        <v>34</v>
      </c>
      <c r="K92" s="8" t="str">
        <f t="shared" si="3"/>
        <v/>
      </c>
      <c r="L92" s="8" t="str">
        <f>CONCATENATE("1 1.1 2a")</f>
        <v>1 1.1 2a</v>
      </c>
      <c r="M92" s="8" t="str">
        <f>CONCATENATE("PLMLGU74H07E388P")</f>
        <v>PLMLGU74H07E388P</v>
      </c>
      <c r="N92" s="8" t="s">
        <v>175</v>
      </c>
      <c r="O92" s="8" t="s">
        <v>36</v>
      </c>
      <c r="P92" s="8" t="s">
        <v>176</v>
      </c>
      <c r="Q92" s="9">
        <v>45462</v>
      </c>
      <c r="R92" s="8" t="s">
        <v>38</v>
      </c>
      <c r="S92" s="8" t="s">
        <v>39</v>
      </c>
      <c r="T92" s="8" t="s">
        <v>40</v>
      </c>
      <c r="U92" s="8"/>
      <c r="V92" s="8" t="s">
        <v>41</v>
      </c>
      <c r="W92" s="10">
        <v>2640</v>
      </c>
      <c r="X92" s="10">
        <v>1138.3699999999999</v>
      </c>
      <c r="Y92" s="10">
        <v>1051.25</v>
      </c>
      <c r="Z92" s="8">
        <v>450.38</v>
      </c>
      <c r="AA92" s="8">
        <v>0</v>
      </c>
    </row>
    <row r="93" spans="1:27" ht="41.5" x14ac:dyDescent="0.35">
      <c r="A93" s="8" t="s">
        <v>28</v>
      </c>
      <c r="B93" s="8" t="s">
        <v>29</v>
      </c>
      <c r="C93" s="8" t="s">
        <v>30</v>
      </c>
      <c r="D93" s="8" t="s">
        <v>44</v>
      </c>
      <c r="E93" s="8" t="s">
        <v>45</v>
      </c>
      <c r="F93" s="8" t="s">
        <v>116</v>
      </c>
      <c r="G93" s="8">
        <v>2017</v>
      </c>
      <c r="H93" s="8" t="str">
        <f>CONCATENATE("44270108598")</f>
        <v>44270108598</v>
      </c>
      <c r="I93" s="8" t="s">
        <v>33</v>
      </c>
      <c r="J93" s="8" t="s">
        <v>34</v>
      </c>
      <c r="K93" s="8" t="str">
        <f t="shared" si="3"/>
        <v/>
      </c>
      <c r="L93" s="8" t="str">
        <f>CONCATENATE("6 6.4 2a")</f>
        <v>6 6.4 2a</v>
      </c>
      <c r="M93" s="8" t="str">
        <f>CONCATENATE("MRSNDR92L04D542P")</f>
        <v>MRSNDR92L04D542P</v>
      </c>
      <c r="N93" s="8" t="s">
        <v>117</v>
      </c>
      <c r="O93" s="8" t="s">
        <v>36</v>
      </c>
      <c r="P93" s="8" t="s">
        <v>177</v>
      </c>
      <c r="Q93" s="9">
        <v>45462</v>
      </c>
      <c r="R93" s="8" t="s">
        <v>38</v>
      </c>
      <c r="S93" s="8" t="s">
        <v>119</v>
      </c>
      <c r="T93" s="8" t="s">
        <v>40</v>
      </c>
      <c r="U93" s="8"/>
      <c r="V93" s="8" t="s">
        <v>41</v>
      </c>
      <c r="W93" s="10">
        <v>41212.199999999997</v>
      </c>
      <c r="X93" s="10">
        <v>17770.7</v>
      </c>
      <c r="Y93" s="10">
        <v>16410.7</v>
      </c>
      <c r="Z93" s="10">
        <v>7030.8</v>
      </c>
      <c r="AA93" s="8">
        <v>0</v>
      </c>
    </row>
    <row r="94" spans="1:27" ht="41.5" x14ac:dyDescent="0.35">
      <c r="A94" s="8" t="s">
        <v>28</v>
      </c>
      <c r="B94" s="8" t="s">
        <v>59</v>
      </c>
      <c r="C94" s="8" t="s">
        <v>30</v>
      </c>
      <c r="D94" s="8" t="s">
        <v>31</v>
      </c>
      <c r="E94" s="8" t="s">
        <v>45</v>
      </c>
      <c r="F94" s="8" t="s">
        <v>60</v>
      </c>
      <c r="G94" s="8">
        <v>2023</v>
      </c>
      <c r="H94" s="8" t="str">
        <f>CONCATENATE("34240260991")</f>
        <v>34240260991</v>
      </c>
      <c r="I94" s="8" t="s">
        <v>51</v>
      </c>
      <c r="J94" s="8" t="s">
        <v>34</v>
      </c>
      <c r="K94" s="8" t="str">
        <f t="shared" si="3"/>
        <v/>
      </c>
      <c r="L94" s="8" t="str">
        <f>CONCATENATE("11 11.2 4b")</f>
        <v>11 11.2 4b</v>
      </c>
      <c r="M94" s="8" t="str">
        <f>CONCATENATE("HRBMRA73E63Z138N")</f>
        <v>HRBMRA73E63Z138N</v>
      </c>
      <c r="N94" s="8" t="s">
        <v>61</v>
      </c>
      <c r="O94" s="8" t="s">
        <v>36</v>
      </c>
      <c r="P94" s="8" t="s">
        <v>125</v>
      </c>
      <c r="Q94" s="9">
        <v>45461</v>
      </c>
      <c r="R94" s="8" t="s">
        <v>38</v>
      </c>
      <c r="S94" s="8" t="s">
        <v>39</v>
      </c>
      <c r="T94" s="8" t="s">
        <v>40</v>
      </c>
      <c r="U94" s="8"/>
      <c r="V94" s="8" t="s">
        <v>41</v>
      </c>
      <c r="W94" s="10">
        <v>1205.23</v>
      </c>
      <c r="X94" s="8">
        <v>519.70000000000005</v>
      </c>
      <c r="Y94" s="8">
        <v>479.92</v>
      </c>
      <c r="Z94" s="8">
        <v>205.61</v>
      </c>
      <c r="AA94" s="8">
        <v>0</v>
      </c>
    </row>
    <row r="95" spans="1:27" ht="49.5" x14ac:dyDescent="0.35">
      <c r="A95" s="8" t="s">
        <v>28</v>
      </c>
      <c r="B95" s="8" t="s">
        <v>59</v>
      </c>
      <c r="C95" s="8" t="s">
        <v>30</v>
      </c>
      <c r="D95" s="8" t="s">
        <v>31</v>
      </c>
      <c r="E95" s="8" t="s">
        <v>63</v>
      </c>
      <c r="F95" s="8" t="s">
        <v>81</v>
      </c>
      <c r="G95" s="8">
        <v>2023</v>
      </c>
      <c r="H95" s="8" t="str">
        <f>CONCATENATE("34240280957")</f>
        <v>34240280957</v>
      </c>
      <c r="I95" s="8" t="s">
        <v>51</v>
      </c>
      <c r="J95" s="8" t="s">
        <v>34</v>
      </c>
      <c r="K95" s="8" t="str">
        <f t="shared" si="3"/>
        <v/>
      </c>
      <c r="L95" s="8" t="str">
        <f>CONCATENATE("11 11.2 4b")</f>
        <v>11 11.2 4b</v>
      </c>
      <c r="M95" s="8" t="str">
        <f>CONCATENATE("DLLGNN75D20D969O")</f>
        <v>DLLGNN75D20D969O</v>
      </c>
      <c r="N95" s="8" t="s">
        <v>178</v>
      </c>
      <c r="O95" s="8" t="s">
        <v>36</v>
      </c>
      <c r="P95" s="8" t="s">
        <v>125</v>
      </c>
      <c r="Q95" s="9">
        <v>45461</v>
      </c>
      <c r="R95" s="8" t="s">
        <v>38</v>
      </c>
      <c r="S95" s="8" t="s">
        <v>39</v>
      </c>
      <c r="T95" s="8" t="s">
        <v>40</v>
      </c>
      <c r="U95" s="8"/>
      <c r="V95" s="8" t="s">
        <v>41</v>
      </c>
      <c r="W95" s="8">
        <v>943.6</v>
      </c>
      <c r="X95" s="8">
        <v>406.88</v>
      </c>
      <c r="Y95" s="8">
        <v>375.74</v>
      </c>
      <c r="Z95" s="8">
        <v>160.97999999999999</v>
      </c>
      <c r="AA95" s="8">
        <v>0</v>
      </c>
    </row>
    <row r="96" spans="1:27" ht="25.5" x14ac:dyDescent="0.35">
      <c r="A96" s="8" t="s">
        <v>28</v>
      </c>
      <c r="B96" s="8" t="s">
        <v>59</v>
      </c>
      <c r="C96" s="8" t="s">
        <v>30</v>
      </c>
      <c r="D96" s="8" t="s">
        <v>31</v>
      </c>
      <c r="E96" s="8" t="s">
        <v>63</v>
      </c>
      <c r="F96" s="8" t="s">
        <v>103</v>
      </c>
      <c r="G96" s="8">
        <v>2023</v>
      </c>
      <c r="H96" s="8" t="str">
        <f>CONCATENATE("34240558956")</f>
        <v>34240558956</v>
      </c>
      <c r="I96" s="8" t="s">
        <v>51</v>
      </c>
      <c r="J96" s="8" t="s">
        <v>34</v>
      </c>
      <c r="K96" s="8" t="str">
        <f t="shared" si="3"/>
        <v/>
      </c>
      <c r="L96" s="8" t="str">
        <f t="shared" ref="L96:L101" si="7">CONCATENATE("11 11.2 4b")</f>
        <v>11 11.2 4b</v>
      </c>
      <c r="M96" s="8" t="str">
        <f>CONCATENATE("01970820435")</f>
        <v>01970820435</v>
      </c>
      <c r="N96" s="8" t="s">
        <v>179</v>
      </c>
      <c r="O96" s="8" t="s">
        <v>36</v>
      </c>
      <c r="P96" s="8" t="s">
        <v>125</v>
      </c>
      <c r="Q96" s="9">
        <v>45461</v>
      </c>
      <c r="R96" s="8" t="s">
        <v>38</v>
      </c>
      <c r="S96" s="8" t="s">
        <v>39</v>
      </c>
      <c r="T96" s="8" t="s">
        <v>40</v>
      </c>
      <c r="U96" s="8"/>
      <c r="V96" s="8" t="s">
        <v>41</v>
      </c>
      <c r="W96" s="8">
        <v>709.39</v>
      </c>
      <c r="X96" s="8">
        <v>305.89</v>
      </c>
      <c r="Y96" s="8">
        <v>282.48</v>
      </c>
      <c r="Z96" s="8">
        <v>121.02</v>
      </c>
      <c r="AA96" s="8">
        <v>0</v>
      </c>
    </row>
    <row r="97" spans="1:27" ht="25.5" x14ac:dyDescent="0.35">
      <c r="A97" s="8" t="s">
        <v>28</v>
      </c>
      <c r="B97" s="8" t="s">
        <v>59</v>
      </c>
      <c r="C97" s="8" t="s">
        <v>30</v>
      </c>
      <c r="D97" s="8" t="s">
        <v>31</v>
      </c>
      <c r="E97" s="8" t="s">
        <v>85</v>
      </c>
      <c r="F97" s="8" t="s">
        <v>89</v>
      </c>
      <c r="G97" s="8">
        <v>2023</v>
      </c>
      <c r="H97" s="8" t="str">
        <f>CONCATENATE("34240387141")</f>
        <v>34240387141</v>
      </c>
      <c r="I97" s="8" t="s">
        <v>51</v>
      </c>
      <c r="J97" s="8" t="s">
        <v>34</v>
      </c>
      <c r="K97" s="8" t="str">
        <f t="shared" si="3"/>
        <v/>
      </c>
      <c r="L97" s="8" t="str">
        <f t="shared" si="7"/>
        <v>11 11.2 4b</v>
      </c>
      <c r="M97" s="8" t="str">
        <f>CONCATENATE("00847340437")</f>
        <v>00847340437</v>
      </c>
      <c r="N97" s="8" t="s">
        <v>180</v>
      </c>
      <c r="O97" s="8" t="s">
        <v>36</v>
      </c>
      <c r="P97" s="8" t="s">
        <v>125</v>
      </c>
      <c r="Q97" s="9">
        <v>45461</v>
      </c>
      <c r="R97" s="8" t="s">
        <v>38</v>
      </c>
      <c r="S97" s="8" t="s">
        <v>39</v>
      </c>
      <c r="T97" s="8" t="s">
        <v>40</v>
      </c>
      <c r="U97" s="8"/>
      <c r="V97" s="8" t="s">
        <v>41</v>
      </c>
      <c r="W97" s="10">
        <v>4532.4399999999996</v>
      </c>
      <c r="X97" s="10">
        <v>1954.39</v>
      </c>
      <c r="Y97" s="10">
        <v>1804.82</v>
      </c>
      <c r="Z97" s="8">
        <v>773.23</v>
      </c>
      <c r="AA97" s="8">
        <v>0</v>
      </c>
    </row>
    <row r="98" spans="1:27" ht="25.5" x14ac:dyDescent="0.35">
      <c r="A98" s="8" t="s">
        <v>28</v>
      </c>
      <c r="B98" s="8" t="s">
        <v>59</v>
      </c>
      <c r="C98" s="8" t="s">
        <v>30</v>
      </c>
      <c r="D98" s="8" t="s">
        <v>31</v>
      </c>
      <c r="E98" s="8" t="s">
        <v>85</v>
      </c>
      <c r="F98" s="8" t="s">
        <v>89</v>
      </c>
      <c r="G98" s="8">
        <v>2023</v>
      </c>
      <c r="H98" s="8" t="str">
        <f>CONCATENATE("34240387638")</f>
        <v>34240387638</v>
      </c>
      <c r="I98" s="8" t="s">
        <v>51</v>
      </c>
      <c r="J98" s="8" t="s">
        <v>34</v>
      </c>
      <c r="K98" s="8" t="str">
        <f t="shared" si="3"/>
        <v/>
      </c>
      <c r="L98" s="8" t="str">
        <f t="shared" si="7"/>
        <v>11 11.2 4b</v>
      </c>
      <c r="M98" s="8" t="str">
        <f>CONCATENATE("00847340437")</f>
        <v>00847340437</v>
      </c>
      <c r="N98" s="8" t="s">
        <v>180</v>
      </c>
      <c r="O98" s="8" t="s">
        <v>36</v>
      </c>
      <c r="P98" s="8" t="s">
        <v>125</v>
      </c>
      <c r="Q98" s="9">
        <v>45461</v>
      </c>
      <c r="R98" s="8" t="s">
        <v>38</v>
      </c>
      <c r="S98" s="8" t="s">
        <v>39</v>
      </c>
      <c r="T98" s="8" t="s">
        <v>40</v>
      </c>
      <c r="U98" s="8"/>
      <c r="V98" s="8" t="s">
        <v>41</v>
      </c>
      <c r="W98" s="10">
        <v>1524.03</v>
      </c>
      <c r="X98" s="8">
        <v>657.16</v>
      </c>
      <c r="Y98" s="8">
        <v>606.87</v>
      </c>
      <c r="Z98" s="8">
        <v>260</v>
      </c>
      <c r="AA98" s="8">
        <v>0</v>
      </c>
    </row>
    <row r="99" spans="1:27" ht="41.5" x14ac:dyDescent="0.35">
      <c r="A99" s="8" t="s">
        <v>28</v>
      </c>
      <c r="B99" s="8" t="s">
        <v>59</v>
      </c>
      <c r="C99" s="8" t="s">
        <v>30</v>
      </c>
      <c r="D99" s="8" t="s">
        <v>31</v>
      </c>
      <c r="E99" s="8" t="s">
        <v>85</v>
      </c>
      <c r="F99" s="8" t="s">
        <v>89</v>
      </c>
      <c r="G99" s="8">
        <v>2023</v>
      </c>
      <c r="H99" s="8" t="str">
        <f>CONCATENATE("34240475664")</f>
        <v>34240475664</v>
      </c>
      <c r="I99" s="8" t="s">
        <v>51</v>
      </c>
      <c r="J99" s="8" t="s">
        <v>34</v>
      </c>
      <c r="K99" s="8" t="str">
        <f t="shared" si="3"/>
        <v/>
      </c>
      <c r="L99" s="8" t="str">
        <f t="shared" si="7"/>
        <v>11 11.2 4b</v>
      </c>
      <c r="M99" s="8" t="str">
        <f>CONCATENATE("SCDMSL64C03I156L")</f>
        <v>SCDMSL64C03I156L</v>
      </c>
      <c r="N99" s="8" t="s">
        <v>181</v>
      </c>
      <c r="O99" s="8" t="s">
        <v>36</v>
      </c>
      <c r="P99" s="8" t="s">
        <v>125</v>
      </c>
      <c r="Q99" s="9">
        <v>45461</v>
      </c>
      <c r="R99" s="8" t="s">
        <v>38</v>
      </c>
      <c r="S99" s="8" t="s">
        <v>39</v>
      </c>
      <c r="T99" s="8" t="s">
        <v>40</v>
      </c>
      <c r="U99" s="8"/>
      <c r="V99" s="8" t="s">
        <v>41</v>
      </c>
      <c r="W99" s="10">
        <v>1981.95</v>
      </c>
      <c r="X99" s="8">
        <v>854.62</v>
      </c>
      <c r="Y99" s="8">
        <v>789.21</v>
      </c>
      <c r="Z99" s="8">
        <v>338.12</v>
      </c>
      <c r="AA99" s="8">
        <v>0</v>
      </c>
    </row>
    <row r="100" spans="1:27" ht="41.5" x14ac:dyDescent="0.35">
      <c r="A100" s="8" t="s">
        <v>28</v>
      </c>
      <c r="B100" s="8" t="s">
        <v>59</v>
      </c>
      <c r="C100" s="8" t="s">
        <v>30</v>
      </c>
      <c r="D100" s="8" t="s">
        <v>31</v>
      </c>
      <c r="E100" s="8" t="s">
        <v>45</v>
      </c>
      <c r="F100" s="8" t="s">
        <v>95</v>
      </c>
      <c r="G100" s="8">
        <v>2023</v>
      </c>
      <c r="H100" s="8" t="str">
        <f>CONCATENATE("34240496769")</f>
        <v>34240496769</v>
      </c>
      <c r="I100" s="8" t="s">
        <v>51</v>
      </c>
      <c r="J100" s="8" t="s">
        <v>34</v>
      </c>
      <c r="K100" s="8" t="str">
        <f t="shared" si="3"/>
        <v/>
      </c>
      <c r="L100" s="8" t="str">
        <f t="shared" si="7"/>
        <v>11 11.2 4b</v>
      </c>
      <c r="M100" s="8" t="str">
        <f>CONCATENATE("FTTSMN98H29I156K")</f>
        <v>FTTSMN98H29I156K</v>
      </c>
      <c r="N100" s="8" t="s">
        <v>182</v>
      </c>
      <c r="O100" s="8" t="s">
        <v>36</v>
      </c>
      <c r="P100" s="8" t="s">
        <v>125</v>
      </c>
      <c r="Q100" s="9">
        <v>45461</v>
      </c>
      <c r="R100" s="8" t="s">
        <v>38</v>
      </c>
      <c r="S100" s="8" t="s">
        <v>39</v>
      </c>
      <c r="T100" s="8" t="s">
        <v>40</v>
      </c>
      <c r="U100" s="8"/>
      <c r="V100" s="8" t="s">
        <v>41</v>
      </c>
      <c r="W100" s="8">
        <v>356.85</v>
      </c>
      <c r="X100" s="8">
        <v>153.87</v>
      </c>
      <c r="Y100" s="8">
        <v>142.1</v>
      </c>
      <c r="Z100" s="8">
        <v>60.88</v>
      </c>
      <c r="AA100" s="8">
        <v>0</v>
      </c>
    </row>
    <row r="101" spans="1:27" ht="41.5" x14ac:dyDescent="0.35">
      <c r="A101" s="8" t="s">
        <v>28</v>
      </c>
      <c r="B101" s="8" t="s">
        <v>59</v>
      </c>
      <c r="C101" s="8" t="s">
        <v>30</v>
      </c>
      <c r="D101" s="8" t="s">
        <v>31</v>
      </c>
      <c r="E101" s="8" t="s">
        <v>63</v>
      </c>
      <c r="F101" s="8" t="s">
        <v>140</v>
      </c>
      <c r="G101" s="8">
        <v>2023</v>
      </c>
      <c r="H101" s="8" t="str">
        <f>CONCATENATE("34240300813")</f>
        <v>34240300813</v>
      </c>
      <c r="I101" s="8" t="s">
        <v>51</v>
      </c>
      <c r="J101" s="8" t="s">
        <v>34</v>
      </c>
      <c r="K101" s="8" t="str">
        <f t="shared" si="3"/>
        <v/>
      </c>
      <c r="L101" s="8" t="str">
        <f t="shared" si="7"/>
        <v>11 11.2 4b</v>
      </c>
      <c r="M101" s="8" t="str">
        <f>CONCATENATE("FCCGPP90E17H282N")</f>
        <v>FCCGPP90E17H282N</v>
      </c>
      <c r="N101" s="8" t="s">
        <v>183</v>
      </c>
      <c r="O101" s="8" t="s">
        <v>36</v>
      </c>
      <c r="P101" s="8" t="s">
        <v>125</v>
      </c>
      <c r="Q101" s="9">
        <v>45461</v>
      </c>
      <c r="R101" s="8" t="s">
        <v>38</v>
      </c>
      <c r="S101" s="8" t="s">
        <v>39</v>
      </c>
      <c r="T101" s="8" t="s">
        <v>40</v>
      </c>
      <c r="U101" s="8"/>
      <c r="V101" s="8" t="s">
        <v>41</v>
      </c>
      <c r="W101" s="10">
        <v>16251.44</v>
      </c>
      <c r="X101" s="10">
        <v>7007.62</v>
      </c>
      <c r="Y101" s="10">
        <v>6471.32</v>
      </c>
      <c r="Z101" s="10">
        <v>2772.5</v>
      </c>
      <c r="AA101" s="8">
        <v>0</v>
      </c>
    </row>
    <row r="102" spans="1:27" ht="41.5" x14ac:dyDescent="0.35">
      <c r="A102" s="8" t="s">
        <v>28</v>
      </c>
      <c r="B102" s="8" t="s">
        <v>59</v>
      </c>
      <c r="C102" s="8" t="s">
        <v>30</v>
      </c>
      <c r="D102" s="8" t="s">
        <v>31</v>
      </c>
      <c r="E102" s="8" t="s">
        <v>63</v>
      </c>
      <c r="F102" s="8" t="s">
        <v>140</v>
      </c>
      <c r="G102" s="8">
        <v>2023</v>
      </c>
      <c r="H102" s="8" t="str">
        <f>CONCATENATE("34210039409")</f>
        <v>34210039409</v>
      </c>
      <c r="I102" s="8" t="s">
        <v>51</v>
      </c>
      <c r="J102" s="8" t="s">
        <v>34</v>
      </c>
      <c r="K102" s="8" t="str">
        <f t="shared" si="3"/>
        <v/>
      </c>
      <c r="L102" s="8" t="str">
        <f>CONCATENATE("13 13.1 4a")</f>
        <v>13 13.1 4a</v>
      </c>
      <c r="M102" s="8" t="str">
        <f>CONCATENATE("FCCGPP90E17H282N")</f>
        <v>FCCGPP90E17H282N</v>
      </c>
      <c r="N102" s="8" t="s">
        <v>183</v>
      </c>
      <c r="O102" s="8" t="s">
        <v>36</v>
      </c>
      <c r="P102" s="8" t="s">
        <v>149</v>
      </c>
      <c r="Q102" s="9">
        <v>45461</v>
      </c>
      <c r="R102" s="8" t="s">
        <v>38</v>
      </c>
      <c r="S102" s="8" t="s">
        <v>39</v>
      </c>
      <c r="T102" s="8" t="s">
        <v>40</v>
      </c>
      <c r="U102" s="8"/>
      <c r="V102" s="8" t="s">
        <v>41</v>
      </c>
      <c r="W102" s="10">
        <v>6496.94</v>
      </c>
      <c r="X102" s="10">
        <v>2801.48</v>
      </c>
      <c r="Y102" s="10">
        <v>2587.08</v>
      </c>
      <c r="Z102" s="10">
        <v>1108.3800000000001</v>
      </c>
      <c r="AA102" s="8">
        <v>0</v>
      </c>
    </row>
    <row r="103" spans="1:27" ht="41.5" x14ac:dyDescent="0.35">
      <c r="A103" s="8" t="s">
        <v>28</v>
      </c>
      <c r="B103" s="8" t="s">
        <v>59</v>
      </c>
      <c r="C103" s="8" t="s">
        <v>30</v>
      </c>
      <c r="D103" s="8" t="s">
        <v>31</v>
      </c>
      <c r="E103" s="8" t="s">
        <v>45</v>
      </c>
      <c r="F103" s="8" t="s">
        <v>95</v>
      </c>
      <c r="G103" s="8">
        <v>2023</v>
      </c>
      <c r="H103" s="8" t="str">
        <f>CONCATENATE("34240248871")</f>
        <v>34240248871</v>
      </c>
      <c r="I103" s="8" t="s">
        <v>51</v>
      </c>
      <c r="J103" s="8" t="s">
        <v>34</v>
      </c>
      <c r="K103" s="8" t="str">
        <f t="shared" si="3"/>
        <v/>
      </c>
      <c r="L103" s="8" t="str">
        <f>CONCATENATE("11 11.2 4b")</f>
        <v>11 11.2 4b</v>
      </c>
      <c r="M103" s="8" t="str">
        <f>CONCATENATE("CNFNLL53D24I156R")</f>
        <v>CNFNLL53D24I156R</v>
      </c>
      <c r="N103" s="8" t="s">
        <v>184</v>
      </c>
      <c r="O103" s="8" t="s">
        <v>36</v>
      </c>
      <c r="P103" s="8" t="s">
        <v>125</v>
      </c>
      <c r="Q103" s="9">
        <v>45461</v>
      </c>
      <c r="R103" s="8" t="s">
        <v>38</v>
      </c>
      <c r="S103" s="8" t="s">
        <v>39</v>
      </c>
      <c r="T103" s="8" t="s">
        <v>40</v>
      </c>
      <c r="U103" s="8"/>
      <c r="V103" s="8" t="s">
        <v>41</v>
      </c>
      <c r="W103" s="8">
        <v>142.68</v>
      </c>
      <c r="X103" s="8">
        <v>61.52</v>
      </c>
      <c r="Y103" s="8">
        <v>56.82</v>
      </c>
      <c r="Z103" s="8">
        <v>24.34</v>
      </c>
      <c r="AA103" s="8">
        <v>0</v>
      </c>
    </row>
    <row r="104" spans="1:27" ht="25.5" x14ac:dyDescent="0.35">
      <c r="A104" s="8" t="s">
        <v>28</v>
      </c>
      <c r="B104" s="8" t="s">
        <v>59</v>
      </c>
      <c r="C104" s="8" t="s">
        <v>30</v>
      </c>
      <c r="D104" s="8" t="s">
        <v>31</v>
      </c>
      <c r="E104" s="8" t="s">
        <v>63</v>
      </c>
      <c r="F104" s="8" t="s">
        <v>103</v>
      </c>
      <c r="G104" s="8">
        <v>2023</v>
      </c>
      <c r="H104" s="8" t="str">
        <f>CONCATENATE("34240414341")</f>
        <v>34240414341</v>
      </c>
      <c r="I104" s="8" t="s">
        <v>51</v>
      </c>
      <c r="J104" s="8" t="s">
        <v>34</v>
      </c>
      <c r="K104" s="8" t="str">
        <f t="shared" si="3"/>
        <v/>
      </c>
      <c r="L104" s="8" t="str">
        <f>CONCATENATE("11 11.2 4b")</f>
        <v>11 11.2 4b</v>
      </c>
      <c r="M104" s="8" t="str">
        <f>CONCATENATE("01914050438")</f>
        <v>01914050438</v>
      </c>
      <c r="N104" s="8" t="s">
        <v>185</v>
      </c>
      <c r="O104" s="8" t="s">
        <v>36</v>
      </c>
      <c r="P104" s="8" t="s">
        <v>125</v>
      </c>
      <c r="Q104" s="9">
        <v>45461</v>
      </c>
      <c r="R104" s="8" t="s">
        <v>38</v>
      </c>
      <c r="S104" s="8" t="s">
        <v>39</v>
      </c>
      <c r="T104" s="8" t="s">
        <v>40</v>
      </c>
      <c r="U104" s="8"/>
      <c r="V104" s="8" t="s">
        <v>41</v>
      </c>
      <c r="W104" s="8">
        <v>607</v>
      </c>
      <c r="X104" s="8">
        <v>261.74</v>
      </c>
      <c r="Y104" s="8">
        <v>241.71</v>
      </c>
      <c r="Z104" s="8">
        <v>103.55</v>
      </c>
      <c r="AA104" s="8">
        <v>0</v>
      </c>
    </row>
    <row r="105" spans="1:27" ht="25.5" x14ac:dyDescent="0.35">
      <c r="A105" s="8" t="s">
        <v>28</v>
      </c>
      <c r="B105" s="8" t="s">
        <v>59</v>
      </c>
      <c r="C105" s="8" t="s">
        <v>30</v>
      </c>
      <c r="D105" s="8" t="s">
        <v>31</v>
      </c>
      <c r="E105" s="8" t="s">
        <v>85</v>
      </c>
      <c r="F105" s="8" t="s">
        <v>89</v>
      </c>
      <c r="G105" s="8">
        <v>2023</v>
      </c>
      <c r="H105" s="8" t="str">
        <f>CONCATENATE("34240224518")</f>
        <v>34240224518</v>
      </c>
      <c r="I105" s="8" t="s">
        <v>51</v>
      </c>
      <c r="J105" s="8" t="s">
        <v>34</v>
      </c>
      <c r="K105" s="8" t="str">
        <f t="shared" si="3"/>
        <v/>
      </c>
      <c r="L105" s="8" t="str">
        <f>CONCATENATE("11 11.2 4b")</f>
        <v>11 11.2 4b</v>
      </c>
      <c r="M105" s="8" t="str">
        <f>CONCATENATE("02015980432")</f>
        <v>02015980432</v>
      </c>
      <c r="N105" s="8" t="s">
        <v>186</v>
      </c>
      <c r="O105" s="8" t="s">
        <v>36</v>
      </c>
      <c r="P105" s="8" t="s">
        <v>125</v>
      </c>
      <c r="Q105" s="9">
        <v>45461</v>
      </c>
      <c r="R105" s="8" t="s">
        <v>38</v>
      </c>
      <c r="S105" s="8" t="s">
        <v>39</v>
      </c>
      <c r="T105" s="8" t="s">
        <v>40</v>
      </c>
      <c r="U105" s="8"/>
      <c r="V105" s="8" t="s">
        <v>41</v>
      </c>
      <c r="W105" s="8">
        <v>173.8</v>
      </c>
      <c r="X105" s="8">
        <v>74.94</v>
      </c>
      <c r="Y105" s="8">
        <v>69.209999999999994</v>
      </c>
      <c r="Z105" s="8">
        <v>29.65</v>
      </c>
      <c r="AA105" s="8">
        <v>0</v>
      </c>
    </row>
    <row r="106" spans="1:27" ht="25.5" x14ac:dyDescent="0.35">
      <c r="A106" s="8" t="s">
        <v>28</v>
      </c>
      <c r="B106" s="8" t="s">
        <v>59</v>
      </c>
      <c r="C106" s="8" t="s">
        <v>30</v>
      </c>
      <c r="D106" s="8" t="s">
        <v>31</v>
      </c>
      <c r="E106" s="8" t="s">
        <v>45</v>
      </c>
      <c r="F106" s="8" t="s">
        <v>133</v>
      </c>
      <c r="G106" s="8">
        <v>2023</v>
      </c>
      <c r="H106" s="8" t="str">
        <f>CONCATENATE("34240519107")</f>
        <v>34240519107</v>
      </c>
      <c r="I106" s="8" t="s">
        <v>51</v>
      </c>
      <c r="J106" s="8" t="s">
        <v>34</v>
      </c>
      <c r="K106" s="8" t="str">
        <f t="shared" ref="K106:K169" si="8">CONCATENATE("")</f>
        <v/>
      </c>
      <c r="L106" s="8" t="str">
        <f>CONCATENATE("11 11.2 4b")</f>
        <v>11 11.2 4b</v>
      </c>
      <c r="M106" s="8" t="str">
        <f>CONCATENATE("01914540438")</f>
        <v>01914540438</v>
      </c>
      <c r="N106" s="8" t="s">
        <v>187</v>
      </c>
      <c r="O106" s="8" t="s">
        <v>36</v>
      </c>
      <c r="P106" s="8" t="s">
        <v>125</v>
      </c>
      <c r="Q106" s="9">
        <v>45461</v>
      </c>
      <c r="R106" s="8" t="s">
        <v>38</v>
      </c>
      <c r="S106" s="8" t="s">
        <v>39</v>
      </c>
      <c r="T106" s="8" t="s">
        <v>40</v>
      </c>
      <c r="U106" s="8"/>
      <c r="V106" s="8" t="s">
        <v>41</v>
      </c>
      <c r="W106" s="10">
        <v>2365.79</v>
      </c>
      <c r="X106" s="10">
        <v>1020.13</v>
      </c>
      <c r="Y106" s="8">
        <v>942.06</v>
      </c>
      <c r="Z106" s="8">
        <v>403.6</v>
      </c>
      <c r="AA106" s="8">
        <v>0</v>
      </c>
    </row>
    <row r="107" spans="1:27" ht="25.5" x14ac:dyDescent="0.35">
      <c r="A107" s="8" t="s">
        <v>28</v>
      </c>
      <c r="B107" s="8" t="s">
        <v>59</v>
      </c>
      <c r="C107" s="8" t="s">
        <v>30</v>
      </c>
      <c r="D107" s="8" t="s">
        <v>31</v>
      </c>
      <c r="E107" s="8" t="s">
        <v>45</v>
      </c>
      <c r="F107" s="8" t="s">
        <v>133</v>
      </c>
      <c r="G107" s="8">
        <v>2023</v>
      </c>
      <c r="H107" s="8" t="str">
        <f>CONCATENATE("34210078357")</f>
        <v>34210078357</v>
      </c>
      <c r="I107" s="8" t="s">
        <v>51</v>
      </c>
      <c r="J107" s="8" t="s">
        <v>34</v>
      </c>
      <c r="K107" s="8" t="str">
        <f t="shared" si="8"/>
        <v/>
      </c>
      <c r="L107" s="8" t="str">
        <f>CONCATENATE("13 13.1 4a")</f>
        <v>13 13.1 4a</v>
      </c>
      <c r="M107" s="8" t="str">
        <f>CONCATENATE("01914540438")</f>
        <v>01914540438</v>
      </c>
      <c r="N107" s="8" t="s">
        <v>187</v>
      </c>
      <c r="O107" s="8" t="s">
        <v>36</v>
      </c>
      <c r="P107" s="8" t="s">
        <v>149</v>
      </c>
      <c r="Q107" s="9">
        <v>45461</v>
      </c>
      <c r="R107" s="8" t="s">
        <v>38</v>
      </c>
      <c r="S107" s="8" t="s">
        <v>39</v>
      </c>
      <c r="T107" s="8" t="s">
        <v>40</v>
      </c>
      <c r="U107" s="8"/>
      <c r="V107" s="8" t="s">
        <v>41</v>
      </c>
      <c r="W107" s="10">
        <v>1488.43</v>
      </c>
      <c r="X107" s="8">
        <v>641.80999999999995</v>
      </c>
      <c r="Y107" s="8">
        <v>592.69000000000005</v>
      </c>
      <c r="Z107" s="8">
        <v>253.93</v>
      </c>
      <c r="AA107" s="8">
        <v>0</v>
      </c>
    </row>
    <row r="108" spans="1:27" ht="25.5" x14ac:dyDescent="0.35">
      <c r="A108" s="8" t="s">
        <v>28</v>
      </c>
      <c r="B108" s="8" t="s">
        <v>59</v>
      </c>
      <c r="C108" s="8" t="s">
        <v>30</v>
      </c>
      <c r="D108" s="8" t="s">
        <v>31</v>
      </c>
      <c r="E108" s="8" t="s">
        <v>32</v>
      </c>
      <c r="F108" s="8" t="s">
        <v>32</v>
      </c>
      <c r="G108" s="8">
        <v>2023</v>
      </c>
      <c r="H108" s="8" t="str">
        <f>CONCATENATE("34240601509")</f>
        <v>34240601509</v>
      </c>
      <c r="I108" s="8" t="s">
        <v>51</v>
      </c>
      <c r="J108" s="8" t="s">
        <v>34</v>
      </c>
      <c r="K108" s="8" t="str">
        <f t="shared" si="8"/>
        <v/>
      </c>
      <c r="L108" s="8" t="str">
        <f>CONCATENATE("11 11.2 4b")</f>
        <v>11 11.2 4b</v>
      </c>
      <c r="M108" s="8" t="str">
        <f>CONCATENATE("01763810437")</f>
        <v>01763810437</v>
      </c>
      <c r="N108" s="8" t="s">
        <v>94</v>
      </c>
      <c r="O108" s="8" t="s">
        <v>36</v>
      </c>
      <c r="P108" s="8" t="s">
        <v>125</v>
      </c>
      <c r="Q108" s="9">
        <v>45461</v>
      </c>
      <c r="R108" s="8" t="s">
        <v>38</v>
      </c>
      <c r="S108" s="8" t="s">
        <v>39</v>
      </c>
      <c r="T108" s="8" t="s">
        <v>40</v>
      </c>
      <c r="U108" s="8"/>
      <c r="V108" s="8" t="s">
        <v>41</v>
      </c>
      <c r="W108" s="8">
        <v>32.33</v>
      </c>
      <c r="X108" s="8">
        <v>13.94</v>
      </c>
      <c r="Y108" s="8">
        <v>12.87</v>
      </c>
      <c r="Z108" s="8">
        <v>5.52</v>
      </c>
      <c r="AA108" s="8">
        <v>0</v>
      </c>
    </row>
    <row r="109" spans="1:27" ht="25.5" x14ac:dyDescent="0.35">
      <c r="A109" s="8" t="s">
        <v>28</v>
      </c>
      <c r="B109" s="8" t="s">
        <v>59</v>
      </c>
      <c r="C109" s="8" t="s">
        <v>30</v>
      </c>
      <c r="D109" s="8" t="s">
        <v>31</v>
      </c>
      <c r="E109" s="8" t="s">
        <v>32</v>
      </c>
      <c r="F109" s="8" t="s">
        <v>32</v>
      </c>
      <c r="G109" s="8">
        <v>2023</v>
      </c>
      <c r="H109" s="8" t="str">
        <f>CONCATENATE("34240601483")</f>
        <v>34240601483</v>
      </c>
      <c r="I109" s="8" t="s">
        <v>51</v>
      </c>
      <c r="J109" s="8" t="s">
        <v>34</v>
      </c>
      <c r="K109" s="8" t="str">
        <f t="shared" si="8"/>
        <v/>
      </c>
      <c r="L109" s="8" t="str">
        <f>CONCATENATE("11 11.2 4b")</f>
        <v>11 11.2 4b</v>
      </c>
      <c r="M109" s="8" t="str">
        <f>CONCATENATE("01763810437")</f>
        <v>01763810437</v>
      </c>
      <c r="N109" s="8" t="s">
        <v>94</v>
      </c>
      <c r="O109" s="8" t="s">
        <v>36</v>
      </c>
      <c r="P109" s="8" t="s">
        <v>125</v>
      </c>
      <c r="Q109" s="9">
        <v>45461</v>
      </c>
      <c r="R109" s="8" t="s">
        <v>38</v>
      </c>
      <c r="S109" s="8" t="s">
        <v>39</v>
      </c>
      <c r="T109" s="8" t="s">
        <v>40</v>
      </c>
      <c r="U109" s="8"/>
      <c r="V109" s="8" t="s">
        <v>41</v>
      </c>
      <c r="W109" s="8">
        <v>785.06</v>
      </c>
      <c r="X109" s="8">
        <v>338.52</v>
      </c>
      <c r="Y109" s="8">
        <v>312.61</v>
      </c>
      <c r="Z109" s="8">
        <v>133.93</v>
      </c>
      <c r="AA109" s="8">
        <v>0</v>
      </c>
    </row>
    <row r="110" spans="1:27" ht="41.5" x14ac:dyDescent="0.35">
      <c r="A110" s="8" t="s">
        <v>28</v>
      </c>
      <c r="B110" s="8" t="s">
        <v>59</v>
      </c>
      <c r="C110" s="8" t="s">
        <v>30</v>
      </c>
      <c r="D110" s="8" t="s">
        <v>42</v>
      </c>
      <c r="E110" s="8" t="s">
        <v>74</v>
      </c>
      <c r="F110" s="8" t="s">
        <v>188</v>
      </c>
      <c r="G110" s="8">
        <v>2023</v>
      </c>
      <c r="H110" s="8" t="str">
        <f>CONCATENATE("34210082078")</f>
        <v>34210082078</v>
      </c>
      <c r="I110" s="8" t="s">
        <v>51</v>
      </c>
      <c r="J110" s="8" t="s">
        <v>34</v>
      </c>
      <c r="K110" s="8" t="str">
        <f t="shared" si="8"/>
        <v/>
      </c>
      <c r="L110" s="8" t="str">
        <f>CONCATENATE("13 13.1 4a")</f>
        <v>13 13.1 4a</v>
      </c>
      <c r="M110" s="8" t="str">
        <f>CONCATENATE("MCCMRA74C24G479V")</f>
        <v>MCCMRA74C24G479V</v>
      </c>
      <c r="N110" s="8" t="s">
        <v>189</v>
      </c>
      <c r="O110" s="8" t="s">
        <v>36</v>
      </c>
      <c r="P110" s="8" t="s">
        <v>149</v>
      </c>
      <c r="Q110" s="9">
        <v>45461</v>
      </c>
      <c r="R110" s="8" t="s">
        <v>38</v>
      </c>
      <c r="S110" s="8" t="s">
        <v>39</v>
      </c>
      <c r="T110" s="8" t="s">
        <v>40</v>
      </c>
      <c r="U110" s="8"/>
      <c r="V110" s="8" t="s">
        <v>41</v>
      </c>
      <c r="W110" s="8">
        <v>485.23</v>
      </c>
      <c r="X110" s="8">
        <v>209.23</v>
      </c>
      <c r="Y110" s="8">
        <v>193.22</v>
      </c>
      <c r="Z110" s="8">
        <v>82.78</v>
      </c>
      <c r="AA110" s="8">
        <v>0</v>
      </c>
    </row>
    <row r="111" spans="1:27" ht="41.5" x14ac:dyDescent="0.35">
      <c r="A111" s="8" t="s">
        <v>28</v>
      </c>
      <c r="B111" s="8" t="s">
        <v>59</v>
      </c>
      <c r="C111" s="8" t="s">
        <v>30</v>
      </c>
      <c r="D111" s="8" t="s">
        <v>42</v>
      </c>
      <c r="E111" s="8" t="s">
        <v>66</v>
      </c>
      <c r="F111" s="8" t="s">
        <v>150</v>
      </c>
      <c r="G111" s="8">
        <v>2023</v>
      </c>
      <c r="H111" s="8" t="str">
        <f>CONCATENATE("34210080288")</f>
        <v>34210080288</v>
      </c>
      <c r="I111" s="8" t="s">
        <v>51</v>
      </c>
      <c r="J111" s="8" t="s">
        <v>34</v>
      </c>
      <c r="K111" s="8" t="str">
        <f t="shared" si="8"/>
        <v/>
      </c>
      <c r="L111" s="8" t="str">
        <f>CONCATENATE("13 13.1 4a")</f>
        <v>13 13.1 4a</v>
      </c>
      <c r="M111" s="8" t="str">
        <f>CONCATENATE("LGILCU82E12L500W")</f>
        <v>LGILCU82E12L500W</v>
      </c>
      <c r="N111" s="8" t="s">
        <v>190</v>
      </c>
      <c r="O111" s="8" t="s">
        <v>36</v>
      </c>
      <c r="P111" s="8" t="s">
        <v>149</v>
      </c>
      <c r="Q111" s="9">
        <v>45461</v>
      </c>
      <c r="R111" s="8" t="s">
        <v>38</v>
      </c>
      <c r="S111" s="8" t="s">
        <v>39</v>
      </c>
      <c r="T111" s="8" t="s">
        <v>40</v>
      </c>
      <c r="U111" s="8"/>
      <c r="V111" s="8" t="s">
        <v>41</v>
      </c>
      <c r="W111" s="8">
        <v>401.68</v>
      </c>
      <c r="X111" s="8">
        <v>173.2</v>
      </c>
      <c r="Y111" s="8">
        <v>159.94999999999999</v>
      </c>
      <c r="Z111" s="8">
        <v>68.53</v>
      </c>
      <c r="AA111" s="8">
        <v>0</v>
      </c>
    </row>
    <row r="112" spans="1:27" ht="25.5" x14ac:dyDescent="0.35">
      <c r="A112" s="8" t="s">
        <v>28</v>
      </c>
      <c r="B112" s="8" t="s">
        <v>59</v>
      </c>
      <c r="C112" s="8" t="s">
        <v>30</v>
      </c>
      <c r="D112" s="8" t="s">
        <v>31</v>
      </c>
      <c r="E112" s="8" t="s">
        <v>63</v>
      </c>
      <c r="F112" s="8" t="s">
        <v>103</v>
      </c>
      <c r="G112" s="8">
        <v>2023</v>
      </c>
      <c r="H112" s="8" t="str">
        <f>CONCATENATE("34210104583")</f>
        <v>34210104583</v>
      </c>
      <c r="I112" s="8" t="s">
        <v>51</v>
      </c>
      <c r="J112" s="8" t="s">
        <v>34</v>
      </c>
      <c r="K112" s="8" t="str">
        <f t="shared" si="8"/>
        <v/>
      </c>
      <c r="L112" s="8" t="str">
        <f t="shared" ref="L112:L133" si="9">CONCATENATE("13 13.1 4a")</f>
        <v>13 13.1 4a</v>
      </c>
      <c r="M112" s="8" t="str">
        <f>CONCATENATE("01761610433")</f>
        <v>01761610433</v>
      </c>
      <c r="N112" s="8" t="s">
        <v>191</v>
      </c>
      <c r="O112" s="8" t="s">
        <v>36</v>
      </c>
      <c r="P112" s="8" t="s">
        <v>149</v>
      </c>
      <c r="Q112" s="9">
        <v>45461</v>
      </c>
      <c r="R112" s="8" t="s">
        <v>38</v>
      </c>
      <c r="S112" s="8" t="s">
        <v>39</v>
      </c>
      <c r="T112" s="8" t="s">
        <v>40</v>
      </c>
      <c r="U112" s="8"/>
      <c r="V112" s="8" t="s">
        <v>41</v>
      </c>
      <c r="W112" s="10">
        <v>3680.85</v>
      </c>
      <c r="X112" s="10">
        <v>1587.18</v>
      </c>
      <c r="Y112" s="10">
        <v>1465.71</v>
      </c>
      <c r="Z112" s="8">
        <v>627.96</v>
      </c>
      <c r="AA112" s="8">
        <v>0</v>
      </c>
    </row>
    <row r="113" spans="1:27" ht="25.5" x14ac:dyDescent="0.35">
      <c r="A113" s="8" t="s">
        <v>28</v>
      </c>
      <c r="B113" s="8" t="s">
        <v>59</v>
      </c>
      <c r="C113" s="8" t="s">
        <v>30</v>
      </c>
      <c r="D113" s="8" t="s">
        <v>42</v>
      </c>
      <c r="E113" s="8" t="s">
        <v>45</v>
      </c>
      <c r="F113" s="8" t="s">
        <v>192</v>
      </c>
      <c r="G113" s="8">
        <v>2023</v>
      </c>
      <c r="H113" s="8" t="str">
        <f>CONCATENATE("34210045430")</f>
        <v>34210045430</v>
      </c>
      <c r="I113" s="8" t="s">
        <v>33</v>
      </c>
      <c r="J113" s="8" t="s">
        <v>34</v>
      </c>
      <c r="K113" s="8" t="str">
        <f t="shared" si="8"/>
        <v/>
      </c>
      <c r="L113" s="8" t="str">
        <f t="shared" si="9"/>
        <v>13 13.1 4a</v>
      </c>
      <c r="M113" s="8" t="str">
        <f>CONCATENATE("02599280415")</f>
        <v>02599280415</v>
      </c>
      <c r="N113" s="8" t="s">
        <v>193</v>
      </c>
      <c r="O113" s="8" t="s">
        <v>36</v>
      </c>
      <c r="P113" s="8" t="s">
        <v>149</v>
      </c>
      <c r="Q113" s="9">
        <v>45461</v>
      </c>
      <c r="R113" s="8" t="s">
        <v>38</v>
      </c>
      <c r="S113" s="8" t="s">
        <v>39</v>
      </c>
      <c r="T113" s="8" t="s">
        <v>40</v>
      </c>
      <c r="U113" s="8"/>
      <c r="V113" s="8" t="s">
        <v>41</v>
      </c>
      <c r="W113" s="10">
        <v>2511.8200000000002</v>
      </c>
      <c r="X113" s="10">
        <v>1083.0999999999999</v>
      </c>
      <c r="Y113" s="10">
        <v>1000.21</v>
      </c>
      <c r="Z113" s="8">
        <v>428.51</v>
      </c>
      <c r="AA113" s="8">
        <v>0</v>
      </c>
    </row>
    <row r="114" spans="1:27" ht="41.5" x14ac:dyDescent="0.35">
      <c r="A114" s="8" t="s">
        <v>28</v>
      </c>
      <c r="B114" s="8" t="s">
        <v>59</v>
      </c>
      <c r="C114" s="8" t="s">
        <v>30</v>
      </c>
      <c r="D114" s="8" t="s">
        <v>42</v>
      </c>
      <c r="E114" s="8" t="s">
        <v>74</v>
      </c>
      <c r="F114" s="8" t="s">
        <v>194</v>
      </c>
      <c r="G114" s="8">
        <v>2023</v>
      </c>
      <c r="H114" s="8" t="str">
        <f>CONCATENATE("34210087218")</f>
        <v>34210087218</v>
      </c>
      <c r="I114" s="8" t="s">
        <v>33</v>
      </c>
      <c r="J114" s="8" t="s">
        <v>34</v>
      </c>
      <c r="K114" s="8" t="str">
        <f t="shared" si="8"/>
        <v/>
      </c>
      <c r="L114" s="8" t="str">
        <f t="shared" si="9"/>
        <v>13 13.1 4a</v>
      </c>
      <c r="M114" s="8" t="str">
        <f>CONCATENATE("FSSLRT95H14D488R")</f>
        <v>FSSLRT95H14D488R</v>
      </c>
      <c r="N114" s="8" t="s">
        <v>195</v>
      </c>
      <c r="O114" s="8" t="s">
        <v>36</v>
      </c>
      <c r="P114" s="8" t="s">
        <v>149</v>
      </c>
      <c r="Q114" s="9">
        <v>45461</v>
      </c>
      <c r="R114" s="8" t="s">
        <v>38</v>
      </c>
      <c r="S114" s="8" t="s">
        <v>39</v>
      </c>
      <c r="T114" s="8" t="s">
        <v>40</v>
      </c>
      <c r="U114" s="8"/>
      <c r="V114" s="8" t="s">
        <v>41</v>
      </c>
      <c r="W114" s="10">
        <v>2516.98</v>
      </c>
      <c r="X114" s="10">
        <v>1085.32</v>
      </c>
      <c r="Y114" s="10">
        <v>1002.26</v>
      </c>
      <c r="Z114" s="8">
        <v>429.4</v>
      </c>
      <c r="AA114" s="8">
        <v>0</v>
      </c>
    </row>
    <row r="115" spans="1:27" ht="49.5" x14ac:dyDescent="0.35">
      <c r="A115" s="8" t="s">
        <v>28</v>
      </c>
      <c r="B115" s="8" t="s">
        <v>59</v>
      </c>
      <c r="C115" s="8" t="s">
        <v>30</v>
      </c>
      <c r="D115" s="8" t="s">
        <v>71</v>
      </c>
      <c r="E115" s="8" t="s">
        <v>45</v>
      </c>
      <c r="F115" s="8" t="s">
        <v>160</v>
      </c>
      <c r="G115" s="8">
        <v>2023</v>
      </c>
      <c r="H115" s="8" t="str">
        <f>CONCATENATE("34210074133")</f>
        <v>34210074133</v>
      </c>
      <c r="I115" s="8" t="s">
        <v>51</v>
      </c>
      <c r="J115" s="8" t="s">
        <v>34</v>
      </c>
      <c r="K115" s="8" t="str">
        <f t="shared" si="8"/>
        <v/>
      </c>
      <c r="L115" s="8" t="str">
        <f t="shared" si="9"/>
        <v>13 13.1 4a</v>
      </c>
      <c r="M115" s="8" t="str">
        <f>CONCATENATE("RGGDNL80R07D451U")</f>
        <v>RGGDNL80R07D451U</v>
      </c>
      <c r="N115" s="8" t="s">
        <v>196</v>
      </c>
      <c r="O115" s="8" t="s">
        <v>36</v>
      </c>
      <c r="P115" s="8" t="s">
        <v>149</v>
      </c>
      <c r="Q115" s="9">
        <v>45461</v>
      </c>
      <c r="R115" s="8" t="s">
        <v>38</v>
      </c>
      <c r="S115" s="8" t="s">
        <v>39</v>
      </c>
      <c r="T115" s="8" t="s">
        <v>40</v>
      </c>
      <c r="U115" s="8"/>
      <c r="V115" s="8" t="s">
        <v>41</v>
      </c>
      <c r="W115" s="8">
        <v>98.76</v>
      </c>
      <c r="X115" s="8">
        <v>42.59</v>
      </c>
      <c r="Y115" s="8">
        <v>39.33</v>
      </c>
      <c r="Z115" s="8">
        <v>16.84</v>
      </c>
      <c r="AA115" s="8">
        <v>0</v>
      </c>
    </row>
    <row r="116" spans="1:27" ht="41.5" x14ac:dyDescent="0.35">
      <c r="A116" s="8" t="s">
        <v>28</v>
      </c>
      <c r="B116" s="8" t="s">
        <v>59</v>
      </c>
      <c r="C116" s="8" t="s">
        <v>30</v>
      </c>
      <c r="D116" s="8" t="s">
        <v>44</v>
      </c>
      <c r="E116" s="8" t="s">
        <v>85</v>
      </c>
      <c r="F116" s="8" t="s">
        <v>173</v>
      </c>
      <c r="G116" s="8">
        <v>2023</v>
      </c>
      <c r="H116" s="8" t="str">
        <f>CONCATENATE("34210104062")</f>
        <v>34210104062</v>
      </c>
      <c r="I116" s="8" t="s">
        <v>33</v>
      </c>
      <c r="J116" s="8" t="s">
        <v>34</v>
      </c>
      <c r="K116" s="8" t="str">
        <f t="shared" si="8"/>
        <v/>
      </c>
      <c r="L116" s="8" t="str">
        <f t="shared" si="9"/>
        <v>13 13.1 4a</v>
      </c>
      <c r="M116" s="8" t="str">
        <f>CONCATENATE("RZZMNC79C65A462E")</f>
        <v>RZZMNC79C65A462E</v>
      </c>
      <c r="N116" s="8" t="s">
        <v>197</v>
      </c>
      <c r="O116" s="8" t="s">
        <v>36</v>
      </c>
      <c r="P116" s="8" t="s">
        <v>149</v>
      </c>
      <c r="Q116" s="9">
        <v>45461</v>
      </c>
      <c r="R116" s="8" t="s">
        <v>38</v>
      </c>
      <c r="S116" s="8" t="s">
        <v>39</v>
      </c>
      <c r="T116" s="8" t="s">
        <v>40</v>
      </c>
      <c r="U116" s="8"/>
      <c r="V116" s="8" t="s">
        <v>41</v>
      </c>
      <c r="W116" s="10">
        <v>8241.06</v>
      </c>
      <c r="X116" s="10">
        <v>3553.55</v>
      </c>
      <c r="Y116" s="10">
        <v>3281.59</v>
      </c>
      <c r="Z116" s="10">
        <v>1405.92</v>
      </c>
      <c r="AA116" s="8">
        <v>0</v>
      </c>
    </row>
    <row r="117" spans="1:27" ht="49.5" x14ac:dyDescent="0.35">
      <c r="A117" s="8" t="s">
        <v>28</v>
      </c>
      <c r="B117" s="8" t="s">
        <v>59</v>
      </c>
      <c r="C117" s="8" t="s">
        <v>30</v>
      </c>
      <c r="D117" s="8" t="s">
        <v>42</v>
      </c>
      <c r="E117" s="8" t="s">
        <v>45</v>
      </c>
      <c r="F117" s="8" t="s">
        <v>163</v>
      </c>
      <c r="G117" s="8">
        <v>2023</v>
      </c>
      <c r="H117" s="8" t="str">
        <f>CONCATENATE("34210043864")</f>
        <v>34210043864</v>
      </c>
      <c r="I117" s="8" t="s">
        <v>33</v>
      </c>
      <c r="J117" s="8" t="s">
        <v>34</v>
      </c>
      <c r="K117" s="8" t="str">
        <f t="shared" si="8"/>
        <v/>
      </c>
      <c r="L117" s="8" t="str">
        <f t="shared" si="9"/>
        <v>13 13.1 4a</v>
      </c>
      <c r="M117" s="8" t="str">
        <f>CONCATENATE("BRLPLG48M11B352W")</f>
        <v>BRLPLG48M11B352W</v>
      </c>
      <c r="N117" s="8" t="s">
        <v>198</v>
      </c>
      <c r="O117" s="8" t="s">
        <v>36</v>
      </c>
      <c r="P117" s="8" t="s">
        <v>149</v>
      </c>
      <c r="Q117" s="9">
        <v>45461</v>
      </c>
      <c r="R117" s="8" t="s">
        <v>38</v>
      </c>
      <c r="S117" s="8" t="s">
        <v>39</v>
      </c>
      <c r="T117" s="8" t="s">
        <v>40</v>
      </c>
      <c r="U117" s="8"/>
      <c r="V117" s="8" t="s">
        <v>41</v>
      </c>
      <c r="W117" s="10">
        <v>3761.95</v>
      </c>
      <c r="X117" s="10">
        <v>1622.15</v>
      </c>
      <c r="Y117" s="10">
        <v>1498.01</v>
      </c>
      <c r="Z117" s="8">
        <v>641.79</v>
      </c>
      <c r="AA117" s="8">
        <v>0</v>
      </c>
    </row>
    <row r="118" spans="1:27" ht="41.5" x14ac:dyDescent="0.35">
      <c r="A118" s="8" t="s">
        <v>28</v>
      </c>
      <c r="B118" s="8" t="s">
        <v>59</v>
      </c>
      <c r="C118" s="8" t="s">
        <v>30</v>
      </c>
      <c r="D118" s="8" t="s">
        <v>42</v>
      </c>
      <c r="E118" s="8" t="s">
        <v>74</v>
      </c>
      <c r="F118" s="8" t="s">
        <v>147</v>
      </c>
      <c r="G118" s="8">
        <v>2023</v>
      </c>
      <c r="H118" s="8" t="str">
        <f>CONCATENATE("34210046248")</f>
        <v>34210046248</v>
      </c>
      <c r="I118" s="8" t="s">
        <v>33</v>
      </c>
      <c r="J118" s="8" t="s">
        <v>34</v>
      </c>
      <c r="K118" s="8" t="str">
        <f t="shared" si="8"/>
        <v/>
      </c>
      <c r="L118" s="8" t="str">
        <f t="shared" si="9"/>
        <v>13 13.1 4a</v>
      </c>
      <c r="M118" s="8" t="str">
        <f>CONCATENATE("MRNFNC46L05I287W")</f>
        <v>MRNFNC46L05I287W</v>
      </c>
      <c r="N118" s="8" t="s">
        <v>199</v>
      </c>
      <c r="O118" s="8" t="s">
        <v>36</v>
      </c>
      <c r="P118" s="8" t="s">
        <v>149</v>
      </c>
      <c r="Q118" s="9">
        <v>45461</v>
      </c>
      <c r="R118" s="8" t="s">
        <v>38</v>
      </c>
      <c r="S118" s="8" t="s">
        <v>39</v>
      </c>
      <c r="T118" s="8" t="s">
        <v>40</v>
      </c>
      <c r="U118" s="8"/>
      <c r="V118" s="8" t="s">
        <v>41</v>
      </c>
      <c r="W118" s="10">
        <v>1687.5</v>
      </c>
      <c r="X118" s="8">
        <v>727.65</v>
      </c>
      <c r="Y118" s="8">
        <v>671.96</v>
      </c>
      <c r="Z118" s="8">
        <v>287.89</v>
      </c>
      <c r="AA118" s="8">
        <v>0</v>
      </c>
    </row>
    <row r="119" spans="1:27" ht="41.5" x14ac:dyDescent="0.35">
      <c r="A119" s="8" t="s">
        <v>28</v>
      </c>
      <c r="B119" s="8" t="s">
        <v>59</v>
      </c>
      <c r="C119" s="8" t="s">
        <v>30</v>
      </c>
      <c r="D119" s="8" t="s">
        <v>42</v>
      </c>
      <c r="E119" s="8" t="s">
        <v>45</v>
      </c>
      <c r="F119" s="8" t="s">
        <v>200</v>
      </c>
      <c r="G119" s="8">
        <v>2023</v>
      </c>
      <c r="H119" s="8" t="str">
        <f>CONCATENATE("34210018643")</f>
        <v>34210018643</v>
      </c>
      <c r="I119" s="8" t="s">
        <v>33</v>
      </c>
      <c r="J119" s="8" t="s">
        <v>34</v>
      </c>
      <c r="K119" s="8" t="str">
        <f t="shared" si="8"/>
        <v/>
      </c>
      <c r="L119" s="8" t="str">
        <f t="shared" si="9"/>
        <v>13 13.1 4a</v>
      </c>
      <c r="M119" s="8" t="str">
        <f>CONCATENATE("SRFGPP89C30L500Y")</f>
        <v>SRFGPP89C30L500Y</v>
      </c>
      <c r="N119" s="8" t="s">
        <v>201</v>
      </c>
      <c r="O119" s="8" t="s">
        <v>36</v>
      </c>
      <c r="P119" s="8" t="s">
        <v>149</v>
      </c>
      <c r="Q119" s="9">
        <v>45461</v>
      </c>
      <c r="R119" s="8" t="s">
        <v>38</v>
      </c>
      <c r="S119" s="8" t="s">
        <v>39</v>
      </c>
      <c r="T119" s="8" t="s">
        <v>40</v>
      </c>
      <c r="U119" s="8"/>
      <c r="V119" s="8" t="s">
        <v>41</v>
      </c>
      <c r="W119" s="10">
        <v>3587.13</v>
      </c>
      <c r="X119" s="10">
        <v>1546.77</v>
      </c>
      <c r="Y119" s="10">
        <v>1428.4</v>
      </c>
      <c r="Z119" s="8">
        <v>611.96</v>
      </c>
      <c r="AA119" s="8">
        <v>0</v>
      </c>
    </row>
    <row r="120" spans="1:27" ht="49.5" x14ac:dyDescent="0.35">
      <c r="A120" s="8" t="s">
        <v>28</v>
      </c>
      <c r="B120" s="8" t="s">
        <v>59</v>
      </c>
      <c r="C120" s="8" t="s">
        <v>30</v>
      </c>
      <c r="D120" s="8" t="s">
        <v>31</v>
      </c>
      <c r="E120" s="8" t="s">
        <v>45</v>
      </c>
      <c r="F120" s="8" t="s">
        <v>54</v>
      </c>
      <c r="G120" s="8">
        <v>2023</v>
      </c>
      <c r="H120" s="8" t="str">
        <f>CONCATENATE("34210013719")</f>
        <v>34210013719</v>
      </c>
      <c r="I120" s="8" t="s">
        <v>51</v>
      </c>
      <c r="J120" s="8" t="s">
        <v>34</v>
      </c>
      <c r="K120" s="8" t="str">
        <f t="shared" si="8"/>
        <v/>
      </c>
      <c r="L120" s="8" t="str">
        <f t="shared" si="9"/>
        <v>13 13.1 4a</v>
      </c>
      <c r="M120" s="8" t="str">
        <f>CONCATENATE("LBNPRZ65A12B474W")</f>
        <v>LBNPRZ65A12B474W</v>
      </c>
      <c r="N120" s="8" t="s">
        <v>202</v>
      </c>
      <c r="O120" s="8" t="s">
        <v>36</v>
      </c>
      <c r="P120" s="8" t="s">
        <v>149</v>
      </c>
      <c r="Q120" s="9">
        <v>45461</v>
      </c>
      <c r="R120" s="8" t="s">
        <v>38</v>
      </c>
      <c r="S120" s="8" t="s">
        <v>39</v>
      </c>
      <c r="T120" s="8" t="s">
        <v>40</v>
      </c>
      <c r="U120" s="8"/>
      <c r="V120" s="8" t="s">
        <v>41</v>
      </c>
      <c r="W120" s="10">
        <v>1447.71</v>
      </c>
      <c r="X120" s="8">
        <v>624.25</v>
      </c>
      <c r="Y120" s="8">
        <v>576.48</v>
      </c>
      <c r="Z120" s="8">
        <v>246.98</v>
      </c>
      <c r="AA120" s="8">
        <v>0</v>
      </c>
    </row>
    <row r="121" spans="1:27" ht="41.5" x14ac:dyDescent="0.35">
      <c r="A121" s="8" t="s">
        <v>28</v>
      </c>
      <c r="B121" s="8" t="s">
        <v>59</v>
      </c>
      <c r="C121" s="8" t="s">
        <v>30</v>
      </c>
      <c r="D121" s="8" t="s">
        <v>31</v>
      </c>
      <c r="E121" s="8" t="s">
        <v>45</v>
      </c>
      <c r="F121" s="8" t="s">
        <v>54</v>
      </c>
      <c r="G121" s="8">
        <v>2023</v>
      </c>
      <c r="H121" s="8" t="str">
        <f>CONCATENATE("34210016753")</f>
        <v>34210016753</v>
      </c>
      <c r="I121" s="8" t="s">
        <v>51</v>
      </c>
      <c r="J121" s="8" t="s">
        <v>34</v>
      </c>
      <c r="K121" s="8" t="str">
        <f t="shared" si="8"/>
        <v/>
      </c>
      <c r="L121" s="8" t="str">
        <f t="shared" si="9"/>
        <v>13 13.1 4a</v>
      </c>
      <c r="M121" s="8" t="str">
        <f>CONCATENATE("NTSDTR78R26Z129B")</f>
        <v>NTSDTR78R26Z129B</v>
      </c>
      <c r="N121" s="8" t="s">
        <v>203</v>
      </c>
      <c r="O121" s="8" t="s">
        <v>36</v>
      </c>
      <c r="P121" s="8" t="s">
        <v>149</v>
      </c>
      <c r="Q121" s="9">
        <v>45461</v>
      </c>
      <c r="R121" s="8" t="s">
        <v>38</v>
      </c>
      <c r="S121" s="8" t="s">
        <v>39</v>
      </c>
      <c r="T121" s="8" t="s">
        <v>40</v>
      </c>
      <c r="U121" s="8"/>
      <c r="V121" s="8" t="s">
        <v>41</v>
      </c>
      <c r="W121" s="10">
        <v>1657.05</v>
      </c>
      <c r="X121" s="8">
        <v>714.52</v>
      </c>
      <c r="Y121" s="8">
        <v>659.84</v>
      </c>
      <c r="Z121" s="8">
        <v>282.69</v>
      </c>
      <c r="AA121" s="8">
        <v>0</v>
      </c>
    </row>
    <row r="122" spans="1:27" ht="49.5" x14ac:dyDescent="0.35">
      <c r="A122" s="8" t="s">
        <v>28</v>
      </c>
      <c r="B122" s="8" t="s">
        <v>59</v>
      </c>
      <c r="C122" s="8" t="s">
        <v>30</v>
      </c>
      <c r="D122" s="8" t="s">
        <v>44</v>
      </c>
      <c r="E122" s="8" t="s">
        <v>85</v>
      </c>
      <c r="F122" s="8" t="s">
        <v>173</v>
      </c>
      <c r="G122" s="8">
        <v>2023</v>
      </c>
      <c r="H122" s="8" t="str">
        <f>CONCATENATE("34210033477")</f>
        <v>34210033477</v>
      </c>
      <c r="I122" s="8" t="s">
        <v>33</v>
      </c>
      <c r="J122" s="8" t="s">
        <v>34</v>
      </c>
      <c r="K122" s="8" t="str">
        <f t="shared" si="8"/>
        <v/>
      </c>
      <c r="L122" s="8" t="str">
        <f t="shared" si="9"/>
        <v>13 13.1 4a</v>
      </c>
      <c r="M122" s="8" t="str">
        <f>CONCATENATE("MZZNRC70B02A252W")</f>
        <v>MZZNRC70B02A252W</v>
      </c>
      <c r="N122" s="8" t="s">
        <v>204</v>
      </c>
      <c r="O122" s="8" t="s">
        <v>36</v>
      </c>
      <c r="P122" s="8" t="s">
        <v>149</v>
      </c>
      <c r="Q122" s="9">
        <v>45461</v>
      </c>
      <c r="R122" s="8" t="s">
        <v>38</v>
      </c>
      <c r="S122" s="8" t="s">
        <v>39</v>
      </c>
      <c r="T122" s="8" t="s">
        <v>40</v>
      </c>
      <c r="U122" s="8"/>
      <c r="V122" s="8" t="s">
        <v>41</v>
      </c>
      <c r="W122" s="8">
        <v>537.45000000000005</v>
      </c>
      <c r="X122" s="8">
        <v>231.75</v>
      </c>
      <c r="Y122" s="8">
        <v>214.01</v>
      </c>
      <c r="Z122" s="8">
        <v>91.69</v>
      </c>
      <c r="AA122" s="8">
        <v>0</v>
      </c>
    </row>
    <row r="123" spans="1:27" ht="41.5" x14ac:dyDescent="0.35">
      <c r="A123" s="8" t="s">
        <v>28</v>
      </c>
      <c r="B123" s="8" t="s">
        <v>59</v>
      </c>
      <c r="C123" s="8" t="s">
        <v>30</v>
      </c>
      <c r="D123" s="8" t="s">
        <v>42</v>
      </c>
      <c r="E123" s="8" t="s">
        <v>74</v>
      </c>
      <c r="F123" s="8" t="s">
        <v>205</v>
      </c>
      <c r="G123" s="8">
        <v>2022</v>
      </c>
      <c r="H123" s="8" t="str">
        <f>CONCATENATE("24210416087")</f>
        <v>24210416087</v>
      </c>
      <c r="I123" s="8" t="s">
        <v>33</v>
      </c>
      <c r="J123" s="8" t="s">
        <v>34</v>
      </c>
      <c r="K123" s="8" t="str">
        <f t="shared" si="8"/>
        <v/>
      </c>
      <c r="L123" s="8" t="str">
        <f t="shared" si="9"/>
        <v>13 13.1 4a</v>
      </c>
      <c r="M123" s="8" t="str">
        <f>CONCATENATE("MBRRNG69A28F839I")</f>
        <v>MBRRNG69A28F839I</v>
      </c>
      <c r="N123" s="8" t="s">
        <v>206</v>
      </c>
      <c r="O123" s="8" t="s">
        <v>36</v>
      </c>
      <c r="P123" s="8" t="s">
        <v>149</v>
      </c>
      <c r="Q123" s="9">
        <v>45461</v>
      </c>
      <c r="R123" s="8" t="s">
        <v>38</v>
      </c>
      <c r="S123" s="8" t="s">
        <v>39</v>
      </c>
      <c r="T123" s="8" t="s">
        <v>40</v>
      </c>
      <c r="U123" s="8"/>
      <c r="V123" s="8" t="s">
        <v>41</v>
      </c>
      <c r="W123" s="10">
        <v>9000</v>
      </c>
      <c r="X123" s="10">
        <v>3880.8</v>
      </c>
      <c r="Y123" s="10">
        <v>3583.8</v>
      </c>
      <c r="Z123" s="10">
        <v>1535.4</v>
      </c>
      <c r="AA123" s="8">
        <v>0</v>
      </c>
    </row>
    <row r="124" spans="1:27" ht="41.5" x14ac:dyDescent="0.35">
      <c r="A124" s="8" t="s">
        <v>28</v>
      </c>
      <c r="B124" s="8" t="s">
        <v>59</v>
      </c>
      <c r="C124" s="8" t="s">
        <v>30</v>
      </c>
      <c r="D124" s="8" t="s">
        <v>42</v>
      </c>
      <c r="E124" s="8" t="s">
        <v>45</v>
      </c>
      <c r="F124" s="8" t="s">
        <v>163</v>
      </c>
      <c r="G124" s="8">
        <v>2023</v>
      </c>
      <c r="H124" s="8" t="str">
        <f>CONCATENATE("34210087903")</f>
        <v>34210087903</v>
      </c>
      <c r="I124" s="8" t="s">
        <v>33</v>
      </c>
      <c r="J124" s="8" t="s">
        <v>34</v>
      </c>
      <c r="K124" s="8" t="str">
        <f t="shared" si="8"/>
        <v/>
      </c>
      <c r="L124" s="8" t="str">
        <f t="shared" si="9"/>
        <v>13 13.1 4a</v>
      </c>
      <c r="M124" s="8" t="str">
        <f>CONCATENATE("MSSMRZ81C24F347G")</f>
        <v>MSSMRZ81C24F347G</v>
      </c>
      <c r="N124" s="8" t="s">
        <v>207</v>
      </c>
      <c r="O124" s="8" t="s">
        <v>36</v>
      </c>
      <c r="P124" s="8" t="s">
        <v>149</v>
      </c>
      <c r="Q124" s="9">
        <v>45461</v>
      </c>
      <c r="R124" s="8" t="s">
        <v>38</v>
      </c>
      <c r="S124" s="8" t="s">
        <v>39</v>
      </c>
      <c r="T124" s="8" t="s">
        <v>40</v>
      </c>
      <c r="U124" s="8"/>
      <c r="V124" s="8" t="s">
        <v>41</v>
      </c>
      <c r="W124" s="10">
        <v>2101.4</v>
      </c>
      <c r="X124" s="8">
        <v>906.12</v>
      </c>
      <c r="Y124" s="8">
        <v>836.78</v>
      </c>
      <c r="Z124" s="8">
        <v>358.5</v>
      </c>
      <c r="AA124" s="8">
        <v>0</v>
      </c>
    </row>
    <row r="125" spans="1:27" ht="25.5" x14ac:dyDescent="0.35">
      <c r="A125" s="8" t="s">
        <v>28</v>
      </c>
      <c r="B125" s="8" t="s">
        <v>59</v>
      </c>
      <c r="C125" s="8" t="s">
        <v>30</v>
      </c>
      <c r="D125" s="8" t="s">
        <v>42</v>
      </c>
      <c r="E125" s="8" t="s">
        <v>208</v>
      </c>
      <c r="F125" s="8" t="s">
        <v>209</v>
      </c>
      <c r="G125" s="8">
        <v>2023</v>
      </c>
      <c r="H125" s="8" t="str">
        <f>CONCATENATE("34210339973")</f>
        <v>34210339973</v>
      </c>
      <c r="I125" s="8" t="s">
        <v>33</v>
      </c>
      <c r="J125" s="8" t="s">
        <v>34</v>
      </c>
      <c r="K125" s="8" t="str">
        <f t="shared" si="8"/>
        <v/>
      </c>
      <c r="L125" s="8" t="str">
        <f t="shared" si="9"/>
        <v>13 13.1 4a</v>
      </c>
      <c r="M125" s="8" t="str">
        <f>CONCATENATE("03831890409")</f>
        <v>03831890409</v>
      </c>
      <c r="N125" s="8" t="s">
        <v>210</v>
      </c>
      <c r="O125" s="8" t="s">
        <v>36</v>
      </c>
      <c r="P125" s="8" t="s">
        <v>149</v>
      </c>
      <c r="Q125" s="9">
        <v>45461</v>
      </c>
      <c r="R125" s="8" t="s">
        <v>38</v>
      </c>
      <c r="S125" s="8" t="s">
        <v>39</v>
      </c>
      <c r="T125" s="8" t="s">
        <v>40</v>
      </c>
      <c r="U125" s="8"/>
      <c r="V125" s="8" t="s">
        <v>41</v>
      </c>
      <c r="W125" s="10">
        <v>1992.85</v>
      </c>
      <c r="X125" s="8">
        <v>859.32</v>
      </c>
      <c r="Y125" s="8">
        <v>793.55</v>
      </c>
      <c r="Z125" s="8">
        <v>339.98</v>
      </c>
      <c r="AA125" s="8">
        <v>0</v>
      </c>
    </row>
    <row r="126" spans="1:27" ht="41.5" x14ac:dyDescent="0.35">
      <c r="A126" s="8" t="s">
        <v>28</v>
      </c>
      <c r="B126" s="8" t="s">
        <v>59</v>
      </c>
      <c r="C126" s="8" t="s">
        <v>30</v>
      </c>
      <c r="D126" s="8" t="s">
        <v>42</v>
      </c>
      <c r="E126" s="8" t="s">
        <v>74</v>
      </c>
      <c r="F126" s="8" t="s">
        <v>147</v>
      </c>
      <c r="G126" s="8">
        <v>2023</v>
      </c>
      <c r="H126" s="8" t="str">
        <f>CONCATENATE("34210043658")</f>
        <v>34210043658</v>
      </c>
      <c r="I126" s="8" t="s">
        <v>51</v>
      </c>
      <c r="J126" s="8" t="s">
        <v>34</v>
      </c>
      <c r="K126" s="8" t="str">
        <f t="shared" si="8"/>
        <v/>
      </c>
      <c r="L126" s="8" t="str">
        <f t="shared" si="9"/>
        <v>13 13.1 4a</v>
      </c>
      <c r="M126" s="8" t="str">
        <f>CONCATENATE("CGRMRA49C14A978P")</f>
        <v>CGRMRA49C14A978P</v>
      </c>
      <c r="N126" s="8" t="s">
        <v>211</v>
      </c>
      <c r="O126" s="8" t="s">
        <v>36</v>
      </c>
      <c r="P126" s="8" t="s">
        <v>149</v>
      </c>
      <c r="Q126" s="9">
        <v>45461</v>
      </c>
      <c r="R126" s="8" t="s">
        <v>38</v>
      </c>
      <c r="S126" s="8" t="s">
        <v>39</v>
      </c>
      <c r="T126" s="8" t="s">
        <v>40</v>
      </c>
      <c r="U126" s="8"/>
      <c r="V126" s="8" t="s">
        <v>41</v>
      </c>
      <c r="W126" s="8">
        <v>45.08</v>
      </c>
      <c r="X126" s="8">
        <v>19.440000000000001</v>
      </c>
      <c r="Y126" s="8">
        <v>17.95</v>
      </c>
      <c r="Z126" s="8">
        <v>7.69</v>
      </c>
      <c r="AA126" s="8">
        <v>0</v>
      </c>
    </row>
    <row r="127" spans="1:27" ht="41.5" x14ac:dyDescent="0.35">
      <c r="A127" s="8" t="s">
        <v>28</v>
      </c>
      <c r="B127" s="8" t="s">
        <v>59</v>
      </c>
      <c r="C127" s="8" t="s">
        <v>30</v>
      </c>
      <c r="D127" s="8" t="s">
        <v>42</v>
      </c>
      <c r="E127" s="8" t="s">
        <v>74</v>
      </c>
      <c r="F127" s="8" t="s">
        <v>147</v>
      </c>
      <c r="G127" s="8">
        <v>2023</v>
      </c>
      <c r="H127" s="8" t="str">
        <f>CONCATENATE("34210038658")</f>
        <v>34210038658</v>
      </c>
      <c r="I127" s="8" t="s">
        <v>51</v>
      </c>
      <c r="J127" s="8" t="s">
        <v>34</v>
      </c>
      <c r="K127" s="8" t="str">
        <f t="shared" si="8"/>
        <v/>
      </c>
      <c r="L127" s="8" t="str">
        <f t="shared" si="9"/>
        <v>13 13.1 4a</v>
      </c>
      <c r="M127" s="8" t="str">
        <f>CONCATENATE("DCHLVN69T18L500N")</f>
        <v>DCHLVN69T18L500N</v>
      </c>
      <c r="N127" s="8" t="s">
        <v>212</v>
      </c>
      <c r="O127" s="8" t="s">
        <v>36</v>
      </c>
      <c r="P127" s="8" t="s">
        <v>149</v>
      </c>
      <c r="Q127" s="9">
        <v>45461</v>
      </c>
      <c r="R127" s="8" t="s">
        <v>38</v>
      </c>
      <c r="S127" s="8" t="s">
        <v>39</v>
      </c>
      <c r="T127" s="8" t="s">
        <v>40</v>
      </c>
      <c r="U127" s="8"/>
      <c r="V127" s="8" t="s">
        <v>41</v>
      </c>
      <c r="W127" s="10">
        <v>3604.56</v>
      </c>
      <c r="X127" s="10">
        <v>1554.29</v>
      </c>
      <c r="Y127" s="10">
        <v>1435.34</v>
      </c>
      <c r="Z127" s="8">
        <v>614.92999999999995</v>
      </c>
      <c r="AA127" s="8">
        <v>0</v>
      </c>
    </row>
    <row r="128" spans="1:27" ht="41.5" x14ac:dyDescent="0.35">
      <c r="A128" s="8" t="s">
        <v>28</v>
      </c>
      <c r="B128" s="8" t="s">
        <v>59</v>
      </c>
      <c r="C128" s="8" t="s">
        <v>30</v>
      </c>
      <c r="D128" s="8" t="s">
        <v>71</v>
      </c>
      <c r="E128" s="8" t="s">
        <v>74</v>
      </c>
      <c r="F128" s="8" t="s">
        <v>75</v>
      </c>
      <c r="G128" s="8">
        <v>2023</v>
      </c>
      <c r="H128" s="8" t="str">
        <f>CONCATENATE("34210073663")</f>
        <v>34210073663</v>
      </c>
      <c r="I128" s="8" t="s">
        <v>33</v>
      </c>
      <c r="J128" s="8" t="s">
        <v>34</v>
      </c>
      <c r="K128" s="8" t="str">
        <f t="shared" si="8"/>
        <v/>
      </c>
      <c r="L128" s="8" t="str">
        <f t="shared" si="9"/>
        <v>13 13.1 4a</v>
      </c>
      <c r="M128" s="8" t="str">
        <f>CONCATENATE("CCCGNN67C22E388T")</f>
        <v>CCCGNN67C22E388T</v>
      </c>
      <c r="N128" s="8" t="s">
        <v>213</v>
      </c>
      <c r="O128" s="8" t="s">
        <v>36</v>
      </c>
      <c r="P128" s="8" t="s">
        <v>149</v>
      </c>
      <c r="Q128" s="9">
        <v>45461</v>
      </c>
      <c r="R128" s="8" t="s">
        <v>38</v>
      </c>
      <c r="S128" s="8" t="s">
        <v>39</v>
      </c>
      <c r="T128" s="8" t="s">
        <v>40</v>
      </c>
      <c r="U128" s="8"/>
      <c r="V128" s="8" t="s">
        <v>41</v>
      </c>
      <c r="W128" s="10">
        <v>1531.6</v>
      </c>
      <c r="X128" s="8">
        <v>660.43</v>
      </c>
      <c r="Y128" s="8">
        <v>609.88</v>
      </c>
      <c r="Z128" s="8">
        <v>261.29000000000002</v>
      </c>
      <c r="AA128" s="8">
        <v>0</v>
      </c>
    </row>
    <row r="129" spans="1:27" ht="41.5" x14ac:dyDescent="0.35">
      <c r="A129" s="8" t="s">
        <v>28</v>
      </c>
      <c r="B129" s="8" t="s">
        <v>59</v>
      </c>
      <c r="C129" s="8" t="s">
        <v>30</v>
      </c>
      <c r="D129" s="8" t="s">
        <v>42</v>
      </c>
      <c r="E129" s="8" t="s">
        <v>45</v>
      </c>
      <c r="F129" s="8" t="s">
        <v>153</v>
      </c>
      <c r="G129" s="8">
        <v>2023</v>
      </c>
      <c r="H129" s="8" t="str">
        <f>CONCATENATE("34210066501")</f>
        <v>34210066501</v>
      </c>
      <c r="I129" s="8" t="s">
        <v>51</v>
      </c>
      <c r="J129" s="8" t="s">
        <v>34</v>
      </c>
      <c r="K129" s="8" t="str">
        <f t="shared" si="8"/>
        <v/>
      </c>
      <c r="L129" s="8" t="str">
        <f t="shared" si="9"/>
        <v>13 13.1 4a</v>
      </c>
      <c r="M129" s="8" t="str">
        <f>CONCATENATE("GBNGRG57M31L500S")</f>
        <v>GBNGRG57M31L500S</v>
      </c>
      <c r="N129" s="8" t="s">
        <v>214</v>
      </c>
      <c r="O129" s="8" t="s">
        <v>36</v>
      </c>
      <c r="P129" s="8" t="s">
        <v>149</v>
      </c>
      <c r="Q129" s="9">
        <v>45461</v>
      </c>
      <c r="R129" s="8" t="s">
        <v>38</v>
      </c>
      <c r="S129" s="8" t="s">
        <v>39</v>
      </c>
      <c r="T129" s="8" t="s">
        <v>40</v>
      </c>
      <c r="U129" s="8"/>
      <c r="V129" s="8" t="s">
        <v>41</v>
      </c>
      <c r="W129" s="8">
        <v>259.66000000000003</v>
      </c>
      <c r="X129" s="8">
        <v>111.97</v>
      </c>
      <c r="Y129" s="8">
        <v>103.4</v>
      </c>
      <c r="Z129" s="8">
        <v>44.29</v>
      </c>
      <c r="AA129" s="8">
        <v>0</v>
      </c>
    </row>
    <row r="130" spans="1:27" ht="49.5" x14ac:dyDescent="0.35">
      <c r="A130" s="8" t="s">
        <v>28</v>
      </c>
      <c r="B130" s="8" t="s">
        <v>59</v>
      </c>
      <c r="C130" s="8" t="s">
        <v>30</v>
      </c>
      <c r="D130" s="8" t="s">
        <v>42</v>
      </c>
      <c r="E130" s="8" t="s">
        <v>45</v>
      </c>
      <c r="F130" s="8" t="s">
        <v>215</v>
      </c>
      <c r="G130" s="8">
        <v>2023</v>
      </c>
      <c r="H130" s="8" t="str">
        <f>CONCATENATE("34210028055")</f>
        <v>34210028055</v>
      </c>
      <c r="I130" s="8" t="s">
        <v>33</v>
      </c>
      <c r="J130" s="8" t="s">
        <v>34</v>
      </c>
      <c r="K130" s="8" t="str">
        <f t="shared" si="8"/>
        <v/>
      </c>
      <c r="L130" s="8" t="str">
        <f t="shared" si="9"/>
        <v>13 13.1 4a</v>
      </c>
      <c r="M130" s="8" t="str">
        <f>CONCATENATE("BRZGRG51H23B352O")</f>
        <v>BRZGRG51H23B352O</v>
      </c>
      <c r="N130" s="8" t="s">
        <v>216</v>
      </c>
      <c r="O130" s="8" t="s">
        <v>36</v>
      </c>
      <c r="P130" s="8" t="s">
        <v>149</v>
      </c>
      <c r="Q130" s="9">
        <v>45461</v>
      </c>
      <c r="R130" s="8" t="s">
        <v>38</v>
      </c>
      <c r="S130" s="8" t="s">
        <v>39</v>
      </c>
      <c r="T130" s="8" t="s">
        <v>40</v>
      </c>
      <c r="U130" s="8"/>
      <c r="V130" s="8" t="s">
        <v>41</v>
      </c>
      <c r="W130" s="10">
        <v>2671.8</v>
      </c>
      <c r="X130" s="10">
        <v>1152.08</v>
      </c>
      <c r="Y130" s="10">
        <v>1063.9100000000001</v>
      </c>
      <c r="Z130" s="8">
        <v>455.81</v>
      </c>
      <c r="AA130" s="8">
        <v>0</v>
      </c>
    </row>
    <row r="131" spans="1:27" ht="41.5" x14ac:dyDescent="0.35">
      <c r="A131" s="8" t="s">
        <v>28</v>
      </c>
      <c r="B131" s="8" t="s">
        <v>59</v>
      </c>
      <c r="C131" s="8" t="s">
        <v>30</v>
      </c>
      <c r="D131" s="8" t="s">
        <v>42</v>
      </c>
      <c r="E131" s="8" t="s">
        <v>74</v>
      </c>
      <c r="F131" s="8" t="s">
        <v>171</v>
      </c>
      <c r="G131" s="8">
        <v>2023</v>
      </c>
      <c r="H131" s="8" t="str">
        <f>CONCATENATE("34210002290")</f>
        <v>34210002290</v>
      </c>
      <c r="I131" s="8" t="s">
        <v>33</v>
      </c>
      <c r="J131" s="8" t="s">
        <v>34</v>
      </c>
      <c r="K131" s="8" t="str">
        <f t="shared" si="8"/>
        <v/>
      </c>
      <c r="L131" s="8" t="str">
        <f t="shared" si="9"/>
        <v>13 13.1 4a</v>
      </c>
      <c r="M131" s="8" t="str">
        <f>CONCATENATE("BRLSFN92P02A271E")</f>
        <v>BRLSFN92P02A271E</v>
      </c>
      <c r="N131" s="8" t="s">
        <v>217</v>
      </c>
      <c r="O131" s="8" t="s">
        <v>36</v>
      </c>
      <c r="P131" s="8" t="s">
        <v>149</v>
      </c>
      <c r="Q131" s="9">
        <v>45461</v>
      </c>
      <c r="R131" s="8" t="s">
        <v>38</v>
      </c>
      <c r="S131" s="8" t="s">
        <v>39</v>
      </c>
      <c r="T131" s="8" t="s">
        <v>40</v>
      </c>
      <c r="U131" s="8"/>
      <c r="V131" s="8" t="s">
        <v>41</v>
      </c>
      <c r="W131" s="10">
        <v>1528.25</v>
      </c>
      <c r="X131" s="8">
        <v>658.98</v>
      </c>
      <c r="Y131" s="8">
        <v>608.54999999999995</v>
      </c>
      <c r="Z131" s="8">
        <v>260.72000000000003</v>
      </c>
      <c r="AA131" s="8">
        <v>0</v>
      </c>
    </row>
    <row r="132" spans="1:27" ht="49.5" x14ac:dyDescent="0.35">
      <c r="A132" s="8" t="s">
        <v>28</v>
      </c>
      <c r="B132" s="8" t="s">
        <v>59</v>
      </c>
      <c r="C132" s="8" t="s">
        <v>30</v>
      </c>
      <c r="D132" s="8" t="s">
        <v>42</v>
      </c>
      <c r="E132" s="8" t="s">
        <v>74</v>
      </c>
      <c r="F132" s="8" t="s">
        <v>171</v>
      </c>
      <c r="G132" s="8">
        <v>2023</v>
      </c>
      <c r="H132" s="8" t="str">
        <f>CONCATENATE("34210059043")</f>
        <v>34210059043</v>
      </c>
      <c r="I132" s="8" t="s">
        <v>33</v>
      </c>
      <c r="J132" s="8" t="s">
        <v>34</v>
      </c>
      <c r="K132" s="8" t="str">
        <f t="shared" si="8"/>
        <v/>
      </c>
      <c r="L132" s="8" t="str">
        <f t="shared" si="9"/>
        <v>13 13.1 4a</v>
      </c>
      <c r="M132" s="8" t="str">
        <f>CONCATENATE("RMGDME26R24F497A")</f>
        <v>RMGDME26R24F497A</v>
      </c>
      <c r="N132" s="8" t="s">
        <v>218</v>
      </c>
      <c r="O132" s="8" t="s">
        <v>36</v>
      </c>
      <c r="P132" s="8" t="s">
        <v>149</v>
      </c>
      <c r="Q132" s="9">
        <v>45461</v>
      </c>
      <c r="R132" s="8" t="s">
        <v>38</v>
      </c>
      <c r="S132" s="8" t="s">
        <v>39</v>
      </c>
      <c r="T132" s="8" t="s">
        <v>40</v>
      </c>
      <c r="U132" s="8"/>
      <c r="V132" s="8" t="s">
        <v>41</v>
      </c>
      <c r="W132" s="10">
        <v>1614.8</v>
      </c>
      <c r="X132" s="8">
        <v>696.3</v>
      </c>
      <c r="Y132" s="8">
        <v>643.01</v>
      </c>
      <c r="Z132" s="8">
        <v>275.49</v>
      </c>
      <c r="AA132" s="8">
        <v>0</v>
      </c>
    </row>
    <row r="133" spans="1:27" ht="49.5" x14ac:dyDescent="0.35">
      <c r="A133" s="8" t="s">
        <v>28</v>
      </c>
      <c r="B133" s="8" t="s">
        <v>59</v>
      </c>
      <c r="C133" s="8" t="s">
        <v>30</v>
      </c>
      <c r="D133" s="8" t="s">
        <v>42</v>
      </c>
      <c r="E133" s="8" t="s">
        <v>45</v>
      </c>
      <c r="F133" s="8" t="s">
        <v>153</v>
      </c>
      <c r="G133" s="8">
        <v>2023</v>
      </c>
      <c r="H133" s="8" t="str">
        <f>CONCATENATE("34210070990")</f>
        <v>34210070990</v>
      </c>
      <c r="I133" s="8" t="s">
        <v>51</v>
      </c>
      <c r="J133" s="8" t="s">
        <v>34</v>
      </c>
      <c r="K133" s="8" t="str">
        <f t="shared" si="8"/>
        <v/>
      </c>
      <c r="L133" s="8" t="str">
        <f t="shared" si="9"/>
        <v>13 13.1 4a</v>
      </c>
      <c r="M133" s="8" t="str">
        <f>CONCATENATE("RSSSNT59A57G514N")</f>
        <v>RSSSNT59A57G514N</v>
      </c>
      <c r="N133" s="8" t="s">
        <v>219</v>
      </c>
      <c r="O133" s="8" t="s">
        <v>36</v>
      </c>
      <c r="P133" s="8" t="s">
        <v>149</v>
      </c>
      <c r="Q133" s="9">
        <v>45461</v>
      </c>
      <c r="R133" s="8" t="s">
        <v>38</v>
      </c>
      <c r="S133" s="8" t="s">
        <v>39</v>
      </c>
      <c r="T133" s="8" t="s">
        <v>40</v>
      </c>
      <c r="U133" s="8"/>
      <c r="V133" s="8" t="s">
        <v>41</v>
      </c>
      <c r="W133" s="8">
        <v>90.49</v>
      </c>
      <c r="X133" s="8">
        <v>39.020000000000003</v>
      </c>
      <c r="Y133" s="8">
        <v>36.03</v>
      </c>
      <c r="Z133" s="8">
        <v>15.44</v>
      </c>
      <c r="AA133" s="8">
        <v>0</v>
      </c>
    </row>
    <row r="134" spans="1:27" ht="41.5" x14ac:dyDescent="0.35">
      <c r="A134" s="8" t="s">
        <v>28</v>
      </c>
      <c r="B134" s="8" t="s">
        <v>59</v>
      </c>
      <c r="C134" s="8" t="s">
        <v>30</v>
      </c>
      <c r="D134" s="8" t="s">
        <v>42</v>
      </c>
      <c r="E134" s="8" t="s">
        <v>45</v>
      </c>
      <c r="F134" s="8" t="s">
        <v>153</v>
      </c>
      <c r="G134" s="8">
        <v>2023</v>
      </c>
      <c r="H134" s="8" t="str">
        <f>CONCATENATE("34210074570")</f>
        <v>34210074570</v>
      </c>
      <c r="I134" s="8" t="s">
        <v>51</v>
      </c>
      <c r="J134" s="8" t="s">
        <v>34</v>
      </c>
      <c r="K134" s="8" t="str">
        <f t="shared" si="8"/>
        <v/>
      </c>
      <c r="L134" s="8" t="str">
        <f>CONCATENATE("13 13.1 4a")</f>
        <v>13 13.1 4a</v>
      </c>
      <c r="M134" s="8" t="str">
        <f>CONCATENATE("SLVDNL64A04L500R")</f>
        <v>SLVDNL64A04L500R</v>
      </c>
      <c r="N134" s="8" t="s">
        <v>220</v>
      </c>
      <c r="O134" s="8" t="s">
        <v>36</v>
      </c>
      <c r="P134" s="8" t="s">
        <v>149</v>
      </c>
      <c r="Q134" s="9">
        <v>45461</v>
      </c>
      <c r="R134" s="8" t="s">
        <v>38</v>
      </c>
      <c r="S134" s="8" t="s">
        <v>39</v>
      </c>
      <c r="T134" s="8" t="s">
        <v>40</v>
      </c>
      <c r="U134" s="8"/>
      <c r="V134" s="8" t="s">
        <v>41</v>
      </c>
      <c r="W134" s="10">
        <v>1784.58</v>
      </c>
      <c r="X134" s="8">
        <v>769.51</v>
      </c>
      <c r="Y134" s="8">
        <v>710.62</v>
      </c>
      <c r="Z134" s="8">
        <v>304.45</v>
      </c>
      <c r="AA134" s="8">
        <v>0</v>
      </c>
    </row>
    <row r="135" spans="1:27" ht="25.5" x14ac:dyDescent="0.35">
      <c r="A135" s="8" t="s">
        <v>28</v>
      </c>
      <c r="B135" s="8" t="s">
        <v>59</v>
      </c>
      <c r="C135" s="8" t="s">
        <v>30</v>
      </c>
      <c r="D135" s="8" t="s">
        <v>31</v>
      </c>
      <c r="E135" s="8" t="s">
        <v>63</v>
      </c>
      <c r="F135" s="8" t="s">
        <v>221</v>
      </c>
      <c r="G135" s="8">
        <v>2023</v>
      </c>
      <c r="H135" s="8" t="str">
        <f>CONCATENATE("34210110499")</f>
        <v>34210110499</v>
      </c>
      <c r="I135" s="8" t="s">
        <v>51</v>
      </c>
      <c r="J135" s="8" t="s">
        <v>34</v>
      </c>
      <c r="K135" s="8" t="str">
        <f t="shared" si="8"/>
        <v/>
      </c>
      <c r="L135" s="8" t="str">
        <f>CONCATENATE("13 13.1 4a")</f>
        <v>13 13.1 4a</v>
      </c>
      <c r="M135" s="8" t="str">
        <f>CONCATENATE("01711460434")</f>
        <v>01711460434</v>
      </c>
      <c r="N135" s="8" t="s">
        <v>222</v>
      </c>
      <c r="O135" s="8" t="s">
        <v>36</v>
      </c>
      <c r="P135" s="8" t="s">
        <v>149</v>
      </c>
      <c r="Q135" s="9">
        <v>45461</v>
      </c>
      <c r="R135" s="8" t="s">
        <v>38</v>
      </c>
      <c r="S135" s="8" t="s">
        <v>39</v>
      </c>
      <c r="T135" s="8" t="s">
        <v>40</v>
      </c>
      <c r="U135" s="8"/>
      <c r="V135" s="8" t="s">
        <v>41</v>
      </c>
      <c r="W135" s="10">
        <v>1850.73</v>
      </c>
      <c r="X135" s="8">
        <v>798.03</v>
      </c>
      <c r="Y135" s="8">
        <v>736.96</v>
      </c>
      <c r="Z135" s="8">
        <v>315.74</v>
      </c>
      <c r="AA135" s="8">
        <v>0</v>
      </c>
    </row>
    <row r="136" spans="1:27" ht="41.5" x14ac:dyDescent="0.35">
      <c r="A136" s="8" t="s">
        <v>28</v>
      </c>
      <c r="B136" s="8" t="s">
        <v>59</v>
      </c>
      <c r="C136" s="8" t="s">
        <v>30</v>
      </c>
      <c r="D136" s="8" t="s">
        <v>31</v>
      </c>
      <c r="E136" s="8" t="s">
        <v>63</v>
      </c>
      <c r="F136" s="8" t="s">
        <v>223</v>
      </c>
      <c r="G136" s="8">
        <v>2023</v>
      </c>
      <c r="H136" s="8" t="str">
        <f>CONCATENATE("34240221282")</f>
        <v>34240221282</v>
      </c>
      <c r="I136" s="8" t="s">
        <v>51</v>
      </c>
      <c r="J136" s="8" t="s">
        <v>34</v>
      </c>
      <c r="K136" s="8" t="str">
        <f t="shared" si="8"/>
        <v/>
      </c>
      <c r="L136" s="8" t="str">
        <f>CONCATENATE("11 11.2 4b")</f>
        <v>11 11.2 4b</v>
      </c>
      <c r="M136" s="8" t="str">
        <f>CONCATENATE("VNDTMS74D25Z126O")</f>
        <v>VNDTMS74D25Z126O</v>
      </c>
      <c r="N136" s="8" t="s">
        <v>224</v>
      </c>
      <c r="O136" s="8" t="s">
        <v>36</v>
      </c>
      <c r="P136" s="8" t="s">
        <v>125</v>
      </c>
      <c r="Q136" s="9">
        <v>45461</v>
      </c>
      <c r="R136" s="8" t="s">
        <v>38</v>
      </c>
      <c r="S136" s="8" t="s">
        <v>39</v>
      </c>
      <c r="T136" s="8" t="s">
        <v>40</v>
      </c>
      <c r="U136" s="8"/>
      <c r="V136" s="8" t="s">
        <v>41</v>
      </c>
      <c r="W136" s="8">
        <v>118.73</v>
      </c>
      <c r="X136" s="8">
        <v>51.2</v>
      </c>
      <c r="Y136" s="8">
        <v>47.28</v>
      </c>
      <c r="Z136" s="8">
        <v>20.25</v>
      </c>
      <c r="AA136" s="8">
        <v>0</v>
      </c>
    </row>
    <row r="137" spans="1:27" ht="41.5" x14ac:dyDescent="0.35">
      <c r="A137" s="8" t="s">
        <v>28</v>
      </c>
      <c r="B137" s="8" t="s">
        <v>59</v>
      </c>
      <c r="C137" s="8" t="s">
        <v>30</v>
      </c>
      <c r="D137" s="8" t="s">
        <v>31</v>
      </c>
      <c r="E137" s="8" t="s">
        <v>63</v>
      </c>
      <c r="F137" s="8" t="s">
        <v>81</v>
      </c>
      <c r="G137" s="8">
        <v>2023</v>
      </c>
      <c r="H137" s="8" t="str">
        <f>CONCATENATE("34240216928")</f>
        <v>34240216928</v>
      </c>
      <c r="I137" s="8" t="s">
        <v>51</v>
      </c>
      <c r="J137" s="8" t="s">
        <v>34</v>
      </c>
      <c r="K137" s="8" t="str">
        <f t="shared" si="8"/>
        <v/>
      </c>
      <c r="L137" s="8" t="str">
        <f>CONCATENATE("11 11.2 4b")</f>
        <v>11 11.2 4b</v>
      </c>
      <c r="M137" s="8" t="str">
        <f>CONCATENATE("PRMJRU95S23I156U")</f>
        <v>PRMJRU95S23I156U</v>
      </c>
      <c r="N137" s="8" t="s">
        <v>225</v>
      </c>
      <c r="O137" s="8" t="s">
        <v>36</v>
      </c>
      <c r="P137" s="8" t="s">
        <v>125</v>
      </c>
      <c r="Q137" s="9">
        <v>45461</v>
      </c>
      <c r="R137" s="8" t="s">
        <v>38</v>
      </c>
      <c r="S137" s="8" t="s">
        <v>39</v>
      </c>
      <c r="T137" s="8" t="s">
        <v>40</v>
      </c>
      <c r="U137" s="8"/>
      <c r="V137" s="8" t="s">
        <v>41</v>
      </c>
      <c r="W137" s="10">
        <v>12278.42</v>
      </c>
      <c r="X137" s="10">
        <v>5294.45</v>
      </c>
      <c r="Y137" s="10">
        <v>4889.2700000000004</v>
      </c>
      <c r="Z137" s="10">
        <v>2094.6999999999998</v>
      </c>
      <c r="AA137" s="8">
        <v>0</v>
      </c>
    </row>
    <row r="138" spans="1:27" ht="41.5" x14ac:dyDescent="0.35">
      <c r="A138" s="8" t="s">
        <v>28</v>
      </c>
      <c r="B138" s="8" t="s">
        <v>59</v>
      </c>
      <c r="C138" s="8" t="s">
        <v>30</v>
      </c>
      <c r="D138" s="8" t="s">
        <v>31</v>
      </c>
      <c r="E138" s="8" t="s">
        <v>45</v>
      </c>
      <c r="F138" s="8" t="s">
        <v>95</v>
      </c>
      <c r="G138" s="8">
        <v>2023</v>
      </c>
      <c r="H138" s="8" t="str">
        <f>CONCATENATE("34240496280")</f>
        <v>34240496280</v>
      </c>
      <c r="I138" s="8" t="s">
        <v>51</v>
      </c>
      <c r="J138" s="8" t="s">
        <v>34</v>
      </c>
      <c r="K138" s="8" t="str">
        <f t="shared" si="8"/>
        <v/>
      </c>
      <c r="L138" s="8" t="str">
        <f t="shared" ref="L138:L146" si="10">CONCATENATE("11 11.2 4b")</f>
        <v>11 11.2 4b</v>
      </c>
      <c r="M138" s="8" t="str">
        <f>CONCATENATE("FTTSMN98H29I156K")</f>
        <v>FTTSMN98H29I156K</v>
      </c>
      <c r="N138" s="8" t="s">
        <v>182</v>
      </c>
      <c r="O138" s="8" t="s">
        <v>36</v>
      </c>
      <c r="P138" s="8" t="s">
        <v>125</v>
      </c>
      <c r="Q138" s="9">
        <v>45461</v>
      </c>
      <c r="R138" s="8" t="s">
        <v>38</v>
      </c>
      <c r="S138" s="8" t="s">
        <v>39</v>
      </c>
      <c r="T138" s="8" t="s">
        <v>40</v>
      </c>
      <c r="U138" s="8"/>
      <c r="V138" s="8" t="s">
        <v>41</v>
      </c>
      <c r="W138" s="10">
        <v>5763.21</v>
      </c>
      <c r="X138" s="10">
        <v>2485.1</v>
      </c>
      <c r="Y138" s="10">
        <v>2294.91</v>
      </c>
      <c r="Z138" s="8">
        <v>983.2</v>
      </c>
      <c r="AA138" s="8">
        <v>0</v>
      </c>
    </row>
    <row r="139" spans="1:27" ht="41.5" x14ac:dyDescent="0.35">
      <c r="A139" s="8" t="s">
        <v>28</v>
      </c>
      <c r="B139" s="8" t="s">
        <v>59</v>
      </c>
      <c r="C139" s="8" t="s">
        <v>30</v>
      </c>
      <c r="D139" s="8" t="s">
        <v>31</v>
      </c>
      <c r="E139" s="8" t="s">
        <v>45</v>
      </c>
      <c r="F139" s="8" t="s">
        <v>226</v>
      </c>
      <c r="G139" s="8">
        <v>2023</v>
      </c>
      <c r="H139" s="8" t="str">
        <f>CONCATENATE("34240253723")</f>
        <v>34240253723</v>
      </c>
      <c r="I139" s="8" t="s">
        <v>51</v>
      </c>
      <c r="J139" s="8" t="s">
        <v>34</v>
      </c>
      <c r="K139" s="8" t="str">
        <f t="shared" si="8"/>
        <v/>
      </c>
      <c r="L139" s="8" t="str">
        <f t="shared" si="10"/>
        <v>11 11.2 4b</v>
      </c>
      <c r="M139" s="8" t="str">
        <f>CONCATENATE("CMBNRC61D09I156I")</f>
        <v>CMBNRC61D09I156I</v>
      </c>
      <c r="N139" s="8" t="s">
        <v>227</v>
      </c>
      <c r="O139" s="8" t="s">
        <v>36</v>
      </c>
      <c r="P139" s="8" t="s">
        <v>125</v>
      </c>
      <c r="Q139" s="9">
        <v>45461</v>
      </c>
      <c r="R139" s="8" t="s">
        <v>38</v>
      </c>
      <c r="S139" s="8" t="s">
        <v>39</v>
      </c>
      <c r="T139" s="8" t="s">
        <v>40</v>
      </c>
      <c r="U139" s="8"/>
      <c r="V139" s="8" t="s">
        <v>41</v>
      </c>
      <c r="W139" s="8">
        <v>745.55</v>
      </c>
      <c r="X139" s="8">
        <v>321.48</v>
      </c>
      <c r="Y139" s="8">
        <v>296.88</v>
      </c>
      <c r="Z139" s="8">
        <v>127.19</v>
      </c>
      <c r="AA139" s="8">
        <v>0</v>
      </c>
    </row>
    <row r="140" spans="1:27" ht="41.5" x14ac:dyDescent="0.35">
      <c r="A140" s="8" t="s">
        <v>28</v>
      </c>
      <c r="B140" s="8" t="s">
        <v>59</v>
      </c>
      <c r="C140" s="8" t="s">
        <v>30</v>
      </c>
      <c r="D140" s="8" t="s">
        <v>31</v>
      </c>
      <c r="E140" s="8" t="s">
        <v>45</v>
      </c>
      <c r="F140" s="8" t="s">
        <v>95</v>
      </c>
      <c r="G140" s="8">
        <v>2023</v>
      </c>
      <c r="H140" s="8" t="str">
        <f>CONCATENATE("34240249481")</f>
        <v>34240249481</v>
      </c>
      <c r="I140" s="8" t="s">
        <v>51</v>
      </c>
      <c r="J140" s="8" t="s">
        <v>34</v>
      </c>
      <c r="K140" s="8" t="str">
        <f t="shared" si="8"/>
        <v/>
      </c>
      <c r="L140" s="8" t="str">
        <f t="shared" si="10"/>
        <v>11 11.2 4b</v>
      </c>
      <c r="M140" s="8" t="str">
        <f>CONCATENATE("CNFNLL53D24I156R")</f>
        <v>CNFNLL53D24I156R</v>
      </c>
      <c r="N140" s="8" t="s">
        <v>184</v>
      </c>
      <c r="O140" s="8" t="s">
        <v>36</v>
      </c>
      <c r="P140" s="8" t="s">
        <v>125</v>
      </c>
      <c r="Q140" s="9">
        <v>45461</v>
      </c>
      <c r="R140" s="8" t="s">
        <v>38</v>
      </c>
      <c r="S140" s="8" t="s">
        <v>39</v>
      </c>
      <c r="T140" s="8" t="s">
        <v>40</v>
      </c>
      <c r="U140" s="8"/>
      <c r="V140" s="8" t="s">
        <v>41</v>
      </c>
      <c r="W140" s="10">
        <v>2132.1999999999998</v>
      </c>
      <c r="X140" s="8">
        <v>919.4</v>
      </c>
      <c r="Y140" s="8">
        <v>849.04</v>
      </c>
      <c r="Z140" s="8">
        <v>363.76</v>
      </c>
      <c r="AA140" s="8">
        <v>0</v>
      </c>
    </row>
    <row r="141" spans="1:27" ht="41.5" x14ac:dyDescent="0.35">
      <c r="A141" s="8" t="s">
        <v>28</v>
      </c>
      <c r="B141" s="8" t="s">
        <v>59</v>
      </c>
      <c r="C141" s="8" t="s">
        <v>30</v>
      </c>
      <c r="D141" s="8" t="s">
        <v>31</v>
      </c>
      <c r="E141" s="8" t="s">
        <v>85</v>
      </c>
      <c r="F141" s="8" t="s">
        <v>89</v>
      </c>
      <c r="G141" s="8">
        <v>2023</v>
      </c>
      <c r="H141" s="8" t="str">
        <f>CONCATENATE("34240377886")</f>
        <v>34240377886</v>
      </c>
      <c r="I141" s="8" t="s">
        <v>51</v>
      </c>
      <c r="J141" s="8" t="s">
        <v>34</v>
      </c>
      <c r="K141" s="8" t="str">
        <f t="shared" si="8"/>
        <v/>
      </c>
      <c r="L141" s="8" t="str">
        <f t="shared" si="10"/>
        <v>11 11.2 4b</v>
      </c>
      <c r="M141" s="8" t="str">
        <f>CONCATENATE("FLCSMN79T21I156S")</f>
        <v>FLCSMN79T21I156S</v>
      </c>
      <c r="N141" s="8" t="s">
        <v>228</v>
      </c>
      <c r="O141" s="8" t="s">
        <v>36</v>
      </c>
      <c r="P141" s="8" t="s">
        <v>125</v>
      </c>
      <c r="Q141" s="9">
        <v>45461</v>
      </c>
      <c r="R141" s="8" t="s">
        <v>38</v>
      </c>
      <c r="S141" s="8" t="s">
        <v>39</v>
      </c>
      <c r="T141" s="8" t="s">
        <v>40</v>
      </c>
      <c r="U141" s="8"/>
      <c r="V141" s="8" t="s">
        <v>41</v>
      </c>
      <c r="W141" s="8">
        <v>603.78</v>
      </c>
      <c r="X141" s="8">
        <v>260.35000000000002</v>
      </c>
      <c r="Y141" s="8">
        <v>240.43</v>
      </c>
      <c r="Z141" s="8">
        <v>103</v>
      </c>
      <c r="AA141" s="8">
        <v>0</v>
      </c>
    </row>
    <row r="142" spans="1:27" ht="25.5" x14ac:dyDescent="0.35">
      <c r="A142" s="8" t="s">
        <v>28</v>
      </c>
      <c r="B142" s="8" t="s">
        <v>59</v>
      </c>
      <c r="C142" s="8" t="s">
        <v>30</v>
      </c>
      <c r="D142" s="8" t="s">
        <v>31</v>
      </c>
      <c r="E142" s="8" t="s">
        <v>85</v>
      </c>
      <c r="F142" s="8" t="s">
        <v>89</v>
      </c>
      <c r="G142" s="8">
        <v>2023</v>
      </c>
      <c r="H142" s="8" t="str">
        <f>CONCATENATE("34240224443")</f>
        <v>34240224443</v>
      </c>
      <c r="I142" s="8" t="s">
        <v>51</v>
      </c>
      <c r="J142" s="8" t="s">
        <v>34</v>
      </c>
      <c r="K142" s="8" t="str">
        <f t="shared" si="8"/>
        <v/>
      </c>
      <c r="L142" s="8" t="str">
        <f t="shared" si="10"/>
        <v>11 11.2 4b</v>
      </c>
      <c r="M142" s="8" t="str">
        <f>CONCATENATE("02015980432")</f>
        <v>02015980432</v>
      </c>
      <c r="N142" s="8" t="s">
        <v>186</v>
      </c>
      <c r="O142" s="8" t="s">
        <v>36</v>
      </c>
      <c r="P142" s="8" t="s">
        <v>125</v>
      </c>
      <c r="Q142" s="9">
        <v>45461</v>
      </c>
      <c r="R142" s="8" t="s">
        <v>38</v>
      </c>
      <c r="S142" s="8" t="s">
        <v>39</v>
      </c>
      <c r="T142" s="8" t="s">
        <v>40</v>
      </c>
      <c r="U142" s="8"/>
      <c r="V142" s="8" t="s">
        <v>41</v>
      </c>
      <c r="W142" s="8">
        <v>556.95000000000005</v>
      </c>
      <c r="X142" s="8">
        <v>240.16</v>
      </c>
      <c r="Y142" s="8">
        <v>221.78</v>
      </c>
      <c r="Z142" s="8">
        <v>95.01</v>
      </c>
      <c r="AA142" s="8">
        <v>0</v>
      </c>
    </row>
    <row r="143" spans="1:27" ht="25.5" x14ac:dyDescent="0.35">
      <c r="A143" s="8" t="s">
        <v>28</v>
      </c>
      <c r="B143" s="8" t="s">
        <v>59</v>
      </c>
      <c r="C143" s="8" t="s">
        <v>30</v>
      </c>
      <c r="D143" s="8" t="s">
        <v>31</v>
      </c>
      <c r="E143" s="8" t="s">
        <v>63</v>
      </c>
      <c r="F143" s="8" t="s">
        <v>221</v>
      </c>
      <c r="G143" s="8">
        <v>2023</v>
      </c>
      <c r="H143" s="8" t="str">
        <f>CONCATENATE("34240718477")</f>
        <v>34240718477</v>
      </c>
      <c r="I143" s="8" t="s">
        <v>51</v>
      </c>
      <c r="J143" s="8" t="s">
        <v>34</v>
      </c>
      <c r="K143" s="8" t="str">
        <f t="shared" si="8"/>
        <v/>
      </c>
      <c r="L143" s="8" t="str">
        <f t="shared" si="10"/>
        <v>11 11.2 4b</v>
      </c>
      <c r="M143" s="8" t="str">
        <f>CONCATENATE("01711460434")</f>
        <v>01711460434</v>
      </c>
      <c r="N143" s="8" t="s">
        <v>222</v>
      </c>
      <c r="O143" s="8" t="s">
        <v>36</v>
      </c>
      <c r="P143" s="8" t="s">
        <v>125</v>
      </c>
      <c r="Q143" s="9">
        <v>45461</v>
      </c>
      <c r="R143" s="8" t="s">
        <v>38</v>
      </c>
      <c r="S143" s="8" t="s">
        <v>39</v>
      </c>
      <c r="T143" s="8" t="s">
        <v>40</v>
      </c>
      <c r="U143" s="8"/>
      <c r="V143" s="8" t="s">
        <v>41</v>
      </c>
      <c r="W143" s="10">
        <v>1040.2</v>
      </c>
      <c r="X143" s="8">
        <v>448.53</v>
      </c>
      <c r="Y143" s="8">
        <v>414.21</v>
      </c>
      <c r="Z143" s="8">
        <v>177.46</v>
      </c>
      <c r="AA143" s="8">
        <v>0</v>
      </c>
    </row>
    <row r="144" spans="1:27" ht="41.5" x14ac:dyDescent="0.35">
      <c r="A144" s="8" t="s">
        <v>28</v>
      </c>
      <c r="B144" s="8" t="s">
        <v>59</v>
      </c>
      <c r="C144" s="8" t="s">
        <v>30</v>
      </c>
      <c r="D144" s="8" t="s">
        <v>31</v>
      </c>
      <c r="E144" s="8" t="s">
        <v>85</v>
      </c>
      <c r="F144" s="8" t="s">
        <v>229</v>
      </c>
      <c r="G144" s="8">
        <v>2023</v>
      </c>
      <c r="H144" s="8" t="str">
        <f>CONCATENATE("34240721281")</f>
        <v>34240721281</v>
      </c>
      <c r="I144" s="8" t="s">
        <v>51</v>
      </c>
      <c r="J144" s="8" t="s">
        <v>34</v>
      </c>
      <c r="K144" s="8" t="str">
        <f t="shared" si="8"/>
        <v/>
      </c>
      <c r="L144" s="8" t="str">
        <f t="shared" si="10"/>
        <v>11 11.2 4b</v>
      </c>
      <c r="M144" s="8" t="str">
        <f>CONCATENATE("PSSNDR68T07L191O")</f>
        <v>PSSNDR68T07L191O</v>
      </c>
      <c r="N144" s="8" t="s">
        <v>230</v>
      </c>
      <c r="O144" s="8" t="s">
        <v>36</v>
      </c>
      <c r="P144" s="8" t="s">
        <v>125</v>
      </c>
      <c r="Q144" s="9">
        <v>45461</v>
      </c>
      <c r="R144" s="8" t="s">
        <v>38</v>
      </c>
      <c r="S144" s="8" t="s">
        <v>39</v>
      </c>
      <c r="T144" s="8" t="s">
        <v>40</v>
      </c>
      <c r="U144" s="8"/>
      <c r="V144" s="8" t="s">
        <v>41</v>
      </c>
      <c r="W144" s="10">
        <v>6910.4</v>
      </c>
      <c r="X144" s="10">
        <v>2979.76</v>
      </c>
      <c r="Y144" s="10">
        <v>2751.72</v>
      </c>
      <c r="Z144" s="10">
        <v>1178.92</v>
      </c>
      <c r="AA144" s="8">
        <v>0</v>
      </c>
    </row>
    <row r="145" spans="1:27" ht="25.5" x14ac:dyDescent="0.35">
      <c r="A145" s="8" t="s">
        <v>28</v>
      </c>
      <c r="B145" s="8" t="s">
        <v>59</v>
      </c>
      <c r="C145" s="8" t="s">
        <v>30</v>
      </c>
      <c r="D145" s="8" t="s">
        <v>31</v>
      </c>
      <c r="E145" s="8" t="s">
        <v>66</v>
      </c>
      <c r="F145" s="8" t="s">
        <v>91</v>
      </c>
      <c r="G145" s="8">
        <v>2023</v>
      </c>
      <c r="H145" s="8" t="str">
        <f>CONCATENATE("34240774710")</f>
        <v>34240774710</v>
      </c>
      <c r="I145" s="8" t="s">
        <v>33</v>
      </c>
      <c r="J145" s="8" t="s">
        <v>34</v>
      </c>
      <c r="K145" s="8" t="str">
        <f t="shared" si="8"/>
        <v/>
      </c>
      <c r="L145" s="8" t="str">
        <f t="shared" si="10"/>
        <v>11 11.2 4b</v>
      </c>
      <c r="M145" s="8" t="str">
        <f>CONCATENATE("01975760438")</f>
        <v>01975760438</v>
      </c>
      <c r="N145" s="8" t="s">
        <v>92</v>
      </c>
      <c r="O145" s="8" t="s">
        <v>36</v>
      </c>
      <c r="P145" s="8" t="s">
        <v>125</v>
      </c>
      <c r="Q145" s="9">
        <v>45461</v>
      </c>
      <c r="R145" s="8" t="s">
        <v>38</v>
      </c>
      <c r="S145" s="8" t="s">
        <v>39</v>
      </c>
      <c r="T145" s="8" t="s">
        <v>40</v>
      </c>
      <c r="U145" s="8"/>
      <c r="V145" s="8" t="s">
        <v>41</v>
      </c>
      <c r="W145" s="10">
        <v>9248.2099999999991</v>
      </c>
      <c r="X145" s="10">
        <v>3987.83</v>
      </c>
      <c r="Y145" s="10">
        <v>3682.64</v>
      </c>
      <c r="Z145" s="10">
        <v>1577.74</v>
      </c>
      <c r="AA145" s="8">
        <v>0</v>
      </c>
    </row>
    <row r="146" spans="1:27" ht="25.5" x14ac:dyDescent="0.35">
      <c r="A146" s="8" t="s">
        <v>28</v>
      </c>
      <c r="B146" s="8" t="s">
        <v>59</v>
      </c>
      <c r="C146" s="8" t="s">
        <v>30</v>
      </c>
      <c r="D146" s="8" t="s">
        <v>31</v>
      </c>
      <c r="E146" s="8" t="s">
        <v>66</v>
      </c>
      <c r="F146" s="8" t="s">
        <v>91</v>
      </c>
      <c r="G146" s="8">
        <v>2023</v>
      </c>
      <c r="H146" s="8" t="str">
        <f>CONCATENATE("34240774777")</f>
        <v>34240774777</v>
      </c>
      <c r="I146" s="8" t="s">
        <v>33</v>
      </c>
      <c r="J146" s="8" t="s">
        <v>34</v>
      </c>
      <c r="K146" s="8" t="str">
        <f t="shared" si="8"/>
        <v/>
      </c>
      <c r="L146" s="8" t="str">
        <f t="shared" si="10"/>
        <v>11 11.2 4b</v>
      </c>
      <c r="M146" s="8" t="str">
        <f>CONCATENATE("01975760438")</f>
        <v>01975760438</v>
      </c>
      <c r="N146" s="8" t="s">
        <v>92</v>
      </c>
      <c r="O146" s="8" t="s">
        <v>36</v>
      </c>
      <c r="P146" s="8" t="s">
        <v>125</v>
      </c>
      <c r="Q146" s="9">
        <v>45461</v>
      </c>
      <c r="R146" s="8" t="s">
        <v>38</v>
      </c>
      <c r="S146" s="8" t="s">
        <v>39</v>
      </c>
      <c r="T146" s="8" t="s">
        <v>40</v>
      </c>
      <c r="U146" s="8"/>
      <c r="V146" s="8" t="s">
        <v>41</v>
      </c>
      <c r="W146" s="10">
        <v>21120.31</v>
      </c>
      <c r="X146" s="10">
        <v>9107.08</v>
      </c>
      <c r="Y146" s="10">
        <v>8410.11</v>
      </c>
      <c r="Z146" s="10">
        <v>3603.12</v>
      </c>
      <c r="AA146" s="8">
        <v>0</v>
      </c>
    </row>
    <row r="147" spans="1:27" ht="25.5" x14ac:dyDescent="0.35">
      <c r="A147" s="8" t="s">
        <v>28</v>
      </c>
      <c r="B147" s="8" t="s">
        <v>29</v>
      </c>
      <c r="C147" s="8" t="s">
        <v>30</v>
      </c>
      <c r="D147" s="8" t="s">
        <v>31</v>
      </c>
      <c r="E147" s="8" t="s">
        <v>32</v>
      </c>
      <c r="F147" s="8" t="s">
        <v>32</v>
      </c>
      <c r="G147" s="8">
        <v>2017</v>
      </c>
      <c r="H147" s="8" t="str">
        <f>CONCATENATE("44270091109")</f>
        <v>44270091109</v>
      </c>
      <c r="I147" s="8" t="s">
        <v>33</v>
      </c>
      <c r="J147" s="8" t="s">
        <v>34</v>
      </c>
      <c r="K147" s="8" t="str">
        <f t="shared" si="8"/>
        <v/>
      </c>
      <c r="L147" s="8" t="str">
        <f>CONCATENATE("1 1.1 2a")</f>
        <v>1 1.1 2a</v>
      </c>
      <c r="M147" s="8" t="str">
        <f>CONCATENATE("01461530436")</f>
        <v>01461530436</v>
      </c>
      <c r="N147" s="8" t="s">
        <v>79</v>
      </c>
      <c r="O147" s="8" t="s">
        <v>36</v>
      </c>
      <c r="P147" s="8" t="s">
        <v>231</v>
      </c>
      <c r="Q147" s="9">
        <v>45462</v>
      </c>
      <c r="R147" s="8" t="s">
        <v>38</v>
      </c>
      <c r="S147" s="8" t="s">
        <v>39</v>
      </c>
      <c r="T147" s="8" t="s">
        <v>40</v>
      </c>
      <c r="U147" s="8"/>
      <c r="V147" s="8" t="s">
        <v>41</v>
      </c>
      <c r="W147" s="10">
        <v>14148.42</v>
      </c>
      <c r="X147" s="10">
        <v>6100.8</v>
      </c>
      <c r="Y147" s="10">
        <v>5633.9</v>
      </c>
      <c r="Z147" s="10">
        <v>2413.7199999999998</v>
      </c>
      <c r="AA147" s="8">
        <v>0</v>
      </c>
    </row>
    <row r="148" spans="1:27" ht="41.5" x14ac:dyDescent="0.35">
      <c r="A148" s="8" t="s">
        <v>28</v>
      </c>
      <c r="B148" s="8" t="s">
        <v>29</v>
      </c>
      <c r="C148" s="8" t="s">
        <v>30</v>
      </c>
      <c r="D148" s="8" t="s">
        <v>44</v>
      </c>
      <c r="E148" s="8" t="s">
        <v>45</v>
      </c>
      <c r="F148" s="8" t="s">
        <v>232</v>
      </c>
      <c r="G148" s="8">
        <v>2017</v>
      </c>
      <c r="H148" s="8" t="str">
        <f>CONCATENATE("44270106543")</f>
        <v>44270106543</v>
      </c>
      <c r="I148" s="8" t="s">
        <v>33</v>
      </c>
      <c r="J148" s="8" t="s">
        <v>34</v>
      </c>
      <c r="K148" s="8" t="str">
        <f t="shared" si="8"/>
        <v/>
      </c>
      <c r="L148" s="8" t="str">
        <f>CONCATENATE("4 4.1 2a")</f>
        <v>4 4.1 2a</v>
      </c>
      <c r="M148" s="8" t="str">
        <f>CONCATENATE("SPCPRI77C18H769H")</f>
        <v>SPCPRI77C18H769H</v>
      </c>
      <c r="N148" s="8" t="s">
        <v>233</v>
      </c>
      <c r="O148" s="8" t="s">
        <v>36</v>
      </c>
      <c r="P148" s="8" t="s">
        <v>234</v>
      </c>
      <c r="Q148" s="9">
        <v>45462</v>
      </c>
      <c r="R148" s="8" t="s">
        <v>38</v>
      </c>
      <c r="S148" s="8" t="s">
        <v>39</v>
      </c>
      <c r="T148" s="8" t="s">
        <v>40</v>
      </c>
      <c r="U148" s="8"/>
      <c r="V148" s="8" t="s">
        <v>41</v>
      </c>
      <c r="W148" s="10">
        <v>16678.47</v>
      </c>
      <c r="X148" s="10">
        <v>7191.76</v>
      </c>
      <c r="Y148" s="10">
        <v>6641.37</v>
      </c>
      <c r="Z148" s="10">
        <v>2845.34</v>
      </c>
      <c r="AA148" s="8">
        <v>0</v>
      </c>
    </row>
    <row r="149" spans="1:27" ht="41.5" x14ac:dyDescent="0.35">
      <c r="A149" s="8" t="s">
        <v>28</v>
      </c>
      <c r="B149" s="8" t="s">
        <v>29</v>
      </c>
      <c r="C149" s="8" t="s">
        <v>30</v>
      </c>
      <c r="D149" s="8" t="s">
        <v>44</v>
      </c>
      <c r="E149" s="8" t="s">
        <v>32</v>
      </c>
      <c r="F149" s="8" t="s">
        <v>32</v>
      </c>
      <c r="G149" s="8">
        <v>2017</v>
      </c>
      <c r="H149" s="8" t="str">
        <f>CONCATENATE("44270101775")</f>
        <v>44270101775</v>
      </c>
      <c r="I149" s="8" t="s">
        <v>33</v>
      </c>
      <c r="J149" s="8" t="s">
        <v>34</v>
      </c>
      <c r="K149" s="8" t="str">
        <f t="shared" si="8"/>
        <v/>
      </c>
      <c r="L149" s="8" t="str">
        <f>CONCATENATE("4 4.1 2a")</f>
        <v>4 4.1 2a</v>
      </c>
      <c r="M149" s="8" t="str">
        <f>CONCATENATE("VGNGFR64P08G516S")</f>
        <v>VGNGFR64P08G516S</v>
      </c>
      <c r="N149" s="8" t="s">
        <v>235</v>
      </c>
      <c r="O149" s="8" t="s">
        <v>36</v>
      </c>
      <c r="P149" s="8" t="s">
        <v>234</v>
      </c>
      <c r="Q149" s="9">
        <v>45462</v>
      </c>
      <c r="R149" s="8" t="s">
        <v>38</v>
      </c>
      <c r="S149" s="8" t="s">
        <v>39</v>
      </c>
      <c r="T149" s="8" t="s">
        <v>40</v>
      </c>
      <c r="U149" s="8"/>
      <c r="V149" s="8" t="s">
        <v>41</v>
      </c>
      <c r="W149" s="10">
        <v>41326.76</v>
      </c>
      <c r="X149" s="10">
        <v>17820.099999999999</v>
      </c>
      <c r="Y149" s="10">
        <v>16456.32</v>
      </c>
      <c r="Z149" s="10">
        <v>7050.34</v>
      </c>
      <c r="AA149" s="8">
        <v>0</v>
      </c>
    </row>
    <row r="150" spans="1:27" ht="25.5" x14ac:dyDescent="0.35">
      <c r="A150" s="8" t="s">
        <v>28</v>
      </c>
      <c r="B150" s="8" t="s">
        <v>59</v>
      </c>
      <c r="C150" s="8" t="s">
        <v>30</v>
      </c>
      <c r="D150" s="8" t="s">
        <v>31</v>
      </c>
      <c r="E150" s="8" t="s">
        <v>66</v>
      </c>
      <c r="F150" s="8" t="s">
        <v>91</v>
      </c>
      <c r="G150" s="8">
        <v>2023</v>
      </c>
      <c r="H150" s="8" t="str">
        <f>CONCATENATE("34210091053")</f>
        <v>34210091053</v>
      </c>
      <c r="I150" s="8" t="s">
        <v>51</v>
      </c>
      <c r="J150" s="8" t="s">
        <v>34</v>
      </c>
      <c r="K150" s="8" t="str">
        <f t="shared" si="8"/>
        <v/>
      </c>
      <c r="L150" s="8" t="str">
        <f t="shared" ref="L150:L162" si="11">CONCATENATE("13 13.1 4a")</f>
        <v>13 13.1 4a</v>
      </c>
      <c r="M150" s="8" t="str">
        <f>CONCATENATE("01815530439")</f>
        <v>01815530439</v>
      </c>
      <c r="N150" s="8" t="s">
        <v>236</v>
      </c>
      <c r="O150" s="8" t="s">
        <v>36</v>
      </c>
      <c r="P150" s="8" t="s">
        <v>149</v>
      </c>
      <c r="Q150" s="9">
        <v>45461</v>
      </c>
      <c r="R150" s="8" t="s">
        <v>38</v>
      </c>
      <c r="S150" s="8" t="s">
        <v>39</v>
      </c>
      <c r="T150" s="8" t="s">
        <v>40</v>
      </c>
      <c r="U150" s="8"/>
      <c r="V150" s="8" t="s">
        <v>41</v>
      </c>
      <c r="W150" s="10">
        <v>1176.99</v>
      </c>
      <c r="X150" s="8">
        <v>507.52</v>
      </c>
      <c r="Y150" s="8">
        <v>468.68</v>
      </c>
      <c r="Z150" s="8">
        <v>200.79</v>
      </c>
      <c r="AA150" s="8">
        <v>0</v>
      </c>
    </row>
    <row r="151" spans="1:27" ht="41.5" x14ac:dyDescent="0.35">
      <c r="A151" s="8" t="s">
        <v>28</v>
      </c>
      <c r="B151" s="8" t="s">
        <v>59</v>
      </c>
      <c r="C151" s="8" t="s">
        <v>30</v>
      </c>
      <c r="D151" s="8" t="s">
        <v>42</v>
      </c>
      <c r="E151" s="8" t="s">
        <v>45</v>
      </c>
      <c r="F151" s="8" t="s">
        <v>153</v>
      </c>
      <c r="G151" s="8">
        <v>2023</v>
      </c>
      <c r="H151" s="8" t="str">
        <f>CONCATENATE("34210038088")</f>
        <v>34210038088</v>
      </c>
      <c r="I151" s="8" t="s">
        <v>51</v>
      </c>
      <c r="J151" s="8" t="s">
        <v>34</v>
      </c>
      <c r="K151" s="8" t="str">
        <f t="shared" si="8"/>
        <v/>
      </c>
      <c r="L151" s="8" t="str">
        <f t="shared" si="11"/>
        <v>13 13.1 4a</v>
      </c>
      <c r="M151" s="8" t="str">
        <f>CONCATENATE("TDRDNL69C17L500B")</f>
        <v>TDRDNL69C17L500B</v>
      </c>
      <c r="N151" s="8" t="s">
        <v>237</v>
      </c>
      <c r="O151" s="8" t="s">
        <v>36</v>
      </c>
      <c r="P151" s="8" t="s">
        <v>149</v>
      </c>
      <c r="Q151" s="9">
        <v>45461</v>
      </c>
      <c r="R151" s="8" t="s">
        <v>38</v>
      </c>
      <c r="S151" s="8" t="s">
        <v>39</v>
      </c>
      <c r="T151" s="8" t="s">
        <v>40</v>
      </c>
      <c r="U151" s="8"/>
      <c r="V151" s="8" t="s">
        <v>41</v>
      </c>
      <c r="W151" s="8">
        <v>493.38</v>
      </c>
      <c r="X151" s="8">
        <v>212.75</v>
      </c>
      <c r="Y151" s="8">
        <v>196.46</v>
      </c>
      <c r="Z151" s="8">
        <v>84.17</v>
      </c>
      <c r="AA151" s="8">
        <v>0</v>
      </c>
    </row>
    <row r="152" spans="1:27" ht="41.5" x14ac:dyDescent="0.35">
      <c r="A152" s="8" t="s">
        <v>28</v>
      </c>
      <c r="B152" s="8" t="s">
        <v>59</v>
      </c>
      <c r="C152" s="8" t="s">
        <v>30</v>
      </c>
      <c r="D152" s="8" t="s">
        <v>42</v>
      </c>
      <c r="E152" s="8" t="s">
        <v>45</v>
      </c>
      <c r="F152" s="8" t="s">
        <v>153</v>
      </c>
      <c r="G152" s="8">
        <v>2023</v>
      </c>
      <c r="H152" s="8" t="str">
        <f>CONCATENATE("34210045786")</f>
        <v>34210045786</v>
      </c>
      <c r="I152" s="8" t="s">
        <v>51</v>
      </c>
      <c r="J152" s="8" t="s">
        <v>34</v>
      </c>
      <c r="K152" s="8" t="str">
        <f t="shared" si="8"/>
        <v/>
      </c>
      <c r="L152" s="8" t="str">
        <f t="shared" si="11"/>
        <v>13 13.1 4a</v>
      </c>
      <c r="M152" s="8" t="str">
        <f>CONCATENATE("TBRTMS89R31L500M")</f>
        <v>TBRTMS89R31L500M</v>
      </c>
      <c r="N152" s="8" t="s">
        <v>238</v>
      </c>
      <c r="O152" s="8" t="s">
        <v>36</v>
      </c>
      <c r="P152" s="8" t="s">
        <v>149</v>
      </c>
      <c r="Q152" s="9">
        <v>45461</v>
      </c>
      <c r="R152" s="8" t="s">
        <v>38</v>
      </c>
      <c r="S152" s="8" t="s">
        <v>39</v>
      </c>
      <c r="T152" s="8" t="s">
        <v>40</v>
      </c>
      <c r="U152" s="8"/>
      <c r="V152" s="8" t="s">
        <v>41</v>
      </c>
      <c r="W152" s="10">
        <v>1695.48</v>
      </c>
      <c r="X152" s="8">
        <v>731.09</v>
      </c>
      <c r="Y152" s="8">
        <v>675.14</v>
      </c>
      <c r="Z152" s="8">
        <v>289.25</v>
      </c>
      <c r="AA152" s="8">
        <v>0</v>
      </c>
    </row>
    <row r="153" spans="1:27" ht="41.5" x14ac:dyDescent="0.35">
      <c r="A153" s="8" t="s">
        <v>28</v>
      </c>
      <c r="B153" s="8" t="s">
        <v>59</v>
      </c>
      <c r="C153" s="8" t="s">
        <v>30</v>
      </c>
      <c r="D153" s="8" t="s">
        <v>42</v>
      </c>
      <c r="E153" s="8" t="s">
        <v>45</v>
      </c>
      <c r="F153" s="8" t="s">
        <v>192</v>
      </c>
      <c r="G153" s="8">
        <v>2023</v>
      </c>
      <c r="H153" s="8" t="str">
        <f>CONCATENATE("34210020334")</f>
        <v>34210020334</v>
      </c>
      <c r="I153" s="8" t="s">
        <v>33</v>
      </c>
      <c r="J153" s="8" t="s">
        <v>34</v>
      </c>
      <c r="K153" s="8" t="str">
        <f t="shared" si="8"/>
        <v/>
      </c>
      <c r="L153" s="8" t="str">
        <f t="shared" si="11"/>
        <v>13 13.1 4a</v>
      </c>
      <c r="M153" s="8" t="str">
        <f>CONCATENATE("LZZDVD73L05D488O")</f>
        <v>LZZDVD73L05D488O</v>
      </c>
      <c r="N153" s="8" t="s">
        <v>239</v>
      </c>
      <c r="O153" s="8" t="s">
        <v>36</v>
      </c>
      <c r="P153" s="8" t="s">
        <v>149</v>
      </c>
      <c r="Q153" s="9">
        <v>45461</v>
      </c>
      <c r="R153" s="8" t="s">
        <v>38</v>
      </c>
      <c r="S153" s="8" t="s">
        <v>39</v>
      </c>
      <c r="T153" s="8" t="s">
        <v>40</v>
      </c>
      <c r="U153" s="8"/>
      <c r="V153" s="8" t="s">
        <v>41</v>
      </c>
      <c r="W153" s="10">
        <v>2632.48</v>
      </c>
      <c r="X153" s="10">
        <v>1135.1300000000001</v>
      </c>
      <c r="Y153" s="10">
        <v>1048.25</v>
      </c>
      <c r="Z153" s="8">
        <v>449.1</v>
      </c>
      <c r="AA153" s="8">
        <v>0</v>
      </c>
    </row>
    <row r="154" spans="1:27" ht="41.5" x14ac:dyDescent="0.35">
      <c r="A154" s="8" t="s">
        <v>28</v>
      </c>
      <c r="B154" s="8" t="s">
        <v>59</v>
      </c>
      <c r="C154" s="8" t="s">
        <v>30</v>
      </c>
      <c r="D154" s="8" t="s">
        <v>71</v>
      </c>
      <c r="E154" s="8" t="s">
        <v>74</v>
      </c>
      <c r="F154" s="8" t="s">
        <v>240</v>
      </c>
      <c r="G154" s="8">
        <v>2023</v>
      </c>
      <c r="H154" s="8" t="str">
        <f>CONCATENATE("34210052188")</f>
        <v>34210052188</v>
      </c>
      <c r="I154" s="8" t="s">
        <v>33</v>
      </c>
      <c r="J154" s="8" t="s">
        <v>34</v>
      </c>
      <c r="K154" s="8" t="str">
        <f t="shared" si="8"/>
        <v/>
      </c>
      <c r="L154" s="8" t="str">
        <f t="shared" si="11"/>
        <v>13 13.1 4a</v>
      </c>
      <c r="M154" s="8" t="str">
        <f>CONCATENATE("NBLMRA35H10I653H")</f>
        <v>NBLMRA35H10I653H</v>
      </c>
      <c r="N154" s="8" t="s">
        <v>241</v>
      </c>
      <c r="O154" s="8" t="s">
        <v>36</v>
      </c>
      <c r="P154" s="8" t="s">
        <v>149</v>
      </c>
      <c r="Q154" s="9">
        <v>45461</v>
      </c>
      <c r="R154" s="8" t="s">
        <v>38</v>
      </c>
      <c r="S154" s="8" t="s">
        <v>39</v>
      </c>
      <c r="T154" s="8" t="s">
        <v>40</v>
      </c>
      <c r="U154" s="8"/>
      <c r="V154" s="8" t="s">
        <v>41</v>
      </c>
      <c r="W154" s="8">
        <v>95.71</v>
      </c>
      <c r="X154" s="8">
        <v>41.27</v>
      </c>
      <c r="Y154" s="8">
        <v>38.11</v>
      </c>
      <c r="Z154" s="8">
        <v>16.329999999999998</v>
      </c>
      <c r="AA154" s="8">
        <v>0</v>
      </c>
    </row>
    <row r="155" spans="1:27" ht="49.5" x14ac:dyDescent="0.35">
      <c r="A155" s="8" t="s">
        <v>28</v>
      </c>
      <c r="B155" s="8" t="s">
        <v>59</v>
      </c>
      <c r="C155" s="8" t="s">
        <v>30</v>
      </c>
      <c r="D155" s="8" t="s">
        <v>42</v>
      </c>
      <c r="E155" s="8" t="s">
        <v>66</v>
      </c>
      <c r="F155" s="8" t="s">
        <v>242</v>
      </c>
      <c r="G155" s="8">
        <v>2023</v>
      </c>
      <c r="H155" s="8" t="str">
        <f>CONCATENATE("34210058607")</f>
        <v>34210058607</v>
      </c>
      <c r="I155" s="8" t="s">
        <v>33</v>
      </c>
      <c r="J155" s="8" t="s">
        <v>34</v>
      </c>
      <c r="K155" s="8" t="str">
        <f t="shared" si="8"/>
        <v/>
      </c>
      <c r="L155" s="8" t="str">
        <f t="shared" si="11"/>
        <v>13 13.1 4a</v>
      </c>
      <c r="M155" s="8" t="str">
        <f>CONCATENATE("SRFDNC49R23H935Q")</f>
        <v>SRFDNC49R23H935Q</v>
      </c>
      <c r="N155" s="8" t="s">
        <v>243</v>
      </c>
      <c r="O155" s="8" t="s">
        <v>36</v>
      </c>
      <c r="P155" s="8" t="s">
        <v>149</v>
      </c>
      <c r="Q155" s="9">
        <v>45461</v>
      </c>
      <c r="R155" s="8" t="s">
        <v>38</v>
      </c>
      <c r="S155" s="8" t="s">
        <v>39</v>
      </c>
      <c r="T155" s="8" t="s">
        <v>40</v>
      </c>
      <c r="U155" s="8"/>
      <c r="V155" s="8" t="s">
        <v>41</v>
      </c>
      <c r="W155" s="10">
        <v>2674.03</v>
      </c>
      <c r="X155" s="10">
        <v>1153.04</v>
      </c>
      <c r="Y155" s="10">
        <v>1064.8</v>
      </c>
      <c r="Z155" s="8">
        <v>456.19</v>
      </c>
      <c r="AA155" s="8">
        <v>0</v>
      </c>
    </row>
    <row r="156" spans="1:27" ht="41.5" x14ac:dyDescent="0.35">
      <c r="A156" s="8" t="s">
        <v>28</v>
      </c>
      <c r="B156" s="8" t="s">
        <v>59</v>
      </c>
      <c r="C156" s="8" t="s">
        <v>30</v>
      </c>
      <c r="D156" s="8" t="s">
        <v>42</v>
      </c>
      <c r="E156" s="8" t="s">
        <v>74</v>
      </c>
      <c r="F156" s="8" t="s">
        <v>165</v>
      </c>
      <c r="G156" s="8">
        <v>2023</v>
      </c>
      <c r="H156" s="8" t="str">
        <f>CONCATENATE("34210081690")</f>
        <v>34210081690</v>
      </c>
      <c r="I156" s="8" t="s">
        <v>33</v>
      </c>
      <c r="J156" s="8" t="s">
        <v>34</v>
      </c>
      <c r="K156" s="8" t="str">
        <f t="shared" si="8"/>
        <v/>
      </c>
      <c r="L156" s="8" t="str">
        <f t="shared" si="11"/>
        <v>13 13.1 4a</v>
      </c>
      <c r="M156" s="8" t="str">
        <f>CONCATENATE("PRCLNS83L06A783R")</f>
        <v>PRCLNS83L06A783R</v>
      </c>
      <c r="N156" s="8" t="s">
        <v>244</v>
      </c>
      <c r="O156" s="8" t="s">
        <v>36</v>
      </c>
      <c r="P156" s="8" t="s">
        <v>149</v>
      </c>
      <c r="Q156" s="9">
        <v>45461</v>
      </c>
      <c r="R156" s="8" t="s">
        <v>38</v>
      </c>
      <c r="S156" s="8" t="s">
        <v>39</v>
      </c>
      <c r="T156" s="8" t="s">
        <v>40</v>
      </c>
      <c r="U156" s="8"/>
      <c r="V156" s="8" t="s">
        <v>41</v>
      </c>
      <c r="W156" s="10">
        <v>1105.05</v>
      </c>
      <c r="X156" s="8">
        <v>476.5</v>
      </c>
      <c r="Y156" s="8">
        <v>440.03</v>
      </c>
      <c r="Z156" s="8">
        <v>188.52</v>
      </c>
      <c r="AA156" s="8">
        <v>0</v>
      </c>
    </row>
    <row r="157" spans="1:27" ht="41.5" x14ac:dyDescent="0.35">
      <c r="A157" s="8" t="s">
        <v>28</v>
      </c>
      <c r="B157" s="8" t="s">
        <v>59</v>
      </c>
      <c r="C157" s="8" t="s">
        <v>30</v>
      </c>
      <c r="D157" s="8" t="s">
        <v>71</v>
      </c>
      <c r="E157" s="8" t="s">
        <v>45</v>
      </c>
      <c r="F157" s="8" t="s">
        <v>160</v>
      </c>
      <c r="G157" s="8">
        <v>2023</v>
      </c>
      <c r="H157" s="8" t="str">
        <f>CONCATENATE("34210054747")</f>
        <v>34210054747</v>
      </c>
      <c r="I157" s="8" t="s">
        <v>33</v>
      </c>
      <c r="J157" s="8" t="s">
        <v>34</v>
      </c>
      <c r="K157" s="8" t="str">
        <f t="shared" si="8"/>
        <v/>
      </c>
      <c r="L157" s="8" t="str">
        <f t="shared" si="11"/>
        <v>13 13.1 4a</v>
      </c>
      <c r="M157" s="8" t="str">
        <f>CONCATENATE("BTTMNL82A30D451P")</f>
        <v>BTTMNL82A30D451P</v>
      </c>
      <c r="N157" s="8" t="s">
        <v>245</v>
      </c>
      <c r="O157" s="8" t="s">
        <v>36</v>
      </c>
      <c r="P157" s="8" t="s">
        <v>149</v>
      </c>
      <c r="Q157" s="9">
        <v>45461</v>
      </c>
      <c r="R157" s="8" t="s">
        <v>38</v>
      </c>
      <c r="S157" s="8" t="s">
        <v>39</v>
      </c>
      <c r="T157" s="8" t="s">
        <v>40</v>
      </c>
      <c r="U157" s="8"/>
      <c r="V157" s="8" t="s">
        <v>41</v>
      </c>
      <c r="W157" s="8">
        <v>386.21</v>
      </c>
      <c r="X157" s="8">
        <v>166.53</v>
      </c>
      <c r="Y157" s="8">
        <v>153.79</v>
      </c>
      <c r="Z157" s="8">
        <v>65.89</v>
      </c>
      <c r="AA157" s="8">
        <v>0</v>
      </c>
    </row>
    <row r="158" spans="1:27" ht="25.5" x14ac:dyDescent="0.35">
      <c r="A158" s="8" t="s">
        <v>28</v>
      </c>
      <c r="B158" s="8" t="s">
        <v>59</v>
      </c>
      <c r="C158" s="8" t="s">
        <v>30</v>
      </c>
      <c r="D158" s="8" t="s">
        <v>42</v>
      </c>
      <c r="E158" s="8" t="s">
        <v>32</v>
      </c>
      <c r="F158" s="8" t="s">
        <v>32</v>
      </c>
      <c r="G158" s="8">
        <v>2023</v>
      </c>
      <c r="H158" s="8" t="str">
        <f>CONCATENATE("34210077037")</f>
        <v>34210077037</v>
      </c>
      <c r="I158" s="8" t="s">
        <v>33</v>
      </c>
      <c r="J158" s="8" t="s">
        <v>34</v>
      </c>
      <c r="K158" s="8" t="str">
        <f t="shared" si="8"/>
        <v/>
      </c>
      <c r="L158" s="8" t="str">
        <f t="shared" si="11"/>
        <v>13 13.1 4a</v>
      </c>
      <c r="M158" s="8" t="str">
        <f>CONCATENATE("01456020419")</f>
        <v>01456020419</v>
      </c>
      <c r="N158" s="8" t="s">
        <v>246</v>
      </c>
      <c r="O158" s="8" t="s">
        <v>36</v>
      </c>
      <c r="P158" s="8" t="s">
        <v>149</v>
      </c>
      <c r="Q158" s="9">
        <v>45461</v>
      </c>
      <c r="R158" s="8" t="s">
        <v>38</v>
      </c>
      <c r="S158" s="8" t="s">
        <v>39</v>
      </c>
      <c r="T158" s="8" t="s">
        <v>40</v>
      </c>
      <c r="U158" s="8"/>
      <c r="V158" s="8" t="s">
        <v>41</v>
      </c>
      <c r="W158" s="10">
        <v>1727.83</v>
      </c>
      <c r="X158" s="8">
        <v>745.04</v>
      </c>
      <c r="Y158" s="8">
        <v>688.02</v>
      </c>
      <c r="Z158" s="8">
        <v>294.77</v>
      </c>
      <c r="AA158" s="8">
        <v>0</v>
      </c>
    </row>
    <row r="159" spans="1:27" ht="41.5" x14ac:dyDescent="0.35">
      <c r="A159" s="8" t="s">
        <v>28</v>
      </c>
      <c r="B159" s="8" t="s">
        <v>59</v>
      </c>
      <c r="C159" s="8" t="s">
        <v>30</v>
      </c>
      <c r="D159" s="8" t="s">
        <v>42</v>
      </c>
      <c r="E159" s="8" t="s">
        <v>74</v>
      </c>
      <c r="F159" s="8" t="s">
        <v>165</v>
      </c>
      <c r="G159" s="8">
        <v>2023</v>
      </c>
      <c r="H159" s="8" t="str">
        <f>CONCATENATE("34210035191")</f>
        <v>34210035191</v>
      </c>
      <c r="I159" s="8" t="s">
        <v>51</v>
      </c>
      <c r="J159" s="8" t="s">
        <v>34</v>
      </c>
      <c r="K159" s="8" t="str">
        <f t="shared" si="8"/>
        <v/>
      </c>
      <c r="L159" s="8" t="str">
        <f t="shared" si="11"/>
        <v>13 13.1 4a</v>
      </c>
      <c r="M159" s="8" t="str">
        <f>CONCATENATE("BLDLVR54B18L500O")</f>
        <v>BLDLVR54B18L500O</v>
      </c>
      <c r="N159" s="8" t="s">
        <v>247</v>
      </c>
      <c r="O159" s="8" t="s">
        <v>36</v>
      </c>
      <c r="P159" s="8" t="s">
        <v>149</v>
      </c>
      <c r="Q159" s="9">
        <v>45461</v>
      </c>
      <c r="R159" s="8" t="s">
        <v>38</v>
      </c>
      <c r="S159" s="8" t="s">
        <v>39</v>
      </c>
      <c r="T159" s="8" t="s">
        <v>40</v>
      </c>
      <c r="U159" s="8"/>
      <c r="V159" s="8" t="s">
        <v>41</v>
      </c>
      <c r="W159" s="8">
        <v>129.47</v>
      </c>
      <c r="X159" s="8">
        <v>55.83</v>
      </c>
      <c r="Y159" s="8">
        <v>51.55</v>
      </c>
      <c r="Z159" s="8">
        <v>22.09</v>
      </c>
      <c r="AA159" s="8">
        <v>0</v>
      </c>
    </row>
    <row r="160" spans="1:27" ht="41.5" x14ac:dyDescent="0.35">
      <c r="A160" s="8" t="s">
        <v>28</v>
      </c>
      <c r="B160" s="8" t="s">
        <v>59</v>
      </c>
      <c r="C160" s="8" t="s">
        <v>30</v>
      </c>
      <c r="D160" s="8" t="s">
        <v>42</v>
      </c>
      <c r="E160" s="8" t="s">
        <v>248</v>
      </c>
      <c r="F160" s="8" t="s">
        <v>249</v>
      </c>
      <c r="G160" s="8">
        <v>2023</v>
      </c>
      <c r="H160" s="8" t="str">
        <f>CONCATENATE("34210088091")</f>
        <v>34210088091</v>
      </c>
      <c r="I160" s="8" t="s">
        <v>51</v>
      </c>
      <c r="J160" s="8" t="s">
        <v>34</v>
      </c>
      <c r="K160" s="8" t="str">
        <f t="shared" si="8"/>
        <v/>
      </c>
      <c r="L160" s="8" t="str">
        <f t="shared" si="11"/>
        <v>13 13.1 4a</v>
      </c>
      <c r="M160" s="8" t="str">
        <f>CONCATENATE("CLNGPP48S20L500N")</f>
        <v>CLNGPP48S20L500N</v>
      </c>
      <c r="N160" s="8" t="s">
        <v>250</v>
      </c>
      <c r="O160" s="8" t="s">
        <v>36</v>
      </c>
      <c r="P160" s="8" t="s">
        <v>149</v>
      </c>
      <c r="Q160" s="9">
        <v>45461</v>
      </c>
      <c r="R160" s="8" t="s">
        <v>38</v>
      </c>
      <c r="S160" s="8" t="s">
        <v>39</v>
      </c>
      <c r="T160" s="8" t="s">
        <v>40</v>
      </c>
      <c r="U160" s="8"/>
      <c r="V160" s="8" t="s">
        <v>41</v>
      </c>
      <c r="W160" s="8">
        <v>167.38</v>
      </c>
      <c r="X160" s="8">
        <v>72.17</v>
      </c>
      <c r="Y160" s="8">
        <v>66.650000000000006</v>
      </c>
      <c r="Z160" s="8">
        <v>28.56</v>
      </c>
      <c r="AA160" s="8">
        <v>0</v>
      </c>
    </row>
    <row r="161" spans="1:27" ht="25.5" x14ac:dyDescent="0.35">
      <c r="A161" s="8" t="s">
        <v>28</v>
      </c>
      <c r="B161" s="8" t="s">
        <v>59</v>
      </c>
      <c r="C161" s="8" t="s">
        <v>30</v>
      </c>
      <c r="D161" s="8" t="s">
        <v>42</v>
      </c>
      <c r="E161" s="8" t="s">
        <v>66</v>
      </c>
      <c r="F161" s="8" t="s">
        <v>150</v>
      </c>
      <c r="G161" s="8">
        <v>2023</v>
      </c>
      <c r="H161" s="8" t="str">
        <f>CONCATENATE("34210043021")</f>
        <v>34210043021</v>
      </c>
      <c r="I161" s="8" t="s">
        <v>33</v>
      </c>
      <c r="J161" s="8" t="s">
        <v>34</v>
      </c>
      <c r="K161" s="8" t="str">
        <f t="shared" si="8"/>
        <v/>
      </c>
      <c r="L161" s="8" t="str">
        <f t="shared" si="11"/>
        <v>13 13.1 4a</v>
      </c>
      <c r="M161" s="8" t="str">
        <f>CONCATENATE("02417480411")</f>
        <v>02417480411</v>
      </c>
      <c r="N161" s="8" t="s">
        <v>251</v>
      </c>
      <c r="O161" s="8" t="s">
        <v>36</v>
      </c>
      <c r="P161" s="8" t="s">
        <v>149</v>
      </c>
      <c r="Q161" s="9">
        <v>45461</v>
      </c>
      <c r="R161" s="8" t="s">
        <v>38</v>
      </c>
      <c r="S161" s="8" t="s">
        <v>39</v>
      </c>
      <c r="T161" s="8" t="s">
        <v>40</v>
      </c>
      <c r="U161" s="8"/>
      <c r="V161" s="8" t="s">
        <v>41</v>
      </c>
      <c r="W161" s="10">
        <v>2812.99</v>
      </c>
      <c r="X161" s="10">
        <v>1212.96</v>
      </c>
      <c r="Y161" s="10">
        <v>1120.1300000000001</v>
      </c>
      <c r="Z161" s="8">
        <v>479.9</v>
      </c>
      <c r="AA161" s="8">
        <v>0</v>
      </c>
    </row>
    <row r="162" spans="1:27" ht="41.5" x14ac:dyDescent="0.35">
      <c r="A162" s="8" t="s">
        <v>28</v>
      </c>
      <c r="B162" s="8" t="s">
        <v>59</v>
      </c>
      <c r="C162" s="8" t="s">
        <v>30</v>
      </c>
      <c r="D162" s="8" t="s">
        <v>31</v>
      </c>
      <c r="E162" s="8" t="s">
        <v>45</v>
      </c>
      <c r="F162" s="8" t="s">
        <v>133</v>
      </c>
      <c r="G162" s="8">
        <v>2023</v>
      </c>
      <c r="H162" s="8" t="str">
        <f>CONCATENATE("34210059100")</f>
        <v>34210059100</v>
      </c>
      <c r="I162" s="8" t="s">
        <v>51</v>
      </c>
      <c r="J162" s="8" t="s">
        <v>34</v>
      </c>
      <c r="K162" s="8" t="str">
        <f t="shared" si="8"/>
        <v/>
      </c>
      <c r="L162" s="8" t="str">
        <f t="shared" si="11"/>
        <v>13 13.1 4a</v>
      </c>
      <c r="M162" s="8" t="str">
        <f>CONCATENATE("CNCFNC82E01B474C")</f>
        <v>CNCFNC82E01B474C</v>
      </c>
      <c r="N162" s="8" t="s">
        <v>252</v>
      </c>
      <c r="O162" s="8" t="s">
        <v>36</v>
      </c>
      <c r="P162" s="8" t="s">
        <v>149</v>
      </c>
      <c r="Q162" s="9">
        <v>45461</v>
      </c>
      <c r="R162" s="8" t="s">
        <v>38</v>
      </c>
      <c r="S162" s="8" t="s">
        <v>39</v>
      </c>
      <c r="T162" s="8" t="s">
        <v>40</v>
      </c>
      <c r="U162" s="8"/>
      <c r="V162" s="8" t="s">
        <v>41</v>
      </c>
      <c r="W162" s="10">
        <v>1495.38</v>
      </c>
      <c r="X162" s="8">
        <v>644.80999999999995</v>
      </c>
      <c r="Y162" s="8">
        <v>595.46</v>
      </c>
      <c r="Z162" s="8">
        <v>255.11</v>
      </c>
      <c r="AA162" s="8">
        <v>0</v>
      </c>
    </row>
    <row r="163" spans="1:27" ht="41.5" x14ac:dyDescent="0.35">
      <c r="A163" s="8" t="s">
        <v>28</v>
      </c>
      <c r="B163" s="8" t="s">
        <v>59</v>
      </c>
      <c r="C163" s="8" t="s">
        <v>30</v>
      </c>
      <c r="D163" s="8" t="s">
        <v>31</v>
      </c>
      <c r="E163" s="8" t="s">
        <v>45</v>
      </c>
      <c r="F163" s="8" t="s">
        <v>133</v>
      </c>
      <c r="G163" s="8">
        <v>2023</v>
      </c>
      <c r="H163" s="8" t="str">
        <f>CONCATENATE("34240284090")</f>
        <v>34240284090</v>
      </c>
      <c r="I163" s="8" t="s">
        <v>51</v>
      </c>
      <c r="J163" s="8" t="s">
        <v>34</v>
      </c>
      <c r="K163" s="8" t="str">
        <f t="shared" si="8"/>
        <v/>
      </c>
      <c r="L163" s="8" t="str">
        <f>CONCATENATE("11 11.2 4b")</f>
        <v>11 11.2 4b</v>
      </c>
      <c r="M163" s="8" t="str">
        <f>CONCATENATE("CNCFNC82E01B474C")</f>
        <v>CNCFNC82E01B474C</v>
      </c>
      <c r="N163" s="8" t="s">
        <v>252</v>
      </c>
      <c r="O163" s="8" t="s">
        <v>36</v>
      </c>
      <c r="P163" s="8" t="s">
        <v>125</v>
      </c>
      <c r="Q163" s="9">
        <v>45461</v>
      </c>
      <c r="R163" s="8" t="s">
        <v>38</v>
      </c>
      <c r="S163" s="8" t="s">
        <v>39</v>
      </c>
      <c r="T163" s="8" t="s">
        <v>40</v>
      </c>
      <c r="U163" s="8"/>
      <c r="V163" s="8" t="s">
        <v>41</v>
      </c>
      <c r="W163" s="10">
        <v>1445.72</v>
      </c>
      <c r="X163" s="8">
        <v>623.39</v>
      </c>
      <c r="Y163" s="8">
        <v>575.69000000000005</v>
      </c>
      <c r="Z163" s="8">
        <v>246.64</v>
      </c>
      <c r="AA163" s="8">
        <v>0</v>
      </c>
    </row>
    <row r="164" spans="1:27" ht="25.5" x14ac:dyDescent="0.35">
      <c r="A164" s="8" t="s">
        <v>28</v>
      </c>
      <c r="B164" s="8" t="s">
        <v>59</v>
      </c>
      <c r="C164" s="8" t="s">
        <v>30</v>
      </c>
      <c r="D164" s="8" t="s">
        <v>31</v>
      </c>
      <c r="E164" s="8" t="s">
        <v>63</v>
      </c>
      <c r="F164" s="8" t="s">
        <v>81</v>
      </c>
      <c r="G164" s="8">
        <v>2023</v>
      </c>
      <c r="H164" s="8" t="str">
        <f>CONCATENATE("34210090402")</f>
        <v>34210090402</v>
      </c>
      <c r="I164" s="8" t="s">
        <v>51</v>
      </c>
      <c r="J164" s="8" t="s">
        <v>34</v>
      </c>
      <c r="K164" s="8" t="str">
        <f t="shared" si="8"/>
        <v/>
      </c>
      <c r="L164" s="8" t="str">
        <f>CONCATENATE("13 13.1 4a")</f>
        <v>13 13.1 4a</v>
      </c>
      <c r="M164" s="8" t="str">
        <f>CONCATENATE("01914370430")</f>
        <v>01914370430</v>
      </c>
      <c r="N164" s="8" t="s">
        <v>253</v>
      </c>
      <c r="O164" s="8" t="s">
        <v>36</v>
      </c>
      <c r="P164" s="8" t="s">
        <v>149</v>
      </c>
      <c r="Q164" s="9">
        <v>45461</v>
      </c>
      <c r="R164" s="8" t="s">
        <v>38</v>
      </c>
      <c r="S164" s="8" t="s">
        <v>39</v>
      </c>
      <c r="T164" s="8" t="s">
        <v>40</v>
      </c>
      <c r="U164" s="8"/>
      <c r="V164" s="8" t="s">
        <v>41</v>
      </c>
      <c r="W164" s="8">
        <v>726.18</v>
      </c>
      <c r="X164" s="8">
        <v>313.13</v>
      </c>
      <c r="Y164" s="8">
        <v>289.16000000000003</v>
      </c>
      <c r="Z164" s="8">
        <v>123.89</v>
      </c>
      <c r="AA164" s="8">
        <v>0</v>
      </c>
    </row>
    <row r="165" spans="1:27" ht="25.5" x14ac:dyDescent="0.35">
      <c r="A165" s="8" t="s">
        <v>28</v>
      </c>
      <c r="B165" s="8" t="s">
        <v>59</v>
      </c>
      <c r="C165" s="8" t="s">
        <v>30</v>
      </c>
      <c r="D165" s="8" t="s">
        <v>31</v>
      </c>
      <c r="E165" s="8" t="s">
        <v>63</v>
      </c>
      <c r="F165" s="8" t="s">
        <v>81</v>
      </c>
      <c r="G165" s="8">
        <v>2023</v>
      </c>
      <c r="H165" s="8" t="str">
        <f>CONCATENATE("34240527423")</f>
        <v>34240527423</v>
      </c>
      <c r="I165" s="8" t="s">
        <v>51</v>
      </c>
      <c r="J165" s="8" t="s">
        <v>34</v>
      </c>
      <c r="K165" s="8" t="str">
        <f t="shared" si="8"/>
        <v/>
      </c>
      <c r="L165" s="8" t="str">
        <f>CONCATENATE("11 11.2 4b")</f>
        <v>11 11.2 4b</v>
      </c>
      <c r="M165" s="8" t="str">
        <f>CONCATENATE("01914370430")</f>
        <v>01914370430</v>
      </c>
      <c r="N165" s="8" t="s">
        <v>253</v>
      </c>
      <c r="O165" s="8" t="s">
        <v>36</v>
      </c>
      <c r="P165" s="8" t="s">
        <v>125</v>
      </c>
      <c r="Q165" s="9">
        <v>45461</v>
      </c>
      <c r="R165" s="8" t="s">
        <v>38</v>
      </c>
      <c r="S165" s="8" t="s">
        <v>39</v>
      </c>
      <c r="T165" s="8" t="s">
        <v>40</v>
      </c>
      <c r="U165" s="8"/>
      <c r="V165" s="8" t="s">
        <v>41</v>
      </c>
      <c r="W165" s="8">
        <v>994.26</v>
      </c>
      <c r="X165" s="8">
        <v>428.72</v>
      </c>
      <c r="Y165" s="8">
        <v>395.91</v>
      </c>
      <c r="Z165" s="8">
        <v>169.63</v>
      </c>
      <c r="AA165" s="8">
        <v>0</v>
      </c>
    </row>
    <row r="166" spans="1:27" ht="25.5" x14ac:dyDescent="0.35">
      <c r="A166" s="8" t="s">
        <v>28</v>
      </c>
      <c r="B166" s="8" t="s">
        <v>59</v>
      </c>
      <c r="C166" s="8" t="s">
        <v>30</v>
      </c>
      <c r="D166" s="8" t="s">
        <v>31</v>
      </c>
      <c r="E166" s="8" t="s">
        <v>63</v>
      </c>
      <c r="F166" s="8" t="s">
        <v>140</v>
      </c>
      <c r="G166" s="8">
        <v>2023</v>
      </c>
      <c r="H166" s="8" t="str">
        <f>CONCATENATE("34210083738")</f>
        <v>34210083738</v>
      </c>
      <c r="I166" s="8" t="s">
        <v>51</v>
      </c>
      <c r="J166" s="8" t="s">
        <v>34</v>
      </c>
      <c r="K166" s="8" t="str">
        <f t="shared" si="8"/>
        <v/>
      </c>
      <c r="L166" s="8" t="str">
        <f>CONCATENATE("13 13.1 4a")</f>
        <v>13 13.1 4a</v>
      </c>
      <c r="M166" s="8" t="str">
        <f>CONCATENATE("02850780426")</f>
        <v>02850780426</v>
      </c>
      <c r="N166" s="8" t="s">
        <v>254</v>
      </c>
      <c r="O166" s="8" t="s">
        <v>36</v>
      </c>
      <c r="P166" s="8" t="s">
        <v>149</v>
      </c>
      <c r="Q166" s="9">
        <v>45461</v>
      </c>
      <c r="R166" s="8" t="s">
        <v>38</v>
      </c>
      <c r="S166" s="8" t="s">
        <v>39</v>
      </c>
      <c r="T166" s="8" t="s">
        <v>40</v>
      </c>
      <c r="U166" s="8"/>
      <c r="V166" s="8" t="s">
        <v>41</v>
      </c>
      <c r="W166" s="10">
        <v>1384</v>
      </c>
      <c r="X166" s="8">
        <v>596.78</v>
      </c>
      <c r="Y166" s="8">
        <v>551.11</v>
      </c>
      <c r="Z166" s="8">
        <v>236.11</v>
      </c>
      <c r="AA166" s="8">
        <v>0</v>
      </c>
    </row>
    <row r="167" spans="1:27" ht="41.5" x14ac:dyDescent="0.35">
      <c r="A167" s="8" t="s">
        <v>28</v>
      </c>
      <c r="B167" s="8" t="s">
        <v>59</v>
      </c>
      <c r="C167" s="8" t="s">
        <v>30</v>
      </c>
      <c r="D167" s="8" t="s">
        <v>42</v>
      </c>
      <c r="E167" s="8" t="s">
        <v>74</v>
      </c>
      <c r="F167" s="8" t="s">
        <v>147</v>
      </c>
      <c r="G167" s="8">
        <v>2023</v>
      </c>
      <c r="H167" s="8" t="str">
        <f>CONCATENATE("34210047071")</f>
        <v>34210047071</v>
      </c>
      <c r="I167" s="8" t="s">
        <v>33</v>
      </c>
      <c r="J167" s="8" t="s">
        <v>34</v>
      </c>
      <c r="K167" s="8" t="str">
        <f t="shared" si="8"/>
        <v/>
      </c>
      <c r="L167" s="8" t="str">
        <f>CONCATENATE("13 13.1 4a")</f>
        <v>13 13.1 4a</v>
      </c>
      <c r="M167" s="8" t="str">
        <f>CONCATENATE("CSANGL30E41A895U")</f>
        <v>CSANGL30E41A895U</v>
      </c>
      <c r="N167" s="8" t="s">
        <v>255</v>
      </c>
      <c r="O167" s="8" t="s">
        <v>36</v>
      </c>
      <c r="P167" s="8" t="s">
        <v>149</v>
      </c>
      <c r="Q167" s="9">
        <v>45461</v>
      </c>
      <c r="R167" s="8" t="s">
        <v>38</v>
      </c>
      <c r="S167" s="8" t="s">
        <v>39</v>
      </c>
      <c r="T167" s="8" t="s">
        <v>40</v>
      </c>
      <c r="U167" s="8"/>
      <c r="V167" s="8" t="s">
        <v>41</v>
      </c>
      <c r="W167" s="10">
        <v>3361.01</v>
      </c>
      <c r="X167" s="10">
        <v>1449.27</v>
      </c>
      <c r="Y167" s="10">
        <v>1338.35</v>
      </c>
      <c r="Z167" s="8">
        <v>573.39</v>
      </c>
      <c r="AA167" s="8">
        <v>0</v>
      </c>
    </row>
    <row r="168" spans="1:27" ht="41.5" x14ac:dyDescent="0.35">
      <c r="A168" s="8" t="s">
        <v>28</v>
      </c>
      <c r="B168" s="8" t="s">
        <v>59</v>
      </c>
      <c r="C168" s="8" t="s">
        <v>30</v>
      </c>
      <c r="D168" s="8" t="s">
        <v>42</v>
      </c>
      <c r="E168" s="8" t="s">
        <v>45</v>
      </c>
      <c r="F168" s="8" t="s">
        <v>215</v>
      </c>
      <c r="G168" s="8">
        <v>2023</v>
      </c>
      <c r="H168" s="8" t="str">
        <f>CONCATENATE("34210029970")</f>
        <v>34210029970</v>
      </c>
      <c r="I168" s="8" t="s">
        <v>33</v>
      </c>
      <c r="J168" s="8" t="s">
        <v>34</v>
      </c>
      <c r="K168" s="8" t="str">
        <f t="shared" si="8"/>
        <v/>
      </c>
      <c r="L168" s="8" t="str">
        <f>CONCATENATE("13 13.1 4a")</f>
        <v>13 13.1 4a</v>
      </c>
      <c r="M168" s="8" t="str">
        <f>CONCATENATE("VLPRNT46C04B352X")</f>
        <v>VLPRNT46C04B352X</v>
      </c>
      <c r="N168" s="8" t="s">
        <v>256</v>
      </c>
      <c r="O168" s="8" t="s">
        <v>36</v>
      </c>
      <c r="P168" s="8" t="s">
        <v>149</v>
      </c>
      <c r="Q168" s="9">
        <v>45461</v>
      </c>
      <c r="R168" s="8" t="s">
        <v>38</v>
      </c>
      <c r="S168" s="8" t="s">
        <v>39</v>
      </c>
      <c r="T168" s="8" t="s">
        <v>40</v>
      </c>
      <c r="U168" s="8"/>
      <c r="V168" s="8" t="s">
        <v>41</v>
      </c>
      <c r="W168" s="10">
        <v>10745.25</v>
      </c>
      <c r="X168" s="10">
        <v>4633.3500000000004</v>
      </c>
      <c r="Y168" s="10">
        <v>4278.76</v>
      </c>
      <c r="Z168" s="10">
        <v>1833.14</v>
      </c>
      <c r="AA168" s="8">
        <v>0</v>
      </c>
    </row>
    <row r="169" spans="1:27" ht="25.5" x14ac:dyDescent="0.35">
      <c r="A169" s="8" t="s">
        <v>28</v>
      </c>
      <c r="B169" s="8" t="s">
        <v>59</v>
      </c>
      <c r="C169" s="8" t="s">
        <v>30</v>
      </c>
      <c r="D169" s="8" t="s">
        <v>31</v>
      </c>
      <c r="E169" s="8" t="s">
        <v>85</v>
      </c>
      <c r="F169" s="8" t="s">
        <v>89</v>
      </c>
      <c r="G169" s="8">
        <v>2023</v>
      </c>
      <c r="H169" s="8" t="str">
        <f>CONCATENATE("34240442433")</f>
        <v>34240442433</v>
      </c>
      <c r="I169" s="8" t="s">
        <v>51</v>
      </c>
      <c r="J169" s="8" t="s">
        <v>34</v>
      </c>
      <c r="K169" s="8" t="str">
        <f t="shared" si="8"/>
        <v/>
      </c>
      <c r="L169" s="8" t="str">
        <f t="shared" ref="L169:L176" si="12">CONCATENATE("11 11.2 4b")</f>
        <v>11 11.2 4b</v>
      </c>
      <c r="M169" s="8" t="str">
        <f>CONCATENATE("01112570435")</f>
        <v>01112570435</v>
      </c>
      <c r="N169" s="8" t="s">
        <v>257</v>
      </c>
      <c r="O169" s="8" t="s">
        <v>36</v>
      </c>
      <c r="P169" s="8" t="s">
        <v>125</v>
      </c>
      <c r="Q169" s="9">
        <v>45461</v>
      </c>
      <c r="R169" s="8" t="s">
        <v>38</v>
      </c>
      <c r="S169" s="8" t="s">
        <v>39</v>
      </c>
      <c r="T169" s="8" t="s">
        <v>40</v>
      </c>
      <c r="U169" s="8"/>
      <c r="V169" s="8" t="s">
        <v>41</v>
      </c>
      <c r="W169" s="10">
        <v>8440.82</v>
      </c>
      <c r="X169" s="10">
        <v>3639.68</v>
      </c>
      <c r="Y169" s="10">
        <v>3361.13</v>
      </c>
      <c r="Z169" s="10">
        <v>1440.01</v>
      </c>
      <c r="AA169" s="8">
        <v>0</v>
      </c>
    </row>
    <row r="170" spans="1:27" ht="25.5" x14ac:dyDescent="0.35">
      <c r="A170" s="8" t="s">
        <v>28</v>
      </c>
      <c r="B170" s="8" t="s">
        <v>59</v>
      </c>
      <c r="C170" s="8" t="s">
        <v>30</v>
      </c>
      <c r="D170" s="8" t="s">
        <v>71</v>
      </c>
      <c r="E170" s="8" t="s">
        <v>45</v>
      </c>
      <c r="F170" s="8" t="s">
        <v>258</v>
      </c>
      <c r="G170" s="8">
        <v>2023</v>
      </c>
      <c r="H170" s="8" t="str">
        <f>CONCATENATE("34240773902")</f>
        <v>34240773902</v>
      </c>
      <c r="I170" s="8" t="s">
        <v>33</v>
      </c>
      <c r="J170" s="8" t="s">
        <v>34</v>
      </c>
      <c r="K170" s="8" t="str">
        <f t="shared" ref="K170:K186" si="13">CONCATENATE("")</f>
        <v/>
      </c>
      <c r="L170" s="8" t="str">
        <f t="shared" si="12"/>
        <v>11 11.2 4b</v>
      </c>
      <c r="M170" s="8" t="str">
        <f>CONCATENATE("02431390422")</f>
        <v>02431390422</v>
      </c>
      <c r="N170" s="8" t="s">
        <v>259</v>
      </c>
      <c r="O170" s="8" t="s">
        <v>36</v>
      </c>
      <c r="P170" s="8" t="s">
        <v>125</v>
      </c>
      <c r="Q170" s="9">
        <v>45461</v>
      </c>
      <c r="R170" s="8" t="s">
        <v>38</v>
      </c>
      <c r="S170" s="8" t="s">
        <v>39</v>
      </c>
      <c r="T170" s="8" t="s">
        <v>40</v>
      </c>
      <c r="U170" s="8"/>
      <c r="V170" s="8" t="s">
        <v>41</v>
      </c>
      <c r="W170" s="10">
        <v>26499.81</v>
      </c>
      <c r="X170" s="10">
        <v>11426.72</v>
      </c>
      <c r="Y170" s="10">
        <v>10552.22</v>
      </c>
      <c r="Z170" s="10">
        <v>4520.87</v>
      </c>
      <c r="AA170" s="8">
        <v>0</v>
      </c>
    </row>
    <row r="171" spans="1:27" ht="25.5" x14ac:dyDescent="0.35">
      <c r="A171" s="8" t="s">
        <v>28</v>
      </c>
      <c r="B171" s="8" t="s">
        <v>59</v>
      </c>
      <c r="C171" s="8" t="s">
        <v>30</v>
      </c>
      <c r="D171" s="8" t="s">
        <v>31</v>
      </c>
      <c r="E171" s="8" t="s">
        <v>63</v>
      </c>
      <c r="F171" s="8" t="s">
        <v>140</v>
      </c>
      <c r="G171" s="8">
        <v>2023</v>
      </c>
      <c r="H171" s="8" t="str">
        <f>CONCATENATE("34240303593")</f>
        <v>34240303593</v>
      </c>
      <c r="I171" s="8" t="s">
        <v>51</v>
      </c>
      <c r="J171" s="8" t="s">
        <v>34</v>
      </c>
      <c r="K171" s="8" t="str">
        <f t="shared" si="13"/>
        <v/>
      </c>
      <c r="L171" s="8" t="str">
        <f t="shared" si="12"/>
        <v>11 11.2 4b</v>
      </c>
      <c r="M171" s="8" t="str">
        <f>CONCATENATE("01944930435")</f>
        <v>01944930435</v>
      </c>
      <c r="N171" s="8" t="s">
        <v>260</v>
      </c>
      <c r="O171" s="8" t="s">
        <v>36</v>
      </c>
      <c r="P171" s="8" t="s">
        <v>125</v>
      </c>
      <c r="Q171" s="9">
        <v>45461</v>
      </c>
      <c r="R171" s="8" t="s">
        <v>38</v>
      </c>
      <c r="S171" s="8" t="s">
        <v>39</v>
      </c>
      <c r="T171" s="8" t="s">
        <v>40</v>
      </c>
      <c r="U171" s="8"/>
      <c r="V171" s="8" t="s">
        <v>41</v>
      </c>
      <c r="W171" s="10">
        <v>2651.32</v>
      </c>
      <c r="X171" s="10">
        <v>1143.25</v>
      </c>
      <c r="Y171" s="10">
        <v>1055.76</v>
      </c>
      <c r="Z171" s="8">
        <v>452.31</v>
      </c>
      <c r="AA171" s="8">
        <v>0</v>
      </c>
    </row>
    <row r="172" spans="1:27" ht="41.5" x14ac:dyDescent="0.35">
      <c r="A172" s="8" t="s">
        <v>28</v>
      </c>
      <c r="B172" s="8" t="s">
        <v>59</v>
      </c>
      <c r="C172" s="8" t="s">
        <v>30</v>
      </c>
      <c r="D172" s="8" t="s">
        <v>31</v>
      </c>
      <c r="E172" s="8" t="s">
        <v>45</v>
      </c>
      <c r="F172" s="8" t="s">
        <v>54</v>
      </c>
      <c r="G172" s="8">
        <v>2023</v>
      </c>
      <c r="H172" s="8" t="str">
        <f>CONCATENATE("34240098284")</f>
        <v>34240098284</v>
      </c>
      <c r="I172" s="8" t="s">
        <v>33</v>
      </c>
      <c r="J172" s="8" t="s">
        <v>34</v>
      </c>
      <c r="K172" s="8" t="str">
        <f t="shared" si="13"/>
        <v/>
      </c>
      <c r="L172" s="8" t="str">
        <f t="shared" si="12"/>
        <v>11 11.2 4b</v>
      </c>
      <c r="M172" s="8" t="str">
        <f>CONCATENATE("LTNFLL66H70F051Q")</f>
        <v>LTNFLL66H70F051Q</v>
      </c>
      <c r="N172" s="8" t="s">
        <v>261</v>
      </c>
      <c r="O172" s="8" t="s">
        <v>36</v>
      </c>
      <c r="P172" s="8" t="s">
        <v>125</v>
      </c>
      <c r="Q172" s="9">
        <v>45461</v>
      </c>
      <c r="R172" s="8" t="s">
        <v>38</v>
      </c>
      <c r="S172" s="8" t="s">
        <v>39</v>
      </c>
      <c r="T172" s="8" t="s">
        <v>40</v>
      </c>
      <c r="U172" s="8"/>
      <c r="V172" s="8" t="s">
        <v>41</v>
      </c>
      <c r="W172" s="10">
        <v>4614.59</v>
      </c>
      <c r="X172" s="10">
        <v>1989.81</v>
      </c>
      <c r="Y172" s="10">
        <v>1837.53</v>
      </c>
      <c r="Z172" s="8">
        <v>787.25</v>
      </c>
      <c r="AA172" s="8">
        <v>0</v>
      </c>
    </row>
    <row r="173" spans="1:27" ht="41.5" x14ac:dyDescent="0.35">
      <c r="A173" s="8" t="s">
        <v>28</v>
      </c>
      <c r="B173" s="8" t="s">
        <v>59</v>
      </c>
      <c r="C173" s="8" t="s">
        <v>30</v>
      </c>
      <c r="D173" s="8" t="s">
        <v>31</v>
      </c>
      <c r="E173" s="8" t="s">
        <v>45</v>
      </c>
      <c r="F173" s="8" t="s">
        <v>60</v>
      </c>
      <c r="G173" s="8">
        <v>2023</v>
      </c>
      <c r="H173" s="8" t="str">
        <f>CONCATENATE("34240247360")</f>
        <v>34240247360</v>
      </c>
      <c r="I173" s="8" t="s">
        <v>51</v>
      </c>
      <c r="J173" s="8" t="s">
        <v>34</v>
      </c>
      <c r="K173" s="8" t="str">
        <f t="shared" si="13"/>
        <v/>
      </c>
      <c r="L173" s="8" t="str">
        <f t="shared" si="12"/>
        <v>11 11.2 4b</v>
      </c>
      <c r="M173" s="8" t="str">
        <f>CONCATENATE("SRNNBR45M25L191Q")</f>
        <v>SRNNBR45M25L191Q</v>
      </c>
      <c r="N173" s="8" t="s">
        <v>262</v>
      </c>
      <c r="O173" s="8" t="s">
        <v>36</v>
      </c>
      <c r="P173" s="8" t="s">
        <v>125</v>
      </c>
      <c r="Q173" s="9">
        <v>45461</v>
      </c>
      <c r="R173" s="8" t="s">
        <v>38</v>
      </c>
      <c r="S173" s="8" t="s">
        <v>39</v>
      </c>
      <c r="T173" s="8" t="s">
        <v>40</v>
      </c>
      <c r="U173" s="8"/>
      <c r="V173" s="8" t="s">
        <v>41</v>
      </c>
      <c r="W173" s="8">
        <v>266</v>
      </c>
      <c r="X173" s="8">
        <v>114.7</v>
      </c>
      <c r="Y173" s="8">
        <v>105.92</v>
      </c>
      <c r="Z173" s="8">
        <v>45.38</v>
      </c>
      <c r="AA173" s="8">
        <v>0</v>
      </c>
    </row>
    <row r="174" spans="1:27" ht="41.5" x14ac:dyDescent="0.35">
      <c r="A174" s="8" t="s">
        <v>28</v>
      </c>
      <c r="B174" s="8" t="s">
        <v>59</v>
      </c>
      <c r="C174" s="8" t="s">
        <v>30</v>
      </c>
      <c r="D174" s="8" t="s">
        <v>31</v>
      </c>
      <c r="E174" s="8" t="s">
        <v>45</v>
      </c>
      <c r="F174" s="8" t="s">
        <v>60</v>
      </c>
      <c r="G174" s="8">
        <v>2023</v>
      </c>
      <c r="H174" s="8" t="str">
        <f>CONCATENATE("34240480722")</f>
        <v>34240480722</v>
      </c>
      <c r="I174" s="8" t="s">
        <v>51</v>
      </c>
      <c r="J174" s="8" t="s">
        <v>34</v>
      </c>
      <c r="K174" s="8" t="str">
        <f t="shared" si="13"/>
        <v/>
      </c>
      <c r="L174" s="8" t="str">
        <f t="shared" si="12"/>
        <v>11 11.2 4b</v>
      </c>
      <c r="M174" s="8" t="str">
        <f>CONCATENATE("CRCLRT81H18L191M")</f>
        <v>CRCLRT81H18L191M</v>
      </c>
      <c r="N174" s="8" t="s">
        <v>263</v>
      </c>
      <c r="O174" s="8" t="s">
        <v>36</v>
      </c>
      <c r="P174" s="8" t="s">
        <v>125</v>
      </c>
      <c r="Q174" s="9">
        <v>45461</v>
      </c>
      <c r="R174" s="8" t="s">
        <v>38</v>
      </c>
      <c r="S174" s="8" t="s">
        <v>39</v>
      </c>
      <c r="T174" s="8" t="s">
        <v>40</v>
      </c>
      <c r="U174" s="8"/>
      <c r="V174" s="8" t="s">
        <v>41</v>
      </c>
      <c r="W174" s="10">
        <v>14753.16</v>
      </c>
      <c r="X174" s="10">
        <v>6361.56</v>
      </c>
      <c r="Y174" s="10">
        <v>5874.71</v>
      </c>
      <c r="Z174" s="10">
        <v>2516.89</v>
      </c>
      <c r="AA174" s="8">
        <v>0</v>
      </c>
    </row>
    <row r="175" spans="1:27" ht="41.5" x14ac:dyDescent="0.35">
      <c r="A175" s="8" t="s">
        <v>28</v>
      </c>
      <c r="B175" s="8" t="s">
        <v>59</v>
      </c>
      <c r="C175" s="8" t="s">
        <v>30</v>
      </c>
      <c r="D175" s="8" t="s">
        <v>31</v>
      </c>
      <c r="E175" s="8" t="s">
        <v>63</v>
      </c>
      <c r="F175" s="8" t="s">
        <v>81</v>
      </c>
      <c r="G175" s="8">
        <v>2023</v>
      </c>
      <c r="H175" s="8" t="str">
        <f>CONCATENATE("34240484617")</f>
        <v>34240484617</v>
      </c>
      <c r="I175" s="8" t="s">
        <v>51</v>
      </c>
      <c r="J175" s="8" t="s">
        <v>34</v>
      </c>
      <c r="K175" s="8" t="str">
        <f t="shared" si="13"/>
        <v/>
      </c>
      <c r="L175" s="8" t="str">
        <f t="shared" si="12"/>
        <v>11 11.2 4b</v>
      </c>
      <c r="M175" s="8" t="str">
        <f>CONCATENATE("MSSMNL74M30E783O")</f>
        <v>MSSMNL74M30E783O</v>
      </c>
      <c r="N175" s="8" t="s">
        <v>264</v>
      </c>
      <c r="O175" s="8" t="s">
        <v>36</v>
      </c>
      <c r="P175" s="8" t="s">
        <v>125</v>
      </c>
      <c r="Q175" s="9">
        <v>45461</v>
      </c>
      <c r="R175" s="8" t="s">
        <v>38</v>
      </c>
      <c r="S175" s="8" t="s">
        <v>39</v>
      </c>
      <c r="T175" s="8" t="s">
        <v>40</v>
      </c>
      <c r="U175" s="8"/>
      <c r="V175" s="8" t="s">
        <v>41</v>
      </c>
      <c r="W175" s="8">
        <v>579.23</v>
      </c>
      <c r="X175" s="8">
        <v>249.76</v>
      </c>
      <c r="Y175" s="8">
        <v>230.65</v>
      </c>
      <c r="Z175" s="8">
        <v>98.82</v>
      </c>
      <c r="AA175" s="8">
        <v>0</v>
      </c>
    </row>
    <row r="176" spans="1:27" ht="41.5" x14ac:dyDescent="0.35">
      <c r="A176" s="8" t="s">
        <v>28</v>
      </c>
      <c r="B176" s="8" t="s">
        <v>59</v>
      </c>
      <c r="C176" s="8" t="s">
        <v>30</v>
      </c>
      <c r="D176" s="8" t="s">
        <v>71</v>
      </c>
      <c r="E176" s="8" t="s">
        <v>45</v>
      </c>
      <c r="F176" s="8" t="s">
        <v>258</v>
      </c>
      <c r="G176" s="8">
        <v>2023</v>
      </c>
      <c r="H176" s="8" t="str">
        <f>CONCATENATE("34240774066")</f>
        <v>34240774066</v>
      </c>
      <c r="I176" s="8" t="s">
        <v>33</v>
      </c>
      <c r="J176" s="8" t="s">
        <v>34</v>
      </c>
      <c r="K176" s="8" t="str">
        <f t="shared" si="13"/>
        <v/>
      </c>
      <c r="L176" s="8" t="str">
        <f t="shared" si="12"/>
        <v>11 11.2 4b</v>
      </c>
      <c r="M176" s="8" t="str">
        <f>CONCATENATE("FCLFNC70E05A329L")</f>
        <v>FCLFNC70E05A329L</v>
      </c>
      <c r="N176" s="8" t="s">
        <v>265</v>
      </c>
      <c r="O176" s="8" t="s">
        <v>36</v>
      </c>
      <c r="P176" s="8" t="s">
        <v>125</v>
      </c>
      <c r="Q176" s="9">
        <v>45461</v>
      </c>
      <c r="R176" s="8" t="s">
        <v>38</v>
      </c>
      <c r="S176" s="8" t="s">
        <v>39</v>
      </c>
      <c r="T176" s="8" t="s">
        <v>40</v>
      </c>
      <c r="U176" s="8"/>
      <c r="V176" s="8" t="s">
        <v>41</v>
      </c>
      <c r="W176" s="10">
        <v>14680.15</v>
      </c>
      <c r="X176" s="10">
        <v>6330.08</v>
      </c>
      <c r="Y176" s="10">
        <v>5845.64</v>
      </c>
      <c r="Z176" s="10">
        <v>2504.4299999999998</v>
      </c>
      <c r="AA176" s="8">
        <v>0</v>
      </c>
    </row>
    <row r="177" spans="1:27" ht="41.5" x14ac:dyDescent="0.35">
      <c r="A177" s="8" t="s">
        <v>28</v>
      </c>
      <c r="B177" s="8" t="s">
        <v>59</v>
      </c>
      <c r="C177" s="8" t="s">
        <v>30</v>
      </c>
      <c r="D177" s="8" t="s">
        <v>31</v>
      </c>
      <c r="E177" s="8" t="s">
        <v>63</v>
      </c>
      <c r="F177" s="8" t="s">
        <v>81</v>
      </c>
      <c r="G177" s="8">
        <v>2022</v>
      </c>
      <c r="H177" s="8" t="str">
        <f>CONCATENATE("24241530997")</f>
        <v>24241530997</v>
      </c>
      <c r="I177" s="8" t="s">
        <v>33</v>
      </c>
      <c r="J177" s="8" t="s">
        <v>34</v>
      </c>
      <c r="K177" s="8" t="str">
        <f t="shared" si="13"/>
        <v/>
      </c>
      <c r="L177" s="8" t="str">
        <f>CONCATENATE("11 11.2 4b")</f>
        <v>11 11.2 4b</v>
      </c>
      <c r="M177" s="8" t="str">
        <f>CONCATENATE("BTSDBR47H06C267Z")</f>
        <v>BTSDBR47H06C267Z</v>
      </c>
      <c r="N177" s="8" t="s">
        <v>266</v>
      </c>
      <c r="O177" s="8" t="s">
        <v>36</v>
      </c>
      <c r="P177" s="8" t="s">
        <v>267</v>
      </c>
      <c r="Q177" s="9">
        <v>45461</v>
      </c>
      <c r="R177" s="8" t="s">
        <v>38</v>
      </c>
      <c r="S177" s="8" t="s">
        <v>39</v>
      </c>
      <c r="T177" s="8" t="s">
        <v>40</v>
      </c>
      <c r="U177" s="8"/>
      <c r="V177" s="8" t="s">
        <v>41</v>
      </c>
      <c r="W177" s="8">
        <v>462.22</v>
      </c>
      <c r="X177" s="8">
        <v>199.31</v>
      </c>
      <c r="Y177" s="8">
        <v>184.06</v>
      </c>
      <c r="Z177" s="8">
        <v>78.849999999999994</v>
      </c>
      <c r="AA177" s="8">
        <v>0</v>
      </c>
    </row>
    <row r="178" spans="1:27" ht="25.5" x14ac:dyDescent="0.35">
      <c r="A178" s="8" t="s">
        <v>28</v>
      </c>
      <c r="B178" s="8" t="s">
        <v>59</v>
      </c>
      <c r="C178" s="8" t="s">
        <v>30</v>
      </c>
      <c r="D178" s="8" t="s">
        <v>31</v>
      </c>
      <c r="E178" s="8" t="s">
        <v>45</v>
      </c>
      <c r="F178" s="8" t="s">
        <v>133</v>
      </c>
      <c r="G178" s="8">
        <v>2023</v>
      </c>
      <c r="H178" s="8" t="str">
        <f>CONCATENATE("34240194299")</f>
        <v>34240194299</v>
      </c>
      <c r="I178" s="8" t="s">
        <v>51</v>
      </c>
      <c r="J178" s="8" t="s">
        <v>34</v>
      </c>
      <c r="K178" s="8" t="str">
        <f t="shared" si="13"/>
        <v/>
      </c>
      <c r="L178" s="8" t="str">
        <f>CONCATENATE("11 11.2 4b")</f>
        <v>11 11.2 4b</v>
      </c>
      <c r="M178" s="8" t="str">
        <f>CONCATENATE("01727390435")</f>
        <v>01727390435</v>
      </c>
      <c r="N178" s="8" t="s">
        <v>268</v>
      </c>
      <c r="O178" s="8" t="s">
        <v>36</v>
      </c>
      <c r="P178" s="8" t="s">
        <v>267</v>
      </c>
      <c r="Q178" s="9">
        <v>45461</v>
      </c>
      <c r="R178" s="8" t="s">
        <v>38</v>
      </c>
      <c r="S178" s="8" t="s">
        <v>39</v>
      </c>
      <c r="T178" s="8" t="s">
        <v>40</v>
      </c>
      <c r="U178" s="8"/>
      <c r="V178" s="8" t="s">
        <v>41</v>
      </c>
      <c r="W178" s="10">
        <v>4678.79</v>
      </c>
      <c r="X178" s="10">
        <v>2017.49</v>
      </c>
      <c r="Y178" s="10">
        <v>1863.09</v>
      </c>
      <c r="Z178" s="8">
        <v>798.21</v>
      </c>
      <c r="AA178" s="8">
        <v>0</v>
      </c>
    </row>
    <row r="179" spans="1:27" ht="25.5" x14ac:dyDescent="0.35">
      <c r="A179" s="8" t="s">
        <v>28</v>
      </c>
      <c r="B179" s="8" t="s">
        <v>59</v>
      </c>
      <c r="C179" s="8" t="s">
        <v>30</v>
      </c>
      <c r="D179" s="8" t="s">
        <v>31</v>
      </c>
      <c r="E179" s="8" t="s">
        <v>45</v>
      </c>
      <c r="F179" s="8" t="s">
        <v>133</v>
      </c>
      <c r="G179" s="8">
        <v>2023</v>
      </c>
      <c r="H179" s="8" t="str">
        <f>CONCATENATE("34240194018")</f>
        <v>34240194018</v>
      </c>
      <c r="I179" s="8" t="s">
        <v>51</v>
      </c>
      <c r="J179" s="8" t="s">
        <v>34</v>
      </c>
      <c r="K179" s="8" t="str">
        <f t="shared" si="13"/>
        <v/>
      </c>
      <c r="L179" s="8" t="str">
        <f>CONCATENATE("11 11.2 4b")</f>
        <v>11 11.2 4b</v>
      </c>
      <c r="M179" s="8" t="str">
        <f>CONCATENATE("01727390435")</f>
        <v>01727390435</v>
      </c>
      <c r="N179" s="8" t="s">
        <v>268</v>
      </c>
      <c r="O179" s="8" t="s">
        <v>36</v>
      </c>
      <c r="P179" s="8" t="s">
        <v>267</v>
      </c>
      <c r="Q179" s="9">
        <v>45461</v>
      </c>
      <c r="R179" s="8" t="s">
        <v>38</v>
      </c>
      <c r="S179" s="8" t="s">
        <v>39</v>
      </c>
      <c r="T179" s="8" t="s">
        <v>40</v>
      </c>
      <c r="U179" s="8"/>
      <c r="V179" s="8" t="s">
        <v>41</v>
      </c>
      <c r="W179" s="10">
        <v>6111.69</v>
      </c>
      <c r="X179" s="10">
        <v>2635.36</v>
      </c>
      <c r="Y179" s="10">
        <v>2433.67</v>
      </c>
      <c r="Z179" s="10">
        <v>1042.6600000000001</v>
      </c>
      <c r="AA179" s="8">
        <v>0</v>
      </c>
    </row>
    <row r="180" spans="1:27" ht="41.5" x14ac:dyDescent="0.35">
      <c r="A180" s="8" t="s">
        <v>28</v>
      </c>
      <c r="B180" s="8" t="s">
        <v>59</v>
      </c>
      <c r="C180" s="8" t="s">
        <v>30</v>
      </c>
      <c r="D180" s="8" t="s">
        <v>31</v>
      </c>
      <c r="E180" s="8" t="s">
        <v>45</v>
      </c>
      <c r="F180" s="8" t="s">
        <v>93</v>
      </c>
      <c r="G180" s="8">
        <v>2023</v>
      </c>
      <c r="H180" s="8" t="str">
        <f>CONCATENATE("34240097450")</f>
        <v>34240097450</v>
      </c>
      <c r="I180" s="8" t="s">
        <v>33</v>
      </c>
      <c r="J180" s="8" t="s">
        <v>34</v>
      </c>
      <c r="K180" s="8" t="str">
        <f t="shared" si="13"/>
        <v/>
      </c>
      <c r="L180" s="8" t="str">
        <f>CONCATENATE("11 11.2 4b")</f>
        <v>11 11.2 4b</v>
      </c>
      <c r="M180" s="8" t="str">
        <f>CONCATENATE("PLZGNN59L55A334J")</f>
        <v>PLZGNN59L55A334J</v>
      </c>
      <c r="N180" s="8" t="s">
        <v>269</v>
      </c>
      <c r="O180" s="8" t="s">
        <v>36</v>
      </c>
      <c r="P180" s="8" t="s">
        <v>267</v>
      </c>
      <c r="Q180" s="9">
        <v>45461</v>
      </c>
      <c r="R180" s="8" t="s">
        <v>38</v>
      </c>
      <c r="S180" s="8" t="s">
        <v>39</v>
      </c>
      <c r="T180" s="8" t="s">
        <v>40</v>
      </c>
      <c r="U180" s="8"/>
      <c r="V180" s="8" t="s">
        <v>41</v>
      </c>
      <c r="W180" s="10">
        <v>3166.85</v>
      </c>
      <c r="X180" s="10">
        <v>1365.55</v>
      </c>
      <c r="Y180" s="10">
        <v>1261.04</v>
      </c>
      <c r="Z180" s="8">
        <v>540.26</v>
      </c>
      <c r="AA180" s="8">
        <v>0</v>
      </c>
    </row>
    <row r="181" spans="1:27" ht="25.5" x14ac:dyDescent="0.35">
      <c r="A181" s="8" t="s">
        <v>28</v>
      </c>
      <c r="B181" s="8" t="s">
        <v>59</v>
      </c>
      <c r="C181" s="8" t="s">
        <v>30</v>
      </c>
      <c r="D181" s="8" t="s">
        <v>31</v>
      </c>
      <c r="E181" s="8" t="s">
        <v>66</v>
      </c>
      <c r="F181" s="8" t="s">
        <v>67</v>
      </c>
      <c r="G181" s="8">
        <v>2023</v>
      </c>
      <c r="H181" s="8" t="str">
        <f>CONCATENATE("34240267145")</f>
        <v>34240267145</v>
      </c>
      <c r="I181" s="8" t="s">
        <v>33</v>
      </c>
      <c r="J181" s="8" t="s">
        <v>34</v>
      </c>
      <c r="K181" s="8" t="str">
        <f t="shared" si="13"/>
        <v/>
      </c>
      <c r="L181" s="8" t="str">
        <f>CONCATENATE("11 11.2 4b")</f>
        <v>11 11.2 4b</v>
      </c>
      <c r="M181" s="8" t="str">
        <f>CONCATENATE("02002300438")</f>
        <v>02002300438</v>
      </c>
      <c r="N181" s="8" t="s">
        <v>270</v>
      </c>
      <c r="O181" s="8" t="s">
        <v>36</v>
      </c>
      <c r="P181" s="8" t="s">
        <v>267</v>
      </c>
      <c r="Q181" s="9">
        <v>45461</v>
      </c>
      <c r="R181" s="8" t="s">
        <v>38</v>
      </c>
      <c r="S181" s="8" t="s">
        <v>39</v>
      </c>
      <c r="T181" s="8" t="s">
        <v>40</v>
      </c>
      <c r="U181" s="8"/>
      <c r="V181" s="8" t="s">
        <v>41</v>
      </c>
      <c r="W181" s="10">
        <v>5028.3</v>
      </c>
      <c r="X181" s="10">
        <v>2168.1999999999998</v>
      </c>
      <c r="Y181" s="10">
        <v>2002.27</v>
      </c>
      <c r="Z181" s="8">
        <v>857.83</v>
      </c>
      <c r="AA181" s="8">
        <v>0</v>
      </c>
    </row>
    <row r="182" spans="1:27" ht="41.5" x14ac:dyDescent="0.35">
      <c r="A182" s="8" t="s">
        <v>28</v>
      </c>
      <c r="B182" s="8" t="s">
        <v>59</v>
      </c>
      <c r="C182" s="8" t="s">
        <v>30</v>
      </c>
      <c r="D182" s="8" t="s">
        <v>31</v>
      </c>
      <c r="E182" s="8" t="s">
        <v>63</v>
      </c>
      <c r="F182" s="8" t="s">
        <v>103</v>
      </c>
      <c r="G182" s="8">
        <v>2023</v>
      </c>
      <c r="H182" s="8" t="str">
        <f>CONCATENATE("34240489574")</f>
        <v>34240489574</v>
      </c>
      <c r="I182" s="8" t="s">
        <v>51</v>
      </c>
      <c r="J182" s="8" t="s">
        <v>34</v>
      </c>
      <c r="K182" s="8" t="str">
        <f t="shared" si="13"/>
        <v/>
      </c>
      <c r="L182" s="8" t="str">
        <f>CONCATENATE("11 11.2 4b")</f>
        <v>11 11.2 4b</v>
      </c>
      <c r="M182" s="8" t="str">
        <f>CONCATENATE("MNCGMR73P27E783Z")</f>
        <v>MNCGMR73P27E783Z</v>
      </c>
      <c r="N182" s="8" t="s">
        <v>271</v>
      </c>
      <c r="O182" s="8" t="s">
        <v>36</v>
      </c>
      <c r="P182" s="8" t="s">
        <v>267</v>
      </c>
      <c r="Q182" s="9">
        <v>45461</v>
      </c>
      <c r="R182" s="8" t="s">
        <v>38</v>
      </c>
      <c r="S182" s="8" t="s">
        <v>39</v>
      </c>
      <c r="T182" s="8" t="s">
        <v>40</v>
      </c>
      <c r="U182" s="8"/>
      <c r="V182" s="8" t="s">
        <v>41</v>
      </c>
      <c r="W182" s="8">
        <v>288.20999999999998</v>
      </c>
      <c r="X182" s="8">
        <v>124.28</v>
      </c>
      <c r="Y182" s="8">
        <v>114.77</v>
      </c>
      <c r="Z182" s="8">
        <v>49.16</v>
      </c>
      <c r="AA182" s="8">
        <v>0</v>
      </c>
    </row>
    <row r="183" spans="1:27" ht="25.5" x14ac:dyDescent="0.35">
      <c r="A183" s="8" t="s">
        <v>28</v>
      </c>
      <c r="B183" s="8" t="s">
        <v>59</v>
      </c>
      <c r="C183" s="8" t="s">
        <v>30</v>
      </c>
      <c r="D183" s="8" t="s">
        <v>31</v>
      </c>
      <c r="E183" s="8" t="s">
        <v>85</v>
      </c>
      <c r="F183" s="8" t="s">
        <v>89</v>
      </c>
      <c r="G183" s="8">
        <v>2023</v>
      </c>
      <c r="H183" s="8" t="str">
        <f>CONCATENATE("34240473958")</f>
        <v>34240473958</v>
      </c>
      <c r="I183" s="8" t="s">
        <v>33</v>
      </c>
      <c r="J183" s="8" t="s">
        <v>34</v>
      </c>
      <c r="K183" s="8" t="str">
        <f t="shared" si="13"/>
        <v/>
      </c>
      <c r="L183" s="8" t="str">
        <f t="shared" ref="L183" si="14">CONCATENATE("11 11.2 4b")</f>
        <v>11 11.2 4b</v>
      </c>
      <c r="M183" s="8" t="str">
        <f>CONCATENATE("01844660439")</f>
        <v>01844660439</v>
      </c>
      <c r="N183" s="8" t="s">
        <v>272</v>
      </c>
      <c r="O183" s="8" t="s">
        <v>36</v>
      </c>
      <c r="P183" s="8" t="s">
        <v>267</v>
      </c>
      <c r="Q183" s="9">
        <v>45461</v>
      </c>
      <c r="R183" s="8" t="s">
        <v>38</v>
      </c>
      <c r="S183" s="8" t="s">
        <v>39</v>
      </c>
      <c r="T183" s="8" t="s">
        <v>40</v>
      </c>
      <c r="U183" s="8"/>
      <c r="V183" s="8" t="s">
        <v>41</v>
      </c>
      <c r="W183" s="8">
        <v>347.12</v>
      </c>
      <c r="X183" s="8">
        <v>149.68</v>
      </c>
      <c r="Y183" s="8">
        <v>138.22</v>
      </c>
      <c r="Z183" s="8">
        <v>59.22</v>
      </c>
      <c r="AA183" s="8">
        <v>0</v>
      </c>
    </row>
    <row r="184" spans="1:27" ht="25.5" x14ac:dyDescent="0.35">
      <c r="A184" s="8" t="s">
        <v>28</v>
      </c>
      <c r="B184" s="8" t="s">
        <v>29</v>
      </c>
      <c r="C184" s="8" t="s">
        <v>30</v>
      </c>
      <c r="D184" s="8" t="s">
        <v>71</v>
      </c>
      <c r="E184" s="8" t="s">
        <v>45</v>
      </c>
      <c r="F184" s="8" t="s">
        <v>273</v>
      </c>
      <c r="G184" s="8">
        <v>2017</v>
      </c>
      <c r="H184" s="8" t="str">
        <f>CONCATENATE("44270108713")</f>
        <v>44270108713</v>
      </c>
      <c r="I184" s="8" t="s">
        <v>33</v>
      </c>
      <c r="J184" s="8" t="s">
        <v>34</v>
      </c>
      <c r="K184" s="8" t="str">
        <f t="shared" si="13"/>
        <v/>
      </c>
      <c r="L184" s="8" t="str">
        <f>CONCATENATE("5 5.1 3b")</f>
        <v>5 5.1 3b</v>
      </c>
      <c r="M184" s="8" t="str">
        <f>CONCATENATE("02879130421")</f>
        <v>02879130421</v>
      </c>
      <c r="N184" s="8" t="s">
        <v>274</v>
      </c>
      <c r="O184" s="8" t="s">
        <v>36</v>
      </c>
      <c r="P184" s="8" t="s">
        <v>275</v>
      </c>
      <c r="Q184" s="9">
        <v>45462</v>
      </c>
      <c r="R184" s="8" t="s">
        <v>38</v>
      </c>
      <c r="S184" s="8" t="s">
        <v>39</v>
      </c>
      <c r="T184" s="8" t="s">
        <v>40</v>
      </c>
      <c r="U184" s="8"/>
      <c r="V184" s="8" t="s">
        <v>41</v>
      </c>
      <c r="W184" s="10">
        <v>6088.3</v>
      </c>
      <c r="X184" s="10">
        <v>2625.27</v>
      </c>
      <c r="Y184" s="10">
        <v>2424.36</v>
      </c>
      <c r="Z184" s="10">
        <v>1038.67</v>
      </c>
      <c r="AA184" s="8">
        <v>0</v>
      </c>
    </row>
    <row r="185" spans="1:27" ht="41.5" x14ac:dyDescent="0.35">
      <c r="A185" s="8" t="s">
        <v>28</v>
      </c>
      <c r="B185" s="8" t="s">
        <v>29</v>
      </c>
      <c r="C185" s="8" t="s">
        <v>30</v>
      </c>
      <c r="D185" s="8" t="s">
        <v>44</v>
      </c>
      <c r="E185" s="8" t="s">
        <v>248</v>
      </c>
      <c r="F185" s="8" t="s">
        <v>276</v>
      </c>
      <c r="G185" s="8">
        <v>2017</v>
      </c>
      <c r="H185" s="8" t="str">
        <f>CONCATENATE("44270101809")</f>
        <v>44270101809</v>
      </c>
      <c r="I185" s="8" t="s">
        <v>33</v>
      </c>
      <c r="J185" s="8" t="s">
        <v>34</v>
      </c>
      <c r="K185" s="8" t="str">
        <f t="shared" si="13"/>
        <v/>
      </c>
      <c r="L185" s="8" t="str">
        <f>CONCATENATE("4 4.1 2a")</f>
        <v>4 4.1 2a</v>
      </c>
      <c r="M185" s="8" t="str">
        <f>CONCATENATE("GLLSFN78C14A462E")</f>
        <v>GLLSFN78C14A462E</v>
      </c>
      <c r="N185" s="8" t="s">
        <v>277</v>
      </c>
      <c r="O185" s="8" t="s">
        <v>36</v>
      </c>
      <c r="P185" s="8" t="s">
        <v>278</v>
      </c>
      <c r="Q185" s="9">
        <v>45462</v>
      </c>
      <c r="R185" s="8" t="s">
        <v>38</v>
      </c>
      <c r="S185" s="8" t="s">
        <v>119</v>
      </c>
      <c r="T185" s="8" t="s">
        <v>40</v>
      </c>
      <c r="U185" s="8"/>
      <c r="V185" s="8" t="s">
        <v>41</v>
      </c>
      <c r="W185" s="10">
        <v>35837</v>
      </c>
      <c r="X185" s="10">
        <v>15452.91</v>
      </c>
      <c r="Y185" s="10">
        <v>14270.29</v>
      </c>
      <c r="Z185" s="10">
        <v>6113.8</v>
      </c>
      <c r="AA185" s="8">
        <v>0</v>
      </c>
    </row>
    <row r="186" spans="1:27" ht="41.5" x14ac:dyDescent="0.35">
      <c r="A186" s="8" t="s">
        <v>28</v>
      </c>
      <c r="B186" s="8" t="s">
        <v>29</v>
      </c>
      <c r="C186" s="8" t="s">
        <v>30</v>
      </c>
      <c r="D186" s="8" t="s">
        <v>31</v>
      </c>
      <c r="E186" s="8" t="s">
        <v>32</v>
      </c>
      <c r="F186" s="8" t="s">
        <v>32</v>
      </c>
      <c r="G186" s="8">
        <v>2017</v>
      </c>
      <c r="H186" s="8" t="str">
        <f>CONCATENATE("44270101817")</f>
        <v>44270101817</v>
      </c>
      <c r="I186" s="8" t="s">
        <v>33</v>
      </c>
      <c r="J186" s="8" t="s">
        <v>34</v>
      </c>
      <c r="K186" s="8" t="str">
        <f t="shared" si="13"/>
        <v/>
      </c>
      <c r="L186" s="8" t="str">
        <f>CONCATENATE("4 4.1 2a")</f>
        <v>4 4.1 2a</v>
      </c>
      <c r="M186" s="8" t="str">
        <f>CONCATENATE("PLTRNT72D02E783V")</f>
        <v>PLTRNT72D02E783V</v>
      </c>
      <c r="N186" s="8" t="s">
        <v>279</v>
      </c>
      <c r="O186" s="8" t="s">
        <v>36</v>
      </c>
      <c r="P186" s="8" t="s">
        <v>278</v>
      </c>
      <c r="Q186" s="9">
        <v>45462</v>
      </c>
      <c r="R186" s="8" t="s">
        <v>38</v>
      </c>
      <c r="S186" s="8" t="s">
        <v>39</v>
      </c>
      <c r="T186" s="8" t="s">
        <v>40</v>
      </c>
      <c r="U186" s="8"/>
      <c r="V186" s="8" t="s">
        <v>41</v>
      </c>
      <c r="W186" s="10">
        <v>5717.36</v>
      </c>
      <c r="X186" s="10">
        <v>2465.33</v>
      </c>
      <c r="Y186" s="10">
        <v>2276.65</v>
      </c>
      <c r="Z186" s="8">
        <v>975.38</v>
      </c>
      <c r="AA186" s="8">
        <v>0</v>
      </c>
    </row>
  </sheetData>
  <mergeCells count="1">
    <mergeCell ref="A2:AA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Greco Giancarlo</dc:creator>
  <cp:lastModifiedBy>Greco Giancarlo</cp:lastModifiedBy>
  <dcterms:created xsi:type="dcterms:W3CDTF">2024-06-21T10:06:26Z</dcterms:created>
  <dcterms:modified xsi:type="dcterms:W3CDTF">2024-06-21T10:06:26Z</dcterms:modified>
</cp:coreProperties>
</file>