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_galeazzi\Desktop\"/>
    </mc:Choice>
  </mc:AlternateContent>
  <bookViews>
    <workbookView xWindow="32760" yWindow="32760" windowWidth="19200" windowHeight="8880"/>
  </bookViews>
  <sheets>
    <sheet name="Dettaglio_Domande_Pagabili_AGEA" sheetId="1" r:id="rId1"/>
  </sheets>
  <definedNames>
    <definedName name="_xlnm._FilterDatabase" localSheetId="0" hidden="1">Dettaglio_Domande_Pagabili_AGEA!$A$3:$Z$202</definedName>
  </definedNames>
  <calcPr calcId="179021"/>
</workbook>
</file>

<file path=xl/calcChain.xml><?xml version="1.0" encoding="utf-8"?>
<calcChain xmlns="http://schemas.openxmlformats.org/spreadsheetml/2006/main">
  <c r="M202" i="1" l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<sst xmlns="http://schemas.openxmlformats.org/spreadsheetml/2006/main" count="2807" uniqueCount="318">
  <si>
    <t>Dettaglio Domande Pagabili Decreto 663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</si>
  <si>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</si>
  <si>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</si>
  <si>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</si>
  <si>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</si>
  <si>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</si>
  <si>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</si>
  <si>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</si>
  <si>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</si>
  <si>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</si>
  <si>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</si>
  <si>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</si>
  <si>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</si>
  <si>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</si>
  <si>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</si>
  <si>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</si>
  <si>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</si>
  <si>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</si>
  <si>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</si>
  <si>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</si>
  <si>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</si>
  <si>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</si>
  <si>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</si>
  <si>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</si>
  <si>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</si>
  <si>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</si>
  <si>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</si>
  <si>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</si>
  <si>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</si>
  <si>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</si>
  <si>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</si>
  <si>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PSR 2014/2022</t>
  </si>
  <si>
    <t>In Liquidazione</t>
  </si>
  <si>
    <t>Anticipo</t>
  </si>
  <si>
    <t>Co-Finanziato</t>
  </si>
  <si>
    <t>Ordinario</t>
  </si>
  <si>
    <t>Misure a Superficie</t>
  </si>
  <si>
    <t>CAA Confagricoltura srl</t>
  </si>
  <si>
    <t>Saldo</t>
  </si>
  <si>
    <t>CAA Coldiretti srl</t>
  </si>
  <si>
    <t>MARCHE</t>
  </si>
  <si>
    <t>SERV. DEC. AGRICOLTURA E ALIMENTAZIONE - PESARO</t>
  </si>
  <si>
    <t>COMUNE DI APECCHIO</t>
  </si>
  <si>
    <t>AGEA.ASR.2023.1636624</t>
  </si>
  <si>
    <t>CAA LiberiAgricoltori srl già CAA AGCI srl</t>
  </si>
  <si>
    <t>SAL</t>
  </si>
  <si>
    <t>SERV. DEC. AGRICOLTURA E ALIM. -ASCOLI PICENO</t>
  </si>
  <si>
    <t>CAA UNSIC s.r.l.</t>
  </si>
  <si>
    <t>CAA UNSIC - ASCOLI PICENO - 001</t>
  </si>
  <si>
    <t>SI</t>
  </si>
  <si>
    <t>ARGIRA LUIGI</t>
  </si>
  <si>
    <t>AGEA.ASR.2023.1471083</t>
  </si>
  <si>
    <t>CONS. TUTELA E VALORIZ DELL'OL</t>
  </si>
  <si>
    <t>AGEA.ASR.2023.1487147</t>
  </si>
  <si>
    <t>CAA CIA srl</t>
  </si>
  <si>
    <t>CAA UNICAA srl</t>
  </si>
  <si>
    <t>COMUNANZA AGRARIA DI COLLE</t>
  </si>
  <si>
    <t>AGEA.ASR.2023.1632273</t>
  </si>
  <si>
    <t>COMUNANZA AGRARIA VILLA SAN GIOVANNI</t>
  </si>
  <si>
    <t>CAA-CAF AGRI S.R.L.</t>
  </si>
  <si>
    <t>Ufficio Utente Qualificato</t>
  </si>
  <si>
    <t>COMUNE DI CANTIANO</t>
  </si>
  <si>
    <t>COMUNE DI MACERATA FELTRIA</t>
  </si>
  <si>
    <t>AGEA.ASR.2023.1615391</t>
  </si>
  <si>
    <t>COMUNE DI COSSIGNANO</t>
  </si>
  <si>
    <t>AGEA.ASR.2023.1637828</t>
  </si>
  <si>
    <t>CONSORZIO DI BONIFICA DELLE MARCHE</t>
  </si>
  <si>
    <t>CAA Liberi Professionisti srl</t>
  </si>
  <si>
    <t>SERV. DEC. AGRICOLTURA E ALIMENTAZIONE - ANCONA</t>
  </si>
  <si>
    <t>ISTITUTO MARCHIGIANO DI TUTELA VINI - I.M.T.</t>
  </si>
  <si>
    <t>AGEA.ASR.2023.1644829</t>
  </si>
  <si>
    <t>GALANTI ALESSANDRO</t>
  </si>
  <si>
    <t>AGEA.ASR.2023.1644919</t>
  </si>
  <si>
    <t>COMUNE DI SAN LORENZO IN CAMPO</t>
  </si>
  <si>
    <t>AGEA.ASR.2023.1634102</t>
  </si>
  <si>
    <t>AGEA.ASR.2023.1644918</t>
  </si>
  <si>
    <t>SERV. DEC. AGRICOLTURA E ALIM. - MACERATA</t>
  </si>
  <si>
    <t>CAA Coldiretti - MACERATA - 010</t>
  </si>
  <si>
    <t>PROVINCIA DI MACERATA</t>
  </si>
  <si>
    <t>AGEA.ASR.2023.1615263</t>
  </si>
  <si>
    <t>IMPRESA VERDE MARCHE S.R.L.</t>
  </si>
  <si>
    <t>AGEA.ASR.2023.1641241</t>
  </si>
  <si>
    <t>CAA Liberi Prof.- PESARO E URBINO - 001</t>
  </si>
  <si>
    <t>SOCIETA' AGRICOLA BRACCI S.S.</t>
  </si>
  <si>
    <t>AGEA.ASR.2023.1642032</t>
  </si>
  <si>
    <t>ENTE PARCO REGIONALE DEL CONERO</t>
  </si>
  <si>
    <t>AGEA.ASR.2023.1644129</t>
  </si>
  <si>
    <t>CAA LiberiAgricoltori - PESARO E URBINO - 001</t>
  </si>
  <si>
    <t>TERRA BIO CONSORZIO AGRICOLTORI BIOLOGICI SOCIETA' COOPERATIVA</t>
  </si>
  <si>
    <t>AGEA.ASR.2023.1645325</t>
  </si>
  <si>
    <t>COMUNE DI POLLENZA</t>
  </si>
  <si>
    <t>AGEA.ASR.2023.1642910</t>
  </si>
  <si>
    <t>CAA Coldiretti - ANCONA - 002</t>
  </si>
  <si>
    <t>SOCIETA' AGRICOLA F.LLI POETA DI POETA MAURIZIO E POETA MASSIMO SOCIET</t>
  </si>
  <si>
    <t>AGEA.ASR.2023.1641858</t>
  </si>
  <si>
    <t>CAA UNICAA - ASCOLI PICENO - 004</t>
  </si>
  <si>
    <t>VESPERINI EUGENIA</t>
  </si>
  <si>
    <t>AGEA.ASR.2023.1637767</t>
  </si>
  <si>
    <t>CAALPA srl</t>
  </si>
  <si>
    <t>CAA LiberiAgricoltori - MACERATA - 002</t>
  </si>
  <si>
    <t>AGRIFORAGGI SOC. AGRICOLA DI CARESTIA DANIELE &amp; C. S.S.</t>
  </si>
  <si>
    <t>AGEA.ASR.2023.1632031</t>
  </si>
  <si>
    <t>CAA Coldiretti - MACERATA - 017</t>
  </si>
  <si>
    <t>CERESCIOLI GIULIANO</t>
  </si>
  <si>
    <t>CAA Confagricoltura - ANCONA - 001</t>
  </si>
  <si>
    <t>SOCIETA' AGRICOLA LUCANGELI AYMERICH DI LACONI SOCIETA' SEMPLICE</t>
  </si>
  <si>
    <t>CAA Coldiretti - MACERATA - 007</t>
  </si>
  <si>
    <t>PORFIRI RENATO</t>
  </si>
  <si>
    <t>SOCIETA' AGRICOLA FLORE PAOLO &amp; C. S.S.</t>
  </si>
  <si>
    <t>AGEA.ASR.2023.1640988</t>
  </si>
  <si>
    <t>SOCIETA' AGRICOLA PALLOTTI FRANCESCO ED ELIA S.S.</t>
  </si>
  <si>
    <t>VINEA - SOCIETA' COOPERATIVA AGRICOLA IN SIGLA VINEA SOC. COOP. AGRICO</t>
  </si>
  <si>
    <t>AGEA.ASR.2023.1640932</t>
  </si>
  <si>
    <t>CAA Coldiretti - ASCOLI PICENO - 025</t>
  </si>
  <si>
    <t>SOC. AGR. IL NETTARE DEI PRINCIPI DI PRINCIPI ALESSANDRO E FELICIONI E</t>
  </si>
  <si>
    <t>AGEA.ASR.2023.1637667</t>
  </si>
  <si>
    <t>CAA CIA - PESARO E URBINO - 002</t>
  </si>
  <si>
    <t>PIERIGE' ALAIN</t>
  </si>
  <si>
    <t>AGEA.ASR.2023.1637415</t>
  </si>
  <si>
    <t>CAA CIA - ANCONA - 006</t>
  </si>
  <si>
    <t>COMUNE DI OFFAGNA</t>
  </si>
  <si>
    <t>AGEA.ASR.2023.1603705</t>
  </si>
  <si>
    <t>CAA LiberiAgricoltori - MACERATA - 001</t>
  </si>
  <si>
    <t>SOCIETA'AGRICOLA LA MARCA DI SCAGNETTI FRANCESCO E C. SOC. SEMPLICE</t>
  </si>
  <si>
    <t>BABINA ANNA</t>
  </si>
  <si>
    <t>LAURI FABIO</t>
  </si>
  <si>
    <t>AGEA.ASR.2023.1616873</t>
  </si>
  <si>
    <t>LAURI LUIGI</t>
  </si>
  <si>
    <t>AGEA.ASR.2023.1640921</t>
  </si>
  <si>
    <t>LAURI GIANCARLO</t>
  </si>
  <si>
    <t>LAURI PAOLO</t>
  </si>
  <si>
    <t>MONTECALVO &amp; FRIENDS SOCIETA' COOPERATIVA A RESPONSABILITA' LIMIT ATA</t>
  </si>
  <si>
    <t>AMICI ALESSANDRO</t>
  </si>
  <si>
    <t>AGEA.ASR.2023.1632301</t>
  </si>
  <si>
    <t>COUNTRY PIG SOCIETA' AGRICOLA SEMPLICE DI BASTIANELLI MAURO E BASTIANE</t>
  </si>
  <si>
    <t>CIABATTONI ALESSIO E GIULIANO SOCIETA' SEMPLICE AGRICOLA</t>
  </si>
  <si>
    <t>PASSACANTANDO ANDREA</t>
  </si>
  <si>
    <t>AGEA.ASR.2023.1645326</t>
  </si>
  <si>
    <t>MOSCONI MARIA</t>
  </si>
  <si>
    <t>AGEA.ASR.2023.1637553</t>
  </si>
  <si>
    <t>CAA Coldiretti - PESARO E URBINO - 013</t>
  </si>
  <si>
    <t>ROMITI GIANMARCO</t>
  </si>
  <si>
    <t>CAA Coldiretti - PESARO E URBINO - 010</t>
  </si>
  <si>
    <t>GUERRA MASSIMO</t>
  </si>
  <si>
    <t>CAA CIA - ANCONA - 002</t>
  </si>
  <si>
    <t>SOCIETA' SEMPLICE AGRICOLA CERESOLANA DI CATUCCI DANILO ANTONIO E CURA</t>
  </si>
  <si>
    <t>CAA UNICAA - ANCONA - 003</t>
  </si>
  <si>
    <t>BALDINI DIEGO</t>
  </si>
  <si>
    <t>PAOLONI GIANFRANCO</t>
  </si>
  <si>
    <t>CAA Coldiretti - MACERATA - 008</t>
  </si>
  <si>
    <t>FATTOBENE SIMONE</t>
  </si>
  <si>
    <t>AGEA.ASR.2023.1641792</t>
  </si>
  <si>
    <t>AGEA.ASR.2023.1642586</t>
  </si>
  <si>
    <t>SOCIETA' AGRICOLA FABRIZI VENANZO FABRIZIO E LIBERTI ENZA S.S.</t>
  </si>
  <si>
    <t>AGEA.ASR.2023.1615328</t>
  </si>
  <si>
    <t>AGEA.ASR.2023.1617238</t>
  </si>
  <si>
    <t>CAA CAF AGRI - ASCOLI PICENO - 223</t>
  </si>
  <si>
    <t>MERCURI ELEONORA</t>
  </si>
  <si>
    <t>CAA CIA - ASCOLI PICENO - 001</t>
  </si>
  <si>
    <t>UDODA LILIIA</t>
  </si>
  <si>
    <t>CAA Copagri srl</t>
  </si>
  <si>
    <t>CAA Copagri - ANCONA - 502</t>
  </si>
  <si>
    <t>MORETTI MARCO</t>
  </si>
  <si>
    <t>SOCIETA' AGRICOLA LA VALLE S.S.</t>
  </si>
  <si>
    <t>STROPPA CAMILLA</t>
  </si>
  <si>
    <t>COMUNE DI FIASTRA</t>
  </si>
  <si>
    <t>AGEA.ASR.2023.1622469</t>
  </si>
  <si>
    <t>ENTE REGIONE MARCHE</t>
  </si>
  <si>
    <t>AGEA.ASR.2023.1645912</t>
  </si>
  <si>
    <t>AGENZIA PER L'INNOVAZIONE NEL SETTORE AGROALIMENTARE E DELLA PESCA "MA</t>
  </si>
  <si>
    <t>COMUNE DI APPIGNANO DEL TRONTO</t>
  </si>
  <si>
    <t>AGEA.ASR.2023.1617026</t>
  </si>
  <si>
    <t>PIGNOTTI SIMONE</t>
  </si>
  <si>
    <t>AGEA.ASR.2023.1618229</t>
  </si>
  <si>
    <t>CAA LiberiAgricoltori - PESARO E URBINO - 002</t>
  </si>
  <si>
    <t>CALIENDI ENRICO</t>
  </si>
  <si>
    <t>AGEA.ASR.2023.1634745</t>
  </si>
  <si>
    <t>AGEA.ASR.2023.1642624</t>
  </si>
  <si>
    <t>AGEA.ASR.2023.1637311</t>
  </si>
  <si>
    <t>CAA Coldiretti - ANCONA - 006</t>
  </si>
  <si>
    <t>SABBATINI ROSSETTI LUCA</t>
  </si>
  <si>
    <t>CAA Coldiretti - PESARO E URBINO - 007</t>
  </si>
  <si>
    <t>SOCIETA' AGRICOLA IL CONVENTINO DI MONTECICCARDO SAS DI MARCANTONI FRA</t>
  </si>
  <si>
    <t>AMA-AQUILONE COOPERATIVA SOCIALE</t>
  </si>
  <si>
    <t>AGEA.ASR.2023.1615283</t>
  </si>
  <si>
    <t>SOCIETA' AGRICOLA D'ERCOLI ROBERTO E DANIELE SOCIETA' SEMPLICE</t>
  </si>
  <si>
    <t>CAA Coldiretti - FERMO - 001</t>
  </si>
  <si>
    <t>DILETTI SERAFINO</t>
  </si>
  <si>
    <t>AGEA.ASR.2023.1635519</t>
  </si>
  <si>
    <t>BELLINI GIANLUCA</t>
  </si>
  <si>
    <t>Caa Confagricoltura Emilia-Romagna S.R.L.</t>
  </si>
  <si>
    <t>CAA Confagricoltura - FORLI' - CESENA - 001</t>
  </si>
  <si>
    <t>SOCIETA' AGRICOLA F.LLI MARCHIONNI S.S.</t>
  </si>
  <si>
    <t>MASCIOLI EGLE</t>
  </si>
  <si>
    <t>AGEA.ASR.2023.1637499</t>
  </si>
  <si>
    <t>ANGELLOZZI NADIA</t>
  </si>
  <si>
    <t>AGEA.ASR.2023.1641479</t>
  </si>
  <si>
    <t>COMUNE DI MONTE GIBERTO</t>
  </si>
  <si>
    <t>AGEA.ASR.2023.1642704</t>
  </si>
  <si>
    <t>SOCIETA' AGRICOLA PIANDIMEZZO S.S.</t>
  </si>
  <si>
    <t>BICCHIARELLI GABRIELE</t>
  </si>
  <si>
    <t>CAA Coldiretti - PESARO E URBINO - 004</t>
  </si>
  <si>
    <t>PASQUINI ANNUNZIATA</t>
  </si>
  <si>
    <t>CAA CIA - PESARO E URBINO - 005</t>
  </si>
  <si>
    <t>PACI COSTRUZIONI SRL</t>
  </si>
  <si>
    <t>CAA UNICAA - PESARO E URBINO - 003</t>
  </si>
  <si>
    <t>SPADONI MAURIZIO &amp; FLAVIO S.S.</t>
  </si>
  <si>
    <t>CAA Coldiretti - PESARO E URBINO - 008</t>
  </si>
  <si>
    <t>IL GENTIL VERDE SOCIETA' AGRICOLA - SOCIETA' SEMPLICE</t>
  </si>
  <si>
    <t>SOCIETA' AGRICOLA COLLE BAETO S.S.</t>
  </si>
  <si>
    <t>CAA CIA - ANCONA - 005</t>
  </si>
  <si>
    <t>CATINCA ALEXANDRA MIHAELA</t>
  </si>
  <si>
    <t>SOCIETA' AGRICOLA MERELLI MARCELLO E C. S.S.</t>
  </si>
  <si>
    <t>AGEA.ASR.2023.1628638</t>
  </si>
  <si>
    <t>ANTONINI RENATO</t>
  </si>
  <si>
    <t>AGEA.ASR.2023.1639627</t>
  </si>
  <si>
    <t>UNIONE MONTANA POTENZA ESINO MUSONE</t>
  </si>
  <si>
    <t>AGEA.ASR.2023.1634872</t>
  </si>
  <si>
    <t>VITTORI MATTIA</t>
  </si>
  <si>
    <t>COMUNE DI BOLOGNOLA</t>
  </si>
  <si>
    <t>UNIONE MONTANA DEI MONTI AZZURRI</t>
  </si>
  <si>
    <t>AGEA.ASR.2023.1644379</t>
  </si>
  <si>
    <t>COMUNE DI SAN GINESIO</t>
  </si>
  <si>
    <t>PROVINCIA DI ANCONA</t>
  </si>
  <si>
    <t>AGEA.ASR.2023.1634749</t>
  </si>
  <si>
    <t>UNIONE MONTANA DEL CATRIA E NERONE</t>
  </si>
  <si>
    <t>AGEA.ASR.2023.1645132</t>
  </si>
  <si>
    <t>MATTEI MAURO</t>
  </si>
  <si>
    <t>AGEA.ASR.2023.1634428</t>
  </si>
  <si>
    <t>CAA CIA - PESARO E URBINO - 007</t>
  </si>
  <si>
    <t>CARDINALI TINA</t>
  </si>
  <si>
    <t>TURCHI GUERRINO-VESCHI SANTA-TURCHI L.,M E R SOC.SEMPLICE</t>
  </si>
  <si>
    <t>AGEA.ASR.2023.1640454</t>
  </si>
  <si>
    <t>SALTARELLI MAURO</t>
  </si>
  <si>
    <t>AGEA.ASR.2023.1622343</t>
  </si>
  <si>
    <t>CAA LiberiAgricoltori - MACERATA - 003</t>
  </si>
  <si>
    <t>SANTI LAURINI LAURA</t>
  </si>
  <si>
    <t>AGEA.ASR.2023.1637973</t>
  </si>
  <si>
    <t>CAA Coldiretti - ASCOLI PICENO - 010</t>
  </si>
  <si>
    <t>DE DOMINICIS ANGELAROSA</t>
  </si>
  <si>
    <t>PACI GIOVANNI</t>
  </si>
  <si>
    <t>SOCIETA' AGRICOLA CA' LANTE S.S.</t>
  </si>
  <si>
    <t>CAA Coldiretti - PESARO E URBINO - 001</t>
  </si>
  <si>
    <t>PACCHETTI ELSA</t>
  </si>
  <si>
    <t>VANNI CARLO</t>
  </si>
  <si>
    <t>CAI Coldiretti Toscana S.r.l.</t>
  </si>
  <si>
    <t>CAA Coldiretti - AREZZO - 008</t>
  </si>
  <si>
    <t>LA TORRE SOCIETA' AGRICOLA S.S.</t>
  </si>
  <si>
    <t>BOBOC INA</t>
  </si>
  <si>
    <t>SILIQUINI FRANCESCO</t>
  </si>
  <si>
    <t>ROSSI ZEFFERINO</t>
  </si>
  <si>
    <t>AZIENDA VINICOLA UMANI RONCHI SPA</t>
  </si>
  <si>
    <t>CONSORZIO AGRARIO ADRIATICO SOCIETA' COOPERATIVA</t>
  </si>
  <si>
    <t>GASTREGHINI S.R.L.</t>
  </si>
  <si>
    <t>SOCIETA' AGRICOLA BIOLOGICA FILENI SRL</t>
  </si>
  <si>
    <t>AGEA.ASR.2023.1622388</t>
  </si>
  <si>
    <t>SOC.AGR.FOR.DI GESTIONE DEI BENI AGRO SILVO PASTORALI TRONTO</t>
  </si>
  <si>
    <t>AGEA.ASR.2023.1620323</t>
  </si>
  <si>
    <t>AGEA.ASR.2023.1616962</t>
  </si>
  <si>
    <t>AGEA.ASR.2023.1644470</t>
  </si>
  <si>
    <t>AGEA.ASR.2023.1632320</t>
  </si>
  <si>
    <t>CAA Coldiretti - ASCOLI PICENO - 030</t>
  </si>
  <si>
    <t>EUSEBI ROBERTO</t>
  </si>
  <si>
    <t>AGEA.ASR.2023.1633229</t>
  </si>
  <si>
    <t>E-YUMMY S.R.L.</t>
  </si>
  <si>
    <t>AGEA.ASR.2023.1636366</t>
  </si>
  <si>
    <t>AGEA.ASR.2023.1640767</t>
  </si>
  <si>
    <t>MINISTERO SVILUPPO ECONOMICO ( MSE )</t>
  </si>
  <si>
    <t>AGEA.ASR.2023.1636532</t>
  </si>
  <si>
    <t>BONIFAZI ALESSANDRA</t>
  </si>
  <si>
    <t>PIERINI GIOVANNI</t>
  </si>
  <si>
    <t>CAA LiberiAgricoltori - MACERATA - 005</t>
  </si>
  <si>
    <t>BOTTA FRANCESCA</t>
  </si>
  <si>
    <t>COPPONI STEFANO</t>
  </si>
  <si>
    <t>SOCIETA' AGRICOLA LA MONACESCA DI COPPONI MASSIMO E C. S.S.</t>
  </si>
  <si>
    <t>FERRI ELISA</t>
  </si>
  <si>
    <t>SOCIETA' AGRICOLA "LE GENGHE DI NONNO ANGELO" S.S.</t>
  </si>
  <si>
    <t>GUATIERI CHRISTIAN</t>
  </si>
  <si>
    <t>LUPI LEO</t>
  </si>
  <si>
    <t>GIOVAGNOLI DOMENICO</t>
  </si>
  <si>
    <t>CARNJ SOCIETA' COOPERATIVA AGRICOLA</t>
  </si>
  <si>
    <t>COMUNE DI COMUNANZA</t>
  </si>
  <si>
    <t>FILODIVINO SOCIETA' AGRICOLA FORESTALE S.R.L.</t>
  </si>
  <si>
    <t>AGEA.ASR.2023.1645134</t>
  </si>
  <si>
    <t>SOCIETA' AGRICOLA CAMPANELLI SOCIETA' A RESPONSABILITA' LIMITATA</t>
  </si>
  <si>
    <t>SOCIETA' AGRICOLA FORESTALE DI GESTIONE DEI BENI AGRO-SILVO-PASTORALI</t>
  </si>
  <si>
    <t>COMUNANZA AGRARIA DI SEFRO</t>
  </si>
  <si>
    <t>COMUNE DI MONTE CERIGNONE</t>
  </si>
  <si>
    <t>AGEA.ASR.2023.1615437</t>
  </si>
  <si>
    <t>SOCIETA' AGRICOLA CERESANI DI CERESANI MIRKO E C. S.S.</t>
  </si>
  <si>
    <t>MAZZONI STEFANO</t>
  </si>
  <si>
    <t>STROPPA RENZO</t>
  </si>
  <si>
    <t>CANNELLA DAVIDE</t>
  </si>
  <si>
    <t>AGEA.ASR.2023.1636400</t>
  </si>
  <si>
    <t>AGEA.ASR.2023.1641825</t>
  </si>
  <si>
    <t>S.C.A.C.SOCIETA' COOPERATIVA AGRICOLA</t>
  </si>
  <si>
    <t>COMUNE DI ROCCAFLUVIONE</t>
  </si>
  <si>
    <t>AGEA.ASR.2023.1617109</t>
  </si>
  <si>
    <t>AGEA.ASR.2023.1644830</t>
  </si>
  <si>
    <t>AZ.AGR.CARMINUCCI DI CARMINUCCI PIERLUIGI &amp; C. S.S.</t>
  </si>
  <si>
    <t>AGEA.ASR.2023.1629704</t>
  </si>
  <si>
    <t>CAA ALPA - FERMO - 001</t>
  </si>
  <si>
    <t>PEROTTI BERNARDINA</t>
  </si>
  <si>
    <t>AVALTRONI LORENZO</t>
  </si>
  <si>
    <t>AGEA.ASR.2023.1615417</t>
  </si>
  <si>
    <t>AZIENDA AGRICOLA RESAGRI DI RESPARAMBIA LUCA E C. S.S.</t>
  </si>
  <si>
    <t>AGEA.ASR.2023.1633591</t>
  </si>
  <si>
    <t>BUSETTO VICARI ANDREA</t>
  </si>
  <si>
    <t>ROTARO LUIGI</t>
  </si>
  <si>
    <t>SOCIETA' AGRICOLA CA' MARIOTTO S.S.</t>
  </si>
  <si>
    <t>MONTEBELLO COOPERATIVA AGROBIOLOGICA</t>
  </si>
  <si>
    <t>AGEA.ASR.2023.1644899</t>
  </si>
  <si>
    <t>RINCI SRL</t>
  </si>
  <si>
    <t>STOPPO FABRIZIO</t>
  </si>
  <si>
    <t>CAA CIA - ASCOLI PICENO - 002</t>
  </si>
  <si>
    <t>LA TENUTA DI MATTIA SOCIETA' SEMPLICE AGROFORESTALE DI FORMENTINI IVAN</t>
  </si>
  <si>
    <t>CAA Confagricoltura - ASCOLI PICENO - 001</t>
  </si>
  <si>
    <t>POLI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</si>
</sst>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showGridLines="0" tabSelected="1" workbookViewId="0">
      <selection activeCell="A3" sqref="A3:IV3"/>
    </sheetView>
  </sheetViews>
  <sheetFormatPr defaultColWidth="8.7109375" defaultRowHeight="15" x14ac:dyDescent="0.25"/>
  <cols>
    <col min="1" max="1" width="13.85546875" style="1" bestFit="1" customWidth="1"/>
    <col min="2" max="2" width="10.42578125" style="1" bestFit="1" customWidth="1"/>
    <col min="3" max="3" width="9.5703125" style="1" bestFit="1" customWidth="1"/>
    <col min="4" max="4" width="33.5703125" style="1" bestFit="1" customWidth="1"/>
    <col min="5" max="5" width="22.7109375" style="1" bestFit="1" customWidth="1"/>
    <col min="6" max="6" width="30.28515625" style="1" bestFit="1" customWidth="1"/>
    <col min="7" max="7" width="7.42578125" style="1" bestFit="1" customWidth="1"/>
    <col min="8" max="8" width="11.28515625" style="1" bestFit="1" customWidth="1"/>
    <col min="9" max="9" width="18.5703125" style="1" bestFit="1" customWidth="1"/>
    <col min="10" max="10" width="18" style="1" bestFit="1" customWidth="1"/>
    <col min="11" max="11" width="15.5703125" style="1" bestFit="1" customWidth="1"/>
    <col min="12" max="12" width="15.85546875" style="1" bestFit="1" customWidth="1"/>
    <col min="13" max="13" width="4.140625" style="1" bestFit="1" customWidth="1"/>
    <col min="14" max="14" width="34.85546875" style="1" bestFit="1" customWidth="1"/>
    <col min="15" max="15" width="14.5703125" style="1" bestFit="1" customWidth="1"/>
    <col min="16" max="16" width="20.85546875" style="1" bestFit="1" customWidth="1"/>
    <col min="17" max="17" width="14.28515625" style="1" bestFit="1" customWidth="1"/>
    <col min="18" max="18" width="16.140625" style="1" bestFit="1" customWidth="1"/>
    <col min="19" max="19" width="18.28515625" style="1" bestFit="1" customWidth="1"/>
    <col min="20" max="20" width="4.7109375" style="1" bestFit="1" customWidth="1"/>
    <col min="21" max="21" width="23.140625" style="1" bestFit="1" customWidth="1"/>
    <col min="22" max="22" width="16.7109375" style="1" bestFit="1" customWidth="1"/>
    <col min="23" max="23" width="22.42578125" style="1" bestFit="1" customWidth="1"/>
    <col min="24" max="24" width="24.140625" style="1" bestFit="1" customWidth="1"/>
    <col min="25" max="25" width="24.28515625" style="1" bestFit="1" customWidth="1"/>
    <col min="26" max="26" width="30.5703125" style="1" bestFit="1" customWidth="1"/>
    <col min="27" max="16384" width="8.7109375" style="1"/>
  </cols>
  <sheetData>
    <row r="1" spans="1:26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spans="1:2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16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</row>
    <row r="4" spans="1:26" ht="26.25" x14ac:dyDescent="0.25">
      <c r="A4" s="3" t="s">
        <v>27</v>
      </c>
      <c r="B4" s="3" t="s">
        <v>28</v>
      </c>
      <c r="C4" s="3" t="s">
        <v>40</v>
      </c>
      <c r="D4" s="3" t="s">
        <v>41</v>
      </c>
      <c r="E4" s="3" t="s">
        <v>29</v>
      </c>
      <c r="F4" s="3" t="s">
        <v>29</v>
      </c>
      <c r="G4" s="3">
        <v>2017</v>
      </c>
      <c r="H4" s="3" t="str">
        <f>CONCATENATE("24270242944")</f>
        <v>24270242944</v>
      </c>
      <c r="I4" s="3" t="s">
        <v>30</v>
      </c>
      <c r="J4" s="3" t="s">
        <v>31</v>
      </c>
      <c r="K4" s="3" t="str">
        <f t="shared" ref="K4:K12" si="0">CONCATENATE("")</f>
        <v/>
      </c>
      <c r="L4" s="3" t="str">
        <f>CONCATENATE("7 7.6 6a")</f>
        <v>7 7.6 6a</v>
      </c>
      <c r="M4" s="3" t="str">
        <f>CONCATENATE("82000010411")</f>
        <v>82000010411</v>
      </c>
      <c r="N4" s="3" t="s">
        <v>42</v>
      </c>
      <c r="O4" s="3" t="s">
        <v>43</v>
      </c>
      <c r="P4" s="4">
        <v>45282</v>
      </c>
      <c r="Q4" s="3" t="s">
        <v>32</v>
      </c>
      <c r="R4" s="3" t="s">
        <v>38</v>
      </c>
      <c r="S4" s="3" t="s">
        <v>34</v>
      </c>
      <c r="T4" s="3"/>
      <c r="U4" s="3" t="s">
        <v>35</v>
      </c>
      <c r="V4" s="5">
        <v>90095.55</v>
      </c>
      <c r="W4" s="5">
        <v>38849.199999999997</v>
      </c>
      <c r="X4" s="5">
        <v>35876.050000000003</v>
      </c>
      <c r="Y4" s="3">
        <v>0</v>
      </c>
      <c r="Z4" s="5">
        <v>15370.3</v>
      </c>
    </row>
    <row r="5" spans="1:26" ht="34.5" x14ac:dyDescent="0.25">
      <c r="A5" s="3" t="s">
        <v>27</v>
      </c>
      <c r="B5" s="3" t="s">
        <v>28</v>
      </c>
      <c r="C5" s="3" t="s">
        <v>40</v>
      </c>
      <c r="D5" s="3" t="s">
        <v>46</v>
      </c>
      <c r="E5" s="3" t="s">
        <v>47</v>
      </c>
      <c r="F5" s="3" t="s">
        <v>48</v>
      </c>
      <c r="G5" s="3">
        <v>2017</v>
      </c>
      <c r="H5" s="3" t="str">
        <f>CONCATENATE("34270383531")</f>
        <v>34270383531</v>
      </c>
      <c r="I5" s="3" t="s">
        <v>49</v>
      </c>
      <c r="J5" s="3" t="s">
        <v>31</v>
      </c>
      <c r="K5" s="3" t="str">
        <f t="shared" si="0"/>
        <v/>
      </c>
      <c r="L5" s="3" t="str">
        <f>CONCATENATE("8 8.1 5e")</f>
        <v>8 8.1 5e</v>
      </c>
      <c r="M5" s="3" t="str">
        <f>CONCATENATE("RGRLGU50H06H390H")</f>
        <v>RGRLGU50H06H390H</v>
      </c>
      <c r="N5" s="3" t="s">
        <v>50</v>
      </c>
      <c r="O5" s="3" t="s">
        <v>51</v>
      </c>
      <c r="P5" s="4">
        <v>45259</v>
      </c>
      <c r="Q5" s="3" t="s">
        <v>32</v>
      </c>
      <c r="R5" s="3" t="s">
        <v>38</v>
      </c>
      <c r="S5" s="3" t="s">
        <v>34</v>
      </c>
      <c r="T5" s="3"/>
      <c r="U5" s="3" t="s">
        <v>35</v>
      </c>
      <c r="V5" s="5">
        <v>3443.38</v>
      </c>
      <c r="W5" s="5">
        <v>1484.79</v>
      </c>
      <c r="X5" s="5">
        <v>1371.15</v>
      </c>
      <c r="Y5" s="3">
        <v>0</v>
      </c>
      <c r="Z5" s="3">
        <v>587.44000000000005</v>
      </c>
    </row>
    <row r="6" spans="1:26" ht="26.25" x14ac:dyDescent="0.25">
      <c r="A6" s="3" t="s">
        <v>27</v>
      </c>
      <c r="B6" s="3" t="s">
        <v>28</v>
      </c>
      <c r="C6" s="3" t="s">
        <v>40</v>
      </c>
      <c r="D6" s="3" t="s">
        <v>41</v>
      </c>
      <c r="E6" s="3" t="s">
        <v>29</v>
      </c>
      <c r="F6" s="3" t="s">
        <v>29</v>
      </c>
      <c r="G6" s="3">
        <v>2017</v>
      </c>
      <c r="H6" s="3" t="str">
        <f>CONCATENATE("34270394231")</f>
        <v>34270394231</v>
      </c>
      <c r="I6" s="3" t="s">
        <v>30</v>
      </c>
      <c r="J6" s="3" t="s">
        <v>31</v>
      </c>
      <c r="K6" s="3" t="str">
        <f t="shared" si="0"/>
        <v/>
      </c>
      <c r="L6" s="3" t="str">
        <f>CONCATENATE("16 16.1 2a")</f>
        <v>16 16.1 2a</v>
      </c>
      <c r="M6" s="3" t="str">
        <f>CONCATENATE("02074120417")</f>
        <v>02074120417</v>
      </c>
      <c r="N6" s="3" t="s">
        <v>52</v>
      </c>
      <c r="O6" s="3" t="s">
        <v>53</v>
      </c>
      <c r="P6" s="4">
        <v>45267</v>
      </c>
      <c r="Q6" s="3" t="s">
        <v>32</v>
      </c>
      <c r="R6" s="3" t="s">
        <v>45</v>
      </c>
      <c r="S6" s="3" t="s">
        <v>34</v>
      </c>
      <c r="T6" s="3"/>
      <c r="U6" s="3" t="s">
        <v>35</v>
      </c>
      <c r="V6" s="5">
        <v>86522.58</v>
      </c>
      <c r="W6" s="5">
        <v>37308.54</v>
      </c>
      <c r="X6" s="5">
        <v>34453.29</v>
      </c>
      <c r="Y6" s="3">
        <v>0</v>
      </c>
      <c r="Z6" s="5">
        <v>14760.75</v>
      </c>
    </row>
    <row r="7" spans="1:26" ht="26.25" x14ac:dyDescent="0.25">
      <c r="A7" s="3" t="s">
        <v>27</v>
      </c>
      <c r="B7" s="3" t="s">
        <v>28</v>
      </c>
      <c r="C7" s="3" t="s">
        <v>40</v>
      </c>
      <c r="D7" s="3" t="s">
        <v>46</v>
      </c>
      <c r="E7" s="3" t="s">
        <v>29</v>
      </c>
      <c r="F7" s="3" t="s">
        <v>29</v>
      </c>
      <c r="G7" s="3">
        <v>2017</v>
      </c>
      <c r="H7" s="3" t="str">
        <f>CONCATENATE("34270416737")</f>
        <v>34270416737</v>
      </c>
      <c r="I7" s="3" t="s">
        <v>30</v>
      </c>
      <c r="J7" s="3" t="s">
        <v>31</v>
      </c>
      <c r="K7" s="3" t="str">
        <f t="shared" si="0"/>
        <v/>
      </c>
      <c r="L7" s="3" t="str">
        <f>CONCATENATE("4 4.3 2a")</f>
        <v>4 4.3 2a</v>
      </c>
      <c r="M7" s="3" t="str">
        <f>CONCATENATE("80011500446")</f>
        <v>80011500446</v>
      </c>
      <c r="N7" s="3" t="s">
        <v>56</v>
      </c>
      <c r="O7" s="3" t="s">
        <v>57</v>
      </c>
      <c r="P7" s="4">
        <v>45282</v>
      </c>
      <c r="Q7" s="3" t="s">
        <v>32</v>
      </c>
      <c r="R7" s="3" t="s">
        <v>38</v>
      </c>
      <c r="S7" s="3" t="s">
        <v>34</v>
      </c>
      <c r="T7" s="3"/>
      <c r="U7" s="3" t="s">
        <v>35</v>
      </c>
      <c r="V7" s="5">
        <v>36007.21</v>
      </c>
      <c r="W7" s="5">
        <v>15526.31</v>
      </c>
      <c r="X7" s="5">
        <v>14338.07</v>
      </c>
      <c r="Y7" s="3">
        <v>0</v>
      </c>
      <c r="Z7" s="5">
        <v>6142.83</v>
      </c>
    </row>
    <row r="8" spans="1:26" ht="26.25" x14ac:dyDescent="0.25">
      <c r="A8" s="3" t="s">
        <v>27</v>
      </c>
      <c r="B8" s="3" t="s">
        <v>28</v>
      </c>
      <c r="C8" s="3" t="s">
        <v>40</v>
      </c>
      <c r="D8" s="3" t="s">
        <v>46</v>
      </c>
      <c r="E8" s="3" t="s">
        <v>29</v>
      </c>
      <c r="F8" s="3" t="s">
        <v>29</v>
      </c>
      <c r="G8" s="3">
        <v>2017</v>
      </c>
      <c r="H8" s="3" t="str">
        <f>CONCATENATE("34270416745")</f>
        <v>34270416745</v>
      </c>
      <c r="I8" s="3" t="s">
        <v>30</v>
      </c>
      <c r="J8" s="3" t="s">
        <v>31</v>
      </c>
      <c r="K8" s="3" t="str">
        <f t="shared" si="0"/>
        <v/>
      </c>
      <c r="L8" s="3" t="str">
        <f>CONCATENATE("4 4.3 2a")</f>
        <v>4 4.3 2a</v>
      </c>
      <c r="M8" s="3" t="str">
        <f>CONCATENATE("80011500446")</f>
        <v>80011500446</v>
      </c>
      <c r="N8" s="3" t="s">
        <v>56</v>
      </c>
      <c r="O8" s="3" t="s">
        <v>57</v>
      </c>
      <c r="P8" s="4">
        <v>45282</v>
      </c>
      <c r="Q8" s="3" t="s">
        <v>32</v>
      </c>
      <c r="R8" s="3" t="s">
        <v>38</v>
      </c>
      <c r="S8" s="3" t="s">
        <v>34</v>
      </c>
      <c r="T8" s="3"/>
      <c r="U8" s="3" t="s">
        <v>35</v>
      </c>
      <c r="V8" s="5">
        <v>59620.28</v>
      </c>
      <c r="W8" s="5">
        <v>25708.26</v>
      </c>
      <c r="X8" s="5">
        <v>23740.799999999999</v>
      </c>
      <c r="Y8" s="3">
        <v>0</v>
      </c>
      <c r="Z8" s="5">
        <v>10171.219999999999</v>
      </c>
    </row>
    <row r="9" spans="1:26" ht="26.25" x14ac:dyDescent="0.25">
      <c r="A9" s="3" t="s">
        <v>27</v>
      </c>
      <c r="B9" s="3" t="s">
        <v>28</v>
      </c>
      <c r="C9" s="3" t="s">
        <v>40</v>
      </c>
      <c r="D9" s="3" t="s">
        <v>46</v>
      </c>
      <c r="E9" s="3" t="s">
        <v>29</v>
      </c>
      <c r="F9" s="3" t="s">
        <v>29</v>
      </c>
      <c r="G9" s="3">
        <v>2017</v>
      </c>
      <c r="H9" s="3" t="str">
        <f>CONCATENATE("34270416752")</f>
        <v>34270416752</v>
      </c>
      <c r="I9" s="3" t="s">
        <v>30</v>
      </c>
      <c r="J9" s="3" t="s">
        <v>31</v>
      </c>
      <c r="K9" s="3" t="str">
        <f t="shared" si="0"/>
        <v/>
      </c>
      <c r="L9" s="3" t="str">
        <f>CONCATENATE("4 4.3 2a")</f>
        <v>4 4.3 2a</v>
      </c>
      <c r="M9" s="3" t="str">
        <f>CONCATENATE("80011500446")</f>
        <v>80011500446</v>
      </c>
      <c r="N9" s="3" t="s">
        <v>56</v>
      </c>
      <c r="O9" s="3" t="s">
        <v>57</v>
      </c>
      <c r="P9" s="4">
        <v>45282</v>
      </c>
      <c r="Q9" s="3" t="s">
        <v>32</v>
      </c>
      <c r="R9" s="3" t="s">
        <v>38</v>
      </c>
      <c r="S9" s="3" t="s">
        <v>34</v>
      </c>
      <c r="T9" s="3"/>
      <c r="U9" s="3" t="s">
        <v>35</v>
      </c>
      <c r="V9" s="5">
        <v>33734.68</v>
      </c>
      <c r="W9" s="5">
        <v>14546.39</v>
      </c>
      <c r="X9" s="5">
        <v>13433.15</v>
      </c>
      <c r="Y9" s="3">
        <v>0</v>
      </c>
      <c r="Z9" s="5">
        <v>5755.14</v>
      </c>
    </row>
    <row r="10" spans="1:26" ht="26.25" x14ac:dyDescent="0.25">
      <c r="A10" s="3" t="s">
        <v>27</v>
      </c>
      <c r="B10" s="3" t="s">
        <v>28</v>
      </c>
      <c r="C10" s="3" t="s">
        <v>40</v>
      </c>
      <c r="D10" s="3" t="s">
        <v>46</v>
      </c>
      <c r="E10" s="3" t="s">
        <v>29</v>
      </c>
      <c r="F10" s="3" t="s">
        <v>29</v>
      </c>
      <c r="G10" s="3">
        <v>2017</v>
      </c>
      <c r="H10" s="3" t="str">
        <f>CONCATENATE("34270416729")</f>
        <v>34270416729</v>
      </c>
      <c r="I10" s="3" t="s">
        <v>30</v>
      </c>
      <c r="J10" s="3" t="s">
        <v>31</v>
      </c>
      <c r="K10" s="3" t="str">
        <f t="shared" si="0"/>
        <v/>
      </c>
      <c r="L10" s="3" t="str">
        <f>CONCATENATE("4 4.3 2a")</f>
        <v>4 4.3 2a</v>
      </c>
      <c r="M10" s="3" t="str">
        <f>CONCATENATE("92000510443")</f>
        <v>92000510443</v>
      </c>
      <c r="N10" s="3" t="s">
        <v>58</v>
      </c>
      <c r="O10" s="3" t="s">
        <v>57</v>
      </c>
      <c r="P10" s="4">
        <v>45282</v>
      </c>
      <c r="Q10" s="3" t="s">
        <v>32</v>
      </c>
      <c r="R10" s="3" t="s">
        <v>38</v>
      </c>
      <c r="S10" s="3" t="s">
        <v>34</v>
      </c>
      <c r="T10" s="3"/>
      <c r="U10" s="3" t="s">
        <v>35</v>
      </c>
      <c r="V10" s="5">
        <v>373286.7</v>
      </c>
      <c r="W10" s="5">
        <v>160961.23000000001</v>
      </c>
      <c r="X10" s="5">
        <v>148642.76</v>
      </c>
      <c r="Y10" s="3">
        <v>0</v>
      </c>
      <c r="Z10" s="5">
        <v>63682.71</v>
      </c>
    </row>
    <row r="11" spans="1:26" ht="26.25" x14ac:dyDescent="0.25">
      <c r="A11" s="3" t="s">
        <v>27</v>
      </c>
      <c r="B11" s="3" t="s">
        <v>28</v>
      </c>
      <c r="C11" s="3" t="s">
        <v>40</v>
      </c>
      <c r="D11" s="3" t="s">
        <v>46</v>
      </c>
      <c r="E11" s="3" t="s">
        <v>29</v>
      </c>
      <c r="F11" s="3" t="s">
        <v>29</v>
      </c>
      <c r="G11" s="3">
        <v>2017</v>
      </c>
      <c r="H11" s="3" t="str">
        <f>CONCATENATE("34270416711")</f>
        <v>34270416711</v>
      </c>
      <c r="I11" s="3" t="s">
        <v>30</v>
      </c>
      <c r="J11" s="3" t="s">
        <v>31</v>
      </c>
      <c r="K11" s="3" t="str">
        <f t="shared" si="0"/>
        <v/>
      </c>
      <c r="L11" s="3" t="str">
        <f>CONCATENATE("4 4.3 2a")</f>
        <v>4 4.3 2a</v>
      </c>
      <c r="M11" s="3" t="str">
        <f>CONCATENATE("92000510443")</f>
        <v>92000510443</v>
      </c>
      <c r="N11" s="3" t="s">
        <v>58</v>
      </c>
      <c r="O11" s="3" t="s">
        <v>57</v>
      </c>
      <c r="P11" s="4">
        <v>45282</v>
      </c>
      <c r="Q11" s="3" t="s">
        <v>32</v>
      </c>
      <c r="R11" s="3" t="s">
        <v>38</v>
      </c>
      <c r="S11" s="3" t="s">
        <v>34</v>
      </c>
      <c r="T11" s="3"/>
      <c r="U11" s="3" t="s">
        <v>35</v>
      </c>
      <c r="V11" s="5">
        <v>11528.04</v>
      </c>
      <c r="W11" s="5">
        <v>4970.8900000000003</v>
      </c>
      <c r="X11" s="5">
        <v>4590.47</v>
      </c>
      <c r="Y11" s="3">
        <v>0</v>
      </c>
      <c r="Z11" s="5">
        <v>1966.68</v>
      </c>
    </row>
    <row r="12" spans="1:26" ht="26.25" x14ac:dyDescent="0.25">
      <c r="A12" s="3" t="s">
        <v>27</v>
      </c>
      <c r="B12" s="3" t="s">
        <v>28</v>
      </c>
      <c r="C12" s="3" t="s">
        <v>40</v>
      </c>
      <c r="D12" s="3" t="s">
        <v>41</v>
      </c>
      <c r="E12" s="3" t="s">
        <v>29</v>
      </c>
      <c r="F12" s="3" t="s">
        <v>29</v>
      </c>
      <c r="G12" s="3">
        <v>2017</v>
      </c>
      <c r="H12" s="3" t="str">
        <f>CONCATENATE("34270418444")</f>
        <v>34270418444</v>
      </c>
      <c r="I12" s="3" t="s">
        <v>30</v>
      </c>
      <c r="J12" s="3" t="s">
        <v>31</v>
      </c>
      <c r="K12" s="3" t="str">
        <f t="shared" si="0"/>
        <v/>
      </c>
      <c r="L12" s="3" t="str">
        <f>CONCATENATE("7 7.6 6a")</f>
        <v>7 7.6 6a</v>
      </c>
      <c r="M12" s="3" t="str">
        <f>CONCATENATE("00158390419")</f>
        <v>00158390419</v>
      </c>
      <c r="N12" s="3" t="s">
        <v>61</v>
      </c>
      <c r="O12" s="3" t="s">
        <v>43</v>
      </c>
      <c r="P12" s="4">
        <v>45282</v>
      </c>
      <c r="Q12" s="3" t="s">
        <v>32</v>
      </c>
      <c r="R12" s="3" t="s">
        <v>38</v>
      </c>
      <c r="S12" s="3" t="s">
        <v>34</v>
      </c>
      <c r="T12" s="3"/>
      <c r="U12" s="3" t="s">
        <v>35</v>
      </c>
      <c r="V12" s="5">
        <v>136972.01</v>
      </c>
      <c r="W12" s="5">
        <v>59062.33</v>
      </c>
      <c r="X12" s="5">
        <v>54542.25</v>
      </c>
      <c r="Y12" s="3">
        <v>0</v>
      </c>
      <c r="Z12" s="5">
        <v>23367.43</v>
      </c>
    </row>
    <row r="13" spans="1:26" ht="26.25" x14ac:dyDescent="0.25">
      <c r="A13" s="3" t="s">
        <v>27</v>
      </c>
      <c r="B13" s="3" t="s">
        <v>28</v>
      </c>
      <c r="C13" s="3" t="s">
        <v>40</v>
      </c>
      <c r="D13" s="3" t="s">
        <v>40</v>
      </c>
      <c r="E13" s="3" t="s">
        <v>29</v>
      </c>
      <c r="F13" s="3" t="s">
        <v>29</v>
      </c>
      <c r="G13" s="3">
        <v>2017</v>
      </c>
      <c r="H13" s="3" t="str">
        <f>CONCATENATE("34270416265")</f>
        <v>34270416265</v>
      </c>
      <c r="I13" s="3" t="s">
        <v>30</v>
      </c>
      <c r="J13" s="3" t="s">
        <v>31</v>
      </c>
      <c r="K13" s="3" t="str">
        <f t="shared" ref="K13:K18" si="1">CONCATENATE("")</f>
        <v/>
      </c>
      <c r="L13" s="3" t="str">
        <f>CONCATENATE("19 19.2 6b")</f>
        <v>19 19.2 6b</v>
      </c>
      <c r="M13" s="3" t="str">
        <f>CONCATENATE("00360620413")</f>
        <v>00360620413</v>
      </c>
      <c r="N13" s="3" t="s">
        <v>62</v>
      </c>
      <c r="O13" s="3" t="s">
        <v>63</v>
      </c>
      <c r="P13" s="4">
        <v>45282</v>
      </c>
      <c r="Q13" s="3" t="s">
        <v>32</v>
      </c>
      <c r="R13" s="3" t="s">
        <v>38</v>
      </c>
      <c r="S13" s="3" t="s">
        <v>34</v>
      </c>
      <c r="T13" s="3"/>
      <c r="U13" s="3" t="s">
        <v>35</v>
      </c>
      <c r="V13" s="5">
        <v>19168.43</v>
      </c>
      <c r="W13" s="5">
        <v>8265.43</v>
      </c>
      <c r="X13" s="5">
        <v>7632.87</v>
      </c>
      <c r="Y13" s="3">
        <v>0</v>
      </c>
      <c r="Z13" s="5">
        <v>3270.13</v>
      </c>
    </row>
    <row r="14" spans="1:26" ht="26.25" x14ac:dyDescent="0.25">
      <c r="A14" s="3" t="s">
        <v>27</v>
      </c>
      <c r="B14" s="3" t="s">
        <v>28</v>
      </c>
      <c r="C14" s="3" t="s">
        <v>40</v>
      </c>
      <c r="D14" s="3" t="s">
        <v>40</v>
      </c>
      <c r="E14" s="3" t="s">
        <v>29</v>
      </c>
      <c r="F14" s="3" t="s">
        <v>29</v>
      </c>
      <c r="G14" s="3">
        <v>2017</v>
      </c>
      <c r="H14" s="3" t="str">
        <f>CONCATENATE("34270418683")</f>
        <v>34270418683</v>
      </c>
      <c r="I14" s="3" t="s">
        <v>30</v>
      </c>
      <c r="J14" s="3" t="s">
        <v>31</v>
      </c>
      <c r="K14" s="3" t="str">
        <f t="shared" si="1"/>
        <v/>
      </c>
      <c r="L14" s="3" t="str">
        <f>CONCATENATE("19 19.2 6b")</f>
        <v>19 19.2 6b</v>
      </c>
      <c r="M14" s="3" t="str">
        <f>CONCATENATE("00377760442")</f>
        <v>00377760442</v>
      </c>
      <c r="N14" s="3" t="s">
        <v>64</v>
      </c>
      <c r="O14" s="3" t="s">
        <v>65</v>
      </c>
      <c r="P14" s="4">
        <v>45282</v>
      </c>
      <c r="Q14" s="3" t="s">
        <v>32</v>
      </c>
      <c r="R14" s="3" t="s">
        <v>38</v>
      </c>
      <c r="S14" s="3" t="s">
        <v>34</v>
      </c>
      <c r="T14" s="3"/>
      <c r="U14" s="3" t="s">
        <v>35</v>
      </c>
      <c r="V14" s="5">
        <v>28507.58</v>
      </c>
      <c r="W14" s="5">
        <v>12292.47</v>
      </c>
      <c r="X14" s="5">
        <v>11351.72</v>
      </c>
      <c r="Y14" s="3">
        <v>0</v>
      </c>
      <c r="Z14" s="5">
        <v>4863.3900000000003</v>
      </c>
    </row>
    <row r="15" spans="1:26" ht="26.25" x14ac:dyDescent="0.25">
      <c r="A15" s="3" t="s">
        <v>27</v>
      </c>
      <c r="B15" s="3" t="s">
        <v>28</v>
      </c>
      <c r="C15" s="3" t="s">
        <v>40</v>
      </c>
      <c r="D15" s="3" t="s">
        <v>68</v>
      </c>
      <c r="E15" s="3" t="s">
        <v>29</v>
      </c>
      <c r="F15" s="3" t="s">
        <v>29</v>
      </c>
      <c r="G15" s="3">
        <v>2017</v>
      </c>
      <c r="H15" s="3" t="str">
        <f>CONCATENATE("34270421109")</f>
        <v>34270421109</v>
      </c>
      <c r="I15" s="3" t="s">
        <v>30</v>
      </c>
      <c r="J15" s="3" t="s">
        <v>31</v>
      </c>
      <c r="K15" s="3" t="str">
        <f t="shared" si="1"/>
        <v/>
      </c>
      <c r="L15" s="3" t="str">
        <f>CONCATENATE("3 3.2 3a")</f>
        <v>3 3.2 3a</v>
      </c>
      <c r="M15" s="3" t="str">
        <f>CONCATENATE("01584420424")</f>
        <v>01584420424</v>
      </c>
      <c r="N15" s="3" t="s">
        <v>69</v>
      </c>
      <c r="O15" s="3" t="s">
        <v>70</v>
      </c>
      <c r="P15" s="4">
        <v>45283</v>
      </c>
      <c r="Q15" s="3" t="s">
        <v>32</v>
      </c>
      <c r="R15" s="3" t="s">
        <v>38</v>
      </c>
      <c r="S15" s="3" t="s">
        <v>34</v>
      </c>
      <c r="T15" s="3"/>
      <c r="U15" s="3" t="s">
        <v>35</v>
      </c>
      <c r="V15" s="5">
        <v>859265.46</v>
      </c>
      <c r="W15" s="5">
        <v>370515.27</v>
      </c>
      <c r="X15" s="5">
        <v>342159.51</v>
      </c>
      <c r="Y15" s="3">
        <v>0</v>
      </c>
      <c r="Z15" s="5">
        <v>146590.68</v>
      </c>
    </row>
    <row r="16" spans="1:26" ht="34.5" x14ac:dyDescent="0.25">
      <c r="A16" s="3" t="s">
        <v>27</v>
      </c>
      <c r="B16" s="3" t="s">
        <v>28</v>
      </c>
      <c r="C16" s="3" t="s">
        <v>40</v>
      </c>
      <c r="D16" s="3" t="s">
        <v>46</v>
      </c>
      <c r="E16" s="3" t="s">
        <v>29</v>
      </c>
      <c r="F16" s="3" t="s">
        <v>29</v>
      </c>
      <c r="G16" s="3">
        <v>2017</v>
      </c>
      <c r="H16" s="3" t="str">
        <f>CONCATENATE("34270420671")</f>
        <v>34270420671</v>
      </c>
      <c r="I16" s="3" t="s">
        <v>30</v>
      </c>
      <c r="J16" s="3" t="s">
        <v>31</v>
      </c>
      <c r="K16" s="3" t="str">
        <f t="shared" si="1"/>
        <v/>
      </c>
      <c r="L16" s="3" t="str">
        <f>CONCATENATE("4 4.1 2a")</f>
        <v>4 4.1 2a</v>
      </c>
      <c r="M16" s="3" t="str">
        <f>CONCATENATE("GLNLSN91H27A462E")</f>
        <v>GLNLSN91H27A462E</v>
      </c>
      <c r="N16" s="3" t="s">
        <v>71</v>
      </c>
      <c r="O16" s="3" t="s">
        <v>72</v>
      </c>
      <c r="P16" s="4">
        <v>45283</v>
      </c>
      <c r="Q16" s="3" t="s">
        <v>32</v>
      </c>
      <c r="R16" s="3" t="s">
        <v>38</v>
      </c>
      <c r="S16" s="3" t="s">
        <v>34</v>
      </c>
      <c r="T16" s="3"/>
      <c r="U16" s="3" t="s">
        <v>35</v>
      </c>
      <c r="V16" s="5">
        <v>98751.1</v>
      </c>
      <c r="W16" s="5">
        <v>42581.47</v>
      </c>
      <c r="X16" s="5">
        <v>39322.69</v>
      </c>
      <c r="Y16" s="3">
        <v>0</v>
      </c>
      <c r="Z16" s="5">
        <v>16846.939999999999</v>
      </c>
    </row>
    <row r="17" spans="1:26" ht="26.25" x14ac:dyDescent="0.25">
      <c r="A17" s="3" t="s">
        <v>27</v>
      </c>
      <c r="B17" s="3" t="s">
        <v>28</v>
      </c>
      <c r="C17" s="3" t="s">
        <v>40</v>
      </c>
      <c r="D17" s="3" t="s">
        <v>40</v>
      </c>
      <c r="E17" s="3" t="s">
        <v>29</v>
      </c>
      <c r="F17" s="3" t="s">
        <v>29</v>
      </c>
      <c r="G17" s="3">
        <v>2017</v>
      </c>
      <c r="H17" s="3" t="str">
        <f>CONCATENATE("34270417818")</f>
        <v>34270417818</v>
      </c>
      <c r="I17" s="3" t="s">
        <v>30</v>
      </c>
      <c r="J17" s="3" t="s">
        <v>31</v>
      </c>
      <c r="K17" s="3" t="str">
        <f t="shared" si="1"/>
        <v/>
      </c>
      <c r="L17" s="3" t="str">
        <f>CONCATENATE("19 19.2 6b")</f>
        <v>19 19.2 6b</v>
      </c>
      <c r="M17" s="3" t="str">
        <f>CONCATENATE("81001790419")</f>
        <v>81001790419</v>
      </c>
      <c r="N17" s="3" t="s">
        <v>73</v>
      </c>
      <c r="O17" s="3" t="s">
        <v>74</v>
      </c>
      <c r="P17" s="4">
        <v>45282</v>
      </c>
      <c r="Q17" s="3" t="s">
        <v>32</v>
      </c>
      <c r="R17" s="3" t="s">
        <v>33</v>
      </c>
      <c r="S17" s="3" t="s">
        <v>34</v>
      </c>
      <c r="T17" s="3"/>
      <c r="U17" s="3" t="s">
        <v>35</v>
      </c>
      <c r="V17" s="5">
        <v>35542.79</v>
      </c>
      <c r="W17" s="5">
        <v>15326.05</v>
      </c>
      <c r="X17" s="5">
        <v>14153.14</v>
      </c>
      <c r="Y17" s="3">
        <v>0</v>
      </c>
      <c r="Z17" s="5">
        <v>6063.6</v>
      </c>
    </row>
    <row r="18" spans="1:26" ht="34.5" x14ac:dyDescent="0.25">
      <c r="A18" s="3" t="s">
        <v>27</v>
      </c>
      <c r="B18" s="3" t="s">
        <v>28</v>
      </c>
      <c r="C18" s="3" t="s">
        <v>40</v>
      </c>
      <c r="D18" s="3" t="s">
        <v>46</v>
      </c>
      <c r="E18" s="3" t="s">
        <v>29</v>
      </c>
      <c r="F18" s="3" t="s">
        <v>29</v>
      </c>
      <c r="G18" s="3">
        <v>2017</v>
      </c>
      <c r="H18" s="3" t="str">
        <f>CONCATENATE("34270420663")</f>
        <v>34270420663</v>
      </c>
      <c r="I18" s="3" t="s">
        <v>30</v>
      </c>
      <c r="J18" s="3" t="s">
        <v>31</v>
      </c>
      <c r="K18" s="3" t="str">
        <f t="shared" si="1"/>
        <v/>
      </c>
      <c r="L18" s="3" t="str">
        <f>CONCATENATE("6 6.1 2b")</f>
        <v>6 6.1 2b</v>
      </c>
      <c r="M18" s="3" t="str">
        <f>CONCATENATE("GLNLSN91H27A462E")</f>
        <v>GLNLSN91H27A462E</v>
      </c>
      <c r="N18" s="3" t="s">
        <v>71</v>
      </c>
      <c r="O18" s="3" t="s">
        <v>75</v>
      </c>
      <c r="P18" s="4">
        <v>45283</v>
      </c>
      <c r="Q18" s="3" t="s">
        <v>32</v>
      </c>
      <c r="R18" s="3" t="s">
        <v>38</v>
      </c>
      <c r="S18" s="3" t="s">
        <v>34</v>
      </c>
      <c r="T18" s="3"/>
      <c r="U18" s="3" t="s">
        <v>35</v>
      </c>
      <c r="V18" s="5">
        <v>18000</v>
      </c>
      <c r="W18" s="5">
        <v>7761.6</v>
      </c>
      <c r="X18" s="5">
        <v>7167.6</v>
      </c>
      <c r="Y18" s="3">
        <v>0</v>
      </c>
      <c r="Z18" s="5">
        <v>3070.8</v>
      </c>
    </row>
    <row r="19" spans="1:26" ht="26.25" x14ac:dyDescent="0.25">
      <c r="A19" s="3" t="s">
        <v>27</v>
      </c>
      <c r="B19" s="3" t="s">
        <v>28</v>
      </c>
      <c r="C19" s="3" t="s">
        <v>40</v>
      </c>
      <c r="D19" s="3" t="s">
        <v>76</v>
      </c>
      <c r="E19" s="3" t="s">
        <v>39</v>
      </c>
      <c r="F19" s="3" t="s">
        <v>77</v>
      </c>
      <c r="G19" s="3">
        <v>2017</v>
      </c>
      <c r="H19" s="3" t="str">
        <f>CONCATENATE("34270416224")</f>
        <v>34270416224</v>
      </c>
      <c r="I19" s="3" t="s">
        <v>30</v>
      </c>
      <c r="J19" s="3" t="s">
        <v>31</v>
      </c>
      <c r="K19" s="3" t="str">
        <f t="shared" ref="K19:K26" si="2">CONCATENATE("")</f>
        <v/>
      </c>
      <c r="L19" s="3" t="str">
        <f>CONCATENATE("7 7.6 4a")</f>
        <v>7 7.6 4a</v>
      </c>
      <c r="M19" s="3" t="str">
        <f>CONCATENATE("80001250432")</f>
        <v>80001250432</v>
      </c>
      <c r="N19" s="3" t="s">
        <v>78</v>
      </c>
      <c r="O19" s="3" t="s">
        <v>79</v>
      </c>
      <c r="P19" s="4">
        <v>45282</v>
      </c>
      <c r="Q19" s="3" t="s">
        <v>32</v>
      </c>
      <c r="R19" s="3" t="s">
        <v>38</v>
      </c>
      <c r="S19" s="3" t="s">
        <v>34</v>
      </c>
      <c r="T19" s="3"/>
      <c r="U19" s="3" t="s">
        <v>35</v>
      </c>
      <c r="V19" s="5">
        <v>19086.900000000001</v>
      </c>
      <c r="W19" s="5">
        <v>8230.27</v>
      </c>
      <c r="X19" s="5">
        <v>7600.4</v>
      </c>
      <c r="Y19" s="3">
        <v>0</v>
      </c>
      <c r="Z19" s="5">
        <v>3256.23</v>
      </c>
    </row>
    <row r="20" spans="1:26" ht="26.25" x14ac:dyDescent="0.25">
      <c r="A20" s="3" t="s">
        <v>27</v>
      </c>
      <c r="B20" s="3" t="s">
        <v>28</v>
      </c>
      <c r="C20" s="3" t="s">
        <v>40</v>
      </c>
      <c r="D20" s="3" t="s">
        <v>68</v>
      </c>
      <c r="E20" s="3" t="s">
        <v>29</v>
      </c>
      <c r="F20" s="3" t="s">
        <v>29</v>
      </c>
      <c r="G20" s="3">
        <v>2017</v>
      </c>
      <c r="H20" s="3" t="str">
        <f>CONCATENATE("34270420473")</f>
        <v>34270420473</v>
      </c>
      <c r="I20" s="3" t="s">
        <v>30</v>
      </c>
      <c r="J20" s="3" t="s">
        <v>31</v>
      </c>
      <c r="K20" s="3" t="str">
        <f t="shared" si="2"/>
        <v/>
      </c>
      <c r="L20" s="3" t="str">
        <f>CONCATENATE("1 1.1 2a")</f>
        <v>1 1.1 2a</v>
      </c>
      <c r="M20" s="3" t="str">
        <f>CONCATENATE("02051370423")</f>
        <v>02051370423</v>
      </c>
      <c r="N20" s="3" t="s">
        <v>80</v>
      </c>
      <c r="O20" s="3" t="s">
        <v>81</v>
      </c>
      <c r="P20" s="4">
        <v>45282</v>
      </c>
      <c r="Q20" s="3" t="s">
        <v>32</v>
      </c>
      <c r="R20" s="3" t="s">
        <v>38</v>
      </c>
      <c r="S20" s="3" t="s">
        <v>34</v>
      </c>
      <c r="T20" s="3"/>
      <c r="U20" s="3" t="s">
        <v>35</v>
      </c>
      <c r="V20" s="5">
        <v>1760</v>
      </c>
      <c r="W20" s="3">
        <v>758.91</v>
      </c>
      <c r="X20" s="3">
        <v>700.83</v>
      </c>
      <c r="Y20" s="3">
        <v>0</v>
      </c>
      <c r="Z20" s="3">
        <v>300.26</v>
      </c>
    </row>
    <row r="21" spans="1:26" ht="26.25" x14ac:dyDescent="0.25">
      <c r="A21" s="3" t="s">
        <v>27</v>
      </c>
      <c r="B21" s="3" t="s">
        <v>28</v>
      </c>
      <c r="C21" s="3" t="s">
        <v>40</v>
      </c>
      <c r="D21" s="3" t="s">
        <v>68</v>
      </c>
      <c r="E21" s="3" t="s">
        <v>29</v>
      </c>
      <c r="F21" s="3" t="s">
        <v>29</v>
      </c>
      <c r="G21" s="3">
        <v>2017</v>
      </c>
      <c r="H21" s="3" t="str">
        <f>CONCATENATE("34270420481")</f>
        <v>34270420481</v>
      </c>
      <c r="I21" s="3" t="s">
        <v>30</v>
      </c>
      <c r="J21" s="3" t="s">
        <v>31</v>
      </c>
      <c r="K21" s="3" t="str">
        <f t="shared" si="2"/>
        <v/>
      </c>
      <c r="L21" s="3" t="str">
        <f>CONCATENATE("1 1.1 2a")</f>
        <v>1 1.1 2a</v>
      </c>
      <c r="M21" s="3" t="str">
        <f>CONCATENATE("02051370423")</f>
        <v>02051370423</v>
      </c>
      <c r="N21" s="3" t="s">
        <v>80</v>
      </c>
      <c r="O21" s="3" t="s">
        <v>81</v>
      </c>
      <c r="P21" s="4">
        <v>45282</v>
      </c>
      <c r="Q21" s="3" t="s">
        <v>32</v>
      </c>
      <c r="R21" s="3" t="s">
        <v>38</v>
      </c>
      <c r="S21" s="3" t="s">
        <v>34</v>
      </c>
      <c r="T21" s="3"/>
      <c r="U21" s="3" t="s">
        <v>35</v>
      </c>
      <c r="V21" s="3">
        <v>440</v>
      </c>
      <c r="W21" s="3">
        <v>189.73</v>
      </c>
      <c r="X21" s="3">
        <v>175.21</v>
      </c>
      <c r="Y21" s="3">
        <v>0</v>
      </c>
      <c r="Z21" s="3">
        <v>75.06</v>
      </c>
    </row>
    <row r="22" spans="1:26" ht="26.25" x14ac:dyDescent="0.25">
      <c r="A22" s="3" t="s">
        <v>27</v>
      </c>
      <c r="B22" s="3" t="s">
        <v>28</v>
      </c>
      <c r="C22" s="3" t="s">
        <v>40</v>
      </c>
      <c r="D22" s="3" t="s">
        <v>41</v>
      </c>
      <c r="E22" s="3" t="s">
        <v>67</v>
      </c>
      <c r="F22" s="3" t="s">
        <v>82</v>
      </c>
      <c r="G22" s="3">
        <v>2017</v>
      </c>
      <c r="H22" s="3" t="str">
        <f>CONCATENATE("34270418741")</f>
        <v>34270418741</v>
      </c>
      <c r="I22" s="3" t="s">
        <v>30</v>
      </c>
      <c r="J22" s="3" t="s">
        <v>31</v>
      </c>
      <c r="K22" s="3" t="str">
        <f t="shared" si="2"/>
        <v/>
      </c>
      <c r="L22" s="3" t="str">
        <f>CONCATENATE("6 6.1 2b")</f>
        <v>6 6.1 2b</v>
      </c>
      <c r="M22" s="3" t="str">
        <f>CONCATENATE("02761650411")</f>
        <v>02761650411</v>
      </c>
      <c r="N22" s="3" t="s">
        <v>83</v>
      </c>
      <c r="O22" s="3" t="s">
        <v>84</v>
      </c>
      <c r="P22" s="4">
        <v>45282</v>
      </c>
      <c r="Q22" s="3" t="s">
        <v>32</v>
      </c>
      <c r="R22" s="3" t="s">
        <v>38</v>
      </c>
      <c r="S22" s="3" t="s">
        <v>34</v>
      </c>
      <c r="T22" s="3"/>
      <c r="U22" s="3" t="s">
        <v>35</v>
      </c>
      <c r="V22" s="5">
        <v>15000</v>
      </c>
      <c r="W22" s="5">
        <v>6468</v>
      </c>
      <c r="X22" s="5">
        <v>5973</v>
      </c>
      <c r="Y22" s="3">
        <v>0</v>
      </c>
      <c r="Z22" s="5">
        <v>2559</v>
      </c>
    </row>
    <row r="23" spans="1:26" ht="26.25" x14ac:dyDescent="0.25">
      <c r="A23" s="3" t="s">
        <v>27</v>
      </c>
      <c r="B23" s="3" t="s">
        <v>28</v>
      </c>
      <c r="C23" s="3" t="s">
        <v>40</v>
      </c>
      <c r="D23" s="3" t="s">
        <v>68</v>
      </c>
      <c r="E23" s="3" t="s">
        <v>29</v>
      </c>
      <c r="F23" s="3" t="s">
        <v>29</v>
      </c>
      <c r="G23" s="3">
        <v>2017</v>
      </c>
      <c r="H23" s="3" t="str">
        <f>CONCATENATE("34270420689")</f>
        <v>34270420689</v>
      </c>
      <c r="I23" s="3" t="s">
        <v>30</v>
      </c>
      <c r="J23" s="3" t="s">
        <v>31</v>
      </c>
      <c r="K23" s="3" t="str">
        <f t="shared" si="2"/>
        <v/>
      </c>
      <c r="L23" s="3" t="str">
        <f>CONCATENATE("7 7.6 4a")</f>
        <v>7 7.6 4a</v>
      </c>
      <c r="M23" s="3" t="str">
        <f>CONCATENATE("93027340426")</f>
        <v>93027340426</v>
      </c>
      <c r="N23" s="3" t="s">
        <v>85</v>
      </c>
      <c r="O23" s="3" t="s">
        <v>86</v>
      </c>
      <c r="P23" s="4">
        <v>45283</v>
      </c>
      <c r="Q23" s="3" t="s">
        <v>32</v>
      </c>
      <c r="R23" s="3" t="s">
        <v>38</v>
      </c>
      <c r="S23" s="3" t="s">
        <v>34</v>
      </c>
      <c r="T23" s="3"/>
      <c r="U23" s="3" t="s">
        <v>35</v>
      </c>
      <c r="V23" s="5">
        <v>29955.89</v>
      </c>
      <c r="W23" s="5">
        <v>12916.98</v>
      </c>
      <c r="X23" s="5">
        <v>11928.44</v>
      </c>
      <c r="Y23" s="3">
        <v>0</v>
      </c>
      <c r="Z23" s="5">
        <v>5110.47</v>
      </c>
    </row>
    <row r="24" spans="1:26" ht="26.25" x14ac:dyDescent="0.25">
      <c r="A24" s="3" t="s">
        <v>27</v>
      </c>
      <c r="B24" s="3" t="s">
        <v>28</v>
      </c>
      <c r="C24" s="3" t="s">
        <v>40</v>
      </c>
      <c r="D24" s="3" t="s">
        <v>41</v>
      </c>
      <c r="E24" s="3" t="s">
        <v>44</v>
      </c>
      <c r="F24" s="3" t="s">
        <v>87</v>
      </c>
      <c r="G24" s="3">
        <v>2017</v>
      </c>
      <c r="H24" s="3" t="str">
        <f>CONCATENATE("34270421240")</f>
        <v>34270421240</v>
      </c>
      <c r="I24" s="3" t="s">
        <v>49</v>
      </c>
      <c r="J24" s="3" t="s">
        <v>31</v>
      </c>
      <c r="K24" s="3" t="str">
        <f t="shared" si="2"/>
        <v/>
      </c>
      <c r="L24" s="3" t="str">
        <f>CONCATENATE("16 16.2 2a")</f>
        <v>16 16.2 2a</v>
      </c>
      <c r="M24" s="3" t="str">
        <f>CONCATENATE("01403850413")</f>
        <v>01403850413</v>
      </c>
      <c r="N24" s="3" t="s">
        <v>88</v>
      </c>
      <c r="O24" s="3" t="s">
        <v>89</v>
      </c>
      <c r="P24" s="4">
        <v>45283</v>
      </c>
      <c r="Q24" s="3" t="s">
        <v>32</v>
      </c>
      <c r="R24" s="3" t="s">
        <v>38</v>
      </c>
      <c r="S24" s="3" t="s">
        <v>34</v>
      </c>
      <c r="T24" s="3"/>
      <c r="U24" s="3" t="s">
        <v>35</v>
      </c>
      <c r="V24" s="5">
        <v>171535.85</v>
      </c>
      <c r="W24" s="5">
        <v>73966.259999999995</v>
      </c>
      <c r="X24" s="5">
        <v>68305.58</v>
      </c>
      <c r="Y24" s="3">
        <v>0</v>
      </c>
      <c r="Z24" s="5">
        <v>29264.01</v>
      </c>
    </row>
    <row r="25" spans="1:26" ht="26.25" x14ac:dyDescent="0.25">
      <c r="A25" s="3" t="s">
        <v>27</v>
      </c>
      <c r="B25" s="3" t="s">
        <v>28</v>
      </c>
      <c r="C25" s="3" t="s">
        <v>40</v>
      </c>
      <c r="D25" s="3" t="s">
        <v>76</v>
      </c>
      <c r="E25" s="3" t="s">
        <v>29</v>
      </c>
      <c r="F25" s="3" t="s">
        <v>29</v>
      </c>
      <c r="G25" s="3">
        <v>2017</v>
      </c>
      <c r="H25" s="3" t="str">
        <f>CONCATENATE("34270419236")</f>
        <v>34270419236</v>
      </c>
      <c r="I25" s="3" t="s">
        <v>30</v>
      </c>
      <c r="J25" s="3" t="s">
        <v>31</v>
      </c>
      <c r="K25" s="3" t="str">
        <f t="shared" si="2"/>
        <v/>
      </c>
      <c r="L25" s="3" t="str">
        <f>CONCATENATE("4 4.3 2a")</f>
        <v>4 4.3 2a</v>
      </c>
      <c r="M25" s="3" t="str">
        <f>CONCATENATE("00224000430")</f>
        <v>00224000430</v>
      </c>
      <c r="N25" s="3" t="s">
        <v>90</v>
      </c>
      <c r="O25" s="3" t="s">
        <v>91</v>
      </c>
      <c r="P25" s="4">
        <v>45283</v>
      </c>
      <c r="Q25" s="3" t="s">
        <v>32</v>
      </c>
      <c r="R25" s="3" t="s">
        <v>38</v>
      </c>
      <c r="S25" s="3" t="s">
        <v>34</v>
      </c>
      <c r="T25" s="3"/>
      <c r="U25" s="3" t="s">
        <v>35</v>
      </c>
      <c r="V25" s="5">
        <v>33792.28</v>
      </c>
      <c r="W25" s="5">
        <v>14571.23</v>
      </c>
      <c r="X25" s="5">
        <v>13456.09</v>
      </c>
      <c r="Y25" s="3">
        <v>0</v>
      </c>
      <c r="Z25" s="5">
        <v>5764.96</v>
      </c>
    </row>
    <row r="26" spans="1:26" ht="26.25" x14ac:dyDescent="0.25">
      <c r="A26" s="3" t="s">
        <v>27</v>
      </c>
      <c r="B26" s="3" t="s">
        <v>28</v>
      </c>
      <c r="C26" s="3" t="s">
        <v>40</v>
      </c>
      <c r="D26" s="3" t="s">
        <v>68</v>
      </c>
      <c r="E26" s="3" t="s">
        <v>39</v>
      </c>
      <c r="F26" s="3" t="s">
        <v>92</v>
      </c>
      <c r="G26" s="3">
        <v>2017</v>
      </c>
      <c r="H26" s="3" t="str">
        <f>CONCATENATE("34270419897")</f>
        <v>34270419897</v>
      </c>
      <c r="I26" s="3" t="s">
        <v>30</v>
      </c>
      <c r="J26" s="3" t="s">
        <v>31</v>
      </c>
      <c r="K26" s="3" t="str">
        <f t="shared" si="2"/>
        <v/>
      </c>
      <c r="L26" s="3" t="str">
        <f>CONCATENATE("6 6.1 2b")</f>
        <v>6 6.1 2b</v>
      </c>
      <c r="M26" s="3" t="str">
        <f>CONCATENATE("02901710422")</f>
        <v>02901710422</v>
      </c>
      <c r="N26" s="3" t="s">
        <v>93</v>
      </c>
      <c r="O26" s="3" t="s">
        <v>94</v>
      </c>
      <c r="P26" s="4">
        <v>45282</v>
      </c>
      <c r="Q26" s="3" t="s">
        <v>32</v>
      </c>
      <c r="R26" s="3" t="s">
        <v>38</v>
      </c>
      <c r="S26" s="3" t="s">
        <v>34</v>
      </c>
      <c r="T26" s="3"/>
      <c r="U26" s="3" t="s">
        <v>35</v>
      </c>
      <c r="V26" s="5">
        <v>15000</v>
      </c>
      <c r="W26" s="5">
        <v>6468</v>
      </c>
      <c r="X26" s="5">
        <v>5973</v>
      </c>
      <c r="Y26" s="3">
        <v>0</v>
      </c>
      <c r="Z26" s="5">
        <v>2559</v>
      </c>
    </row>
    <row r="27" spans="1:26" ht="34.5" x14ac:dyDescent="0.25">
      <c r="A27" s="3" t="s">
        <v>27</v>
      </c>
      <c r="B27" s="3" t="s">
        <v>28</v>
      </c>
      <c r="C27" s="3" t="s">
        <v>40</v>
      </c>
      <c r="D27" s="3" t="s">
        <v>40</v>
      </c>
      <c r="E27" s="3" t="s">
        <v>55</v>
      </c>
      <c r="F27" s="3" t="s">
        <v>95</v>
      </c>
      <c r="G27" s="3">
        <v>2017</v>
      </c>
      <c r="H27" s="3" t="str">
        <f>CONCATENATE("34270419202")</f>
        <v>34270419202</v>
      </c>
      <c r="I27" s="3" t="s">
        <v>30</v>
      </c>
      <c r="J27" s="3" t="s">
        <v>31</v>
      </c>
      <c r="K27" s="3" t="str">
        <f>CONCATENATE("")</f>
        <v/>
      </c>
      <c r="L27" s="3" t="str">
        <f>CONCATENATE("19 19.2 6b")</f>
        <v>19 19.2 6b</v>
      </c>
      <c r="M27" s="3" t="str">
        <f>CONCATENATE("VSPGNE89C55H769H")</f>
        <v>VSPGNE89C55H769H</v>
      </c>
      <c r="N27" s="3" t="s">
        <v>96</v>
      </c>
      <c r="O27" s="3" t="s">
        <v>97</v>
      </c>
      <c r="P27" s="4">
        <v>45282</v>
      </c>
      <c r="Q27" s="3" t="s">
        <v>32</v>
      </c>
      <c r="R27" s="3" t="s">
        <v>38</v>
      </c>
      <c r="S27" s="3" t="s">
        <v>34</v>
      </c>
      <c r="T27" s="3"/>
      <c r="U27" s="3" t="s">
        <v>35</v>
      </c>
      <c r="V27" s="5">
        <v>88000</v>
      </c>
      <c r="W27" s="5">
        <v>37945.599999999999</v>
      </c>
      <c r="X27" s="5">
        <v>35041.599999999999</v>
      </c>
      <c r="Y27" s="3">
        <v>0</v>
      </c>
      <c r="Z27" s="5">
        <v>15012.8</v>
      </c>
    </row>
    <row r="28" spans="1:26" ht="26.25" x14ac:dyDescent="0.25">
      <c r="A28" s="3" t="s">
        <v>27</v>
      </c>
      <c r="B28" s="3" t="s">
        <v>36</v>
      </c>
      <c r="C28" s="3" t="s">
        <v>40</v>
      </c>
      <c r="D28" s="3" t="s">
        <v>76</v>
      </c>
      <c r="E28" s="3" t="s">
        <v>44</v>
      </c>
      <c r="F28" s="3" t="s">
        <v>99</v>
      </c>
      <c r="G28" s="3">
        <v>2023</v>
      </c>
      <c r="H28" s="3" t="str">
        <f>CONCATENATE("34240370469")</f>
        <v>34240370469</v>
      </c>
      <c r="I28" s="3" t="s">
        <v>30</v>
      </c>
      <c r="J28" s="3" t="s">
        <v>31</v>
      </c>
      <c r="K28" s="3" t="str">
        <f t="shared" ref="K28:K33" si="3">CONCATENATE("")</f>
        <v/>
      </c>
      <c r="L28" s="3" t="str">
        <f t="shared" ref="L28:L33" si="4">CONCATENATE("11 11.2 4b")</f>
        <v>11 11.2 4b</v>
      </c>
      <c r="M28" s="3" t="str">
        <f>CONCATENATE("01915020430")</f>
        <v>01915020430</v>
      </c>
      <c r="N28" s="3" t="s">
        <v>100</v>
      </c>
      <c r="O28" s="3" t="s">
        <v>101</v>
      </c>
      <c r="P28" s="4">
        <v>45282</v>
      </c>
      <c r="Q28" s="3" t="s">
        <v>32</v>
      </c>
      <c r="R28" s="3" t="s">
        <v>38</v>
      </c>
      <c r="S28" s="3" t="s">
        <v>34</v>
      </c>
      <c r="T28" s="3"/>
      <c r="U28" s="3" t="s">
        <v>35</v>
      </c>
      <c r="V28" s="5">
        <v>1329.12</v>
      </c>
      <c r="W28" s="3">
        <v>573.12</v>
      </c>
      <c r="X28" s="3">
        <v>529.26</v>
      </c>
      <c r="Y28" s="3">
        <v>0</v>
      </c>
      <c r="Z28" s="3">
        <v>226.74</v>
      </c>
    </row>
    <row r="29" spans="1:26" ht="26.25" x14ac:dyDescent="0.25">
      <c r="A29" s="3" t="s">
        <v>27</v>
      </c>
      <c r="B29" s="3" t="s">
        <v>36</v>
      </c>
      <c r="C29" s="3" t="s">
        <v>40</v>
      </c>
      <c r="D29" s="3" t="s">
        <v>76</v>
      </c>
      <c r="E29" s="3" t="s">
        <v>44</v>
      </c>
      <c r="F29" s="3" t="s">
        <v>99</v>
      </c>
      <c r="G29" s="3">
        <v>2023</v>
      </c>
      <c r="H29" s="3" t="str">
        <f>CONCATENATE("34240370220")</f>
        <v>34240370220</v>
      </c>
      <c r="I29" s="3" t="s">
        <v>30</v>
      </c>
      <c r="J29" s="3" t="s">
        <v>31</v>
      </c>
      <c r="K29" s="3" t="str">
        <f t="shared" si="3"/>
        <v/>
      </c>
      <c r="L29" s="3" t="str">
        <f t="shared" si="4"/>
        <v>11 11.2 4b</v>
      </c>
      <c r="M29" s="3" t="str">
        <f>CONCATENATE("01915020430")</f>
        <v>01915020430</v>
      </c>
      <c r="N29" s="3" t="s">
        <v>100</v>
      </c>
      <c r="O29" s="3" t="s">
        <v>101</v>
      </c>
      <c r="P29" s="4">
        <v>45282</v>
      </c>
      <c r="Q29" s="3" t="s">
        <v>32</v>
      </c>
      <c r="R29" s="3" t="s">
        <v>38</v>
      </c>
      <c r="S29" s="3" t="s">
        <v>34</v>
      </c>
      <c r="T29" s="3"/>
      <c r="U29" s="3" t="s">
        <v>35</v>
      </c>
      <c r="V29" s="3">
        <v>624.86</v>
      </c>
      <c r="W29" s="3">
        <v>269.44</v>
      </c>
      <c r="X29" s="3">
        <v>248.82</v>
      </c>
      <c r="Y29" s="3">
        <v>0</v>
      </c>
      <c r="Z29" s="3">
        <v>106.6</v>
      </c>
    </row>
    <row r="30" spans="1:26" ht="42.75" x14ac:dyDescent="0.25">
      <c r="A30" s="3" t="s">
        <v>27</v>
      </c>
      <c r="B30" s="3" t="s">
        <v>36</v>
      </c>
      <c r="C30" s="3" t="s">
        <v>40</v>
      </c>
      <c r="D30" s="3" t="s">
        <v>76</v>
      </c>
      <c r="E30" s="3" t="s">
        <v>39</v>
      </c>
      <c r="F30" s="3" t="s">
        <v>102</v>
      </c>
      <c r="G30" s="3">
        <v>2023</v>
      </c>
      <c r="H30" s="3" t="str">
        <f>CONCATENATE("34240153477")</f>
        <v>34240153477</v>
      </c>
      <c r="I30" s="3" t="s">
        <v>30</v>
      </c>
      <c r="J30" s="3" t="s">
        <v>31</v>
      </c>
      <c r="K30" s="3" t="str">
        <f t="shared" si="3"/>
        <v/>
      </c>
      <c r="L30" s="3" t="str">
        <f t="shared" si="4"/>
        <v>11 11.2 4b</v>
      </c>
      <c r="M30" s="3" t="str">
        <f>CONCATENATE("CRSGLN81T22B474U")</f>
        <v>CRSGLN81T22B474U</v>
      </c>
      <c r="N30" s="3" t="s">
        <v>103</v>
      </c>
      <c r="O30" s="3" t="s">
        <v>101</v>
      </c>
      <c r="P30" s="4">
        <v>45282</v>
      </c>
      <c r="Q30" s="3" t="s">
        <v>32</v>
      </c>
      <c r="R30" s="3" t="s">
        <v>38</v>
      </c>
      <c r="S30" s="3" t="s">
        <v>34</v>
      </c>
      <c r="T30" s="3"/>
      <c r="U30" s="3" t="s">
        <v>35</v>
      </c>
      <c r="V30" s="3">
        <v>149.74</v>
      </c>
      <c r="W30" s="3">
        <v>64.569999999999993</v>
      </c>
      <c r="X30" s="3">
        <v>59.63</v>
      </c>
      <c r="Y30" s="3">
        <v>0</v>
      </c>
      <c r="Z30" s="3">
        <v>25.54</v>
      </c>
    </row>
    <row r="31" spans="1:26" ht="26.25" x14ac:dyDescent="0.25">
      <c r="A31" s="3" t="s">
        <v>27</v>
      </c>
      <c r="B31" s="3" t="s">
        <v>36</v>
      </c>
      <c r="C31" s="3" t="s">
        <v>40</v>
      </c>
      <c r="D31" s="3" t="s">
        <v>76</v>
      </c>
      <c r="E31" s="3" t="s">
        <v>37</v>
      </c>
      <c r="F31" s="3" t="s">
        <v>104</v>
      </c>
      <c r="G31" s="3">
        <v>2023</v>
      </c>
      <c r="H31" s="3" t="str">
        <f>CONCATENATE("34240399476")</f>
        <v>34240399476</v>
      </c>
      <c r="I31" s="3" t="s">
        <v>30</v>
      </c>
      <c r="J31" s="3" t="s">
        <v>31</v>
      </c>
      <c r="K31" s="3" t="str">
        <f t="shared" si="3"/>
        <v/>
      </c>
      <c r="L31" s="3" t="str">
        <f t="shared" si="4"/>
        <v>11 11.2 4b</v>
      </c>
      <c r="M31" s="3" t="str">
        <f>CONCATENATE("01072260431")</f>
        <v>01072260431</v>
      </c>
      <c r="N31" s="3" t="s">
        <v>105</v>
      </c>
      <c r="O31" s="3" t="s">
        <v>101</v>
      </c>
      <c r="P31" s="4">
        <v>45282</v>
      </c>
      <c r="Q31" s="3" t="s">
        <v>32</v>
      </c>
      <c r="R31" s="3" t="s">
        <v>38</v>
      </c>
      <c r="S31" s="3" t="s">
        <v>34</v>
      </c>
      <c r="T31" s="3"/>
      <c r="U31" s="3" t="s">
        <v>35</v>
      </c>
      <c r="V31" s="5">
        <v>10503.01</v>
      </c>
      <c r="W31" s="5">
        <v>4528.8999999999996</v>
      </c>
      <c r="X31" s="5">
        <v>4182.3</v>
      </c>
      <c r="Y31" s="3">
        <v>0</v>
      </c>
      <c r="Z31" s="5">
        <v>1791.81</v>
      </c>
    </row>
    <row r="32" spans="1:26" ht="34.5" x14ac:dyDescent="0.25">
      <c r="A32" s="3" t="s">
        <v>27</v>
      </c>
      <c r="B32" s="3" t="s">
        <v>36</v>
      </c>
      <c r="C32" s="3" t="s">
        <v>40</v>
      </c>
      <c r="D32" s="3" t="s">
        <v>76</v>
      </c>
      <c r="E32" s="3" t="s">
        <v>39</v>
      </c>
      <c r="F32" s="3" t="s">
        <v>106</v>
      </c>
      <c r="G32" s="3">
        <v>2023</v>
      </c>
      <c r="H32" s="3" t="str">
        <f>CONCATENATE("34240547363")</f>
        <v>34240547363</v>
      </c>
      <c r="I32" s="3" t="s">
        <v>30</v>
      </c>
      <c r="J32" s="3" t="s">
        <v>31</v>
      </c>
      <c r="K32" s="3" t="str">
        <f t="shared" si="3"/>
        <v/>
      </c>
      <c r="L32" s="3" t="str">
        <f t="shared" si="4"/>
        <v>11 11.2 4b</v>
      </c>
      <c r="M32" s="3" t="str">
        <f>CONCATENATE("PRFRNT63P28E783L")</f>
        <v>PRFRNT63P28E783L</v>
      </c>
      <c r="N32" s="3" t="s">
        <v>107</v>
      </c>
      <c r="O32" s="3" t="s">
        <v>101</v>
      </c>
      <c r="P32" s="4">
        <v>45282</v>
      </c>
      <c r="Q32" s="3" t="s">
        <v>32</v>
      </c>
      <c r="R32" s="3" t="s">
        <v>38</v>
      </c>
      <c r="S32" s="3" t="s">
        <v>34</v>
      </c>
      <c r="T32" s="3"/>
      <c r="U32" s="3" t="s">
        <v>35</v>
      </c>
      <c r="V32" s="5">
        <v>1358.9</v>
      </c>
      <c r="W32" s="3">
        <v>585.96</v>
      </c>
      <c r="X32" s="3">
        <v>541.11</v>
      </c>
      <c r="Y32" s="3">
        <v>0</v>
      </c>
      <c r="Z32" s="3">
        <v>231.83</v>
      </c>
    </row>
    <row r="33" spans="1:26" ht="34.5" x14ac:dyDescent="0.25">
      <c r="A33" s="3" t="s">
        <v>27</v>
      </c>
      <c r="B33" s="3" t="s">
        <v>36</v>
      </c>
      <c r="C33" s="3" t="s">
        <v>40</v>
      </c>
      <c r="D33" s="3" t="s">
        <v>76</v>
      </c>
      <c r="E33" s="3" t="s">
        <v>39</v>
      </c>
      <c r="F33" s="3" t="s">
        <v>106</v>
      </c>
      <c r="G33" s="3">
        <v>2023</v>
      </c>
      <c r="H33" s="3" t="str">
        <f>CONCATENATE("34240547058")</f>
        <v>34240547058</v>
      </c>
      <c r="I33" s="3" t="s">
        <v>30</v>
      </c>
      <c r="J33" s="3" t="s">
        <v>31</v>
      </c>
      <c r="K33" s="3" t="str">
        <f t="shared" si="3"/>
        <v/>
      </c>
      <c r="L33" s="3" t="str">
        <f t="shared" si="4"/>
        <v>11 11.2 4b</v>
      </c>
      <c r="M33" s="3" t="str">
        <f>CONCATENATE("PRFRNT63P28E783L")</f>
        <v>PRFRNT63P28E783L</v>
      </c>
      <c r="N33" s="3" t="s">
        <v>107</v>
      </c>
      <c r="O33" s="3" t="s">
        <v>101</v>
      </c>
      <c r="P33" s="4">
        <v>45282</v>
      </c>
      <c r="Q33" s="3" t="s">
        <v>32</v>
      </c>
      <c r="R33" s="3" t="s">
        <v>38</v>
      </c>
      <c r="S33" s="3" t="s">
        <v>34</v>
      </c>
      <c r="T33" s="3"/>
      <c r="U33" s="3" t="s">
        <v>35</v>
      </c>
      <c r="V33" s="3">
        <v>85.52</v>
      </c>
      <c r="W33" s="3">
        <v>36.880000000000003</v>
      </c>
      <c r="X33" s="3">
        <v>34.049999999999997</v>
      </c>
      <c r="Y33" s="3">
        <v>0</v>
      </c>
      <c r="Z33" s="3">
        <v>14.59</v>
      </c>
    </row>
    <row r="34" spans="1:26" ht="26.25" x14ac:dyDescent="0.25">
      <c r="A34" s="3" t="s">
        <v>27</v>
      </c>
      <c r="B34" s="3" t="s">
        <v>28</v>
      </c>
      <c r="C34" s="3" t="s">
        <v>40</v>
      </c>
      <c r="D34" s="3" t="s">
        <v>41</v>
      </c>
      <c r="E34" s="3" t="s">
        <v>44</v>
      </c>
      <c r="F34" s="3" t="s">
        <v>99</v>
      </c>
      <c r="G34" s="3">
        <v>2017</v>
      </c>
      <c r="H34" s="3" t="str">
        <f>CONCATENATE("34270420176")</f>
        <v>34270420176</v>
      </c>
      <c r="I34" s="3" t="s">
        <v>30</v>
      </c>
      <c r="J34" s="3" t="s">
        <v>31</v>
      </c>
      <c r="K34" s="3" t="str">
        <f t="shared" ref="K34:K39" si="5">CONCATENATE("")</f>
        <v/>
      </c>
      <c r="L34" s="3" t="str">
        <f>CONCATENATE("4 4.1 2a")</f>
        <v>4 4.1 2a</v>
      </c>
      <c r="M34" s="3" t="str">
        <f>CONCATENATE("01189290438")</f>
        <v>01189290438</v>
      </c>
      <c r="N34" s="3" t="s">
        <v>108</v>
      </c>
      <c r="O34" s="3" t="s">
        <v>109</v>
      </c>
      <c r="P34" s="4">
        <v>45282</v>
      </c>
      <c r="Q34" s="3" t="s">
        <v>32</v>
      </c>
      <c r="R34" s="3" t="s">
        <v>38</v>
      </c>
      <c r="S34" s="3" t="s">
        <v>34</v>
      </c>
      <c r="T34" s="3"/>
      <c r="U34" s="3" t="s">
        <v>35</v>
      </c>
      <c r="V34" s="5">
        <v>142759</v>
      </c>
      <c r="W34" s="5">
        <v>61557.68</v>
      </c>
      <c r="X34" s="5">
        <v>56846.63</v>
      </c>
      <c r="Y34" s="3">
        <v>0</v>
      </c>
      <c r="Z34" s="5">
        <v>24354.69</v>
      </c>
    </row>
    <row r="35" spans="1:26" ht="26.25" x14ac:dyDescent="0.25">
      <c r="A35" s="3" t="s">
        <v>27</v>
      </c>
      <c r="B35" s="3" t="s">
        <v>28</v>
      </c>
      <c r="C35" s="3" t="s">
        <v>40</v>
      </c>
      <c r="D35" s="3" t="s">
        <v>46</v>
      </c>
      <c r="E35" s="3" t="s">
        <v>29</v>
      </c>
      <c r="F35" s="3" t="s">
        <v>29</v>
      </c>
      <c r="G35" s="3">
        <v>2017</v>
      </c>
      <c r="H35" s="3" t="str">
        <f>CONCATENATE("34270420192")</f>
        <v>34270420192</v>
      </c>
      <c r="I35" s="3" t="s">
        <v>30</v>
      </c>
      <c r="J35" s="3" t="s">
        <v>31</v>
      </c>
      <c r="K35" s="3" t="str">
        <f t="shared" si="5"/>
        <v/>
      </c>
      <c r="L35" s="3" t="str">
        <f>CONCATENATE("4 4.1 2a")</f>
        <v>4 4.1 2a</v>
      </c>
      <c r="M35" s="3" t="str">
        <f>CONCATENATE("02175570445")</f>
        <v>02175570445</v>
      </c>
      <c r="N35" s="3" t="s">
        <v>110</v>
      </c>
      <c r="O35" s="3" t="s">
        <v>109</v>
      </c>
      <c r="P35" s="4">
        <v>45282</v>
      </c>
      <c r="Q35" s="3" t="s">
        <v>32</v>
      </c>
      <c r="R35" s="3" t="s">
        <v>38</v>
      </c>
      <c r="S35" s="3" t="s">
        <v>34</v>
      </c>
      <c r="T35" s="3"/>
      <c r="U35" s="3" t="s">
        <v>35</v>
      </c>
      <c r="V35" s="5">
        <v>14769.99</v>
      </c>
      <c r="W35" s="5">
        <v>6368.82</v>
      </c>
      <c r="X35" s="5">
        <v>5881.41</v>
      </c>
      <c r="Y35" s="3">
        <v>0</v>
      </c>
      <c r="Z35" s="5">
        <v>2519.7600000000002</v>
      </c>
    </row>
    <row r="36" spans="1:26" ht="26.25" x14ac:dyDescent="0.25">
      <c r="A36" s="3" t="s">
        <v>27</v>
      </c>
      <c r="B36" s="3" t="s">
        <v>28</v>
      </c>
      <c r="C36" s="3" t="s">
        <v>40</v>
      </c>
      <c r="D36" s="3" t="s">
        <v>46</v>
      </c>
      <c r="E36" s="3" t="s">
        <v>55</v>
      </c>
      <c r="F36" s="3" t="s">
        <v>95</v>
      </c>
      <c r="G36" s="3">
        <v>2017</v>
      </c>
      <c r="H36" s="3" t="str">
        <f>CONCATENATE("34270420168")</f>
        <v>34270420168</v>
      </c>
      <c r="I36" s="3" t="s">
        <v>30</v>
      </c>
      <c r="J36" s="3" t="s">
        <v>31</v>
      </c>
      <c r="K36" s="3" t="str">
        <f t="shared" si="5"/>
        <v/>
      </c>
      <c r="L36" s="3" t="str">
        <f>CONCATENATE("16 16.2 2a")</f>
        <v>16 16.2 2a</v>
      </c>
      <c r="M36" s="3" t="str">
        <f>CONCATENATE("92000660446")</f>
        <v>92000660446</v>
      </c>
      <c r="N36" s="3" t="s">
        <v>111</v>
      </c>
      <c r="O36" s="3" t="s">
        <v>112</v>
      </c>
      <c r="P36" s="4">
        <v>45282</v>
      </c>
      <c r="Q36" s="3" t="s">
        <v>32</v>
      </c>
      <c r="R36" s="3" t="s">
        <v>38</v>
      </c>
      <c r="S36" s="3" t="s">
        <v>34</v>
      </c>
      <c r="T36" s="3"/>
      <c r="U36" s="3" t="s">
        <v>35</v>
      </c>
      <c r="V36" s="5">
        <v>135086.79999999999</v>
      </c>
      <c r="W36" s="5">
        <v>58249.43</v>
      </c>
      <c r="X36" s="5">
        <v>53791.56</v>
      </c>
      <c r="Y36" s="3">
        <v>0</v>
      </c>
      <c r="Z36" s="5">
        <v>23045.81</v>
      </c>
    </row>
    <row r="37" spans="1:26" ht="26.25" x14ac:dyDescent="0.25">
      <c r="A37" s="3" t="s">
        <v>27</v>
      </c>
      <c r="B37" s="3" t="s">
        <v>28</v>
      </c>
      <c r="C37" s="3" t="s">
        <v>40</v>
      </c>
      <c r="D37" s="3" t="s">
        <v>46</v>
      </c>
      <c r="E37" s="3" t="s">
        <v>39</v>
      </c>
      <c r="F37" s="3" t="s">
        <v>113</v>
      </c>
      <c r="G37" s="3">
        <v>2017</v>
      </c>
      <c r="H37" s="3" t="str">
        <f>CONCATENATE("34270419426")</f>
        <v>34270419426</v>
      </c>
      <c r="I37" s="3" t="s">
        <v>30</v>
      </c>
      <c r="J37" s="3" t="s">
        <v>31</v>
      </c>
      <c r="K37" s="3" t="str">
        <f t="shared" si="5"/>
        <v/>
      </c>
      <c r="L37" s="3" t="str">
        <f>CONCATENATE("4 4.1 2a")</f>
        <v>4 4.1 2a</v>
      </c>
      <c r="M37" s="3" t="str">
        <f>CONCATENATE("02469510446")</f>
        <v>02469510446</v>
      </c>
      <c r="N37" s="3" t="s">
        <v>114</v>
      </c>
      <c r="O37" s="3" t="s">
        <v>115</v>
      </c>
      <c r="P37" s="4">
        <v>45282</v>
      </c>
      <c r="Q37" s="3" t="s">
        <v>32</v>
      </c>
      <c r="R37" s="3" t="s">
        <v>45</v>
      </c>
      <c r="S37" s="3" t="s">
        <v>34</v>
      </c>
      <c r="T37" s="3"/>
      <c r="U37" s="3" t="s">
        <v>35</v>
      </c>
      <c r="V37" s="5">
        <v>6693.4</v>
      </c>
      <c r="W37" s="5">
        <v>2886.19</v>
      </c>
      <c r="X37" s="5">
        <v>2665.31</v>
      </c>
      <c r="Y37" s="3">
        <v>0</v>
      </c>
      <c r="Z37" s="5">
        <v>1141.9000000000001</v>
      </c>
    </row>
    <row r="38" spans="1:26" ht="34.5" x14ac:dyDescent="0.25">
      <c r="A38" s="3" t="s">
        <v>27</v>
      </c>
      <c r="B38" s="3" t="s">
        <v>36</v>
      </c>
      <c r="C38" s="3" t="s">
        <v>40</v>
      </c>
      <c r="D38" s="3" t="s">
        <v>41</v>
      </c>
      <c r="E38" s="3" t="s">
        <v>54</v>
      </c>
      <c r="F38" s="3" t="s">
        <v>116</v>
      </c>
      <c r="G38" s="3">
        <v>2023</v>
      </c>
      <c r="H38" s="3" t="str">
        <f>CONCATENATE("34240173079")</f>
        <v>34240173079</v>
      </c>
      <c r="I38" s="3" t="s">
        <v>30</v>
      </c>
      <c r="J38" s="3" t="s">
        <v>31</v>
      </c>
      <c r="K38" s="3" t="str">
        <f t="shared" si="5"/>
        <v/>
      </c>
      <c r="L38" s="3" t="str">
        <f>CONCATENATE("11 11.2 4b")</f>
        <v>11 11.2 4b</v>
      </c>
      <c r="M38" s="3" t="str">
        <f>CONCATENATE("PRGLNA85D23A944K")</f>
        <v>PRGLNA85D23A944K</v>
      </c>
      <c r="N38" s="3" t="s">
        <v>117</v>
      </c>
      <c r="O38" s="3" t="s">
        <v>118</v>
      </c>
      <c r="P38" s="4">
        <v>45282</v>
      </c>
      <c r="Q38" s="3" t="s">
        <v>32</v>
      </c>
      <c r="R38" s="3" t="s">
        <v>38</v>
      </c>
      <c r="S38" s="3" t="s">
        <v>34</v>
      </c>
      <c r="T38" s="3"/>
      <c r="U38" s="3" t="s">
        <v>35</v>
      </c>
      <c r="V38" s="5">
        <v>7455.33</v>
      </c>
      <c r="W38" s="5">
        <v>3214.74</v>
      </c>
      <c r="X38" s="5">
        <v>2968.71</v>
      </c>
      <c r="Y38" s="3">
        <v>0</v>
      </c>
      <c r="Z38" s="5">
        <v>1271.8800000000001</v>
      </c>
    </row>
    <row r="39" spans="1:26" ht="26.25" x14ac:dyDescent="0.25">
      <c r="A39" s="3" t="s">
        <v>27</v>
      </c>
      <c r="B39" s="3" t="s">
        <v>28</v>
      </c>
      <c r="C39" s="3" t="s">
        <v>40</v>
      </c>
      <c r="D39" s="3" t="s">
        <v>68</v>
      </c>
      <c r="E39" s="3" t="s">
        <v>54</v>
      </c>
      <c r="F39" s="3" t="s">
        <v>119</v>
      </c>
      <c r="G39" s="3">
        <v>2017</v>
      </c>
      <c r="H39" s="3" t="str">
        <f>CONCATENATE("34270412470")</f>
        <v>34270412470</v>
      </c>
      <c r="I39" s="3" t="s">
        <v>30</v>
      </c>
      <c r="J39" s="3" t="s">
        <v>31</v>
      </c>
      <c r="K39" s="3" t="str">
        <f t="shared" si="5"/>
        <v/>
      </c>
      <c r="L39" s="3" t="str">
        <f>CONCATENATE("4 4.3 2a")</f>
        <v>4 4.3 2a</v>
      </c>
      <c r="M39" s="3" t="str">
        <f>CONCATENATE("80010010421")</f>
        <v>80010010421</v>
      </c>
      <c r="N39" s="3" t="s">
        <v>120</v>
      </c>
      <c r="O39" s="3" t="s">
        <v>121</v>
      </c>
      <c r="P39" s="4">
        <v>45280</v>
      </c>
      <c r="Q39" s="3" t="s">
        <v>32</v>
      </c>
      <c r="R39" s="3" t="s">
        <v>33</v>
      </c>
      <c r="S39" s="3" t="s">
        <v>34</v>
      </c>
      <c r="T39" s="3"/>
      <c r="U39" s="3" t="s">
        <v>35</v>
      </c>
      <c r="V39" s="5">
        <v>64945.85</v>
      </c>
      <c r="W39" s="5">
        <v>28004.65</v>
      </c>
      <c r="X39" s="5">
        <v>25861.439999999999</v>
      </c>
      <c r="Y39" s="3">
        <v>0</v>
      </c>
      <c r="Z39" s="5">
        <v>11079.76</v>
      </c>
    </row>
    <row r="40" spans="1:26" ht="26.25" x14ac:dyDescent="0.25">
      <c r="A40" s="3" t="s">
        <v>27</v>
      </c>
      <c r="B40" s="3" t="s">
        <v>36</v>
      </c>
      <c r="C40" s="3" t="s">
        <v>40</v>
      </c>
      <c r="D40" s="3" t="s">
        <v>76</v>
      </c>
      <c r="E40" s="3" t="s">
        <v>44</v>
      </c>
      <c r="F40" s="3" t="s">
        <v>122</v>
      </c>
      <c r="G40" s="3">
        <v>2023</v>
      </c>
      <c r="H40" s="3" t="str">
        <f>CONCATENATE("34240160753")</f>
        <v>34240160753</v>
      </c>
      <c r="I40" s="3" t="s">
        <v>30</v>
      </c>
      <c r="J40" s="3" t="s">
        <v>31</v>
      </c>
      <c r="K40" s="3" t="str">
        <f t="shared" ref="K40:K50" si="6">CONCATENATE("")</f>
        <v/>
      </c>
      <c r="L40" s="3" t="str">
        <f>CONCATENATE("11 11.2 4b")</f>
        <v>11 11.2 4b</v>
      </c>
      <c r="M40" s="3" t="str">
        <f>CONCATENATE("01597000437")</f>
        <v>01597000437</v>
      </c>
      <c r="N40" s="3" t="s">
        <v>123</v>
      </c>
      <c r="O40" s="3" t="s">
        <v>101</v>
      </c>
      <c r="P40" s="4">
        <v>45282</v>
      </c>
      <c r="Q40" s="3" t="s">
        <v>32</v>
      </c>
      <c r="R40" s="3" t="s">
        <v>38</v>
      </c>
      <c r="S40" s="3" t="s">
        <v>34</v>
      </c>
      <c r="T40" s="3"/>
      <c r="U40" s="3" t="s">
        <v>35</v>
      </c>
      <c r="V40" s="5">
        <v>16922.560000000001</v>
      </c>
      <c r="W40" s="5">
        <v>7297.01</v>
      </c>
      <c r="X40" s="5">
        <v>6738.56</v>
      </c>
      <c r="Y40" s="3">
        <v>0</v>
      </c>
      <c r="Z40" s="5">
        <v>2886.99</v>
      </c>
    </row>
    <row r="41" spans="1:26" ht="42.75" x14ac:dyDescent="0.25">
      <c r="A41" s="3" t="s">
        <v>27</v>
      </c>
      <c r="B41" s="3" t="s">
        <v>36</v>
      </c>
      <c r="C41" s="3" t="s">
        <v>40</v>
      </c>
      <c r="D41" s="3" t="s">
        <v>76</v>
      </c>
      <c r="E41" s="3" t="s">
        <v>44</v>
      </c>
      <c r="F41" s="3" t="s">
        <v>122</v>
      </c>
      <c r="G41" s="3">
        <v>2023</v>
      </c>
      <c r="H41" s="3" t="str">
        <f>CONCATENATE("34240600329")</f>
        <v>34240600329</v>
      </c>
      <c r="I41" s="3" t="s">
        <v>30</v>
      </c>
      <c r="J41" s="3" t="s">
        <v>31</v>
      </c>
      <c r="K41" s="3" t="str">
        <f t="shared" si="6"/>
        <v/>
      </c>
      <c r="L41" s="3" t="str">
        <f>CONCATENATE("11 11.2 4b")</f>
        <v>11 11.2 4b</v>
      </c>
      <c r="M41" s="3" t="str">
        <f>CONCATENATE("BBNNNA76B69Z154N")</f>
        <v>BBNNNA76B69Z154N</v>
      </c>
      <c r="N41" s="3" t="s">
        <v>124</v>
      </c>
      <c r="O41" s="3" t="s">
        <v>101</v>
      </c>
      <c r="P41" s="4">
        <v>45282</v>
      </c>
      <c r="Q41" s="3" t="s">
        <v>32</v>
      </c>
      <c r="R41" s="3" t="s">
        <v>38</v>
      </c>
      <c r="S41" s="3" t="s">
        <v>34</v>
      </c>
      <c r="T41" s="3"/>
      <c r="U41" s="3" t="s">
        <v>35</v>
      </c>
      <c r="V41" s="5">
        <v>14884.77</v>
      </c>
      <c r="W41" s="5">
        <v>6418.31</v>
      </c>
      <c r="X41" s="5">
        <v>5927.12</v>
      </c>
      <c r="Y41" s="3">
        <v>0</v>
      </c>
      <c r="Z41" s="5">
        <v>2539.34</v>
      </c>
    </row>
    <row r="42" spans="1:26" ht="34.5" x14ac:dyDescent="0.25">
      <c r="A42" s="3" t="s">
        <v>27</v>
      </c>
      <c r="B42" s="3" t="s">
        <v>28</v>
      </c>
      <c r="C42" s="3" t="s">
        <v>40</v>
      </c>
      <c r="D42" s="3" t="s">
        <v>46</v>
      </c>
      <c r="E42" s="3" t="s">
        <v>29</v>
      </c>
      <c r="F42" s="3" t="s">
        <v>29</v>
      </c>
      <c r="G42" s="3">
        <v>2017</v>
      </c>
      <c r="H42" s="3" t="str">
        <f>CONCATENATE("34270417362")</f>
        <v>34270417362</v>
      </c>
      <c r="I42" s="3" t="s">
        <v>30</v>
      </c>
      <c r="J42" s="3" t="s">
        <v>31</v>
      </c>
      <c r="K42" s="3" t="str">
        <f t="shared" si="6"/>
        <v/>
      </c>
      <c r="L42" s="3" t="str">
        <f>CONCATENATE("8 8.6 5c")</f>
        <v>8 8.6 5c</v>
      </c>
      <c r="M42" s="3" t="str">
        <f>CONCATENATE("LRAFBA87T03A462Q")</f>
        <v>LRAFBA87T03A462Q</v>
      </c>
      <c r="N42" s="3" t="s">
        <v>125</v>
      </c>
      <c r="O42" s="3" t="s">
        <v>126</v>
      </c>
      <c r="P42" s="4">
        <v>45282</v>
      </c>
      <c r="Q42" s="3" t="s">
        <v>32</v>
      </c>
      <c r="R42" s="3" t="s">
        <v>38</v>
      </c>
      <c r="S42" s="3" t="s">
        <v>34</v>
      </c>
      <c r="T42" s="3"/>
      <c r="U42" s="3" t="s">
        <v>35</v>
      </c>
      <c r="V42" s="5">
        <v>8930.7999999999993</v>
      </c>
      <c r="W42" s="5">
        <v>3850.96</v>
      </c>
      <c r="X42" s="5">
        <v>3556.24</v>
      </c>
      <c r="Y42" s="3">
        <v>0</v>
      </c>
      <c r="Z42" s="5">
        <v>1523.6</v>
      </c>
    </row>
    <row r="43" spans="1:26" ht="34.5" x14ac:dyDescent="0.25">
      <c r="A43" s="3" t="s">
        <v>27</v>
      </c>
      <c r="B43" s="3" t="s">
        <v>28</v>
      </c>
      <c r="C43" s="3" t="s">
        <v>40</v>
      </c>
      <c r="D43" s="3" t="s">
        <v>46</v>
      </c>
      <c r="E43" s="3" t="s">
        <v>29</v>
      </c>
      <c r="F43" s="3" t="s">
        <v>29</v>
      </c>
      <c r="G43" s="3">
        <v>2017</v>
      </c>
      <c r="H43" s="3" t="str">
        <f>CONCATENATE("34270420200")</f>
        <v>34270420200</v>
      </c>
      <c r="I43" s="3" t="s">
        <v>30</v>
      </c>
      <c r="J43" s="3" t="s">
        <v>31</v>
      </c>
      <c r="K43" s="3" t="str">
        <f t="shared" si="6"/>
        <v/>
      </c>
      <c r="L43" s="3" t="str">
        <f>CONCATENATE("8 8.6 5c")</f>
        <v>8 8.6 5c</v>
      </c>
      <c r="M43" s="3" t="str">
        <f>CONCATENATE("LRALGU84C27A462F")</f>
        <v>LRALGU84C27A462F</v>
      </c>
      <c r="N43" s="3" t="s">
        <v>127</v>
      </c>
      <c r="O43" s="3" t="s">
        <v>128</v>
      </c>
      <c r="P43" s="4">
        <v>45282</v>
      </c>
      <c r="Q43" s="3" t="s">
        <v>32</v>
      </c>
      <c r="R43" s="3" t="s">
        <v>38</v>
      </c>
      <c r="S43" s="3" t="s">
        <v>34</v>
      </c>
      <c r="T43" s="3"/>
      <c r="U43" s="3" t="s">
        <v>35</v>
      </c>
      <c r="V43" s="5">
        <v>8784</v>
      </c>
      <c r="W43" s="5">
        <v>3787.66</v>
      </c>
      <c r="X43" s="5">
        <v>3497.79</v>
      </c>
      <c r="Y43" s="3">
        <v>0</v>
      </c>
      <c r="Z43" s="5">
        <v>1498.55</v>
      </c>
    </row>
    <row r="44" spans="1:26" ht="34.5" x14ac:dyDescent="0.25">
      <c r="A44" s="3" t="s">
        <v>27</v>
      </c>
      <c r="B44" s="3" t="s">
        <v>28</v>
      </c>
      <c r="C44" s="3" t="s">
        <v>40</v>
      </c>
      <c r="D44" s="3" t="s">
        <v>46</v>
      </c>
      <c r="E44" s="3" t="s">
        <v>29</v>
      </c>
      <c r="F44" s="3" t="s">
        <v>29</v>
      </c>
      <c r="G44" s="3">
        <v>2017</v>
      </c>
      <c r="H44" s="3" t="str">
        <f>CONCATENATE("34270417347")</f>
        <v>34270417347</v>
      </c>
      <c r="I44" s="3" t="s">
        <v>30</v>
      </c>
      <c r="J44" s="3" t="s">
        <v>31</v>
      </c>
      <c r="K44" s="3" t="str">
        <f t="shared" si="6"/>
        <v/>
      </c>
      <c r="L44" s="3" t="str">
        <f>CONCATENATE("8 8.6 5c")</f>
        <v>8 8.6 5c</v>
      </c>
      <c r="M44" s="3" t="str">
        <f>CONCATENATE("LRAGCR73H29A462A")</f>
        <v>LRAGCR73H29A462A</v>
      </c>
      <c r="N44" s="3" t="s">
        <v>129</v>
      </c>
      <c r="O44" s="3" t="s">
        <v>126</v>
      </c>
      <c r="P44" s="4">
        <v>45282</v>
      </c>
      <c r="Q44" s="3" t="s">
        <v>32</v>
      </c>
      <c r="R44" s="3" t="s">
        <v>38</v>
      </c>
      <c r="S44" s="3" t="s">
        <v>34</v>
      </c>
      <c r="T44" s="3"/>
      <c r="U44" s="3" t="s">
        <v>35</v>
      </c>
      <c r="V44" s="5">
        <v>19000</v>
      </c>
      <c r="W44" s="5">
        <v>8192.7999999999993</v>
      </c>
      <c r="X44" s="5">
        <v>7565.8</v>
      </c>
      <c r="Y44" s="3">
        <v>0</v>
      </c>
      <c r="Z44" s="5">
        <v>3241.4</v>
      </c>
    </row>
    <row r="45" spans="1:26" ht="34.5" x14ac:dyDescent="0.25">
      <c r="A45" s="3" t="s">
        <v>27</v>
      </c>
      <c r="B45" s="3" t="s">
        <v>28</v>
      </c>
      <c r="C45" s="3" t="s">
        <v>40</v>
      </c>
      <c r="D45" s="3" t="s">
        <v>46</v>
      </c>
      <c r="E45" s="3" t="s">
        <v>29</v>
      </c>
      <c r="F45" s="3" t="s">
        <v>29</v>
      </c>
      <c r="G45" s="3">
        <v>2017</v>
      </c>
      <c r="H45" s="3" t="str">
        <f>CONCATENATE("34270417388")</f>
        <v>34270417388</v>
      </c>
      <c r="I45" s="3" t="s">
        <v>30</v>
      </c>
      <c r="J45" s="3" t="s">
        <v>31</v>
      </c>
      <c r="K45" s="3" t="str">
        <f t="shared" si="6"/>
        <v/>
      </c>
      <c r="L45" s="3" t="str">
        <f>CONCATENATE("8 8.6 5c")</f>
        <v>8 8.6 5c</v>
      </c>
      <c r="M45" s="3" t="str">
        <f>CONCATENATE("LRAPLA59H05A437S")</f>
        <v>LRAPLA59H05A437S</v>
      </c>
      <c r="N45" s="3" t="s">
        <v>130</v>
      </c>
      <c r="O45" s="3" t="s">
        <v>126</v>
      </c>
      <c r="P45" s="4">
        <v>45282</v>
      </c>
      <c r="Q45" s="3" t="s">
        <v>32</v>
      </c>
      <c r="R45" s="3" t="s">
        <v>38</v>
      </c>
      <c r="S45" s="3" t="s">
        <v>34</v>
      </c>
      <c r="T45" s="3"/>
      <c r="U45" s="3" t="s">
        <v>35</v>
      </c>
      <c r="V45" s="5">
        <v>17800</v>
      </c>
      <c r="W45" s="5">
        <v>7675.36</v>
      </c>
      <c r="X45" s="5">
        <v>7087.96</v>
      </c>
      <c r="Y45" s="3">
        <v>0</v>
      </c>
      <c r="Z45" s="5">
        <v>3036.68</v>
      </c>
    </row>
    <row r="46" spans="1:26" ht="26.25" x14ac:dyDescent="0.25">
      <c r="A46" s="3" t="s">
        <v>27</v>
      </c>
      <c r="B46" s="3" t="s">
        <v>28</v>
      </c>
      <c r="C46" s="3" t="s">
        <v>40</v>
      </c>
      <c r="D46" s="3" t="s">
        <v>46</v>
      </c>
      <c r="E46" s="3" t="s">
        <v>29</v>
      </c>
      <c r="F46" s="3" t="s">
        <v>29</v>
      </c>
      <c r="G46" s="3">
        <v>2017</v>
      </c>
      <c r="H46" s="3" t="str">
        <f>CONCATENATE("34270417370")</f>
        <v>34270417370</v>
      </c>
      <c r="I46" s="3" t="s">
        <v>30</v>
      </c>
      <c r="J46" s="3" t="s">
        <v>31</v>
      </c>
      <c r="K46" s="3" t="str">
        <f t="shared" si="6"/>
        <v/>
      </c>
      <c r="L46" s="3" t="str">
        <f>CONCATENATE("8 8.6 5c")</f>
        <v>8 8.6 5c</v>
      </c>
      <c r="M46" s="3" t="str">
        <f>CONCATENATE("02136710445")</f>
        <v>02136710445</v>
      </c>
      <c r="N46" s="3" t="s">
        <v>131</v>
      </c>
      <c r="O46" s="3" t="s">
        <v>126</v>
      </c>
      <c r="P46" s="4">
        <v>45282</v>
      </c>
      <c r="Q46" s="3" t="s">
        <v>32</v>
      </c>
      <c r="R46" s="3" t="s">
        <v>38</v>
      </c>
      <c r="S46" s="3" t="s">
        <v>34</v>
      </c>
      <c r="T46" s="3"/>
      <c r="U46" s="3" t="s">
        <v>35</v>
      </c>
      <c r="V46" s="5">
        <v>26800</v>
      </c>
      <c r="W46" s="5">
        <v>11556.16</v>
      </c>
      <c r="X46" s="5">
        <v>10671.76</v>
      </c>
      <c r="Y46" s="3">
        <v>0</v>
      </c>
      <c r="Z46" s="5">
        <v>4572.08</v>
      </c>
    </row>
    <row r="47" spans="1:26" ht="42.75" x14ac:dyDescent="0.25">
      <c r="A47" s="3" t="s">
        <v>27</v>
      </c>
      <c r="B47" s="3" t="s">
        <v>28</v>
      </c>
      <c r="C47" s="3" t="s">
        <v>40</v>
      </c>
      <c r="D47" s="3" t="s">
        <v>46</v>
      </c>
      <c r="E47" s="3" t="s">
        <v>39</v>
      </c>
      <c r="F47" s="3" t="s">
        <v>102</v>
      </c>
      <c r="G47" s="3">
        <v>2017</v>
      </c>
      <c r="H47" s="3" t="str">
        <f>CONCATENATE("34270416554")</f>
        <v>34270416554</v>
      </c>
      <c r="I47" s="3" t="s">
        <v>30</v>
      </c>
      <c r="J47" s="3" t="s">
        <v>31</v>
      </c>
      <c r="K47" s="3" t="str">
        <f t="shared" si="6"/>
        <v/>
      </c>
      <c r="L47" s="3" t="str">
        <f>CONCATENATE("6 6.1 2b")</f>
        <v>6 6.1 2b</v>
      </c>
      <c r="M47" s="3" t="str">
        <f>CONCATENATE("MCALSN96H01B474X")</f>
        <v>MCALSN96H01B474X</v>
      </c>
      <c r="N47" s="3" t="s">
        <v>132</v>
      </c>
      <c r="O47" s="3" t="s">
        <v>133</v>
      </c>
      <c r="P47" s="4">
        <v>45282</v>
      </c>
      <c r="Q47" s="3" t="s">
        <v>32</v>
      </c>
      <c r="R47" s="3" t="s">
        <v>38</v>
      </c>
      <c r="S47" s="3" t="s">
        <v>34</v>
      </c>
      <c r="T47" s="3"/>
      <c r="U47" s="3" t="s">
        <v>35</v>
      </c>
      <c r="V47" s="5">
        <v>18000</v>
      </c>
      <c r="W47" s="5">
        <v>7761.6</v>
      </c>
      <c r="X47" s="5">
        <v>7167.6</v>
      </c>
      <c r="Y47" s="3">
        <v>0</v>
      </c>
      <c r="Z47" s="5">
        <v>3070.8</v>
      </c>
    </row>
    <row r="48" spans="1:26" ht="26.25" x14ac:dyDescent="0.25">
      <c r="A48" s="3" t="s">
        <v>27</v>
      </c>
      <c r="B48" s="3" t="s">
        <v>28</v>
      </c>
      <c r="C48" s="3" t="s">
        <v>40</v>
      </c>
      <c r="D48" s="3" t="s">
        <v>46</v>
      </c>
      <c r="E48" s="3" t="s">
        <v>29</v>
      </c>
      <c r="F48" s="3" t="s">
        <v>29</v>
      </c>
      <c r="G48" s="3">
        <v>2017</v>
      </c>
      <c r="H48" s="3" t="str">
        <f>CONCATENATE("34270416513")</f>
        <v>34270416513</v>
      </c>
      <c r="I48" s="3" t="s">
        <v>30</v>
      </c>
      <c r="J48" s="3" t="s">
        <v>31</v>
      </c>
      <c r="K48" s="3" t="str">
        <f t="shared" si="6"/>
        <v/>
      </c>
      <c r="L48" s="3" t="str">
        <f>CONCATENATE("6 6.1 2b")</f>
        <v>6 6.1 2b</v>
      </c>
      <c r="M48" s="3" t="str">
        <f>CONCATENATE("02364830444")</f>
        <v>02364830444</v>
      </c>
      <c r="N48" s="3" t="s">
        <v>134</v>
      </c>
      <c r="O48" s="3" t="s">
        <v>133</v>
      </c>
      <c r="P48" s="4">
        <v>45282</v>
      </c>
      <c r="Q48" s="3" t="s">
        <v>32</v>
      </c>
      <c r="R48" s="3" t="s">
        <v>38</v>
      </c>
      <c r="S48" s="3" t="s">
        <v>34</v>
      </c>
      <c r="T48" s="3"/>
      <c r="U48" s="3" t="s">
        <v>35</v>
      </c>
      <c r="V48" s="5">
        <v>12000</v>
      </c>
      <c r="W48" s="5">
        <v>5174.3999999999996</v>
      </c>
      <c r="X48" s="5">
        <v>4778.3999999999996</v>
      </c>
      <c r="Y48" s="3">
        <v>0</v>
      </c>
      <c r="Z48" s="5">
        <v>2047.2</v>
      </c>
    </row>
    <row r="49" spans="1:26" ht="26.25" x14ac:dyDescent="0.25">
      <c r="A49" s="3" t="s">
        <v>27</v>
      </c>
      <c r="B49" s="3" t="s">
        <v>28</v>
      </c>
      <c r="C49" s="3" t="s">
        <v>40</v>
      </c>
      <c r="D49" s="3" t="s">
        <v>46</v>
      </c>
      <c r="E49" s="3" t="s">
        <v>29</v>
      </c>
      <c r="F49" s="3" t="s">
        <v>29</v>
      </c>
      <c r="G49" s="3">
        <v>2017</v>
      </c>
      <c r="H49" s="3" t="str">
        <f>CONCATENATE("34270416521")</f>
        <v>34270416521</v>
      </c>
      <c r="I49" s="3" t="s">
        <v>30</v>
      </c>
      <c r="J49" s="3" t="s">
        <v>31</v>
      </c>
      <c r="K49" s="3" t="str">
        <f t="shared" si="6"/>
        <v/>
      </c>
      <c r="L49" s="3" t="str">
        <f>CONCATENATE("6 6.1 2b")</f>
        <v>6 6.1 2b</v>
      </c>
      <c r="M49" s="3" t="str">
        <f>CONCATENATE("02366910442")</f>
        <v>02366910442</v>
      </c>
      <c r="N49" s="3" t="s">
        <v>135</v>
      </c>
      <c r="O49" s="3" t="s">
        <v>133</v>
      </c>
      <c r="P49" s="4">
        <v>45282</v>
      </c>
      <c r="Q49" s="3" t="s">
        <v>32</v>
      </c>
      <c r="R49" s="3" t="s">
        <v>38</v>
      </c>
      <c r="S49" s="3" t="s">
        <v>34</v>
      </c>
      <c r="T49" s="3"/>
      <c r="U49" s="3" t="s">
        <v>35</v>
      </c>
      <c r="V49" s="5">
        <v>18000</v>
      </c>
      <c r="W49" s="5">
        <v>7761.6</v>
      </c>
      <c r="X49" s="5">
        <v>7167.6</v>
      </c>
      <c r="Y49" s="3">
        <v>0</v>
      </c>
      <c r="Z49" s="5">
        <v>3070.8</v>
      </c>
    </row>
    <row r="50" spans="1:26" ht="34.5" x14ac:dyDescent="0.25">
      <c r="A50" s="3" t="s">
        <v>27</v>
      </c>
      <c r="B50" s="3" t="s">
        <v>28</v>
      </c>
      <c r="C50" s="3" t="s">
        <v>40</v>
      </c>
      <c r="D50" s="3" t="s">
        <v>76</v>
      </c>
      <c r="E50" s="3" t="s">
        <v>29</v>
      </c>
      <c r="F50" s="3" t="s">
        <v>29</v>
      </c>
      <c r="G50" s="3">
        <v>2017</v>
      </c>
      <c r="H50" s="3" t="str">
        <f>CONCATENATE("34270421257")</f>
        <v>34270421257</v>
      </c>
      <c r="I50" s="3" t="s">
        <v>30</v>
      </c>
      <c r="J50" s="3" t="s">
        <v>31</v>
      </c>
      <c r="K50" s="3" t="str">
        <f t="shared" si="6"/>
        <v/>
      </c>
      <c r="L50" s="3" t="str">
        <f>CONCATENATE("16 16.1 2a")</f>
        <v>16 16.1 2a</v>
      </c>
      <c r="M50" s="3" t="str">
        <f>CONCATENATE("PSSNDR68T07L191O")</f>
        <v>PSSNDR68T07L191O</v>
      </c>
      <c r="N50" s="3" t="s">
        <v>136</v>
      </c>
      <c r="O50" s="3" t="s">
        <v>137</v>
      </c>
      <c r="P50" s="4">
        <v>45283</v>
      </c>
      <c r="Q50" s="3" t="s">
        <v>32</v>
      </c>
      <c r="R50" s="3" t="s">
        <v>45</v>
      </c>
      <c r="S50" s="3" t="s">
        <v>34</v>
      </c>
      <c r="T50" s="3"/>
      <c r="U50" s="3" t="s">
        <v>35</v>
      </c>
      <c r="V50" s="5">
        <v>116456.7</v>
      </c>
      <c r="W50" s="5">
        <v>50216.13</v>
      </c>
      <c r="X50" s="5">
        <v>46373.06</v>
      </c>
      <c r="Y50" s="3">
        <v>0</v>
      </c>
      <c r="Z50" s="5">
        <v>19867.509999999998</v>
      </c>
    </row>
    <row r="51" spans="1:26" ht="42.75" x14ac:dyDescent="0.25">
      <c r="A51" s="3" t="s">
        <v>27</v>
      </c>
      <c r="B51" s="3" t="s">
        <v>28</v>
      </c>
      <c r="C51" s="3" t="s">
        <v>40</v>
      </c>
      <c r="D51" s="3" t="s">
        <v>76</v>
      </c>
      <c r="E51" s="3" t="s">
        <v>29</v>
      </c>
      <c r="F51" s="3" t="s">
        <v>29</v>
      </c>
      <c r="G51" s="3">
        <v>2017</v>
      </c>
      <c r="H51" s="3" t="str">
        <f>CONCATENATE("34270419707")</f>
        <v>34270419707</v>
      </c>
      <c r="I51" s="3" t="s">
        <v>30</v>
      </c>
      <c r="J51" s="3" t="s">
        <v>31</v>
      </c>
      <c r="K51" s="3" t="str">
        <f t="shared" ref="K51:K60" si="7">CONCATENATE("")</f>
        <v/>
      </c>
      <c r="L51" s="3" t="str">
        <f>CONCATENATE("8 8.3 5e")</f>
        <v>8 8.3 5e</v>
      </c>
      <c r="M51" s="3" t="str">
        <f>CONCATENATE("MSCMRA35R70C704N")</f>
        <v>MSCMRA35R70C704N</v>
      </c>
      <c r="N51" s="3" t="s">
        <v>138</v>
      </c>
      <c r="O51" s="3" t="s">
        <v>139</v>
      </c>
      <c r="P51" s="4">
        <v>45282</v>
      </c>
      <c r="Q51" s="3" t="s">
        <v>32</v>
      </c>
      <c r="R51" s="3" t="s">
        <v>45</v>
      </c>
      <c r="S51" s="3" t="s">
        <v>34</v>
      </c>
      <c r="T51" s="3"/>
      <c r="U51" s="3" t="s">
        <v>35</v>
      </c>
      <c r="V51" s="5">
        <v>228330.97</v>
      </c>
      <c r="W51" s="5">
        <v>98456.31</v>
      </c>
      <c r="X51" s="5">
        <v>90921.39</v>
      </c>
      <c r="Y51" s="3">
        <v>0</v>
      </c>
      <c r="Z51" s="5">
        <v>38953.269999999997</v>
      </c>
    </row>
    <row r="52" spans="1:26" ht="42.75" x14ac:dyDescent="0.25">
      <c r="A52" s="3" t="s">
        <v>27</v>
      </c>
      <c r="B52" s="3" t="s">
        <v>36</v>
      </c>
      <c r="C52" s="3" t="s">
        <v>40</v>
      </c>
      <c r="D52" s="3" t="s">
        <v>41</v>
      </c>
      <c r="E52" s="3" t="s">
        <v>39</v>
      </c>
      <c r="F52" s="3" t="s">
        <v>140</v>
      </c>
      <c r="G52" s="3">
        <v>2023</v>
      </c>
      <c r="H52" s="3" t="str">
        <f>CONCATENATE("34240408582")</f>
        <v>34240408582</v>
      </c>
      <c r="I52" s="3" t="s">
        <v>30</v>
      </c>
      <c r="J52" s="3" t="s">
        <v>31</v>
      </c>
      <c r="K52" s="3" t="str">
        <f t="shared" si="7"/>
        <v/>
      </c>
      <c r="L52" s="3" t="str">
        <f t="shared" ref="L52:L57" si="8">CONCATENATE("11 11.2 4b")</f>
        <v>11 11.2 4b</v>
      </c>
      <c r="M52" s="3" t="str">
        <f>CONCATENATE("RMTGMR98E12D488C")</f>
        <v>RMTGMR98E12D488C</v>
      </c>
      <c r="N52" s="3" t="s">
        <v>141</v>
      </c>
      <c r="O52" s="3" t="s">
        <v>118</v>
      </c>
      <c r="P52" s="4">
        <v>45282</v>
      </c>
      <c r="Q52" s="3" t="s">
        <v>32</v>
      </c>
      <c r="R52" s="3" t="s">
        <v>38</v>
      </c>
      <c r="S52" s="3" t="s">
        <v>34</v>
      </c>
      <c r="T52" s="3"/>
      <c r="U52" s="3" t="s">
        <v>35</v>
      </c>
      <c r="V52" s="3">
        <v>375.94</v>
      </c>
      <c r="W52" s="3">
        <v>162.11000000000001</v>
      </c>
      <c r="X52" s="3">
        <v>149.69999999999999</v>
      </c>
      <c r="Y52" s="3">
        <v>0</v>
      </c>
      <c r="Z52" s="3">
        <v>64.13</v>
      </c>
    </row>
    <row r="53" spans="1:26" ht="42.75" x14ac:dyDescent="0.25">
      <c r="A53" s="3" t="s">
        <v>27</v>
      </c>
      <c r="B53" s="3" t="s">
        <v>36</v>
      </c>
      <c r="C53" s="3" t="s">
        <v>40</v>
      </c>
      <c r="D53" s="3" t="s">
        <v>41</v>
      </c>
      <c r="E53" s="3" t="s">
        <v>39</v>
      </c>
      <c r="F53" s="3" t="s">
        <v>142</v>
      </c>
      <c r="G53" s="3">
        <v>2023</v>
      </c>
      <c r="H53" s="3" t="str">
        <f>CONCATENATE("34240628692")</f>
        <v>34240628692</v>
      </c>
      <c r="I53" s="3" t="s">
        <v>30</v>
      </c>
      <c r="J53" s="3" t="s">
        <v>31</v>
      </c>
      <c r="K53" s="3" t="str">
        <f t="shared" si="7"/>
        <v/>
      </c>
      <c r="L53" s="3" t="str">
        <f t="shared" si="8"/>
        <v>11 11.2 4b</v>
      </c>
      <c r="M53" s="3" t="str">
        <f>CONCATENATE("GRRMSM69C15F135K")</f>
        <v>GRRMSM69C15F135K</v>
      </c>
      <c r="N53" s="3" t="s">
        <v>143</v>
      </c>
      <c r="O53" s="3" t="s">
        <v>118</v>
      </c>
      <c r="P53" s="4">
        <v>45282</v>
      </c>
      <c r="Q53" s="3" t="s">
        <v>32</v>
      </c>
      <c r="R53" s="3" t="s">
        <v>38</v>
      </c>
      <c r="S53" s="3" t="s">
        <v>34</v>
      </c>
      <c r="T53" s="3"/>
      <c r="U53" s="3" t="s">
        <v>35</v>
      </c>
      <c r="V53" s="5">
        <v>2265.17</v>
      </c>
      <c r="W53" s="3">
        <v>976.74</v>
      </c>
      <c r="X53" s="3">
        <v>901.99</v>
      </c>
      <c r="Y53" s="3">
        <v>0</v>
      </c>
      <c r="Z53" s="3">
        <v>386.44</v>
      </c>
    </row>
    <row r="54" spans="1:26" ht="26.25" x14ac:dyDescent="0.25">
      <c r="A54" s="3" t="s">
        <v>27</v>
      </c>
      <c r="B54" s="3" t="s">
        <v>36</v>
      </c>
      <c r="C54" s="3" t="s">
        <v>40</v>
      </c>
      <c r="D54" s="3" t="s">
        <v>68</v>
      </c>
      <c r="E54" s="3" t="s">
        <v>54</v>
      </c>
      <c r="F54" s="3" t="s">
        <v>144</v>
      </c>
      <c r="G54" s="3">
        <v>2023</v>
      </c>
      <c r="H54" s="3" t="str">
        <f>CONCATENATE("34240292473")</f>
        <v>34240292473</v>
      </c>
      <c r="I54" s="3" t="s">
        <v>30</v>
      </c>
      <c r="J54" s="3" t="s">
        <v>31</v>
      </c>
      <c r="K54" s="3" t="str">
        <f t="shared" si="7"/>
        <v/>
      </c>
      <c r="L54" s="3" t="str">
        <f t="shared" si="8"/>
        <v>11 11.2 4b</v>
      </c>
      <c r="M54" s="3" t="str">
        <f>CONCATENATE("02758090423")</f>
        <v>02758090423</v>
      </c>
      <c r="N54" s="3" t="s">
        <v>145</v>
      </c>
      <c r="O54" s="3" t="s">
        <v>118</v>
      </c>
      <c r="P54" s="4">
        <v>45282</v>
      </c>
      <c r="Q54" s="3" t="s">
        <v>32</v>
      </c>
      <c r="R54" s="3" t="s">
        <v>38</v>
      </c>
      <c r="S54" s="3" t="s">
        <v>34</v>
      </c>
      <c r="T54" s="3"/>
      <c r="U54" s="3" t="s">
        <v>35</v>
      </c>
      <c r="V54" s="3">
        <v>149.6</v>
      </c>
      <c r="W54" s="3">
        <v>64.510000000000005</v>
      </c>
      <c r="X54" s="3">
        <v>59.57</v>
      </c>
      <c r="Y54" s="3">
        <v>0</v>
      </c>
      <c r="Z54" s="3">
        <v>25.52</v>
      </c>
    </row>
    <row r="55" spans="1:26" ht="26.25" x14ac:dyDescent="0.25">
      <c r="A55" s="3" t="s">
        <v>27</v>
      </c>
      <c r="B55" s="3" t="s">
        <v>36</v>
      </c>
      <c r="C55" s="3" t="s">
        <v>40</v>
      </c>
      <c r="D55" s="3" t="s">
        <v>68</v>
      </c>
      <c r="E55" s="3" t="s">
        <v>54</v>
      </c>
      <c r="F55" s="3" t="s">
        <v>144</v>
      </c>
      <c r="G55" s="3">
        <v>2023</v>
      </c>
      <c r="H55" s="3" t="str">
        <f>CONCATENATE("34240293182")</f>
        <v>34240293182</v>
      </c>
      <c r="I55" s="3" t="s">
        <v>30</v>
      </c>
      <c r="J55" s="3" t="s">
        <v>31</v>
      </c>
      <c r="K55" s="3" t="str">
        <f t="shared" si="7"/>
        <v/>
      </c>
      <c r="L55" s="3" t="str">
        <f t="shared" si="8"/>
        <v>11 11.2 4b</v>
      </c>
      <c r="M55" s="3" t="str">
        <f>CONCATENATE("02758090423")</f>
        <v>02758090423</v>
      </c>
      <c r="N55" s="3" t="s">
        <v>145</v>
      </c>
      <c r="O55" s="3" t="s">
        <v>118</v>
      </c>
      <c r="P55" s="4">
        <v>45282</v>
      </c>
      <c r="Q55" s="3" t="s">
        <v>32</v>
      </c>
      <c r="R55" s="3" t="s">
        <v>38</v>
      </c>
      <c r="S55" s="3" t="s">
        <v>34</v>
      </c>
      <c r="T55" s="3"/>
      <c r="U55" s="3" t="s">
        <v>35</v>
      </c>
      <c r="V55" s="3">
        <v>253.91</v>
      </c>
      <c r="W55" s="3">
        <v>109.49</v>
      </c>
      <c r="X55" s="3">
        <v>101.11</v>
      </c>
      <c r="Y55" s="3">
        <v>0</v>
      </c>
      <c r="Z55" s="3">
        <v>43.31</v>
      </c>
    </row>
    <row r="56" spans="1:26" ht="34.5" x14ac:dyDescent="0.25">
      <c r="A56" s="3" t="s">
        <v>27</v>
      </c>
      <c r="B56" s="3" t="s">
        <v>36</v>
      </c>
      <c r="C56" s="3" t="s">
        <v>40</v>
      </c>
      <c r="D56" s="3" t="s">
        <v>68</v>
      </c>
      <c r="E56" s="3" t="s">
        <v>55</v>
      </c>
      <c r="F56" s="3" t="s">
        <v>146</v>
      </c>
      <c r="G56" s="3">
        <v>2023</v>
      </c>
      <c r="H56" s="3" t="str">
        <f>CONCATENATE("34240585405")</f>
        <v>34240585405</v>
      </c>
      <c r="I56" s="3" t="s">
        <v>30</v>
      </c>
      <c r="J56" s="3" t="s">
        <v>31</v>
      </c>
      <c r="K56" s="3" t="str">
        <f t="shared" si="7"/>
        <v/>
      </c>
      <c r="L56" s="3" t="str">
        <f t="shared" si="8"/>
        <v>11 11.2 4b</v>
      </c>
      <c r="M56" s="3" t="str">
        <f>CONCATENATE("BLDDGI90S25A271A")</f>
        <v>BLDDGI90S25A271A</v>
      </c>
      <c r="N56" s="3" t="s">
        <v>147</v>
      </c>
      <c r="O56" s="3" t="s">
        <v>118</v>
      </c>
      <c r="P56" s="4">
        <v>45282</v>
      </c>
      <c r="Q56" s="3" t="s">
        <v>32</v>
      </c>
      <c r="R56" s="3" t="s">
        <v>38</v>
      </c>
      <c r="S56" s="3" t="s">
        <v>34</v>
      </c>
      <c r="T56" s="3"/>
      <c r="U56" s="3" t="s">
        <v>35</v>
      </c>
      <c r="V56" s="3">
        <v>500.79</v>
      </c>
      <c r="W56" s="3">
        <v>215.94</v>
      </c>
      <c r="X56" s="3">
        <v>199.41</v>
      </c>
      <c r="Y56" s="3">
        <v>0</v>
      </c>
      <c r="Z56" s="3">
        <v>85.44</v>
      </c>
    </row>
    <row r="57" spans="1:26" ht="34.5" x14ac:dyDescent="0.25">
      <c r="A57" s="3" t="s">
        <v>27</v>
      </c>
      <c r="B57" s="3" t="s">
        <v>36</v>
      </c>
      <c r="C57" s="3" t="s">
        <v>40</v>
      </c>
      <c r="D57" s="3" t="s">
        <v>41</v>
      </c>
      <c r="E57" s="3" t="s">
        <v>39</v>
      </c>
      <c r="F57" s="3" t="s">
        <v>142</v>
      </c>
      <c r="G57" s="3">
        <v>2023</v>
      </c>
      <c r="H57" s="3" t="str">
        <f>CONCATENATE("34240364363")</f>
        <v>34240364363</v>
      </c>
      <c r="I57" s="3" t="s">
        <v>30</v>
      </c>
      <c r="J57" s="3" t="s">
        <v>31</v>
      </c>
      <c r="K57" s="3" t="str">
        <f t="shared" si="7"/>
        <v/>
      </c>
      <c r="L57" s="3" t="str">
        <f t="shared" si="8"/>
        <v>11 11.2 4b</v>
      </c>
      <c r="M57" s="3" t="str">
        <f>CONCATENATE("PLNGFR56B28D541A")</f>
        <v>PLNGFR56B28D541A</v>
      </c>
      <c r="N57" s="3" t="s">
        <v>148</v>
      </c>
      <c r="O57" s="3" t="s">
        <v>118</v>
      </c>
      <c r="P57" s="4">
        <v>45282</v>
      </c>
      <c r="Q57" s="3" t="s">
        <v>32</v>
      </c>
      <c r="R57" s="3" t="s">
        <v>38</v>
      </c>
      <c r="S57" s="3" t="s">
        <v>34</v>
      </c>
      <c r="T57" s="3"/>
      <c r="U57" s="3" t="s">
        <v>35</v>
      </c>
      <c r="V57" s="5">
        <v>1919.52</v>
      </c>
      <c r="W57" s="3">
        <v>827.7</v>
      </c>
      <c r="X57" s="3">
        <v>764.35</v>
      </c>
      <c r="Y57" s="3">
        <v>0</v>
      </c>
      <c r="Z57" s="3">
        <v>327.47000000000003</v>
      </c>
    </row>
    <row r="58" spans="1:26" ht="34.5" x14ac:dyDescent="0.25">
      <c r="A58" s="3" t="s">
        <v>27</v>
      </c>
      <c r="B58" s="3" t="s">
        <v>28</v>
      </c>
      <c r="C58" s="3" t="s">
        <v>40</v>
      </c>
      <c r="D58" s="3" t="s">
        <v>41</v>
      </c>
      <c r="E58" s="3" t="s">
        <v>39</v>
      </c>
      <c r="F58" s="3" t="s">
        <v>149</v>
      </c>
      <c r="G58" s="3">
        <v>2017</v>
      </c>
      <c r="H58" s="3" t="str">
        <f>CONCATENATE("34270420101")</f>
        <v>34270420101</v>
      </c>
      <c r="I58" s="3" t="s">
        <v>30</v>
      </c>
      <c r="J58" s="3" t="s">
        <v>31</v>
      </c>
      <c r="K58" s="3" t="str">
        <f t="shared" si="7"/>
        <v/>
      </c>
      <c r="L58" s="3" t="str">
        <f>CONCATENATE("6 6.4 2a")</f>
        <v>6 6.4 2a</v>
      </c>
      <c r="M58" s="3" t="str">
        <f>CONCATENATE("FTTSMN98H29I156K")</f>
        <v>FTTSMN98H29I156K</v>
      </c>
      <c r="N58" s="3" t="s">
        <v>150</v>
      </c>
      <c r="O58" s="3" t="s">
        <v>151</v>
      </c>
      <c r="P58" s="4">
        <v>45282</v>
      </c>
      <c r="Q58" s="3" t="s">
        <v>32</v>
      </c>
      <c r="R58" s="3" t="s">
        <v>38</v>
      </c>
      <c r="S58" s="3" t="s">
        <v>34</v>
      </c>
      <c r="T58" s="3"/>
      <c r="U58" s="3" t="s">
        <v>35</v>
      </c>
      <c r="V58" s="5">
        <v>101828.86</v>
      </c>
      <c r="W58" s="5">
        <v>43908.6</v>
      </c>
      <c r="X58" s="5">
        <v>40548.25</v>
      </c>
      <c r="Y58" s="3">
        <v>0</v>
      </c>
      <c r="Z58" s="5">
        <v>17372.009999999998</v>
      </c>
    </row>
    <row r="59" spans="1:26" ht="34.5" x14ac:dyDescent="0.25">
      <c r="A59" s="3" t="s">
        <v>27</v>
      </c>
      <c r="B59" s="3" t="s">
        <v>28</v>
      </c>
      <c r="C59" s="3" t="s">
        <v>40</v>
      </c>
      <c r="D59" s="3" t="s">
        <v>41</v>
      </c>
      <c r="E59" s="3" t="s">
        <v>39</v>
      </c>
      <c r="F59" s="3" t="s">
        <v>149</v>
      </c>
      <c r="G59" s="3">
        <v>2017</v>
      </c>
      <c r="H59" s="3" t="str">
        <f>CONCATENATE("34270420135")</f>
        <v>34270420135</v>
      </c>
      <c r="I59" s="3" t="s">
        <v>30</v>
      </c>
      <c r="J59" s="3" t="s">
        <v>31</v>
      </c>
      <c r="K59" s="3" t="str">
        <f t="shared" si="7"/>
        <v/>
      </c>
      <c r="L59" s="3" t="str">
        <f>CONCATENATE("4 4.1 2a")</f>
        <v>4 4.1 2a</v>
      </c>
      <c r="M59" s="3" t="str">
        <f>CONCATENATE("FTTSMN98H29I156K")</f>
        <v>FTTSMN98H29I156K</v>
      </c>
      <c r="N59" s="3" t="s">
        <v>150</v>
      </c>
      <c r="O59" s="3" t="s">
        <v>152</v>
      </c>
      <c r="P59" s="4">
        <v>45282</v>
      </c>
      <c r="Q59" s="3" t="s">
        <v>32</v>
      </c>
      <c r="R59" s="3" t="s">
        <v>38</v>
      </c>
      <c r="S59" s="3" t="s">
        <v>34</v>
      </c>
      <c r="T59" s="3"/>
      <c r="U59" s="3" t="s">
        <v>35</v>
      </c>
      <c r="V59" s="5">
        <v>250000</v>
      </c>
      <c r="W59" s="5">
        <v>107800</v>
      </c>
      <c r="X59" s="5">
        <v>99550</v>
      </c>
      <c r="Y59" s="3">
        <v>0</v>
      </c>
      <c r="Z59" s="5">
        <v>42650</v>
      </c>
    </row>
    <row r="60" spans="1:26" ht="26.25" x14ac:dyDescent="0.25">
      <c r="A60" s="3" t="s">
        <v>27</v>
      </c>
      <c r="B60" s="3" t="s">
        <v>28</v>
      </c>
      <c r="C60" s="3" t="s">
        <v>40</v>
      </c>
      <c r="D60" s="3" t="s">
        <v>76</v>
      </c>
      <c r="E60" s="3" t="s">
        <v>29</v>
      </c>
      <c r="F60" s="3" t="s">
        <v>29</v>
      </c>
      <c r="G60" s="3">
        <v>2017</v>
      </c>
      <c r="H60" s="3" t="str">
        <f>CONCATENATE("34270417354")</f>
        <v>34270417354</v>
      </c>
      <c r="I60" s="3" t="s">
        <v>30</v>
      </c>
      <c r="J60" s="3" t="s">
        <v>31</v>
      </c>
      <c r="K60" s="3" t="str">
        <f t="shared" si="7"/>
        <v/>
      </c>
      <c r="L60" s="3" t="str">
        <f>CONCATENATE("4 4.1 2a")</f>
        <v>4 4.1 2a</v>
      </c>
      <c r="M60" s="3" t="str">
        <f>CONCATENATE("01141480432")</f>
        <v>01141480432</v>
      </c>
      <c r="N60" s="3" t="s">
        <v>153</v>
      </c>
      <c r="O60" s="3" t="s">
        <v>154</v>
      </c>
      <c r="P60" s="4">
        <v>45282</v>
      </c>
      <c r="Q60" s="3" t="s">
        <v>32</v>
      </c>
      <c r="R60" s="3" t="s">
        <v>38</v>
      </c>
      <c r="S60" s="3" t="s">
        <v>34</v>
      </c>
      <c r="T60" s="3"/>
      <c r="U60" s="3" t="s">
        <v>35</v>
      </c>
      <c r="V60" s="5">
        <v>530195.54</v>
      </c>
      <c r="W60" s="5">
        <v>228620.32</v>
      </c>
      <c r="X60" s="5">
        <v>211123.86</v>
      </c>
      <c r="Y60" s="3">
        <v>0</v>
      </c>
      <c r="Z60" s="5">
        <v>90451.36</v>
      </c>
    </row>
    <row r="61" spans="1:26" ht="26.25" x14ac:dyDescent="0.25">
      <c r="A61" s="3" t="s">
        <v>27</v>
      </c>
      <c r="B61" s="3" t="s">
        <v>28</v>
      </c>
      <c r="C61" s="3" t="s">
        <v>40</v>
      </c>
      <c r="D61" s="3" t="s">
        <v>46</v>
      </c>
      <c r="E61" s="3" t="s">
        <v>29</v>
      </c>
      <c r="F61" s="3" t="s">
        <v>29</v>
      </c>
      <c r="G61" s="3">
        <v>2017</v>
      </c>
      <c r="H61" s="3" t="str">
        <f>CONCATENATE("34270416430")</f>
        <v>34270416430</v>
      </c>
      <c r="I61" s="3" t="s">
        <v>30</v>
      </c>
      <c r="J61" s="3" t="s">
        <v>31</v>
      </c>
      <c r="K61" s="3" t="str">
        <f t="shared" ref="K61:K72" si="9">CONCATENATE("")</f>
        <v/>
      </c>
      <c r="L61" s="3" t="str">
        <f>CONCATENATE("4 4.3 5a")</f>
        <v>4 4.3 5a</v>
      </c>
      <c r="M61" s="3" t="str">
        <f>CONCATENATE("92049990416")</f>
        <v>92049990416</v>
      </c>
      <c r="N61" s="3" t="s">
        <v>66</v>
      </c>
      <c r="O61" s="3" t="s">
        <v>155</v>
      </c>
      <c r="P61" s="4">
        <v>45282</v>
      </c>
      <c r="Q61" s="3" t="s">
        <v>32</v>
      </c>
      <c r="R61" s="3" t="s">
        <v>45</v>
      </c>
      <c r="S61" s="3" t="s">
        <v>34</v>
      </c>
      <c r="T61" s="3"/>
      <c r="U61" s="3" t="s">
        <v>35</v>
      </c>
      <c r="V61" s="5">
        <v>898169.24</v>
      </c>
      <c r="W61" s="5">
        <v>387290.58</v>
      </c>
      <c r="X61" s="5">
        <v>357650.99</v>
      </c>
      <c r="Y61" s="3">
        <v>0</v>
      </c>
      <c r="Z61" s="5">
        <v>153227.67000000001</v>
      </c>
    </row>
    <row r="62" spans="1:26" ht="42.75" x14ac:dyDescent="0.25">
      <c r="A62" s="3" t="s">
        <v>27</v>
      </c>
      <c r="B62" s="3" t="s">
        <v>28</v>
      </c>
      <c r="C62" s="3" t="s">
        <v>40</v>
      </c>
      <c r="D62" s="3" t="s">
        <v>46</v>
      </c>
      <c r="E62" s="3" t="s">
        <v>59</v>
      </c>
      <c r="F62" s="3" t="s">
        <v>156</v>
      </c>
      <c r="G62" s="3">
        <v>2017</v>
      </c>
      <c r="H62" s="3" t="str">
        <f>CONCATENATE("34270420119")</f>
        <v>34270420119</v>
      </c>
      <c r="I62" s="3" t="s">
        <v>30</v>
      </c>
      <c r="J62" s="3" t="s">
        <v>31</v>
      </c>
      <c r="K62" s="3" t="str">
        <f t="shared" si="9"/>
        <v/>
      </c>
      <c r="L62" s="3" t="str">
        <f>CONCATENATE("4 4.1 2a")</f>
        <v>4 4.1 2a</v>
      </c>
      <c r="M62" s="3" t="str">
        <f>CONCATENATE("MRCLNR86R57A252C")</f>
        <v>MRCLNR86R57A252C</v>
      </c>
      <c r="N62" s="3" t="s">
        <v>157</v>
      </c>
      <c r="O62" s="3" t="s">
        <v>152</v>
      </c>
      <c r="P62" s="4">
        <v>45282</v>
      </c>
      <c r="Q62" s="3" t="s">
        <v>32</v>
      </c>
      <c r="R62" s="3" t="s">
        <v>38</v>
      </c>
      <c r="S62" s="3" t="s">
        <v>34</v>
      </c>
      <c r="T62" s="3"/>
      <c r="U62" s="3" t="s">
        <v>35</v>
      </c>
      <c r="V62" s="5">
        <v>66942.44</v>
      </c>
      <c r="W62" s="5">
        <v>28865.58</v>
      </c>
      <c r="X62" s="5">
        <v>26656.48</v>
      </c>
      <c r="Y62" s="3">
        <v>0</v>
      </c>
      <c r="Z62" s="5">
        <v>11420.38</v>
      </c>
    </row>
    <row r="63" spans="1:26" ht="34.5" x14ac:dyDescent="0.25">
      <c r="A63" s="3" t="s">
        <v>27</v>
      </c>
      <c r="B63" s="3" t="s">
        <v>28</v>
      </c>
      <c r="C63" s="3" t="s">
        <v>40</v>
      </c>
      <c r="D63" s="3" t="s">
        <v>46</v>
      </c>
      <c r="E63" s="3" t="s">
        <v>54</v>
      </c>
      <c r="F63" s="3" t="s">
        <v>158</v>
      </c>
      <c r="G63" s="3">
        <v>2017</v>
      </c>
      <c r="H63" s="3" t="str">
        <f>CONCATENATE("34270420143")</f>
        <v>34270420143</v>
      </c>
      <c r="I63" s="3" t="s">
        <v>30</v>
      </c>
      <c r="J63" s="3" t="s">
        <v>31</v>
      </c>
      <c r="K63" s="3" t="str">
        <f t="shared" si="9"/>
        <v/>
      </c>
      <c r="L63" s="3" t="str">
        <f>CONCATENATE("4 4.1 2a")</f>
        <v>4 4.1 2a</v>
      </c>
      <c r="M63" s="3" t="str">
        <f>CONCATENATE("DDULLI85P61Z138Z")</f>
        <v>DDULLI85P61Z138Z</v>
      </c>
      <c r="N63" s="3" t="s">
        <v>159</v>
      </c>
      <c r="O63" s="3" t="s">
        <v>152</v>
      </c>
      <c r="P63" s="4">
        <v>45282</v>
      </c>
      <c r="Q63" s="3" t="s">
        <v>32</v>
      </c>
      <c r="R63" s="3" t="s">
        <v>38</v>
      </c>
      <c r="S63" s="3" t="s">
        <v>34</v>
      </c>
      <c r="T63" s="3"/>
      <c r="U63" s="3" t="s">
        <v>35</v>
      </c>
      <c r="V63" s="5">
        <v>17860.099999999999</v>
      </c>
      <c r="W63" s="5">
        <v>7701.28</v>
      </c>
      <c r="X63" s="5">
        <v>7111.89</v>
      </c>
      <c r="Y63" s="3">
        <v>0</v>
      </c>
      <c r="Z63" s="5">
        <v>3046.93</v>
      </c>
    </row>
    <row r="64" spans="1:26" ht="42.75" x14ac:dyDescent="0.25">
      <c r="A64" s="3" t="s">
        <v>27</v>
      </c>
      <c r="B64" s="3" t="s">
        <v>28</v>
      </c>
      <c r="C64" s="3" t="s">
        <v>40</v>
      </c>
      <c r="D64" s="3" t="s">
        <v>68</v>
      </c>
      <c r="E64" s="3" t="s">
        <v>160</v>
      </c>
      <c r="F64" s="3" t="s">
        <v>161</v>
      </c>
      <c r="G64" s="3">
        <v>2017</v>
      </c>
      <c r="H64" s="3" t="str">
        <f>CONCATENATE("34270420234")</f>
        <v>34270420234</v>
      </c>
      <c r="I64" s="3" t="s">
        <v>30</v>
      </c>
      <c r="J64" s="3" t="s">
        <v>31</v>
      </c>
      <c r="K64" s="3" t="str">
        <f t="shared" si="9"/>
        <v/>
      </c>
      <c r="L64" s="3" t="str">
        <f>CONCATENATE("4 4.1 2a")</f>
        <v>4 4.1 2a</v>
      </c>
      <c r="M64" s="3" t="str">
        <f>CONCATENATE("MRTMRC86L29E388F")</f>
        <v>MRTMRC86L29E388F</v>
      </c>
      <c r="N64" s="3" t="s">
        <v>162</v>
      </c>
      <c r="O64" s="3" t="s">
        <v>152</v>
      </c>
      <c r="P64" s="4">
        <v>45282</v>
      </c>
      <c r="Q64" s="3" t="s">
        <v>32</v>
      </c>
      <c r="R64" s="3" t="s">
        <v>38</v>
      </c>
      <c r="S64" s="3" t="s">
        <v>34</v>
      </c>
      <c r="T64" s="3"/>
      <c r="U64" s="3" t="s">
        <v>35</v>
      </c>
      <c r="V64" s="5">
        <v>104634.91</v>
      </c>
      <c r="W64" s="5">
        <v>45118.57</v>
      </c>
      <c r="X64" s="5">
        <v>41665.620000000003</v>
      </c>
      <c r="Y64" s="3">
        <v>0</v>
      </c>
      <c r="Z64" s="5">
        <v>17850.72</v>
      </c>
    </row>
    <row r="65" spans="1:26" ht="26.25" x14ac:dyDescent="0.25">
      <c r="A65" s="3" t="s">
        <v>27</v>
      </c>
      <c r="B65" s="3" t="s">
        <v>28</v>
      </c>
      <c r="C65" s="3" t="s">
        <v>40</v>
      </c>
      <c r="D65" s="3" t="s">
        <v>41</v>
      </c>
      <c r="E65" s="3" t="s">
        <v>44</v>
      </c>
      <c r="F65" s="3" t="s">
        <v>99</v>
      </c>
      <c r="G65" s="3">
        <v>2017</v>
      </c>
      <c r="H65" s="3" t="str">
        <f>CONCATENATE("34270420127")</f>
        <v>34270420127</v>
      </c>
      <c r="I65" s="3" t="s">
        <v>30</v>
      </c>
      <c r="J65" s="3" t="s">
        <v>31</v>
      </c>
      <c r="K65" s="3" t="str">
        <f t="shared" si="9"/>
        <v/>
      </c>
      <c r="L65" s="3" t="str">
        <f>CONCATENATE("4 4.1 2a")</f>
        <v>4 4.1 2a</v>
      </c>
      <c r="M65" s="3" t="str">
        <f>CONCATENATE("01975910439")</f>
        <v>01975910439</v>
      </c>
      <c r="N65" s="3" t="s">
        <v>163</v>
      </c>
      <c r="O65" s="3" t="s">
        <v>152</v>
      </c>
      <c r="P65" s="4">
        <v>45282</v>
      </c>
      <c r="Q65" s="3" t="s">
        <v>32</v>
      </c>
      <c r="R65" s="3" t="s">
        <v>38</v>
      </c>
      <c r="S65" s="3" t="s">
        <v>34</v>
      </c>
      <c r="T65" s="3"/>
      <c r="U65" s="3" t="s">
        <v>35</v>
      </c>
      <c r="V65" s="5">
        <v>85464.26</v>
      </c>
      <c r="W65" s="5">
        <v>36852.19</v>
      </c>
      <c r="X65" s="5">
        <v>34031.870000000003</v>
      </c>
      <c r="Y65" s="3">
        <v>0</v>
      </c>
      <c r="Z65" s="5">
        <v>14580.2</v>
      </c>
    </row>
    <row r="66" spans="1:26" ht="34.5" x14ac:dyDescent="0.25">
      <c r="A66" s="3" t="s">
        <v>27</v>
      </c>
      <c r="B66" s="3" t="s">
        <v>28</v>
      </c>
      <c r="C66" s="3" t="s">
        <v>40</v>
      </c>
      <c r="D66" s="3" t="s">
        <v>68</v>
      </c>
      <c r="E66" s="3" t="s">
        <v>29</v>
      </c>
      <c r="F66" s="3" t="s">
        <v>29</v>
      </c>
      <c r="G66" s="3">
        <v>2017</v>
      </c>
      <c r="H66" s="3" t="str">
        <f>CONCATENATE("34270420150")</f>
        <v>34270420150</v>
      </c>
      <c r="I66" s="3" t="s">
        <v>30</v>
      </c>
      <c r="J66" s="3" t="s">
        <v>31</v>
      </c>
      <c r="K66" s="3" t="str">
        <f t="shared" si="9"/>
        <v/>
      </c>
      <c r="L66" s="3" t="str">
        <f>CONCATENATE("4 4.1 2a")</f>
        <v>4 4.1 2a</v>
      </c>
      <c r="M66" s="3" t="str">
        <f>CONCATENATE("STRCLL99C58D451C")</f>
        <v>STRCLL99C58D451C</v>
      </c>
      <c r="N66" s="3" t="s">
        <v>164</v>
      </c>
      <c r="O66" s="3" t="s">
        <v>152</v>
      </c>
      <c r="P66" s="4">
        <v>45282</v>
      </c>
      <c r="Q66" s="3" t="s">
        <v>32</v>
      </c>
      <c r="R66" s="3" t="s">
        <v>38</v>
      </c>
      <c r="S66" s="3" t="s">
        <v>34</v>
      </c>
      <c r="T66" s="3"/>
      <c r="U66" s="3" t="s">
        <v>35</v>
      </c>
      <c r="V66" s="5">
        <v>59366.82</v>
      </c>
      <c r="W66" s="5">
        <v>25598.97</v>
      </c>
      <c r="X66" s="5">
        <v>23639.87</v>
      </c>
      <c r="Y66" s="3">
        <v>0</v>
      </c>
      <c r="Z66" s="5">
        <v>10127.98</v>
      </c>
    </row>
    <row r="67" spans="1:26" ht="26.25" x14ac:dyDescent="0.25">
      <c r="A67" s="3" t="s">
        <v>27</v>
      </c>
      <c r="B67" s="3" t="s">
        <v>28</v>
      </c>
      <c r="C67" s="3" t="s">
        <v>40</v>
      </c>
      <c r="D67" s="3" t="s">
        <v>76</v>
      </c>
      <c r="E67" s="3" t="s">
        <v>29</v>
      </c>
      <c r="F67" s="3" t="s">
        <v>29</v>
      </c>
      <c r="G67" s="3">
        <v>2017</v>
      </c>
      <c r="H67" s="3" t="str">
        <f>CONCATENATE("34270412710")</f>
        <v>34270412710</v>
      </c>
      <c r="I67" s="3" t="s">
        <v>30</v>
      </c>
      <c r="J67" s="3" t="s">
        <v>31</v>
      </c>
      <c r="K67" s="3" t="str">
        <f t="shared" si="9"/>
        <v/>
      </c>
      <c r="L67" s="3" t="str">
        <f>CONCATENATE("4 4.3 2a")</f>
        <v>4 4.3 2a</v>
      </c>
      <c r="M67" s="3" t="str">
        <f>CONCATENATE("81000250431")</f>
        <v>81000250431</v>
      </c>
      <c r="N67" s="3" t="s">
        <v>165</v>
      </c>
      <c r="O67" s="3" t="s">
        <v>166</v>
      </c>
      <c r="P67" s="4">
        <v>45282</v>
      </c>
      <c r="Q67" s="3" t="s">
        <v>32</v>
      </c>
      <c r="R67" s="3" t="s">
        <v>38</v>
      </c>
      <c r="S67" s="3" t="s">
        <v>34</v>
      </c>
      <c r="T67" s="3"/>
      <c r="U67" s="3" t="s">
        <v>35</v>
      </c>
      <c r="V67" s="5">
        <v>89975.89</v>
      </c>
      <c r="W67" s="5">
        <v>38797.599999999999</v>
      </c>
      <c r="X67" s="5">
        <v>35828.400000000001</v>
      </c>
      <c r="Y67" s="3">
        <v>0</v>
      </c>
      <c r="Z67" s="5">
        <v>15349.89</v>
      </c>
    </row>
    <row r="68" spans="1:26" ht="26.25" x14ac:dyDescent="0.25">
      <c r="A68" s="3" t="s">
        <v>27</v>
      </c>
      <c r="B68" s="3" t="s">
        <v>28</v>
      </c>
      <c r="C68" s="3" t="s">
        <v>40</v>
      </c>
      <c r="D68" s="3" t="s">
        <v>68</v>
      </c>
      <c r="E68" s="3" t="s">
        <v>29</v>
      </c>
      <c r="F68" s="3" t="s">
        <v>29</v>
      </c>
      <c r="G68" s="3">
        <v>2017</v>
      </c>
      <c r="H68" s="3" t="str">
        <f>CONCATENATE("34270414583")</f>
        <v>34270414583</v>
      </c>
      <c r="I68" s="3" t="s">
        <v>30</v>
      </c>
      <c r="J68" s="3" t="s">
        <v>31</v>
      </c>
      <c r="K68" s="3" t="str">
        <f t="shared" si="9"/>
        <v/>
      </c>
      <c r="L68" s="3" t="str">
        <f>CONCATENATE("20 20.1 ")</f>
        <v xml:space="preserve">20 20.1 </v>
      </c>
      <c r="M68" s="3" t="str">
        <f>CONCATENATE("80008630420")</f>
        <v>80008630420</v>
      </c>
      <c r="N68" s="3" t="s">
        <v>167</v>
      </c>
      <c r="O68" s="3" t="s">
        <v>168</v>
      </c>
      <c r="P68" s="4">
        <v>45286</v>
      </c>
      <c r="Q68" s="3" t="s">
        <v>32</v>
      </c>
      <c r="R68" s="3" t="s">
        <v>38</v>
      </c>
      <c r="S68" s="3" t="s">
        <v>34</v>
      </c>
      <c r="T68" s="3"/>
      <c r="U68" s="3" t="s">
        <v>35</v>
      </c>
      <c r="V68" s="5">
        <v>257042.41</v>
      </c>
      <c r="W68" s="5">
        <v>110836.69</v>
      </c>
      <c r="X68" s="5">
        <v>102354.29</v>
      </c>
      <c r="Y68" s="3">
        <v>0</v>
      </c>
      <c r="Z68" s="5">
        <v>43851.43</v>
      </c>
    </row>
    <row r="69" spans="1:26" ht="26.25" x14ac:dyDescent="0.25">
      <c r="A69" s="3" t="s">
        <v>27</v>
      </c>
      <c r="B69" s="3" t="s">
        <v>28</v>
      </c>
      <c r="C69" s="3" t="s">
        <v>40</v>
      </c>
      <c r="D69" s="3"/>
      <c r="E69" s="3"/>
      <c r="F69" s="3"/>
      <c r="G69" s="3">
        <v>2017</v>
      </c>
      <c r="H69" s="3" t="str">
        <f>CONCATENATE("34270416703")</f>
        <v>34270416703</v>
      </c>
      <c r="I69" s="3" t="s">
        <v>30</v>
      </c>
      <c r="J69" s="3" t="s">
        <v>31</v>
      </c>
      <c r="K69" s="3" t="str">
        <f t="shared" si="9"/>
        <v/>
      </c>
      <c r="L69" s="3" t="str">
        <f>CONCATENATE("20 20.1 ")</f>
        <v xml:space="preserve">20 20.1 </v>
      </c>
      <c r="M69" s="3" t="str">
        <f>CONCATENATE("01491360424")</f>
        <v>01491360424</v>
      </c>
      <c r="N69" s="3" t="s">
        <v>169</v>
      </c>
      <c r="O69" s="3" t="s">
        <v>168</v>
      </c>
      <c r="P69" s="4">
        <v>45286</v>
      </c>
      <c r="Q69" s="3" t="s">
        <v>32</v>
      </c>
      <c r="R69" s="3" t="s">
        <v>38</v>
      </c>
      <c r="S69" s="3" t="s">
        <v>34</v>
      </c>
      <c r="T69" s="3"/>
      <c r="U69" s="3" t="s">
        <v>35</v>
      </c>
      <c r="V69" s="5">
        <v>117910.23</v>
      </c>
      <c r="W69" s="5">
        <v>50842.89</v>
      </c>
      <c r="X69" s="5">
        <v>46951.85</v>
      </c>
      <c r="Y69" s="3">
        <v>0</v>
      </c>
      <c r="Z69" s="5">
        <v>20115.490000000002</v>
      </c>
    </row>
    <row r="70" spans="1:26" ht="26.25" x14ac:dyDescent="0.25">
      <c r="A70" s="3" t="s">
        <v>27</v>
      </c>
      <c r="B70" s="3" t="s">
        <v>28</v>
      </c>
      <c r="C70" s="3" t="s">
        <v>40</v>
      </c>
      <c r="D70" s="3"/>
      <c r="E70" s="3"/>
      <c r="F70" s="3"/>
      <c r="G70" s="3">
        <v>2017</v>
      </c>
      <c r="H70" s="3" t="str">
        <f>CONCATENATE("34270420986")</f>
        <v>34270420986</v>
      </c>
      <c r="I70" s="3" t="s">
        <v>30</v>
      </c>
      <c r="J70" s="3" t="s">
        <v>31</v>
      </c>
      <c r="K70" s="3" t="str">
        <f t="shared" si="9"/>
        <v/>
      </c>
      <c r="L70" s="3" t="str">
        <f>CONCATENATE("20 20.1 ")</f>
        <v xml:space="preserve">20 20.1 </v>
      </c>
      <c r="M70" s="3" t="str">
        <f>CONCATENATE("01491360424")</f>
        <v>01491360424</v>
      </c>
      <c r="N70" s="3" t="s">
        <v>169</v>
      </c>
      <c r="O70" s="3" t="s">
        <v>168</v>
      </c>
      <c r="P70" s="4">
        <v>45286</v>
      </c>
      <c r="Q70" s="3" t="s">
        <v>32</v>
      </c>
      <c r="R70" s="3" t="s">
        <v>38</v>
      </c>
      <c r="S70" s="3" t="s">
        <v>34</v>
      </c>
      <c r="T70" s="3"/>
      <c r="U70" s="3" t="s">
        <v>35</v>
      </c>
      <c r="V70" s="5">
        <v>195431.28</v>
      </c>
      <c r="W70" s="5">
        <v>84269.97</v>
      </c>
      <c r="X70" s="5">
        <v>77820.740000000005</v>
      </c>
      <c r="Y70" s="3">
        <v>0</v>
      </c>
      <c r="Z70" s="5">
        <v>33340.57</v>
      </c>
    </row>
    <row r="71" spans="1:26" ht="26.25" x14ac:dyDescent="0.25">
      <c r="A71" s="3" t="s">
        <v>27</v>
      </c>
      <c r="B71" s="3" t="s">
        <v>28</v>
      </c>
      <c r="C71" s="3" t="s">
        <v>40</v>
      </c>
      <c r="D71" s="3" t="s">
        <v>46</v>
      </c>
      <c r="E71" s="3" t="s">
        <v>29</v>
      </c>
      <c r="F71" s="3" t="s">
        <v>29</v>
      </c>
      <c r="G71" s="3">
        <v>2017</v>
      </c>
      <c r="H71" s="3" t="str">
        <f>CONCATENATE("34270416232")</f>
        <v>34270416232</v>
      </c>
      <c r="I71" s="3" t="s">
        <v>30</v>
      </c>
      <c r="J71" s="3" t="s">
        <v>31</v>
      </c>
      <c r="K71" s="3" t="str">
        <f t="shared" si="9"/>
        <v/>
      </c>
      <c r="L71" s="3" t="str">
        <f>CONCATENATE("4 4.3 2a")</f>
        <v>4 4.3 2a</v>
      </c>
      <c r="M71" s="3" t="str">
        <f>CONCATENATE("00363500448")</f>
        <v>00363500448</v>
      </c>
      <c r="N71" s="3" t="s">
        <v>170</v>
      </c>
      <c r="O71" s="3" t="s">
        <v>171</v>
      </c>
      <c r="P71" s="4">
        <v>45282</v>
      </c>
      <c r="Q71" s="3" t="s">
        <v>32</v>
      </c>
      <c r="R71" s="3" t="s">
        <v>38</v>
      </c>
      <c r="S71" s="3" t="s">
        <v>34</v>
      </c>
      <c r="T71" s="3"/>
      <c r="U71" s="3" t="s">
        <v>35</v>
      </c>
      <c r="V71" s="5">
        <v>59832.56</v>
      </c>
      <c r="W71" s="5">
        <v>25799.8</v>
      </c>
      <c r="X71" s="5">
        <v>23825.33</v>
      </c>
      <c r="Y71" s="3">
        <v>0</v>
      </c>
      <c r="Z71" s="5">
        <v>10207.43</v>
      </c>
    </row>
    <row r="72" spans="1:26" ht="42.75" x14ac:dyDescent="0.25">
      <c r="A72" s="3" t="s">
        <v>27</v>
      </c>
      <c r="B72" s="3" t="s">
        <v>28</v>
      </c>
      <c r="C72" s="3" t="s">
        <v>40</v>
      </c>
      <c r="D72" s="3" t="s">
        <v>46</v>
      </c>
      <c r="E72" s="3" t="s">
        <v>29</v>
      </c>
      <c r="F72" s="3" t="s">
        <v>29</v>
      </c>
      <c r="G72" s="3">
        <v>2017</v>
      </c>
      <c r="H72" s="3" t="str">
        <f>CONCATENATE("34270416687")</f>
        <v>34270416687</v>
      </c>
      <c r="I72" s="3" t="s">
        <v>30</v>
      </c>
      <c r="J72" s="3" t="s">
        <v>31</v>
      </c>
      <c r="K72" s="3" t="str">
        <f t="shared" si="9"/>
        <v/>
      </c>
      <c r="L72" s="3" t="str">
        <f>CONCATENATE("6 6.1 2b")</f>
        <v>6 6.1 2b</v>
      </c>
      <c r="M72" s="3" t="str">
        <f>CONCATENATE("PGNSMN85R29H769C")</f>
        <v>PGNSMN85R29H769C</v>
      </c>
      <c r="N72" s="3" t="s">
        <v>172</v>
      </c>
      <c r="O72" s="3" t="s">
        <v>173</v>
      </c>
      <c r="P72" s="4">
        <v>45282</v>
      </c>
      <c r="Q72" s="3" t="s">
        <v>32</v>
      </c>
      <c r="R72" s="3" t="s">
        <v>45</v>
      </c>
      <c r="S72" s="3" t="s">
        <v>34</v>
      </c>
      <c r="T72" s="3"/>
      <c r="U72" s="3" t="s">
        <v>35</v>
      </c>
      <c r="V72" s="5">
        <v>35000</v>
      </c>
      <c r="W72" s="5">
        <v>15092</v>
      </c>
      <c r="X72" s="5">
        <v>13937</v>
      </c>
      <c r="Y72" s="3">
        <v>0</v>
      </c>
      <c r="Z72" s="5">
        <v>5971</v>
      </c>
    </row>
    <row r="73" spans="1:26" ht="34.5" x14ac:dyDescent="0.25">
      <c r="A73" s="3" t="s">
        <v>27</v>
      </c>
      <c r="B73" s="3" t="s">
        <v>36</v>
      </c>
      <c r="C73" s="3" t="s">
        <v>40</v>
      </c>
      <c r="D73" s="3" t="s">
        <v>41</v>
      </c>
      <c r="E73" s="3" t="s">
        <v>44</v>
      </c>
      <c r="F73" s="3" t="s">
        <v>174</v>
      </c>
      <c r="G73" s="3">
        <v>2023</v>
      </c>
      <c r="H73" s="3" t="str">
        <f>CONCATENATE("34240345966")</f>
        <v>34240345966</v>
      </c>
      <c r="I73" s="3" t="s">
        <v>30</v>
      </c>
      <c r="J73" s="3" t="s">
        <v>31</v>
      </c>
      <c r="K73" s="3" t="str">
        <f t="shared" ref="K73:K80" si="10">CONCATENATE("")</f>
        <v/>
      </c>
      <c r="L73" s="3" t="str">
        <f>CONCATENATE("11 11.2 4b")</f>
        <v>11 11.2 4b</v>
      </c>
      <c r="M73" s="3" t="str">
        <f>CONCATENATE("CLNNRC83M16I459C")</f>
        <v>CLNNRC83M16I459C</v>
      </c>
      <c r="N73" s="3" t="s">
        <v>175</v>
      </c>
      <c r="O73" s="3" t="s">
        <v>118</v>
      </c>
      <c r="P73" s="4">
        <v>45282</v>
      </c>
      <c r="Q73" s="3" t="s">
        <v>32</v>
      </c>
      <c r="R73" s="3" t="s">
        <v>38</v>
      </c>
      <c r="S73" s="3" t="s">
        <v>34</v>
      </c>
      <c r="T73" s="3"/>
      <c r="U73" s="3" t="s">
        <v>35</v>
      </c>
      <c r="V73" s="5">
        <v>5611.68</v>
      </c>
      <c r="W73" s="5">
        <v>2419.7600000000002</v>
      </c>
      <c r="X73" s="5">
        <v>2234.5700000000002</v>
      </c>
      <c r="Y73" s="3">
        <v>0</v>
      </c>
      <c r="Z73" s="3">
        <v>957.35</v>
      </c>
    </row>
    <row r="74" spans="1:26" ht="26.25" x14ac:dyDescent="0.25">
      <c r="A74" s="3" t="s">
        <v>27</v>
      </c>
      <c r="B74" s="3" t="s">
        <v>28</v>
      </c>
      <c r="C74" s="3" t="s">
        <v>40</v>
      </c>
      <c r="D74" s="3" t="s">
        <v>41</v>
      </c>
      <c r="E74" s="3" t="s">
        <v>67</v>
      </c>
      <c r="F74" s="3" t="s">
        <v>82</v>
      </c>
      <c r="G74" s="3">
        <v>2017</v>
      </c>
      <c r="H74" s="3" t="str">
        <f>CONCATENATE("34270419244")</f>
        <v>34270419244</v>
      </c>
      <c r="I74" s="3" t="s">
        <v>30</v>
      </c>
      <c r="J74" s="3" t="s">
        <v>31</v>
      </c>
      <c r="K74" s="3" t="str">
        <f t="shared" si="10"/>
        <v/>
      </c>
      <c r="L74" s="3" t="str">
        <f>CONCATENATE("4 4.1 2a")</f>
        <v>4 4.1 2a</v>
      </c>
      <c r="M74" s="3" t="str">
        <f>CONCATENATE("02761650411")</f>
        <v>02761650411</v>
      </c>
      <c r="N74" s="3" t="s">
        <v>83</v>
      </c>
      <c r="O74" s="3" t="s">
        <v>176</v>
      </c>
      <c r="P74" s="4">
        <v>45282</v>
      </c>
      <c r="Q74" s="3" t="s">
        <v>32</v>
      </c>
      <c r="R74" s="3" t="s">
        <v>38</v>
      </c>
      <c r="S74" s="3" t="s">
        <v>34</v>
      </c>
      <c r="T74" s="3"/>
      <c r="U74" s="3" t="s">
        <v>35</v>
      </c>
      <c r="V74" s="5">
        <v>76965.41</v>
      </c>
      <c r="W74" s="5">
        <v>33187.480000000003</v>
      </c>
      <c r="X74" s="5">
        <v>30647.63</v>
      </c>
      <c r="Y74" s="3">
        <v>0</v>
      </c>
      <c r="Z74" s="5">
        <v>13130.3</v>
      </c>
    </row>
    <row r="75" spans="1:26" ht="34.5" x14ac:dyDescent="0.25">
      <c r="A75" s="3" t="s">
        <v>27</v>
      </c>
      <c r="B75" s="3" t="s">
        <v>28</v>
      </c>
      <c r="C75" s="3" t="s">
        <v>40</v>
      </c>
      <c r="D75" s="3" t="s">
        <v>41</v>
      </c>
      <c r="E75" s="3" t="s">
        <v>39</v>
      </c>
      <c r="F75" s="3" t="s">
        <v>149</v>
      </c>
      <c r="G75" s="3">
        <v>2017</v>
      </c>
      <c r="H75" s="3" t="str">
        <f>CONCATENATE("34270420085")</f>
        <v>34270420085</v>
      </c>
      <c r="I75" s="3" t="s">
        <v>30</v>
      </c>
      <c r="J75" s="3" t="s">
        <v>31</v>
      </c>
      <c r="K75" s="3" t="str">
        <f t="shared" si="10"/>
        <v/>
      </c>
      <c r="L75" s="3" t="str">
        <f t="shared" ref="L75:L80" si="11">CONCATENATE("6 6.1 2b")</f>
        <v>6 6.1 2b</v>
      </c>
      <c r="M75" s="3" t="str">
        <f>CONCATENATE("FTTSMN98H29I156K")</f>
        <v>FTTSMN98H29I156K</v>
      </c>
      <c r="N75" s="3" t="s">
        <v>150</v>
      </c>
      <c r="O75" s="3" t="s">
        <v>177</v>
      </c>
      <c r="P75" s="4">
        <v>45282</v>
      </c>
      <c r="Q75" s="3" t="s">
        <v>32</v>
      </c>
      <c r="R75" s="3" t="s">
        <v>38</v>
      </c>
      <c r="S75" s="3" t="s">
        <v>34</v>
      </c>
      <c r="T75" s="3"/>
      <c r="U75" s="3" t="s">
        <v>35</v>
      </c>
      <c r="V75" s="5">
        <v>12000</v>
      </c>
      <c r="W75" s="5">
        <v>5174.3999999999996</v>
      </c>
      <c r="X75" s="5">
        <v>4778.3999999999996</v>
      </c>
      <c r="Y75" s="3">
        <v>0</v>
      </c>
      <c r="Z75" s="5">
        <v>2047.2</v>
      </c>
    </row>
    <row r="76" spans="1:26" ht="42.75" x14ac:dyDescent="0.25">
      <c r="A76" s="3" t="s">
        <v>27</v>
      </c>
      <c r="B76" s="3" t="s">
        <v>28</v>
      </c>
      <c r="C76" s="3" t="s">
        <v>40</v>
      </c>
      <c r="D76" s="3" t="s">
        <v>46</v>
      </c>
      <c r="E76" s="3" t="s">
        <v>59</v>
      </c>
      <c r="F76" s="3" t="s">
        <v>156</v>
      </c>
      <c r="G76" s="3">
        <v>2017</v>
      </c>
      <c r="H76" s="3" t="str">
        <f>CONCATENATE("34270420051")</f>
        <v>34270420051</v>
      </c>
      <c r="I76" s="3" t="s">
        <v>30</v>
      </c>
      <c r="J76" s="3" t="s">
        <v>31</v>
      </c>
      <c r="K76" s="3" t="str">
        <f t="shared" si="10"/>
        <v/>
      </c>
      <c r="L76" s="3" t="str">
        <f t="shared" si="11"/>
        <v>6 6.1 2b</v>
      </c>
      <c r="M76" s="3" t="str">
        <f>CONCATENATE("MRCLNR86R57A252C")</f>
        <v>MRCLNR86R57A252C</v>
      </c>
      <c r="N76" s="3" t="s">
        <v>157</v>
      </c>
      <c r="O76" s="3" t="s">
        <v>177</v>
      </c>
      <c r="P76" s="4">
        <v>45282</v>
      </c>
      <c r="Q76" s="3" t="s">
        <v>32</v>
      </c>
      <c r="R76" s="3" t="s">
        <v>38</v>
      </c>
      <c r="S76" s="3" t="s">
        <v>34</v>
      </c>
      <c r="T76" s="3"/>
      <c r="U76" s="3" t="s">
        <v>35</v>
      </c>
      <c r="V76" s="5">
        <v>18000</v>
      </c>
      <c r="W76" s="5">
        <v>7761.6</v>
      </c>
      <c r="X76" s="5">
        <v>7167.6</v>
      </c>
      <c r="Y76" s="3">
        <v>0</v>
      </c>
      <c r="Z76" s="5">
        <v>3070.8</v>
      </c>
    </row>
    <row r="77" spans="1:26" ht="42.75" x14ac:dyDescent="0.25">
      <c r="A77" s="3" t="s">
        <v>27</v>
      </c>
      <c r="B77" s="3" t="s">
        <v>28</v>
      </c>
      <c r="C77" s="3" t="s">
        <v>40</v>
      </c>
      <c r="D77" s="3" t="s">
        <v>68</v>
      </c>
      <c r="E77" s="3" t="s">
        <v>160</v>
      </c>
      <c r="F77" s="3" t="s">
        <v>161</v>
      </c>
      <c r="G77" s="3">
        <v>2017</v>
      </c>
      <c r="H77" s="3" t="str">
        <f>CONCATENATE("34270420044")</f>
        <v>34270420044</v>
      </c>
      <c r="I77" s="3" t="s">
        <v>30</v>
      </c>
      <c r="J77" s="3" t="s">
        <v>31</v>
      </c>
      <c r="K77" s="3" t="str">
        <f t="shared" si="10"/>
        <v/>
      </c>
      <c r="L77" s="3" t="str">
        <f t="shared" si="11"/>
        <v>6 6.1 2b</v>
      </c>
      <c r="M77" s="3" t="str">
        <f>CONCATENATE("MRTMRC86L29E388F")</f>
        <v>MRTMRC86L29E388F</v>
      </c>
      <c r="N77" s="3" t="s">
        <v>162</v>
      </c>
      <c r="O77" s="3" t="s">
        <v>177</v>
      </c>
      <c r="P77" s="4">
        <v>45282</v>
      </c>
      <c r="Q77" s="3" t="s">
        <v>32</v>
      </c>
      <c r="R77" s="3" t="s">
        <v>38</v>
      </c>
      <c r="S77" s="3" t="s">
        <v>34</v>
      </c>
      <c r="T77" s="3"/>
      <c r="U77" s="3" t="s">
        <v>35</v>
      </c>
      <c r="V77" s="5">
        <v>18000</v>
      </c>
      <c r="W77" s="5">
        <v>7761.6</v>
      </c>
      <c r="X77" s="5">
        <v>7167.6</v>
      </c>
      <c r="Y77" s="3">
        <v>0</v>
      </c>
      <c r="Z77" s="5">
        <v>3070.8</v>
      </c>
    </row>
    <row r="78" spans="1:26" ht="26.25" x14ac:dyDescent="0.25">
      <c r="A78" s="3" t="s">
        <v>27</v>
      </c>
      <c r="B78" s="3" t="s">
        <v>28</v>
      </c>
      <c r="C78" s="3" t="s">
        <v>40</v>
      </c>
      <c r="D78" s="3" t="s">
        <v>41</v>
      </c>
      <c r="E78" s="3" t="s">
        <v>44</v>
      </c>
      <c r="F78" s="3" t="s">
        <v>99</v>
      </c>
      <c r="G78" s="3">
        <v>2017</v>
      </c>
      <c r="H78" s="3" t="str">
        <f>CONCATENATE("34270420069")</f>
        <v>34270420069</v>
      </c>
      <c r="I78" s="3" t="s">
        <v>30</v>
      </c>
      <c r="J78" s="3" t="s">
        <v>31</v>
      </c>
      <c r="K78" s="3" t="str">
        <f t="shared" si="10"/>
        <v/>
      </c>
      <c r="L78" s="3" t="str">
        <f t="shared" si="11"/>
        <v>6 6.1 2b</v>
      </c>
      <c r="M78" s="3" t="str">
        <f>CONCATENATE("01975910439")</f>
        <v>01975910439</v>
      </c>
      <c r="N78" s="3" t="s">
        <v>163</v>
      </c>
      <c r="O78" s="3" t="s">
        <v>177</v>
      </c>
      <c r="P78" s="4">
        <v>45282</v>
      </c>
      <c r="Q78" s="3" t="s">
        <v>32</v>
      </c>
      <c r="R78" s="3" t="s">
        <v>38</v>
      </c>
      <c r="S78" s="3" t="s">
        <v>34</v>
      </c>
      <c r="T78" s="3"/>
      <c r="U78" s="3" t="s">
        <v>35</v>
      </c>
      <c r="V78" s="5">
        <v>18000</v>
      </c>
      <c r="W78" s="5">
        <v>7761.6</v>
      </c>
      <c r="X78" s="5">
        <v>7167.6</v>
      </c>
      <c r="Y78" s="3">
        <v>0</v>
      </c>
      <c r="Z78" s="5">
        <v>3070.8</v>
      </c>
    </row>
    <row r="79" spans="1:26" ht="34.5" x14ac:dyDescent="0.25">
      <c r="A79" s="3" t="s">
        <v>27</v>
      </c>
      <c r="B79" s="3" t="s">
        <v>28</v>
      </c>
      <c r="C79" s="3" t="s">
        <v>40</v>
      </c>
      <c r="D79" s="3" t="s">
        <v>68</v>
      </c>
      <c r="E79" s="3" t="s">
        <v>29</v>
      </c>
      <c r="F79" s="3" t="s">
        <v>29</v>
      </c>
      <c r="G79" s="3">
        <v>2017</v>
      </c>
      <c r="H79" s="3" t="str">
        <f>CONCATENATE("34270420077")</f>
        <v>34270420077</v>
      </c>
      <c r="I79" s="3" t="s">
        <v>30</v>
      </c>
      <c r="J79" s="3" t="s">
        <v>31</v>
      </c>
      <c r="K79" s="3" t="str">
        <f t="shared" si="10"/>
        <v/>
      </c>
      <c r="L79" s="3" t="str">
        <f t="shared" si="11"/>
        <v>6 6.1 2b</v>
      </c>
      <c r="M79" s="3" t="str">
        <f>CONCATENATE("STRCLL99C58D451C")</f>
        <v>STRCLL99C58D451C</v>
      </c>
      <c r="N79" s="3" t="s">
        <v>164</v>
      </c>
      <c r="O79" s="3" t="s">
        <v>177</v>
      </c>
      <c r="P79" s="4">
        <v>45282</v>
      </c>
      <c r="Q79" s="3" t="s">
        <v>32</v>
      </c>
      <c r="R79" s="3" t="s">
        <v>38</v>
      </c>
      <c r="S79" s="3" t="s">
        <v>34</v>
      </c>
      <c r="T79" s="3"/>
      <c r="U79" s="3" t="s">
        <v>35</v>
      </c>
      <c r="V79" s="5">
        <v>18000</v>
      </c>
      <c r="W79" s="5">
        <v>7761.6</v>
      </c>
      <c r="X79" s="5">
        <v>7167.6</v>
      </c>
      <c r="Y79" s="3">
        <v>0</v>
      </c>
      <c r="Z79" s="5">
        <v>3070.8</v>
      </c>
    </row>
    <row r="80" spans="1:26" ht="34.5" x14ac:dyDescent="0.25">
      <c r="A80" s="3" t="s">
        <v>27</v>
      </c>
      <c r="B80" s="3" t="s">
        <v>28</v>
      </c>
      <c r="C80" s="3" t="s">
        <v>40</v>
      </c>
      <c r="D80" s="3" t="s">
        <v>46</v>
      </c>
      <c r="E80" s="3" t="s">
        <v>54</v>
      </c>
      <c r="F80" s="3" t="s">
        <v>158</v>
      </c>
      <c r="G80" s="3">
        <v>2017</v>
      </c>
      <c r="H80" s="3" t="str">
        <f>CONCATENATE("34270420242")</f>
        <v>34270420242</v>
      </c>
      <c r="I80" s="3" t="s">
        <v>30</v>
      </c>
      <c r="J80" s="3" t="s">
        <v>31</v>
      </c>
      <c r="K80" s="3" t="str">
        <f t="shared" si="10"/>
        <v/>
      </c>
      <c r="L80" s="3" t="str">
        <f t="shared" si="11"/>
        <v>6 6.1 2b</v>
      </c>
      <c r="M80" s="3" t="str">
        <f>CONCATENATE("DDULLI85P61Z138Z")</f>
        <v>DDULLI85P61Z138Z</v>
      </c>
      <c r="N80" s="3" t="s">
        <v>159</v>
      </c>
      <c r="O80" s="3" t="s">
        <v>177</v>
      </c>
      <c r="P80" s="4">
        <v>45282</v>
      </c>
      <c r="Q80" s="3" t="s">
        <v>32</v>
      </c>
      <c r="R80" s="3" t="s">
        <v>38</v>
      </c>
      <c r="S80" s="3" t="s">
        <v>34</v>
      </c>
      <c r="T80" s="3"/>
      <c r="U80" s="3" t="s">
        <v>35</v>
      </c>
      <c r="V80" s="5">
        <v>18000</v>
      </c>
      <c r="W80" s="5">
        <v>7761.6</v>
      </c>
      <c r="X80" s="5">
        <v>7167.6</v>
      </c>
      <c r="Y80" s="3">
        <v>0</v>
      </c>
      <c r="Z80" s="5">
        <v>3070.8</v>
      </c>
    </row>
    <row r="81" spans="1:26" ht="26.25" x14ac:dyDescent="0.25">
      <c r="A81" s="3" t="s">
        <v>27</v>
      </c>
      <c r="B81" s="3" t="s">
        <v>36</v>
      </c>
      <c r="C81" s="3" t="s">
        <v>40</v>
      </c>
      <c r="D81" s="3" t="s">
        <v>68</v>
      </c>
      <c r="E81" s="3" t="s">
        <v>54</v>
      </c>
      <c r="F81" s="3" t="s">
        <v>144</v>
      </c>
      <c r="G81" s="3">
        <v>2022</v>
      </c>
      <c r="H81" s="3" t="str">
        <f>CONCATENATE("24241144807")</f>
        <v>24241144807</v>
      </c>
      <c r="I81" s="3" t="s">
        <v>49</v>
      </c>
      <c r="J81" s="3" t="s">
        <v>31</v>
      </c>
      <c r="K81" s="3" t="str">
        <f t="shared" ref="K81:K96" si="12">CONCATENATE("")</f>
        <v/>
      </c>
      <c r="L81" s="3" t="str">
        <f>CONCATENATE("10 10.1 4a")</f>
        <v>10 10.1 4a</v>
      </c>
      <c r="M81" s="3" t="str">
        <f>CONCATENATE("02758090423")</f>
        <v>02758090423</v>
      </c>
      <c r="N81" s="3" t="s">
        <v>145</v>
      </c>
      <c r="O81" s="3" t="s">
        <v>178</v>
      </c>
      <c r="P81" s="4">
        <v>45282</v>
      </c>
      <c r="Q81" s="3" t="s">
        <v>32</v>
      </c>
      <c r="R81" s="3" t="s">
        <v>38</v>
      </c>
      <c r="S81" s="3" t="s">
        <v>34</v>
      </c>
      <c r="T81" s="3"/>
      <c r="U81" s="3" t="s">
        <v>35</v>
      </c>
      <c r="V81" s="3">
        <v>41.39</v>
      </c>
      <c r="W81" s="3">
        <v>17.850000000000001</v>
      </c>
      <c r="X81" s="3">
        <v>16.48</v>
      </c>
      <c r="Y81" s="3">
        <v>0</v>
      </c>
      <c r="Z81" s="3">
        <v>7.06</v>
      </c>
    </row>
    <row r="82" spans="1:26" ht="34.5" x14ac:dyDescent="0.25">
      <c r="A82" s="3" t="s">
        <v>27</v>
      </c>
      <c r="B82" s="3" t="s">
        <v>36</v>
      </c>
      <c r="C82" s="3" t="s">
        <v>40</v>
      </c>
      <c r="D82" s="3" t="s">
        <v>68</v>
      </c>
      <c r="E82" s="3" t="s">
        <v>39</v>
      </c>
      <c r="F82" s="3" t="s">
        <v>179</v>
      </c>
      <c r="G82" s="3">
        <v>2023</v>
      </c>
      <c r="H82" s="3" t="str">
        <f>CONCATENATE("34240532696")</f>
        <v>34240532696</v>
      </c>
      <c r="I82" s="3" t="s">
        <v>30</v>
      </c>
      <c r="J82" s="3" t="s">
        <v>31</v>
      </c>
      <c r="K82" s="3" t="str">
        <f t="shared" si="12"/>
        <v/>
      </c>
      <c r="L82" s="3" t="str">
        <f>CONCATENATE("10 10.1 4a")</f>
        <v>10 10.1 4a</v>
      </c>
      <c r="M82" s="3" t="str">
        <f>CONCATENATE("SBBLCU79L21E388P")</f>
        <v>SBBLCU79L21E388P</v>
      </c>
      <c r="N82" s="3" t="s">
        <v>180</v>
      </c>
      <c r="O82" s="3" t="s">
        <v>178</v>
      </c>
      <c r="P82" s="4">
        <v>45282</v>
      </c>
      <c r="Q82" s="3" t="s">
        <v>32</v>
      </c>
      <c r="R82" s="3" t="s">
        <v>38</v>
      </c>
      <c r="S82" s="3" t="s">
        <v>34</v>
      </c>
      <c r="T82" s="3"/>
      <c r="U82" s="3" t="s">
        <v>35</v>
      </c>
      <c r="V82" s="5">
        <v>8655.08</v>
      </c>
      <c r="W82" s="5">
        <v>3732.07</v>
      </c>
      <c r="X82" s="5">
        <v>3446.45</v>
      </c>
      <c r="Y82" s="3">
        <v>0</v>
      </c>
      <c r="Z82" s="5">
        <v>1476.56</v>
      </c>
    </row>
    <row r="83" spans="1:26" ht="26.25" x14ac:dyDescent="0.25">
      <c r="A83" s="3" t="s">
        <v>27</v>
      </c>
      <c r="B83" s="3" t="s">
        <v>36</v>
      </c>
      <c r="C83" s="3" t="s">
        <v>40</v>
      </c>
      <c r="D83" s="3" t="s">
        <v>68</v>
      </c>
      <c r="E83" s="3" t="s">
        <v>54</v>
      </c>
      <c r="F83" s="3" t="s">
        <v>144</v>
      </c>
      <c r="G83" s="3">
        <v>2023</v>
      </c>
      <c r="H83" s="3" t="str">
        <f>CONCATENATE("34240291483")</f>
        <v>34240291483</v>
      </c>
      <c r="I83" s="3" t="s">
        <v>30</v>
      </c>
      <c r="J83" s="3" t="s">
        <v>31</v>
      </c>
      <c r="K83" s="3" t="str">
        <f t="shared" si="12"/>
        <v/>
      </c>
      <c r="L83" s="3" t="str">
        <f>CONCATENATE("10 10.1 4a")</f>
        <v>10 10.1 4a</v>
      </c>
      <c r="M83" s="3" t="str">
        <f>CONCATENATE("02758090423")</f>
        <v>02758090423</v>
      </c>
      <c r="N83" s="3" t="s">
        <v>145</v>
      </c>
      <c r="O83" s="3" t="s">
        <v>178</v>
      </c>
      <c r="P83" s="4">
        <v>45282</v>
      </c>
      <c r="Q83" s="3" t="s">
        <v>32</v>
      </c>
      <c r="R83" s="3" t="s">
        <v>38</v>
      </c>
      <c r="S83" s="3" t="s">
        <v>34</v>
      </c>
      <c r="T83" s="3"/>
      <c r="U83" s="3" t="s">
        <v>35</v>
      </c>
      <c r="V83" s="3">
        <v>712.52</v>
      </c>
      <c r="W83" s="3">
        <v>307.24</v>
      </c>
      <c r="X83" s="3">
        <v>283.73</v>
      </c>
      <c r="Y83" s="3">
        <v>0</v>
      </c>
      <c r="Z83" s="3">
        <v>121.55</v>
      </c>
    </row>
    <row r="84" spans="1:26" ht="26.25" x14ac:dyDescent="0.25">
      <c r="A84" s="3" t="s">
        <v>27</v>
      </c>
      <c r="B84" s="3" t="s">
        <v>36</v>
      </c>
      <c r="C84" s="3" t="s">
        <v>40</v>
      </c>
      <c r="D84" s="3" t="s">
        <v>41</v>
      </c>
      <c r="E84" s="3" t="s">
        <v>39</v>
      </c>
      <c r="F84" s="3" t="s">
        <v>181</v>
      </c>
      <c r="G84" s="3">
        <v>2023</v>
      </c>
      <c r="H84" s="3" t="str">
        <f>CONCATENATE("34240464734")</f>
        <v>34240464734</v>
      </c>
      <c r="I84" s="3" t="s">
        <v>30</v>
      </c>
      <c r="J84" s="3" t="s">
        <v>31</v>
      </c>
      <c r="K84" s="3" t="str">
        <f t="shared" si="12"/>
        <v/>
      </c>
      <c r="L84" s="3" t="str">
        <f>CONCATENATE("10 10.1 4a")</f>
        <v>10 10.1 4a</v>
      </c>
      <c r="M84" s="3" t="str">
        <f>CONCATENATE("02342680416")</f>
        <v>02342680416</v>
      </c>
      <c r="N84" s="3" t="s">
        <v>182</v>
      </c>
      <c r="O84" s="3" t="s">
        <v>178</v>
      </c>
      <c r="P84" s="4">
        <v>45282</v>
      </c>
      <c r="Q84" s="3" t="s">
        <v>32</v>
      </c>
      <c r="R84" s="3" t="s">
        <v>38</v>
      </c>
      <c r="S84" s="3" t="s">
        <v>34</v>
      </c>
      <c r="T84" s="3"/>
      <c r="U84" s="3" t="s">
        <v>35</v>
      </c>
      <c r="V84" s="5">
        <v>2464.08</v>
      </c>
      <c r="W84" s="5">
        <v>1062.51</v>
      </c>
      <c r="X84" s="3">
        <v>981.2</v>
      </c>
      <c r="Y84" s="3">
        <v>0</v>
      </c>
      <c r="Z84" s="3">
        <v>420.37</v>
      </c>
    </row>
    <row r="85" spans="1:26" ht="26.25" x14ac:dyDescent="0.25">
      <c r="A85" s="3" t="s">
        <v>27</v>
      </c>
      <c r="B85" s="3" t="s">
        <v>28</v>
      </c>
      <c r="C85" s="3" t="s">
        <v>40</v>
      </c>
      <c r="D85" s="3" t="s">
        <v>46</v>
      </c>
      <c r="E85" s="3" t="s">
        <v>29</v>
      </c>
      <c r="F85" s="3" t="s">
        <v>29</v>
      </c>
      <c r="G85" s="3">
        <v>2017</v>
      </c>
      <c r="H85" s="3" t="str">
        <f>CONCATENATE("34270416539")</f>
        <v>34270416539</v>
      </c>
      <c r="I85" s="3" t="s">
        <v>30</v>
      </c>
      <c r="J85" s="3" t="s">
        <v>31</v>
      </c>
      <c r="K85" s="3" t="str">
        <f t="shared" si="12"/>
        <v/>
      </c>
      <c r="L85" s="3" t="str">
        <f>CONCATENATE("4 4.1 2a")</f>
        <v>4 4.1 2a</v>
      </c>
      <c r="M85" s="3" t="str">
        <f>CONCATENATE("01237130446")</f>
        <v>01237130446</v>
      </c>
      <c r="N85" s="3" t="s">
        <v>183</v>
      </c>
      <c r="O85" s="3" t="s">
        <v>184</v>
      </c>
      <c r="P85" s="4">
        <v>45282</v>
      </c>
      <c r="Q85" s="3" t="s">
        <v>32</v>
      </c>
      <c r="R85" s="3" t="s">
        <v>45</v>
      </c>
      <c r="S85" s="3" t="s">
        <v>34</v>
      </c>
      <c r="T85" s="3"/>
      <c r="U85" s="3" t="s">
        <v>35</v>
      </c>
      <c r="V85" s="5">
        <v>60460.59</v>
      </c>
      <c r="W85" s="5">
        <v>26070.61</v>
      </c>
      <c r="X85" s="5">
        <v>24075.41</v>
      </c>
      <c r="Y85" s="3">
        <v>0</v>
      </c>
      <c r="Z85" s="5">
        <v>10314.57</v>
      </c>
    </row>
    <row r="86" spans="1:26" ht="26.25" x14ac:dyDescent="0.25">
      <c r="A86" s="3" t="s">
        <v>27</v>
      </c>
      <c r="B86" s="3" t="s">
        <v>28</v>
      </c>
      <c r="C86" s="3" t="s">
        <v>40</v>
      </c>
      <c r="D86" s="3" t="s">
        <v>46</v>
      </c>
      <c r="E86" s="3" t="s">
        <v>55</v>
      </c>
      <c r="F86" s="3" t="s">
        <v>95</v>
      </c>
      <c r="G86" s="3">
        <v>2017</v>
      </c>
      <c r="H86" s="3" t="str">
        <f>CONCATENATE("34270416570")</f>
        <v>34270416570</v>
      </c>
      <c r="I86" s="3" t="s">
        <v>49</v>
      </c>
      <c r="J86" s="3" t="s">
        <v>31</v>
      </c>
      <c r="K86" s="3" t="str">
        <f t="shared" si="12"/>
        <v/>
      </c>
      <c r="L86" s="3" t="str">
        <f>CONCATENATE("4 4.1 2a")</f>
        <v>4 4.1 2a</v>
      </c>
      <c r="M86" s="3" t="str">
        <f>CONCATENATE("01230310441")</f>
        <v>01230310441</v>
      </c>
      <c r="N86" s="3" t="s">
        <v>185</v>
      </c>
      <c r="O86" s="3" t="s">
        <v>184</v>
      </c>
      <c r="P86" s="4">
        <v>45282</v>
      </c>
      <c r="Q86" s="3" t="s">
        <v>32</v>
      </c>
      <c r="R86" s="3" t="s">
        <v>38</v>
      </c>
      <c r="S86" s="3" t="s">
        <v>34</v>
      </c>
      <c r="T86" s="3"/>
      <c r="U86" s="3" t="s">
        <v>35</v>
      </c>
      <c r="V86" s="5">
        <v>47672</v>
      </c>
      <c r="W86" s="5">
        <v>20556.169999999998</v>
      </c>
      <c r="X86" s="5">
        <v>18982.990000000002</v>
      </c>
      <c r="Y86" s="3">
        <v>0</v>
      </c>
      <c r="Z86" s="5">
        <v>8132.84</v>
      </c>
    </row>
    <row r="87" spans="1:26" ht="34.5" x14ac:dyDescent="0.25">
      <c r="A87" s="3" t="s">
        <v>27</v>
      </c>
      <c r="B87" s="3" t="s">
        <v>36</v>
      </c>
      <c r="C87" s="3" t="s">
        <v>40</v>
      </c>
      <c r="D87" s="3" t="s">
        <v>46</v>
      </c>
      <c r="E87" s="3" t="s">
        <v>39</v>
      </c>
      <c r="F87" s="3" t="s">
        <v>186</v>
      </c>
      <c r="G87" s="3">
        <v>2023</v>
      </c>
      <c r="H87" s="3" t="str">
        <f>CONCATENATE("34210064159")</f>
        <v>34210064159</v>
      </c>
      <c r="I87" s="3" t="s">
        <v>30</v>
      </c>
      <c r="J87" s="3" t="s">
        <v>31</v>
      </c>
      <c r="K87" s="3" t="str">
        <f t="shared" si="12"/>
        <v/>
      </c>
      <c r="L87" s="3" t="str">
        <f t="shared" ref="L87:L94" si="13">CONCATENATE("13 13.1 4a")</f>
        <v>13 13.1 4a</v>
      </c>
      <c r="M87" s="3" t="str">
        <f>CONCATENATE("DLTSFN54L26D691L")</f>
        <v>DLTSFN54L26D691L</v>
      </c>
      <c r="N87" s="3" t="s">
        <v>187</v>
      </c>
      <c r="O87" s="3" t="s">
        <v>188</v>
      </c>
      <c r="P87" s="4">
        <v>45282</v>
      </c>
      <c r="Q87" s="3" t="s">
        <v>32</v>
      </c>
      <c r="R87" s="3" t="s">
        <v>38</v>
      </c>
      <c r="S87" s="3" t="s">
        <v>34</v>
      </c>
      <c r="T87" s="3"/>
      <c r="U87" s="3" t="s">
        <v>35</v>
      </c>
      <c r="V87" s="5">
        <v>2936.33</v>
      </c>
      <c r="W87" s="5">
        <v>1266.1500000000001</v>
      </c>
      <c r="X87" s="5">
        <v>1169.25</v>
      </c>
      <c r="Y87" s="3">
        <v>0</v>
      </c>
      <c r="Z87" s="3">
        <v>500.93</v>
      </c>
    </row>
    <row r="88" spans="1:26" ht="34.5" x14ac:dyDescent="0.25">
      <c r="A88" s="3" t="s">
        <v>27</v>
      </c>
      <c r="B88" s="3" t="s">
        <v>36</v>
      </c>
      <c r="C88" s="3" t="s">
        <v>40</v>
      </c>
      <c r="D88" s="3" t="s">
        <v>41</v>
      </c>
      <c r="E88" s="3" t="s">
        <v>54</v>
      </c>
      <c r="F88" s="3" t="s">
        <v>116</v>
      </c>
      <c r="G88" s="3">
        <v>2023</v>
      </c>
      <c r="H88" s="3" t="str">
        <f>CONCATENATE("34210036959")</f>
        <v>34210036959</v>
      </c>
      <c r="I88" s="3" t="s">
        <v>30</v>
      </c>
      <c r="J88" s="3" t="s">
        <v>31</v>
      </c>
      <c r="K88" s="3" t="str">
        <f t="shared" si="12"/>
        <v/>
      </c>
      <c r="L88" s="3" t="str">
        <f t="shared" si="13"/>
        <v>13 13.1 4a</v>
      </c>
      <c r="M88" s="3" t="str">
        <f>CONCATENATE("PRGLNA85D23A944K")</f>
        <v>PRGLNA85D23A944K</v>
      </c>
      <c r="N88" s="3" t="s">
        <v>117</v>
      </c>
      <c r="O88" s="3" t="s">
        <v>188</v>
      </c>
      <c r="P88" s="4">
        <v>45282</v>
      </c>
      <c r="Q88" s="3" t="s">
        <v>32</v>
      </c>
      <c r="R88" s="3" t="s">
        <v>38</v>
      </c>
      <c r="S88" s="3" t="s">
        <v>34</v>
      </c>
      <c r="T88" s="3"/>
      <c r="U88" s="3" t="s">
        <v>35</v>
      </c>
      <c r="V88" s="5">
        <v>4188.76</v>
      </c>
      <c r="W88" s="5">
        <v>1806.19</v>
      </c>
      <c r="X88" s="5">
        <v>1667.96</v>
      </c>
      <c r="Y88" s="3">
        <v>0</v>
      </c>
      <c r="Z88" s="3">
        <v>714.61</v>
      </c>
    </row>
    <row r="89" spans="1:26" ht="34.5" x14ac:dyDescent="0.25">
      <c r="A89" s="3" t="s">
        <v>27</v>
      </c>
      <c r="B89" s="3" t="s">
        <v>36</v>
      </c>
      <c r="C89" s="3" t="s">
        <v>40</v>
      </c>
      <c r="D89" s="3" t="s">
        <v>46</v>
      </c>
      <c r="E89" s="3" t="s">
        <v>54</v>
      </c>
      <c r="F89" s="3" t="s">
        <v>158</v>
      </c>
      <c r="G89" s="3">
        <v>2023</v>
      </c>
      <c r="H89" s="3" t="str">
        <f>CONCATENATE("34210097688")</f>
        <v>34210097688</v>
      </c>
      <c r="I89" s="3" t="s">
        <v>30</v>
      </c>
      <c r="J89" s="3" t="s">
        <v>31</v>
      </c>
      <c r="K89" s="3" t="str">
        <f t="shared" si="12"/>
        <v/>
      </c>
      <c r="L89" s="3" t="str">
        <f t="shared" si="13"/>
        <v>13 13.1 4a</v>
      </c>
      <c r="M89" s="3" t="str">
        <f>CONCATENATE("BLLGLC72A02A462U")</f>
        <v>BLLGLC72A02A462U</v>
      </c>
      <c r="N89" s="3" t="s">
        <v>189</v>
      </c>
      <c r="O89" s="3" t="s">
        <v>188</v>
      </c>
      <c r="P89" s="4">
        <v>45282</v>
      </c>
      <c r="Q89" s="3" t="s">
        <v>32</v>
      </c>
      <c r="R89" s="3" t="s">
        <v>38</v>
      </c>
      <c r="S89" s="3" t="s">
        <v>34</v>
      </c>
      <c r="T89" s="3"/>
      <c r="U89" s="3" t="s">
        <v>35</v>
      </c>
      <c r="V89" s="5">
        <v>2050.6799999999998</v>
      </c>
      <c r="W89" s="3">
        <v>884.25</v>
      </c>
      <c r="X89" s="3">
        <v>816.58</v>
      </c>
      <c r="Y89" s="3">
        <v>0</v>
      </c>
      <c r="Z89" s="3">
        <v>349.85</v>
      </c>
    </row>
    <row r="90" spans="1:26" ht="42.75" x14ac:dyDescent="0.25">
      <c r="A90" s="3" t="s">
        <v>27</v>
      </c>
      <c r="B90" s="3" t="s">
        <v>36</v>
      </c>
      <c r="C90" s="3" t="s">
        <v>40</v>
      </c>
      <c r="D90" s="3" t="s">
        <v>76</v>
      </c>
      <c r="E90" s="3" t="s">
        <v>44</v>
      </c>
      <c r="F90" s="3" t="s">
        <v>122</v>
      </c>
      <c r="G90" s="3">
        <v>2023</v>
      </c>
      <c r="H90" s="3" t="str">
        <f>CONCATENATE("34210098009")</f>
        <v>34210098009</v>
      </c>
      <c r="I90" s="3" t="s">
        <v>30</v>
      </c>
      <c r="J90" s="3" t="s">
        <v>31</v>
      </c>
      <c r="K90" s="3" t="str">
        <f t="shared" si="12"/>
        <v/>
      </c>
      <c r="L90" s="3" t="str">
        <f t="shared" si="13"/>
        <v>13 13.1 4a</v>
      </c>
      <c r="M90" s="3" t="str">
        <f>CONCATENATE("BBNNNA76B69Z154N")</f>
        <v>BBNNNA76B69Z154N</v>
      </c>
      <c r="N90" s="3" t="s">
        <v>124</v>
      </c>
      <c r="O90" s="3" t="s">
        <v>188</v>
      </c>
      <c r="P90" s="4">
        <v>45282</v>
      </c>
      <c r="Q90" s="3" t="s">
        <v>32</v>
      </c>
      <c r="R90" s="3" t="s">
        <v>38</v>
      </c>
      <c r="S90" s="3" t="s">
        <v>34</v>
      </c>
      <c r="T90" s="3"/>
      <c r="U90" s="3" t="s">
        <v>35</v>
      </c>
      <c r="V90" s="5">
        <v>9068.94</v>
      </c>
      <c r="W90" s="5">
        <v>3910.53</v>
      </c>
      <c r="X90" s="5">
        <v>3611.25</v>
      </c>
      <c r="Y90" s="3">
        <v>0</v>
      </c>
      <c r="Z90" s="5">
        <v>1547.16</v>
      </c>
    </row>
    <row r="91" spans="1:26" ht="34.5" x14ac:dyDescent="0.25">
      <c r="A91" s="3" t="s">
        <v>27</v>
      </c>
      <c r="B91" s="3" t="s">
        <v>36</v>
      </c>
      <c r="C91" s="3" t="s">
        <v>40</v>
      </c>
      <c r="D91" s="3" t="s">
        <v>41</v>
      </c>
      <c r="E91" s="3" t="s">
        <v>44</v>
      </c>
      <c r="F91" s="3" t="s">
        <v>174</v>
      </c>
      <c r="G91" s="3">
        <v>2023</v>
      </c>
      <c r="H91" s="3" t="str">
        <f>CONCATENATE("34210070818")</f>
        <v>34210070818</v>
      </c>
      <c r="I91" s="3" t="s">
        <v>30</v>
      </c>
      <c r="J91" s="3" t="s">
        <v>31</v>
      </c>
      <c r="K91" s="3" t="str">
        <f t="shared" si="12"/>
        <v/>
      </c>
      <c r="L91" s="3" t="str">
        <f t="shared" si="13"/>
        <v>13 13.1 4a</v>
      </c>
      <c r="M91" s="3" t="str">
        <f>CONCATENATE("CLNNRC83M16I459C")</f>
        <v>CLNNRC83M16I459C</v>
      </c>
      <c r="N91" s="3" t="s">
        <v>175</v>
      </c>
      <c r="O91" s="3" t="s">
        <v>188</v>
      </c>
      <c r="P91" s="4">
        <v>45282</v>
      </c>
      <c r="Q91" s="3" t="s">
        <v>32</v>
      </c>
      <c r="R91" s="3" t="s">
        <v>38</v>
      </c>
      <c r="S91" s="3" t="s">
        <v>34</v>
      </c>
      <c r="T91" s="3"/>
      <c r="U91" s="3" t="s">
        <v>35</v>
      </c>
      <c r="V91" s="5">
        <v>1131.81</v>
      </c>
      <c r="W91" s="3">
        <v>488.04</v>
      </c>
      <c r="X91" s="3">
        <v>450.69</v>
      </c>
      <c r="Y91" s="3">
        <v>0</v>
      </c>
      <c r="Z91" s="3">
        <v>193.08</v>
      </c>
    </row>
    <row r="92" spans="1:26" ht="26.25" x14ac:dyDescent="0.25">
      <c r="A92" s="3" t="s">
        <v>27</v>
      </c>
      <c r="B92" s="3" t="s">
        <v>36</v>
      </c>
      <c r="C92" s="3" t="s">
        <v>40</v>
      </c>
      <c r="D92" s="3" t="s">
        <v>41</v>
      </c>
      <c r="E92" s="3" t="s">
        <v>190</v>
      </c>
      <c r="F92" s="3" t="s">
        <v>191</v>
      </c>
      <c r="G92" s="3">
        <v>2022</v>
      </c>
      <c r="H92" s="3" t="str">
        <f>CONCATENATE("24211354980")</f>
        <v>24211354980</v>
      </c>
      <c r="I92" s="3" t="s">
        <v>30</v>
      </c>
      <c r="J92" s="3" t="s">
        <v>31</v>
      </c>
      <c r="K92" s="3" t="str">
        <f t="shared" si="12"/>
        <v/>
      </c>
      <c r="L92" s="3" t="str">
        <f t="shared" si="13"/>
        <v>13 13.1 4a</v>
      </c>
      <c r="M92" s="3" t="str">
        <f>CONCATENATE("03831890409")</f>
        <v>03831890409</v>
      </c>
      <c r="N92" s="3" t="s">
        <v>192</v>
      </c>
      <c r="O92" s="3" t="s">
        <v>188</v>
      </c>
      <c r="P92" s="4">
        <v>45282</v>
      </c>
      <c r="Q92" s="3" t="s">
        <v>32</v>
      </c>
      <c r="R92" s="3" t="s">
        <v>38</v>
      </c>
      <c r="S92" s="3" t="s">
        <v>34</v>
      </c>
      <c r="T92" s="3"/>
      <c r="U92" s="3" t="s">
        <v>35</v>
      </c>
      <c r="V92" s="5">
        <v>1662.74</v>
      </c>
      <c r="W92" s="3">
        <v>716.97</v>
      </c>
      <c r="X92" s="3">
        <v>662.1</v>
      </c>
      <c r="Y92" s="3">
        <v>0</v>
      </c>
      <c r="Z92" s="3">
        <v>283.67</v>
      </c>
    </row>
    <row r="93" spans="1:26" ht="26.25" x14ac:dyDescent="0.25">
      <c r="A93" s="3" t="s">
        <v>27</v>
      </c>
      <c r="B93" s="3" t="s">
        <v>36</v>
      </c>
      <c r="C93" s="3" t="s">
        <v>40</v>
      </c>
      <c r="D93" s="3" t="s">
        <v>76</v>
      </c>
      <c r="E93" s="3" t="s">
        <v>44</v>
      </c>
      <c r="F93" s="3" t="s">
        <v>122</v>
      </c>
      <c r="G93" s="3">
        <v>2023</v>
      </c>
      <c r="H93" s="3" t="str">
        <f>CONCATENATE("34210034079")</f>
        <v>34210034079</v>
      </c>
      <c r="I93" s="3" t="s">
        <v>30</v>
      </c>
      <c r="J93" s="3" t="s">
        <v>31</v>
      </c>
      <c r="K93" s="3" t="str">
        <f t="shared" si="12"/>
        <v/>
      </c>
      <c r="L93" s="3" t="str">
        <f t="shared" si="13"/>
        <v>13 13.1 4a</v>
      </c>
      <c r="M93" s="3" t="str">
        <f>CONCATENATE("01597000437")</f>
        <v>01597000437</v>
      </c>
      <c r="N93" s="3" t="s">
        <v>123</v>
      </c>
      <c r="O93" s="3" t="s">
        <v>188</v>
      </c>
      <c r="P93" s="4">
        <v>45282</v>
      </c>
      <c r="Q93" s="3" t="s">
        <v>32</v>
      </c>
      <c r="R93" s="3" t="s">
        <v>38</v>
      </c>
      <c r="S93" s="3" t="s">
        <v>34</v>
      </c>
      <c r="T93" s="3"/>
      <c r="U93" s="3" t="s">
        <v>35</v>
      </c>
      <c r="V93" s="5">
        <v>11250</v>
      </c>
      <c r="W93" s="5">
        <v>4851</v>
      </c>
      <c r="X93" s="5">
        <v>4479.75</v>
      </c>
      <c r="Y93" s="3">
        <v>0</v>
      </c>
      <c r="Z93" s="5">
        <v>1919.25</v>
      </c>
    </row>
    <row r="94" spans="1:26" ht="34.5" x14ac:dyDescent="0.25">
      <c r="A94" s="3" t="s">
        <v>27</v>
      </c>
      <c r="B94" s="3" t="s">
        <v>36</v>
      </c>
      <c r="C94" s="3" t="s">
        <v>40</v>
      </c>
      <c r="D94" s="3" t="s">
        <v>41</v>
      </c>
      <c r="E94" s="3" t="s">
        <v>39</v>
      </c>
      <c r="F94" s="3" t="s">
        <v>140</v>
      </c>
      <c r="G94" s="3">
        <v>2023</v>
      </c>
      <c r="H94" s="3" t="str">
        <f>CONCATENATE("34210001094")</f>
        <v>34210001094</v>
      </c>
      <c r="I94" s="3" t="s">
        <v>30</v>
      </c>
      <c r="J94" s="3" t="s">
        <v>31</v>
      </c>
      <c r="K94" s="3" t="str">
        <f t="shared" si="12"/>
        <v/>
      </c>
      <c r="L94" s="3" t="str">
        <f t="shared" si="13"/>
        <v>13 13.1 4a</v>
      </c>
      <c r="M94" s="3" t="str">
        <f>CONCATENATE("MSCGLE55E51D749C")</f>
        <v>MSCGLE55E51D749C</v>
      </c>
      <c r="N94" s="3" t="s">
        <v>193</v>
      </c>
      <c r="O94" s="3" t="s">
        <v>188</v>
      </c>
      <c r="P94" s="4">
        <v>45282</v>
      </c>
      <c r="Q94" s="3" t="s">
        <v>32</v>
      </c>
      <c r="R94" s="3" t="s">
        <v>38</v>
      </c>
      <c r="S94" s="3" t="s">
        <v>34</v>
      </c>
      <c r="T94" s="3"/>
      <c r="U94" s="3" t="s">
        <v>35</v>
      </c>
      <c r="V94" s="3">
        <v>674.28</v>
      </c>
      <c r="W94" s="3">
        <v>290.75</v>
      </c>
      <c r="X94" s="3">
        <v>268.5</v>
      </c>
      <c r="Y94" s="3">
        <v>0</v>
      </c>
      <c r="Z94" s="3">
        <v>115.03</v>
      </c>
    </row>
    <row r="95" spans="1:26" ht="26.25" x14ac:dyDescent="0.25">
      <c r="A95" s="3" t="s">
        <v>27</v>
      </c>
      <c r="B95" s="3" t="s">
        <v>28</v>
      </c>
      <c r="C95" s="3" t="s">
        <v>40</v>
      </c>
      <c r="D95" s="3" t="s">
        <v>46</v>
      </c>
      <c r="E95" s="3" t="s">
        <v>39</v>
      </c>
      <c r="F95" s="3" t="s">
        <v>113</v>
      </c>
      <c r="G95" s="3">
        <v>2017</v>
      </c>
      <c r="H95" s="3" t="str">
        <f>CONCATENATE("34270419418")</f>
        <v>34270419418</v>
      </c>
      <c r="I95" s="3" t="s">
        <v>30</v>
      </c>
      <c r="J95" s="3" t="s">
        <v>31</v>
      </c>
      <c r="K95" s="3" t="str">
        <f t="shared" si="12"/>
        <v/>
      </c>
      <c r="L95" s="3" t="str">
        <f>CONCATENATE("6 6.1 2b")</f>
        <v>6 6.1 2b</v>
      </c>
      <c r="M95" s="3" t="str">
        <f>CONCATENATE("02469510446")</f>
        <v>02469510446</v>
      </c>
      <c r="N95" s="3" t="s">
        <v>114</v>
      </c>
      <c r="O95" s="3" t="s">
        <v>194</v>
      </c>
      <c r="P95" s="4">
        <v>45282</v>
      </c>
      <c r="Q95" s="3" t="s">
        <v>32</v>
      </c>
      <c r="R95" s="3" t="s">
        <v>45</v>
      </c>
      <c r="S95" s="3" t="s">
        <v>34</v>
      </c>
      <c r="T95" s="3"/>
      <c r="U95" s="3" t="s">
        <v>35</v>
      </c>
      <c r="V95" s="5">
        <v>7000</v>
      </c>
      <c r="W95" s="5">
        <v>3018.4</v>
      </c>
      <c r="X95" s="5">
        <v>2787.4</v>
      </c>
      <c r="Y95" s="3">
        <v>0</v>
      </c>
      <c r="Z95" s="5">
        <v>1194.2</v>
      </c>
    </row>
    <row r="96" spans="1:26" ht="34.5" x14ac:dyDescent="0.25">
      <c r="A96" s="3" t="s">
        <v>27</v>
      </c>
      <c r="B96" s="3" t="s">
        <v>28</v>
      </c>
      <c r="C96" s="3" t="s">
        <v>40</v>
      </c>
      <c r="D96" s="3" t="s">
        <v>46</v>
      </c>
      <c r="E96" s="3" t="s">
        <v>29</v>
      </c>
      <c r="F96" s="3" t="s">
        <v>29</v>
      </c>
      <c r="G96" s="3">
        <v>2017</v>
      </c>
      <c r="H96" s="3" t="str">
        <f>CONCATENATE("34270419228")</f>
        <v>34270419228</v>
      </c>
      <c r="I96" s="3" t="s">
        <v>30</v>
      </c>
      <c r="J96" s="3" t="s">
        <v>31</v>
      </c>
      <c r="K96" s="3" t="str">
        <f t="shared" si="12"/>
        <v/>
      </c>
      <c r="L96" s="3" t="str">
        <f>CONCATENATE("16 16.1 2a")</f>
        <v>16 16.1 2a</v>
      </c>
      <c r="M96" s="3" t="str">
        <f>CONCATENATE("NGLNDA87T68A462F")</f>
        <v>NGLNDA87T68A462F</v>
      </c>
      <c r="N96" s="3" t="s">
        <v>195</v>
      </c>
      <c r="O96" s="3" t="s">
        <v>196</v>
      </c>
      <c r="P96" s="4">
        <v>45282</v>
      </c>
      <c r="Q96" s="3" t="s">
        <v>32</v>
      </c>
      <c r="R96" s="3" t="s">
        <v>38</v>
      </c>
      <c r="S96" s="3" t="s">
        <v>34</v>
      </c>
      <c r="T96" s="3"/>
      <c r="U96" s="3" t="s">
        <v>35</v>
      </c>
      <c r="V96" s="5">
        <v>107372.51</v>
      </c>
      <c r="W96" s="5">
        <v>46299.03</v>
      </c>
      <c r="X96" s="5">
        <v>42755.73</v>
      </c>
      <c r="Y96" s="3">
        <v>0</v>
      </c>
      <c r="Z96" s="5">
        <v>18317.75</v>
      </c>
    </row>
    <row r="97" spans="1:26" ht="26.25" x14ac:dyDescent="0.25">
      <c r="A97" s="3" t="s">
        <v>27</v>
      </c>
      <c r="B97" s="3" t="s">
        <v>28</v>
      </c>
      <c r="C97" s="3" t="s">
        <v>40</v>
      </c>
      <c r="D97" s="3" t="s">
        <v>40</v>
      </c>
      <c r="E97" s="3" t="s">
        <v>29</v>
      </c>
      <c r="F97" s="3" t="s">
        <v>29</v>
      </c>
      <c r="G97" s="3">
        <v>2017</v>
      </c>
      <c r="H97" s="3" t="str">
        <f>CONCATENATE("34270420218")</f>
        <v>34270420218</v>
      </c>
      <c r="I97" s="3" t="s">
        <v>49</v>
      </c>
      <c r="J97" s="3" t="s">
        <v>31</v>
      </c>
      <c r="K97" s="3" t="str">
        <f t="shared" ref="K97:K122" si="14">CONCATENATE("")</f>
        <v/>
      </c>
      <c r="L97" s="3" t="str">
        <f>CONCATENATE("19 19.2 6b")</f>
        <v>19 19.2 6b</v>
      </c>
      <c r="M97" s="3" t="str">
        <f>CONCATENATE("81001970441")</f>
        <v>81001970441</v>
      </c>
      <c r="N97" s="3" t="s">
        <v>197</v>
      </c>
      <c r="O97" s="3" t="s">
        <v>198</v>
      </c>
      <c r="P97" s="4">
        <v>45282</v>
      </c>
      <c r="Q97" s="3" t="s">
        <v>32</v>
      </c>
      <c r="R97" s="3" t="s">
        <v>38</v>
      </c>
      <c r="S97" s="3" t="s">
        <v>34</v>
      </c>
      <c r="T97" s="3"/>
      <c r="U97" s="3" t="s">
        <v>35</v>
      </c>
      <c r="V97" s="5">
        <v>20872.900000000001</v>
      </c>
      <c r="W97" s="5">
        <v>9000.39</v>
      </c>
      <c r="X97" s="5">
        <v>8311.59</v>
      </c>
      <c r="Y97" s="3">
        <v>0</v>
      </c>
      <c r="Z97" s="5">
        <v>3560.92</v>
      </c>
    </row>
    <row r="98" spans="1:26" ht="26.25" x14ac:dyDescent="0.25">
      <c r="A98" s="3" t="s">
        <v>27</v>
      </c>
      <c r="B98" s="3" t="s">
        <v>36</v>
      </c>
      <c r="C98" s="3" t="s">
        <v>40</v>
      </c>
      <c r="D98" s="3" t="s">
        <v>41</v>
      </c>
      <c r="E98" s="3" t="s">
        <v>44</v>
      </c>
      <c r="F98" s="3" t="s">
        <v>174</v>
      </c>
      <c r="G98" s="3">
        <v>2023</v>
      </c>
      <c r="H98" s="3" t="str">
        <f>CONCATENATE("34240279470")</f>
        <v>34240279470</v>
      </c>
      <c r="I98" s="3" t="s">
        <v>30</v>
      </c>
      <c r="J98" s="3" t="s">
        <v>31</v>
      </c>
      <c r="K98" s="3" t="str">
        <f t="shared" si="14"/>
        <v/>
      </c>
      <c r="L98" s="3" t="str">
        <f>CONCATENATE("11 11.2 4b")</f>
        <v>11 11.2 4b</v>
      </c>
      <c r="M98" s="3" t="str">
        <f>CONCATENATE("02596840419")</f>
        <v>02596840419</v>
      </c>
      <c r="N98" s="3" t="s">
        <v>199</v>
      </c>
      <c r="O98" s="3" t="s">
        <v>118</v>
      </c>
      <c r="P98" s="4">
        <v>45282</v>
      </c>
      <c r="Q98" s="3" t="s">
        <v>32</v>
      </c>
      <c r="R98" s="3" t="s">
        <v>38</v>
      </c>
      <c r="S98" s="3" t="s">
        <v>34</v>
      </c>
      <c r="T98" s="3"/>
      <c r="U98" s="3" t="s">
        <v>35</v>
      </c>
      <c r="V98" s="5">
        <v>1069.5999999999999</v>
      </c>
      <c r="W98" s="3">
        <v>461.21</v>
      </c>
      <c r="X98" s="3">
        <v>425.91</v>
      </c>
      <c r="Y98" s="3">
        <v>0</v>
      </c>
      <c r="Z98" s="3">
        <v>182.48</v>
      </c>
    </row>
    <row r="99" spans="1:26" ht="34.5" x14ac:dyDescent="0.25">
      <c r="A99" s="3" t="s">
        <v>27</v>
      </c>
      <c r="B99" s="3" t="s">
        <v>36</v>
      </c>
      <c r="C99" s="3" t="s">
        <v>40</v>
      </c>
      <c r="D99" s="3" t="s">
        <v>41</v>
      </c>
      <c r="E99" s="3" t="s">
        <v>44</v>
      </c>
      <c r="F99" s="3" t="s">
        <v>174</v>
      </c>
      <c r="G99" s="3">
        <v>2023</v>
      </c>
      <c r="H99" s="3" t="str">
        <f>CONCATENATE("34240534189")</f>
        <v>34240534189</v>
      </c>
      <c r="I99" s="3" t="s">
        <v>30</v>
      </c>
      <c r="J99" s="3" t="s">
        <v>31</v>
      </c>
      <c r="K99" s="3" t="str">
        <f t="shared" si="14"/>
        <v/>
      </c>
      <c r="L99" s="3" t="str">
        <f>CONCATENATE("11 11.2 4b")</f>
        <v>11 11.2 4b</v>
      </c>
      <c r="M99" s="3" t="str">
        <f>CONCATENATE("BCCGRL70E28I459S")</f>
        <v>BCCGRL70E28I459S</v>
      </c>
      <c r="N99" s="3" t="s">
        <v>200</v>
      </c>
      <c r="O99" s="3" t="s">
        <v>118</v>
      </c>
      <c r="P99" s="4">
        <v>45282</v>
      </c>
      <c r="Q99" s="3" t="s">
        <v>32</v>
      </c>
      <c r="R99" s="3" t="s">
        <v>38</v>
      </c>
      <c r="S99" s="3" t="s">
        <v>34</v>
      </c>
      <c r="T99" s="3"/>
      <c r="U99" s="3" t="s">
        <v>35</v>
      </c>
      <c r="V99" s="3">
        <v>730.35</v>
      </c>
      <c r="W99" s="3">
        <v>314.93</v>
      </c>
      <c r="X99" s="3">
        <v>290.83</v>
      </c>
      <c r="Y99" s="3">
        <v>0</v>
      </c>
      <c r="Z99" s="3">
        <v>124.59</v>
      </c>
    </row>
    <row r="100" spans="1:26" ht="34.5" x14ac:dyDescent="0.25">
      <c r="A100" s="3" t="s">
        <v>27</v>
      </c>
      <c r="B100" s="3" t="s">
        <v>36</v>
      </c>
      <c r="C100" s="3" t="s">
        <v>40</v>
      </c>
      <c r="D100" s="3" t="s">
        <v>41</v>
      </c>
      <c r="E100" s="3" t="s">
        <v>44</v>
      </c>
      <c r="F100" s="3" t="s">
        <v>174</v>
      </c>
      <c r="G100" s="3">
        <v>2023</v>
      </c>
      <c r="H100" s="3" t="str">
        <f>CONCATENATE("34210094685")</f>
        <v>34210094685</v>
      </c>
      <c r="I100" s="3" t="s">
        <v>30</v>
      </c>
      <c r="J100" s="3" t="s">
        <v>31</v>
      </c>
      <c r="K100" s="3" t="str">
        <f t="shared" si="14"/>
        <v/>
      </c>
      <c r="L100" s="3" t="str">
        <f>CONCATENATE("13 13.1 4a")</f>
        <v>13 13.1 4a</v>
      </c>
      <c r="M100" s="3" t="str">
        <f>CONCATENATE("BCCGRL70E28I459S")</f>
        <v>BCCGRL70E28I459S</v>
      </c>
      <c r="N100" s="3" t="s">
        <v>200</v>
      </c>
      <c r="O100" s="3" t="s">
        <v>188</v>
      </c>
      <c r="P100" s="4">
        <v>45282</v>
      </c>
      <c r="Q100" s="3" t="s">
        <v>32</v>
      </c>
      <c r="R100" s="3" t="s">
        <v>38</v>
      </c>
      <c r="S100" s="3" t="s">
        <v>34</v>
      </c>
      <c r="T100" s="3"/>
      <c r="U100" s="3" t="s">
        <v>35</v>
      </c>
      <c r="V100" s="5">
        <v>2031.08</v>
      </c>
      <c r="W100" s="3">
        <v>875.8</v>
      </c>
      <c r="X100" s="3">
        <v>808.78</v>
      </c>
      <c r="Y100" s="3">
        <v>0</v>
      </c>
      <c r="Z100" s="3">
        <v>346.5</v>
      </c>
    </row>
    <row r="101" spans="1:26" ht="34.5" x14ac:dyDescent="0.25">
      <c r="A101" s="3" t="s">
        <v>27</v>
      </c>
      <c r="B101" s="3" t="s">
        <v>36</v>
      </c>
      <c r="C101" s="3" t="s">
        <v>40</v>
      </c>
      <c r="D101" s="3" t="s">
        <v>41</v>
      </c>
      <c r="E101" s="3" t="s">
        <v>39</v>
      </c>
      <c r="F101" s="3" t="s">
        <v>201</v>
      </c>
      <c r="G101" s="3">
        <v>2023</v>
      </c>
      <c r="H101" s="3" t="str">
        <f>CONCATENATE("34240070812")</f>
        <v>34240070812</v>
      </c>
      <c r="I101" s="3" t="s">
        <v>30</v>
      </c>
      <c r="J101" s="3" t="s">
        <v>31</v>
      </c>
      <c r="K101" s="3" t="str">
        <f t="shared" si="14"/>
        <v/>
      </c>
      <c r="L101" s="3" t="str">
        <f>CONCATENATE("11 11.2 4b")</f>
        <v>11 11.2 4b</v>
      </c>
      <c r="M101" s="3" t="str">
        <f>CONCATENATE("PSQNNZ43H64B816J")</f>
        <v>PSQNNZ43H64B816J</v>
      </c>
      <c r="N101" s="3" t="s">
        <v>202</v>
      </c>
      <c r="O101" s="3" t="s">
        <v>118</v>
      </c>
      <c r="P101" s="4">
        <v>45282</v>
      </c>
      <c r="Q101" s="3" t="s">
        <v>32</v>
      </c>
      <c r="R101" s="3" t="s">
        <v>38</v>
      </c>
      <c r="S101" s="3" t="s">
        <v>34</v>
      </c>
      <c r="T101" s="3"/>
      <c r="U101" s="3" t="s">
        <v>35</v>
      </c>
      <c r="V101" s="5">
        <v>7309.5</v>
      </c>
      <c r="W101" s="5">
        <v>3151.86</v>
      </c>
      <c r="X101" s="5">
        <v>2910.64</v>
      </c>
      <c r="Y101" s="3">
        <v>0</v>
      </c>
      <c r="Z101" s="5">
        <v>1247</v>
      </c>
    </row>
    <row r="102" spans="1:26" ht="26.25" x14ac:dyDescent="0.25">
      <c r="A102" s="3" t="s">
        <v>27</v>
      </c>
      <c r="B102" s="3" t="s">
        <v>36</v>
      </c>
      <c r="C102" s="3" t="s">
        <v>40</v>
      </c>
      <c r="D102" s="3" t="s">
        <v>41</v>
      </c>
      <c r="E102" s="3" t="s">
        <v>54</v>
      </c>
      <c r="F102" s="3" t="s">
        <v>203</v>
      </c>
      <c r="G102" s="3">
        <v>2023</v>
      </c>
      <c r="H102" s="3" t="str">
        <f>CONCATENATE("34240285410")</f>
        <v>34240285410</v>
      </c>
      <c r="I102" s="3" t="s">
        <v>30</v>
      </c>
      <c r="J102" s="3" t="s">
        <v>31</v>
      </c>
      <c r="K102" s="3" t="str">
        <f t="shared" si="14"/>
        <v/>
      </c>
      <c r="L102" s="3" t="str">
        <f>CONCATENATE("11 11.2 4b")</f>
        <v>11 11.2 4b</v>
      </c>
      <c r="M102" s="3" t="str">
        <f>CONCATENATE("02680870413")</f>
        <v>02680870413</v>
      </c>
      <c r="N102" s="3" t="s">
        <v>204</v>
      </c>
      <c r="O102" s="3" t="s">
        <v>118</v>
      </c>
      <c r="P102" s="4">
        <v>45282</v>
      </c>
      <c r="Q102" s="3" t="s">
        <v>32</v>
      </c>
      <c r="R102" s="3" t="s">
        <v>38</v>
      </c>
      <c r="S102" s="3" t="s">
        <v>34</v>
      </c>
      <c r="T102" s="3"/>
      <c r="U102" s="3" t="s">
        <v>35</v>
      </c>
      <c r="V102" s="3">
        <v>723.45</v>
      </c>
      <c r="W102" s="3">
        <v>311.95</v>
      </c>
      <c r="X102" s="3">
        <v>288.08</v>
      </c>
      <c r="Y102" s="3">
        <v>0</v>
      </c>
      <c r="Z102" s="3">
        <v>123.42</v>
      </c>
    </row>
    <row r="103" spans="1:26" ht="26.25" x14ac:dyDescent="0.25">
      <c r="A103" s="3" t="s">
        <v>27</v>
      </c>
      <c r="B103" s="3" t="s">
        <v>36</v>
      </c>
      <c r="C103" s="3" t="s">
        <v>40</v>
      </c>
      <c r="D103" s="3" t="s">
        <v>41</v>
      </c>
      <c r="E103" s="3" t="s">
        <v>55</v>
      </c>
      <c r="F103" s="3" t="s">
        <v>205</v>
      </c>
      <c r="G103" s="3">
        <v>2023</v>
      </c>
      <c r="H103" s="3" t="str">
        <f>CONCATENATE("34240436617")</f>
        <v>34240436617</v>
      </c>
      <c r="I103" s="3" t="s">
        <v>30</v>
      </c>
      <c r="J103" s="3" t="s">
        <v>31</v>
      </c>
      <c r="K103" s="3" t="str">
        <f t="shared" si="14"/>
        <v/>
      </c>
      <c r="L103" s="3" t="str">
        <f>CONCATENATE("11 11.2 4b")</f>
        <v>11 11.2 4b</v>
      </c>
      <c r="M103" s="3" t="str">
        <f>CONCATENATE("01406820413")</f>
        <v>01406820413</v>
      </c>
      <c r="N103" s="3" t="s">
        <v>206</v>
      </c>
      <c r="O103" s="3" t="s">
        <v>118</v>
      </c>
      <c r="P103" s="4">
        <v>45282</v>
      </c>
      <c r="Q103" s="3" t="s">
        <v>32</v>
      </c>
      <c r="R103" s="3" t="s">
        <v>38</v>
      </c>
      <c r="S103" s="3" t="s">
        <v>34</v>
      </c>
      <c r="T103" s="3"/>
      <c r="U103" s="3" t="s">
        <v>35</v>
      </c>
      <c r="V103" s="5">
        <v>8469.57</v>
      </c>
      <c r="W103" s="5">
        <v>3652.08</v>
      </c>
      <c r="X103" s="5">
        <v>3372.58</v>
      </c>
      <c r="Y103" s="3">
        <v>0</v>
      </c>
      <c r="Z103" s="5">
        <v>1444.91</v>
      </c>
    </row>
    <row r="104" spans="1:26" ht="26.25" x14ac:dyDescent="0.25">
      <c r="A104" s="3" t="s">
        <v>27</v>
      </c>
      <c r="B104" s="3" t="s">
        <v>36</v>
      </c>
      <c r="C104" s="3" t="s">
        <v>40</v>
      </c>
      <c r="D104" s="3" t="s">
        <v>41</v>
      </c>
      <c r="E104" s="3" t="s">
        <v>39</v>
      </c>
      <c r="F104" s="3" t="s">
        <v>207</v>
      </c>
      <c r="G104" s="3">
        <v>2023</v>
      </c>
      <c r="H104" s="3" t="str">
        <f>CONCATENATE("34240269455")</f>
        <v>34240269455</v>
      </c>
      <c r="I104" s="3" t="s">
        <v>30</v>
      </c>
      <c r="J104" s="3" t="s">
        <v>31</v>
      </c>
      <c r="K104" s="3" t="str">
        <f t="shared" si="14"/>
        <v/>
      </c>
      <c r="L104" s="3" t="str">
        <f>CONCATENATE("11 11.2 4b")</f>
        <v>11 11.2 4b</v>
      </c>
      <c r="M104" s="3" t="str">
        <f>CONCATENATE("02635080415")</f>
        <v>02635080415</v>
      </c>
      <c r="N104" s="3" t="s">
        <v>208</v>
      </c>
      <c r="O104" s="3" t="s">
        <v>118</v>
      </c>
      <c r="P104" s="4">
        <v>45282</v>
      </c>
      <c r="Q104" s="3" t="s">
        <v>32</v>
      </c>
      <c r="R104" s="3" t="s">
        <v>38</v>
      </c>
      <c r="S104" s="3" t="s">
        <v>34</v>
      </c>
      <c r="T104" s="3"/>
      <c r="U104" s="3" t="s">
        <v>35</v>
      </c>
      <c r="V104" s="5">
        <v>6082.92</v>
      </c>
      <c r="W104" s="5">
        <v>2622.96</v>
      </c>
      <c r="X104" s="5">
        <v>2422.2199999999998</v>
      </c>
      <c r="Y104" s="3">
        <v>0</v>
      </c>
      <c r="Z104" s="5">
        <v>1037.74</v>
      </c>
    </row>
    <row r="105" spans="1:26" ht="26.25" x14ac:dyDescent="0.25">
      <c r="A105" s="3" t="s">
        <v>27</v>
      </c>
      <c r="B105" s="3" t="s">
        <v>36</v>
      </c>
      <c r="C105" s="3" t="s">
        <v>40</v>
      </c>
      <c r="D105" s="3" t="s">
        <v>41</v>
      </c>
      <c r="E105" s="3" t="s">
        <v>44</v>
      </c>
      <c r="F105" s="3" t="s">
        <v>174</v>
      </c>
      <c r="G105" s="3">
        <v>2023</v>
      </c>
      <c r="H105" s="3" t="str">
        <f>CONCATENATE("34240372176")</f>
        <v>34240372176</v>
      </c>
      <c r="I105" s="3" t="s">
        <v>30</v>
      </c>
      <c r="J105" s="3" t="s">
        <v>31</v>
      </c>
      <c r="K105" s="3" t="str">
        <f t="shared" si="14"/>
        <v/>
      </c>
      <c r="L105" s="3" t="str">
        <f>CONCATENATE("11 11.2 4b")</f>
        <v>11 11.2 4b</v>
      </c>
      <c r="M105" s="3" t="str">
        <f>CONCATENATE("02288450410")</f>
        <v>02288450410</v>
      </c>
      <c r="N105" s="3" t="s">
        <v>209</v>
      </c>
      <c r="O105" s="3" t="s">
        <v>118</v>
      </c>
      <c r="P105" s="4">
        <v>45282</v>
      </c>
      <c r="Q105" s="3" t="s">
        <v>32</v>
      </c>
      <c r="R105" s="3" t="s">
        <v>38</v>
      </c>
      <c r="S105" s="3" t="s">
        <v>34</v>
      </c>
      <c r="T105" s="3"/>
      <c r="U105" s="3" t="s">
        <v>35</v>
      </c>
      <c r="V105" s="5">
        <v>5615.62</v>
      </c>
      <c r="W105" s="5">
        <v>2421.46</v>
      </c>
      <c r="X105" s="5">
        <v>2236.14</v>
      </c>
      <c r="Y105" s="3">
        <v>0</v>
      </c>
      <c r="Z105" s="3">
        <v>958.02</v>
      </c>
    </row>
    <row r="106" spans="1:26" ht="26.25" x14ac:dyDescent="0.25">
      <c r="A106" s="3" t="s">
        <v>27</v>
      </c>
      <c r="B106" s="3" t="s">
        <v>36</v>
      </c>
      <c r="C106" s="3" t="s">
        <v>40</v>
      </c>
      <c r="D106" s="3" t="s">
        <v>41</v>
      </c>
      <c r="E106" s="3" t="s">
        <v>44</v>
      </c>
      <c r="F106" s="3" t="s">
        <v>174</v>
      </c>
      <c r="G106" s="3">
        <v>2023</v>
      </c>
      <c r="H106" s="3" t="str">
        <f>CONCATENATE("34210075312")</f>
        <v>34210075312</v>
      </c>
      <c r="I106" s="3" t="s">
        <v>30</v>
      </c>
      <c r="J106" s="3" t="s">
        <v>31</v>
      </c>
      <c r="K106" s="3" t="str">
        <f t="shared" si="14"/>
        <v/>
      </c>
      <c r="L106" s="3" t="str">
        <f>CONCATENATE("13 13.1 4a")</f>
        <v>13 13.1 4a</v>
      </c>
      <c r="M106" s="3" t="str">
        <f>CONCATENATE("02288450410")</f>
        <v>02288450410</v>
      </c>
      <c r="N106" s="3" t="s">
        <v>209</v>
      </c>
      <c r="O106" s="3" t="s">
        <v>188</v>
      </c>
      <c r="P106" s="4">
        <v>45282</v>
      </c>
      <c r="Q106" s="3" t="s">
        <v>32</v>
      </c>
      <c r="R106" s="3" t="s">
        <v>38</v>
      </c>
      <c r="S106" s="3" t="s">
        <v>34</v>
      </c>
      <c r="T106" s="3"/>
      <c r="U106" s="3" t="s">
        <v>35</v>
      </c>
      <c r="V106" s="5">
        <v>7294.63</v>
      </c>
      <c r="W106" s="5">
        <v>3145.44</v>
      </c>
      <c r="X106" s="5">
        <v>2904.72</v>
      </c>
      <c r="Y106" s="3">
        <v>0</v>
      </c>
      <c r="Z106" s="5">
        <v>1244.47</v>
      </c>
    </row>
    <row r="107" spans="1:26" ht="34.5" x14ac:dyDescent="0.25">
      <c r="A107" s="3" t="s">
        <v>27</v>
      </c>
      <c r="B107" s="3" t="s">
        <v>36</v>
      </c>
      <c r="C107" s="3" t="s">
        <v>40</v>
      </c>
      <c r="D107" s="3" t="s">
        <v>68</v>
      </c>
      <c r="E107" s="3" t="s">
        <v>54</v>
      </c>
      <c r="F107" s="3" t="s">
        <v>210</v>
      </c>
      <c r="G107" s="3">
        <v>2023</v>
      </c>
      <c r="H107" s="3" t="str">
        <f>CONCATENATE("34240424092")</f>
        <v>34240424092</v>
      </c>
      <c r="I107" s="3" t="s">
        <v>30</v>
      </c>
      <c r="J107" s="3" t="s">
        <v>31</v>
      </c>
      <c r="K107" s="3" t="str">
        <f t="shared" si="14"/>
        <v/>
      </c>
      <c r="L107" s="3" t="str">
        <f>CONCATENATE("11 11.2 4b")</f>
        <v>11 11.2 4b</v>
      </c>
      <c r="M107" s="3" t="str">
        <f>CONCATENATE("CTNLND88H68Z129N")</f>
        <v>CTNLND88H68Z129N</v>
      </c>
      <c r="N107" s="3" t="s">
        <v>211</v>
      </c>
      <c r="O107" s="3" t="s">
        <v>118</v>
      </c>
      <c r="P107" s="4">
        <v>45282</v>
      </c>
      <c r="Q107" s="3" t="s">
        <v>32</v>
      </c>
      <c r="R107" s="3" t="s">
        <v>38</v>
      </c>
      <c r="S107" s="3" t="s">
        <v>34</v>
      </c>
      <c r="T107" s="3"/>
      <c r="U107" s="3" t="s">
        <v>35</v>
      </c>
      <c r="V107" s="5">
        <v>11828.95</v>
      </c>
      <c r="W107" s="5">
        <v>5100.6400000000003</v>
      </c>
      <c r="X107" s="5">
        <v>4710.29</v>
      </c>
      <c r="Y107" s="3">
        <v>0</v>
      </c>
      <c r="Z107" s="5">
        <v>2018.02</v>
      </c>
    </row>
    <row r="108" spans="1:26" ht="26.25" x14ac:dyDescent="0.25">
      <c r="A108" s="3" t="s">
        <v>27</v>
      </c>
      <c r="B108" s="3" t="s">
        <v>36</v>
      </c>
      <c r="C108" s="3" t="s">
        <v>40</v>
      </c>
      <c r="D108" s="3" t="s">
        <v>46</v>
      </c>
      <c r="E108" s="3" t="s">
        <v>44</v>
      </c>
      <c r="F108" s="3" t="s">
        <v>122</v>
      </c>
      <c r="G108" s="3">
        <v>2023</v>
      </c>
      <c r="H108" s="3" t="str">
        <f>CONCATENATE("34240762236")</f>
        <v>34240762236</v>
      </c>
      <c r="I108" s="3" t="s">
        <v>30</v>
      </c>
      <c r="J108" s="3" t="s">
        <v>31</v>
      </c>
      <c r="K108" s="3" t="str">
        <f t="shared" si="14"/>
        <v/>
      </c>
      <c r="L108" s="3" t="str">
        <f>CONCATENATE("10 10.1 4a")</f>
        <v>10 10.1 4a</v>
      </c>
      <c r="M108" s="3" t="str">
        <f>CONCATENATE("02077180434")</f>
        <v>02077180434</v>
      </c>
      <c r="N108" s="3" t="s">
        <v>212</v>
      </c>
      <c r="O108" s="3" t="s">
        <v>213</v>
      </c>
      <c r="P108" s="4">
        <v>45282</v>
      </c>
      <c r="Q108" s="3" t="s">
        <v>32</v>
      </c>
      <c r="R108" s="3" t="s">
        <v>38</v>
      </c>
      <c r="S108" s="3" t="s">
        <v>34</v>
      </c>
      <c r="T108" s="3"/>
      <c r="U108" s="3" t="s">
        <v>35</v>
      </c>
      <c r="V108" s="5">
        <v>86335.87</v>
      </c>
      <c r="W108" s="5">
        <v>37228.03</v>
      </c>
      <c r="X108" s="5">
        <v>34378.94</v>
      </c>
      <c r="Y108" s="3">
        <v>0</v>
      </c>
      <c r="Z108" s="5">
        <v>14728.9</v>
      </c>
    </row>
    <row r="109" spans="1:26" ht="42.75" x14ac:dyDescent="0.25">
      <c r="A109" s="3" t="s">
        <v>27</v>
      </c>
      <c r="B109" s="3" t="s">
        <v>36</v>
      </c>
      <c r="C109" s="3" t="s">
        <v>40</v>
      </c>
      <c r="D109" s="3" t="s">
        <v>76</v>
      </c>
      <c r="E109" s="3" t="s">
        <v>44</v>
      </c>
      <c r="F109" s="3" t="s">
        <v>99</v>
      </c>
      <c r="G109" s="3">
        <v>2023</v>
      </c>
      <c r="H109" s="3" t="str">
        <f>CONCATENATE("34210036058")</f>
        <v>34210036058</v>
      </c>
      <c r="I109" s="3" t="s">
        <v>30</v>
      </c>
      <c r="J109" s="3" t="s">
        <v>31</v>
      </c>
      <c r="K109" s="3" t="str">
        <f t="shared" si="14"/>
        <v/>
      </c>
      <c r="L109" s="3" t="str">
        <f>CONCATENATE("13 13.1 4a")</f>
        <v>13 13.1 4a</v>
      </c>
      <c r="M109" s="3" t="str">
        <f>CONCATENATE("NTNRNT50S24B474V")</f>
        <v>NTNRNT50S24B474V</v>
      </c>
      <c r="N109" s="3" t="s">
        <v>214</v>
      </c>
      <c r="O109" s="3" t="s">
        <v>215</v>
      </c>
      <c r="P109" s="4">
        <v>45282</v>
      </c>
      <c r="Q109" s="3" t="s">
        <v>32</v>
      </c>
      <c r="R109" s="3" t="s">
        <v>38</v>
      </c>
      <c r="S109" s="3" t="s">
        <v>34</v>
      </c>
      <c r="T109" s="3"/>
      <c r="U109" s="3" t="s">
        <v>35</v>
      </c>
      <c r="V109" s="5">
        <v>7663.18</v>
      </c>
      <c r="W109" s="5">
        <v>3304.36</v>
      </c>
      <c r="X109" s="5">
        <v>3051.48</v>
      </c>
      <c r="Y109" s="3">
        <v>0</v>
      </c>
      <c r="Z109" s="5">
        <v>1307.3399999999999</v>
      </c>
    </row>
    <row r="110" spans="1:26" ht="26.25" x14ac:dyDescent="0.25">
      <c r="A110" s="3" t="s">
        <v>27</v>
      </c>
      <c r="B110" s="3" t="s">
        <v>28</v>
      </c>
      <c r="C110" s="3" t="s">
        <v>40</v>
      </c>
      <c r="D110" s="3" t="s">
        <v>76</v>
      </c>
      <c r="E110" s="3" t="s">
        <v>29</v>
      </c>
      <c r="F110" s="3" t="s">
        <v>29</v>
      </c>
      <c r="G110" s="3">
        <v>2017</v>
      </c>
      <c r="H110" s="3" t="str">
        <f>CONCATENATE("34270417560")</f>
        <v>34270417560</v>
      </c>
      <c r="I110" s="3" t="s">
        <v>49</v>
      </c>
      <c r="J110" s="3" t="s">
        <v>31</v>
      </c>
      <c r="K110" s="3" t="str">
        <f t="shared" si="14"/>
        <v/>
      </c>
      <c r="L110" s="3" t="str">
        <f>CONCATENATE("7 7.6 4a")</f>
        <v>7 7.6 4a</v>
      </c>
      <c r="M110" s="3" t="str">
        <f>CONCATENATE("01874330432")</f>
        <v>01874330432</v>
      </c>
      <c r="N110" s="3" t="s">
        <v>216</v>
      </c>
      <c r="O110" s="3" t="s">
        <v>217</v>
      </c>
      <c r="P110" s="4">
        <v>45282</v>
      </c>
      <c r="Q110" s="3" t="s">
        <v>32</v>
      </c>
      <c r="R110" s="3" t="s">
        <v>38</v>
      </c>
      <c r="S110" s="3" t="s">
        <v>34</v>
      </c>
      <c r="T110" s="3"/>
      <c r="U110" s="3" t="s">
        <v>35</v>
      </c>
      <c r="V110" s="5">
        <v>57172</v>
      </c>
      <c r="W110" s="5">
        <v>24652.57</v>
      </c>
      <c r="X110" s="5">
        <v>22765.89</v>
      </c>
      <c r="Y110" s="3">
        <v>0</v>
      </c>
      <c r="Z110" s="5">
        <v>9753.5400000000009</v>
      </c>
    </row>
    <row r="111" spans="1:26" ht="42.75" x14ac:dyDescent="0.25">
      <c r="A111" s="3" t="s">
        <v>27</v>
      </c>
      <c r="B111" s="3" t="s">
        <v>28</v>
      </c>
      <c r="C111" s="3" t="s">
        <v>40</v>
      </c>
      <c r="D111" s="3" t="s">
        <v>46</v>
      </c>
      <c r="E111" s="3" t="s">
        <v>55</v>
      </c>
      <c r="F111" s="3" t="s">
        <v>95</v>
      </c>
      <c r="G111" s="3">
        <v>2017</v>
      </c>
      <c r="H111" s="3" t="str">
        <f>CONCATENATE("34270420184")</f>
        <v>34270420184</v>
      </c>
      <c r="I111" s="3" t="s">
        <v>30</v>
      </c>
      <c r="J111" s="3" t="s">
        <v>31</v>
      </c>
      <c r="K111" s="3" t="str">
        <f t="shared" si="14"/>
        <v/>
      </c>
      <c r="L111" s="3" t="str">
        <f>CONCATENATE("4 4.1 2a")</f>
        <v>4 4.1 2a</v>
      </c>
      <c r="M111" s="3" t="str">
        <f>CONCATENATE("VTTMTT00B18A462Z")</f>
        <v>VTTMTT00B18A462Z</v>
      </c>
      <c r="N111" s="3" t="s">
        <v>218</v>
      </c>
      <c r="O111" s="3" t="s">
        <v>152</v>
      </c>
      <c r="P111" s="4">
        <v>45282</v>
      </c>
      <c r="Q111" s="3" t="s">
        <v>32</v>
      </c>
      <c r="R111" s="3" t="s">
        <v>38</v>
      </c>
      <c r="S111" s="3" t="s">
        <v>34</v>
      </c>
      <c r="T111" s="3"/>
      <c r="U111" s="3" t="s">
        <v>35</v>
      </c>
      <c r="V111" s="5">
        <v>68671.240000000005</v>
      </c>
      <c r="W111" s="5">
        <v>29611.040000000001</v>
      </c>
      <c r="X111" s="5">
        <v>27344.89</v>
      </c>
      <c r="Y111" s="3">
        <v>0</v>
      </c>
      <c r="Z111" s="5">
        <v>11715.31</v>
      </c>
    </row>
    <row r="112" spans="1:26" ht="42.75" x14ac:dyDescent="0.25">
      <c r="A112" s="3" t="s">
        <v>27</v>
      </c>
      <c r="B112" s="3" t="s">
        <v>28</v>
      </c>
      <c r="C112" s="3" t="s">
        <v>40</v>
      </c>
      <c r="D112" s="3" t="s">
        <v>46</v>
      </c>
      <c r="E112" s="3" t="s">
        <v>55</v>
      </c>
      <c r="F112" s="3" t="s">
        <v>95</v>
      </c>
      <c r="G112" s="3">
        <v>2017</v>
      </c>
      <c r="H112" s="3" t="str">
        <f>CONCATENATE("34270420093")</f>
        <v>34270420093</v>
      </c>
      <c r="I112" s="3" t="s">
        <v>30</v>
      </c>
      <c r="J112" s="3" t="s">
        <v>31</v>
      </c>
      <c r="K112" s="3" t="str">
        <f t="shared" si="14"/>
        <v/>
      </c>
      <c r="L112" s="3" t="str">
        <f>CONCATENATE("6 6.1 2b")</f>
        <v>6 6.1 2b</v>
      </c>
      <c r="M112" s="3" t="str">
        <f>CONCATENATE("VTTMTT00B18A462Z")</f>
        <v>VTTMTT00B18A462Z</v>
      </c>
      <c r="N112" s="3" t="s">
        <v>218</v>
      </c>
      <c r="O112" s="3" t="s">
        <v>177</v>
      </c>
      <c r="P112" s="4">
        <v>45282</v>
      </c>
      <c r="Q112" s="3" t="s">
        <v>32</v>
      </c>
      <c r="R112" s="3" t="s">
        <v>38</v>
      </c>
      <c r="S112" s="3" t="s">
        <v>34</v>
      </c>
      <c r="T112" s="3"/>
      <c r="U112" s="3" t="s">
        <v>35</v>
      </c>
      <c r="V112" s="5">
        <v>12000</v>
      </c>
      <c r="W112" s="5">
        <v>5174.3999999999996</v>
      </c>
      <c r="X112" s="5">
        <v>4778.3999999999996</v>
      </c>
      <c r="Y112" s="3">
        <v>0</v>
      </c>
      <c r="Z112" s="5">
        <v>2047.2</v>
      </c>
    </row>
    <row r="113" spans="1:26" ht="26.25" x14ac:dyDescent="0.25">
      <c r="A113" s="3" t="s">
        <v>27</v>
      </c>
      <c r="B113" s="3" t="s">
        <v>28</v>
      </c>
      <c r="C113" s="3" t="s">
        <v>40</v>
      </c>
      <c r="D113" s="3" t="s">
        <v>76</v>
      </c>
      <c r="E113" s="3" t="s">
        <v>29</v>
      </c>
      <c r="F113" s="3" t="s">
        <v>29</v>
      </c>
      <c r="G113" s="3">
        <v>2017</v>
      </c>
      <c r="H113" s="3" t="str">
        <f>CONCATENATE("34270412553")</f>
        <v>34270412553</v>
      </c>
      <c r="I113" s="3" t="s">
        <v>30</v>
      </c>
      <c r="J113" s="3" t="s">
        <v>31</v>
      </c>
      <c r="K113" s="3" t="str">
        <f t="shared" si="14"/>
        <v/>
      </c>
      <c r="L113" s="3" t="str">
        <f t="shared" ref="L113:L120" si="15">CONCATENATE("4 4.3 2a")</f>
        <v>4 4.3 2a</v>
      </c>
      <c r="M113" s="3" t="str">
        <f>CONCATENATE("81000910430")</f>
        <v>81000910430</v>
      </c>
      <c r="N113" s="3" t="s">
        <v>219</v>
      </c>
      <c r="O113" s="3" t="s">
        <v>166</v>
      </c>
      <c r="P113" s="4">
        <v>45282</v>
      </c>
      <c r="Q113" s="3" t="s">
        <v>32</v>
      </c>
      <c r="R113" s="3" t="s">
        <v>38</v>
      </c>
      <c r="S113" s="3" t="s">
        <v>34</v>
      </c>
      <c r="T113" s="3"/>
      <c r="U113" s="3" t="s">
        <v>35</v>
      </c>
      <c r="V113" s="5">
        <v>127852.27</v>
      </c>
      <c r="W113" s="5">
        <v>55129.9</v>
      </c>
      <c r="X113" s="5">
        <v>50910.77</v>
      </c>
      <c r="Y113" s="3">
        <v>0</v>
      </c>
      <c r="Z113" s="5">
        <v>21811.599999999999</v>
      </c>
    </row>
    <row r="114" spans="1:26" ht="26.25" x14ac:dyDescent="0.25">
      <c r="A114" s="3" t="s">
        <v>27</v>
      </c>
      <c r="B114" s="3" t="s">
        <v>28</v>
      </c>
      <c r="C114" s="3" t="s">
        <v>40</v>
      </c>
      <c r="D114" s="3" t="s">
        <v>76</v>
      </c>
      <c r="E114" s="3" t="s">
        <v>29</v>
      </c>
      <c r="F114" s="3" t="s">
        <v>29</v>
      </c>
      <c r="G114" s="3">
        <v>2017</v>
      </c>
      <c r="H114" s="3" t="str">
        <f>CONCATENATE("34270418113")</f>
        <v>34270418113</v>
      </c>
      <c r="I114" s="3" t="s">
        <v>30</v>
      </c>
      <c r="J114" s="3" t="s">
        <v>31</v>
      </c>
      <c r="K114" s="3" t="str">
        <f t="shared" si="14"/>
        <v/>
      </c>
      <c r="L114" s="3" t="str">
        <f t="shared" si="15"/>
        <v>4 4.3 2a</v>
      </c>
      <c r="M114" s="3" t="str">
        <f t="shared" ref="M114:M120" si="16">CONCATENATE("01874180431")</f>
        <v>01874180431</v>
      </c>
      <c r="N114" s="3" t="s">
        <v>220</v>
      </c>
      <c r="O114" s="3" t="s">
        <v>166</v>
      </c>
      <c r="P114" s="4">
        <v>45282</v>
      </c>
      <c r="Q114" s="3" t="s">
        <v>32</v>
      </c>
      <c r="R114" s="3" t="s">
        <v>38</v>
      </c>
      <c r="S114" s="3" t="s">
        <v>34</v>
      </c>
      <c r="T114" s="3"/>
      <c r="U114" s="3" t="s">
        <v>35</v>
      </c>
      <c r="V114" s="5">
        <v>67094.14</v>
      </c>
      <c r="W114" s="5">
        <v>28930.99</v>
      </c>
      <c r="X114" s="5">
        <v>26716.89</v>
      </c>
      <c r="Y114" s="3">
        <v>0</v>
      </c>
      <c r="Z114" s="5">
        <v>11446.26</v>
      </c>
    </row>
    <row r="115" spans="1:26" ht="26.25" x14ac:dyDescent="0.25">
      <c r="A115" s="3" t="s">
        <v>27</v>
      </c>
      <c r="B115" s="3" t="s">
        <v>28</v>
      </c>
      <c r="C115" s="3" t="s">
        <v>40</v>
      </c>
      <c r="D115" s="3" t="s">
        <v>76</v>
      </c>
      <c r="E115" s="3" t="s">
        <v>29</v>
      </c>
      <c r="F115" s="3" t="s">
        <v>29</v>
      </c>
      <c r="G115" s="3">
        <v>2017</v>
      </c>
      <c r="H115" s="3" t="str">
        <f>CONCATENATE("34270412546")</f>
        <v>34270412546</v>
      </c>
      <c r="I115" s="3" t="s">
        <v>30</v>
      </c>
      <c r="J115" s="3" t="s">
        <v>31</v>
      </c>
      <c r="K115" s="3" t="str">
        <f t="shared" si="14"/>
        <v/>
      </c>
      <c r="L115" s="3" t="str">
        <f t="shared" si="15"/>
        <v>4 4.3 2a</v>
      </c>
      <c r="M115" s="3" t="str">
        <f t="shared" si="16"/>
        <v>01874180431</v>
      </c>
      <c r="N115" s="3" t="s">
        <v>220</v>
      </c>
      <c r="O115" s="3" t="s">
        <v>166</v>
      </c>
      <c r="P115" s="4">
        <v>45282</v>
      </c>
      <c r="Q115" s="3" t="s">
        <v>32</v>
      </c>
      <c r="R115" s="3" t="s">
        <v>38</v>
      </c>
      <c r="S115" s="3" t="s">
        <v>34</v>
      </c>
      <c r="T115" s="3"/>
      <c r="U115" s="3" t="s">
        <v>35</v>
      </c>
      <c r="V115" s="5">
        <v>15211.98</v>
      </c>
      <c r="W115" s="5">
        <v>6559.41</v>
      </c>
      <c r="X115" s="5">
        <v>6057.41</v>
      </c>
      <c r="Y115" s="3">
        <v>0</v>
      </c>
      <c r="Z115" s="5">
        <v>2595.16</v>
      </c>
    </row>
    <row r="116" spans="1:26" ht="26.25" x14ac:dyDescent="0.25">
      <c r="A116" s="3" t="s">
        <v>27</v>
      </c>
      <c r="B116" s="3" t="s">
        <v>28</v>
      </c>
      <c r="C116" s="3" t="s">
        <v>40</v>
      </c>
      <c r="D116" s="3" t="s">
        <v>76</v>
      </c>
      <c r="E116" s="3" t="s">
        <v>29</v>
      </c>
      <c r="F116" s="3" t="s">
        <v>29</v>
      </c>
      <c r="G116" s="3">
        <v>2017</v>
      </c>
      <c r="H116" s="3" t="str">
        <f>CONCATENATE("34270420846")</f>
        <v>34270420846</v>
      </c>
      <c r="I116" s="3" t="s">
        <v>30</v>
      </c>
      <c r="J116" s="3" t="s">
        <v>31</v>
      </c>
      <c r="K116" s="3" t="str">
        <f t="shared" si="14"/>
        <v/>
      </c>
      <c r="L116" s="3" t="str">
        <f t="shared" si="15"/>
        <v>4 4.3 2a</v>
      </c>
      <c r="M116" s="3" t="str">
        <f t="shared" si="16"/>
        <v>01874180431</v>
      </c>
      <c r="N116" s="3" t="s">
        <v>220</v>
      </c>
      <c r="O116" s="3" t="s">
        <v>221</v>
      </c>
      <c r="P116" s="4">
        <v>45283</v>
      </c>
      <c r="Q116" s="3" t="s">
        <v>32</v>
      </c>
      <c r="R116" s="3" t="s">
        <v>38</v>
      </c>
      <c r="S116" s="3" t="s">
        <v>34</v>
      </c>
      <c r="T116" s="3"/>
      <c r="U116" s="3" t="s">
        <v>35</v>
      </c>
      <c r="V116" s="5">
        <v>9941.92</v>
      </c>
      <c r="W116" s="5">
        <v>4286.96</v>
      </c>
      <c r="X116" s="5">
        <v>3958.87</v>
      </c>
      <c r="Y116" s="3">
        <v>0</v>
      </c>
      <c r="Z116" s="5">
        <v>1696.09</v>
      </c>
    </row>
    <row r="117" spans="1:26" ht="26.25" x14ac:dyDescent="0.25">
      <c r="A117" s="3" t="s">
        <v>27</v>
      </c>
      <c r="B117" s="3" t="s">
        <v>28</v>
      </c>
      <c r="C117" s="3" t="s">
        <v>40</v>
      </c>
      <c r="D117" s="3" t="s">
        <v>46</v>
      </c>
      <c r="E117" s="3" t="s">
        <v>29</v>
      </c>
      <c r="F117" s="3" t="s">
        <v>29</v>
      </c>
      <c r="G117" s="3">
        <v>2017</v>
      </c>
      <c r="H117" s="3" t="str">
        <f>CONCATENATE("34270418105")</f>
        <v>34270418105</v>
      </c>
      <c r="I117" s="3" t="s">
        <v>30</v>
      </c>
      <c r="J117" s="3" t="s">
        <v>31</v>
      </c>
      <c r="K117" s="3" t="str">
        <f t="shared" si="14"/>
        <v/>
      </c>
      <c r="L117" s="3" t="str">
        <f t="shared" si="15"/>
        <v>4 4.3 2a</v>
      </c>
      <c r="M117" s="3" t="str">
        <f t="shared" si="16"/>
        <v>01874180431</v>
      </c>
      <c r="N117" s="3" t="s">
        <v>220</v>
      </c>
      <c r="O117" s="3" t="s">
        <v>166</v>
      </c>
      <c r="P117" s="4">
        <v>45282</v>
      </c>
      <c r="Q117" s="3" t="s">
        <v>32</v>
      </c>
      <c r="R117" s="3" t="s">
        <v>38</v>
      </c>
      <c r="S117" s="3" t="s">
        <v>34</v>
      </c>
      <c r="T117" s="3"/>
      <c r="U117" s="3" t="s">
        <v>35</v>
      </c>
      <c r="V117" s="5">
        <v>13453.84</v>
      </c>
      <c r="W117" s="5">
        <v>5801.3</v>
      </c>
      <c r="X117" s="5">
        <v>5357.32</v>
      </c>
      <c r="Y117" s="3">
        <v>0</v>
      </c>
      <c r="Z117" s="5">
        <v>2295.2199999999998</v>
      </c>
    </row>
    <row r="118" spans="1:26" ht="26.25" x14ac:dyDescent="0.25">
      <c r="A118" s="3" t="s">
        <v>27</v>
      </c>
      <c r="B118" s="3" t="s">
        <v>28</v>
      </c>
      <c r="C118" s="3" t="s">
        <v>40</v>
      </c>
      <c r="D118" s="3" t="s">
        <v>46</v>
      </c>
      <c r="E118" s="3" t="s">
        <v>29</v>
      </c>
      <c r="F118" s="3" t="s">
        <v>29</v>
      </c>
      <c r="G118" s="3">
        <v>2017</v>
      </c>
      <c r="H118" s="3" t="str">
        <f>CONCATENATE("34270418097")</f>
        <v>34270418097</v>
      </c>
      <c r="I118" s="3" t="s">
        <v>30</v>
      </c>
      <c r="J118" s="3" t="s">
        <v>31</v>
      </c>
      <c r="K118" s="3" t="str">
        <f t="shared" si="14"/>
        <v/>
      </c>
      <c r="L118" s="3" t="str">
        <f t="shared" si="15"/>
        <v>4 4.3 2a</v>
      </c>
      <c r="M118" s="3" t="str">
        <f t="shared" si="16"/>
        <v>01874180431</v>
      </c>
      <c r="N118" s="3" t="s">
        <v>220</v>
      </c>
      <c r="O118" s="3" t="s">
        <v>166</v>
      </c>
      <c r="P118" s="4">
        <v>45282</v>
      </c>
      <c r="Q118" s="3" t="s">
        <v>32</v>
      </c>
      <c r="R118" s="3" t="s">
        <v>38</v>
      </c>
      <c r="S118" s="3" t="s">
        <v>34</v>
      </c>
      <c r="T118" s="3"/>
      <c r="U118" s="3" t="s">
        <v>35</v>
      </c>
      <c r="V118" s="5">
        <v>42060.69</v>
      </c>
      <c r="W118" s="5">
        <v>18136.57</v>
      </c>
      <c r="X118" s="5">
        <v>16748.57</v>
      </c>
      <c r="Y118" s="3">
        <v>0</v>
      </c>
      <c r="Z118" s="5">
        <v>7175.55</v>
      </c>
    </row>
    <row r="119" spans="1:26" ht="26.25" x14ac:dyDescent="0.25">
      <c r="A119" s="3" t="s">
        <v>27</v>
      </c>
      <c r="B119" s="3" t="s">
        <v>28</v>
      </c>
      <c r="C119" s="3" t="s">
        <v>40</v>
      </c>
      <c r="D119" s="3" t="s">
        <v>46</v>
      </c>
      <c r="E119" s="3" t="s">
        <v>29</v>
      </c>
      <c r="F119" s="3" t="s">
        <v>29</v>
      </c>
      <c r="G119" s="3">
        <v>2017</v>
      </c>
      <c r="H119" s="3" t="str">
        <f>CONCATENATE("34270418089")</f>
        <v>34270418089</v>
      </c>
      <c r="I119" s="3" t="s">
        <v>30</v>
      </c>
      <c r="J119" s="3" t="s">
        <v>31</v>
      </c>
      <c r="K119" s="3" t="str">
        <f t="shared" si="14"/>
        <v/>
      </c>
      <c r="L119" s="3" t="str">
        <f t="shared" si="15"/>
        <v>4 4.3 2a</v>
      </c>
      <c r="M119" s="3" t="str">
        <f t="shared" si="16"/>
        <v>01874180431</v>
      </c>
      <c r="N119" s="3" t="s">
        <v>220</v>
      </c>
      <c r="O119" s="3" t="s">
        <v>166</v>
      </c>
      <c r="P119" s="4">
        <v>45282</v>
      </c>
      <c r="Q119" s="3" t="s">
        <v>32</v>
      </c>
      <c r="R119" s="3" t="s">
        <v>38</v>
      </c>
      <c r="S119" s="3" t="s">
        <v>34</v>
      </c>
      <c r="T119" s="3"/>
      <c r="U119" s="3" t="s">
        <v>35</v>
      </c>
      <c r="V119" s="5">
        <v>57578.35</v>
      </c>
      <c r="W119" s="5">
        <v>24827.78</v>
      </c>
      <c r="X119" s="5">
        <v>22927.7</v>
      </c>
      <c r="Y119" s="3">
        <v>0</v>
      </c>
      <c r="Z119" s="5">
        <v>9822.8700000000008</v>
      </c>
    </row>
    <row r="120" spans="1:26" ht="26.25" x14ac:dyDescent="0.25">
      <c r="A120" s="3" t="s">
        <v>27</v>
      </c>
      <c r="B120" s="3" t="s">
        <v>28</v>
      </c>
      <c r="C120" s="3" t="s">
        <v>40</v>
      </c>
      <c r="D120" s="3" t="s">
        <v>46</v>
      </c>
      <c r="E120" s="3" t="s">
        <v>29</v>
      </c>
      <c r="F120" s="3" t="s">
        <v>29</v>
      </c>
      <c r="G120" s="3">
        <v>2017</v>
      </c>
      <c r="H120" s="3" t="str">
        <f>CONCATENATE("34270418121")</f>
        <v>34270418121</v>
      </c>
      <c r="I120" s="3" t="s">
        <v>30</v>
      </c>
      <c r="J120" s="3" t="s">
        <v>31</v>
      </c>
      <c r="K120" s="3" t="str">
        <f t="shared" si="14"/>
        <v/>
      </c>
      <c r="L120" s="3" t="str">
        <f t="shared" si="15"/>
        <v>4 4.3 2a</v>
      </c>
      <c r="M120" s="3" t="str">
        <f t="shared" si="16"/>
        <v>01874180431</v>
      </c>
      <c r="N120" s="3" t="s">
        <v>220</v>
      </c>
      <c r="O120" s="3" t="s">
        <v>221</v>
      </c>
      <c r="P120" s="4">
        <v>45283</v>
      </c>
      <c r="Q120" s="3" t="s">
        <v>32</v>
      </c>
      <c r="R120" s="3" t="s">
        <v>38</v>
      </c>
      <c r="S120" s="3" t="s">
        <v>34</v>
      </c>
      <c r="T120" s="3"/>
      <c r="U120" s="3" t="s">
        <v>35</v>
      </c>
      <c r="V120" s="5">
        <v>107504.07</v>
      </c>
      <c r="W120" s="5">
        <v>46355.75</v>
      </c>
      <c r="X120" s="5">
        <v>42808.12</v>
      </c>
      <c r="Y120" s="3">
        <v>0</v>
      </c>
      <c r="Z120" s="5">
        <v>18340.2</v>
      </c>
    </row>
    <row r="121" spans="1:26" ht="26.25" x14ac:dyDescent="0.25">
      <c r="A121" s="3" t="s">
        <v>27</v>
      </c>
      <c r="B121" s="3" t="s">
        <v>28</v>
      </c>
      <c r="C121" s="3" t="s">
        <v>40</v>
      </c>
      <c r="D121" s="3" t="s">
        <v>76</v>
      </c>
      <c r="E121" s="3" t="s">
        <v>29</v>
      </c>
      <c r="F121" s="3" t="s">
        <v>29</v>
      </c>
      <c r="G121" s="3">
        <v>2017</v>
      </c>
      <c r="H121" s="3" t="str">
        <f>CONCATENATE("34270414617")</f>
        <v>34270414617</v>
      </c>
      <c r="I121" s="3" t="s">
        <v>30</v>
      </c>
      <c r="J121" s="3" t="s">
        <v>31</v>
      </c>
      <c r="K121" s="3" t="str">
        <f t="shared" si="14"/>
        <v/>
      </c>
      <c r="L121" s="3" t="str">
        <f>CONCATENATE("4 4.3 2a")</f>
        <v>4 4.3 2a</v>
      </c>
      <c r="M121" s="3" t="str">
        <f>CONCATENATE("00215270430")</f>
        <v>00215270430</v>
      </c>
      <c r="N121" s="3" t="s">
        <v>222</v>
      </c>
      <c r="O121" s="3" t="s">
        <v>221</v>
      </c>
      <c r="P121" s="4">
        <v>45283</v>
      </c>
      <c r="Q121" s="3" t="s">
        <v>32</v>
      </c>
      <c r="R121" s="3" t="s">
        <v>38</v>
      </c>
      <c r="S121" s="3" t="s">
        <v>34</v>
      </c>
      <c r="T121" s="3"/>
      <c r="U121" s="3" t="s">
        <v>35</v>
      </c>
      <c r="V121" s="5">
        <v>73248.800000000003</v>
      </c>
      <c r="W121" s="5">
        <v>31584.880000000001</v>
      </c>
      <c r="X121" s="5">
        <v>29167.67</v>
      </c>
      <c r="Y121" s="3">
        <v>0</v>
      </c>
      <c r="Z121" s="5">
        <v>12496.25</v>
      </c>
    </row>
    <row r="122" spans="1:26" ht="26.25" x14ac:dyDescent="0.25">
      <c r="A122" s="3" t="s">
        <v>27</v>
      </c>
      <c r="B122" s="3" t="s">
        <v>28</v>
      </c>
      <c r="C122" s="3" t="s">
        <v>40</v>
      </c>
      <c r="D122" s="3" t="s">
        <v>76</v>
      </c>
      <c r="E122" s="3" t="s">
        <v>29</v>
      </c>
      <c r="F122" s="3" t="s">
        <v>29</v>
      </c>
      <c r="G122" s="3">
        <v>2017</v>
      </c>
      <c r="H122" s="3" t="str">
        <f>CONCATENATE("34270414591")</f>
        <v>34270414591</v>
      </c>
      <c r="I122" s="3" t="s">
        <v>30</v>
      </c>
      <c r="J122" s="3" t="s">
        <v>31</v>
      </c>
      <c r="K122" s="3" t="str">
        <f t="shared" si="14"/>
        <v/>
      </c>
      <c r="L122" s="3" t="str">
        <f>CONCATENATE("4 4.3 2a")</f>
        <v>4 4.3 2a</v>
      </c>
      <c r="M122" s="3" t="str">
        <f>CONCATENATE("00215270430")</f>
        <v>00215270430</v>
      </c>
      <c r="N122" s="3" t="s">
        <v>222</v>
      </c>
      <c r="O122" s="3" t="s">
        <v>221</v>
      </c>
      <c r="P122" s="4">
        <v>45283</v>
      </c>
      <c r="Q122" s="3" t="s">
        <v>32</v>
      </c>
      <c r="R122" s="3" t="s">
        <v>38</v>
      </c>
      <c r="S122" s="3" t="s">
        <v>34</v>
      </c>
      <c r="T122" s="3"/>
      <c r="U122" s="3" t="s">
        <v>35</v>
      </c>
      <c r="V122" s="5">
        <v>86598.28</v>
      </c>
      <c r="W122" s="5">
        <v>37341.18</v>
      </c>
      <c r="X122" s="5">
        <v>34483.440000000002</v>
      </c>
      <c r="Y122" s="3">
        <v>0</v>
      </c>
      <c r="Z122" s="5">
        <v>14773.66</v>
      </c>
    </row>
    <row r="123" spans="1:26" ht="26.25" x14ac:dyDescent="0.25">
      <c r="A123" s="3" t="s">
        <v>27</v>
      </c>
      <c r="B123" s="3" t="s">
        <v>28</v>
      </c>
      <c r="C123" s="3" t="s">
        <v>40</v>
      </c>
      <c r="D123" s="3" t="s">
        <v>68</v>
      </c>
      <c r="E123" s="3" t="s">
        <v>29</v>
      </c>
      <c r="F123" s="3" t="s">
        <v>29</v>
      </c>
      <c r="G123" s="3">
        <v>2017</v>
      </c>
      <c r="H123" s="3" t="str">
        <f>CONCATENATE("34270417644")</f>
        <v>34270417644</v>
      </c>
      <c r="I123" s="3" t="s">
        <v>30</v>
      </c>
      <c r="J123" s="3" t="s">
        <v>31</v>
      </c>
      <c r="K123" s="3" t="str">
        <f>CONCATENATE("")</f>
        <v/>
      </c>
      <c r="L123" s="3" t="str">
        <f>CONCATENATE("7 7.6 4a")</f>
        <v>7 7.6 4a</v>
      </c>
      <c r="M123" s="3" t="str">
        <f>CONCATENATE("00369930425")</f>
        <v>00369930425</v>
      </c>
      <c r="N123" s="3" t="s">
        <v>223</v>
      </c>
      <c r="O123" s="3" t="s">
        <v>224</v>
      </c>
      <c r="P123" s="4">
        <v>45282</v>
      </c>
      <c r="Q123" s="3" t="s">
        <v>32</v>
      </c>
      <c r="R123" s="3" t="s">
        <v>38</v>
      </c>
      <c r="S123" s="3" t="s">
        <v>34</v>
      </c>
      <c r="T123" s="3"/>
      <c r="U123" s="3" t="s">
        <v>35</v>
      </c>
      <c r="V123" s="5">
        <v>19276</v>
      </c>
      <c r="W123" s="5">
        <v>8311.81</v>
      </c>
      <c r="X123" s="5">
        <v>7675.7</v>
      </c>
      <c r="Y123" s="3">
        <v>0</v>
      </c>
      <c r="Z123" s="5">
        <v>3288.49</v>
      </c>
    </row>
    <row r="124" spans="1:26" ht="26.25" x14ac:dyDescent="0.25">
      <c r="A124" s="3" t="s">
        <v>27</v>
      </c>
      <c r="B124" s="3" t="s">
        <v>28</v>
      </c>
      <c r="C124" s="3" t="s">
        <v>40</v>
      </c>
      <c r="D124" s="3" t="s">
        <v>41</v>
      </c>
      <c r="E124" s="3" t="s">
        <v>29</v>
      </c>
      <c r="F124" s="3" t="s">
        <v>29</v>
      </c>
      <c r="G124" s="3">
        <v>2017</v>
      </c>
      <c r="H124" s="3" t="str">
        <f>CONCATENATE("34270421273")</f>
        <v>34270421273</v>
      </c>
      <c r="I124" s="3" t="s">
        <v>30</v>
      </c>
      <c r="J124" s="3" t="s">
        <v>31</v>
      </c>
      <c r="K124" s="3" t="str">
        <f>CONCATENATE("")</f>
        <v/>
      </c>
      <c r="L124" s="3" t="str">
        <f>CONCATENATE("7 7.6 4a")</f>
        <v>7 7.6 4a</v>
      </c>
      <c r="M124" s="3" t="str">
        <f>CONCATENATE("02565260417")</f>
        <v>02565260417</v>
      </c>
      <c r="N124" s="3" t="s">
        <v>225</v>
      </c>
      <c r="O124" s="3" t="s">
        <v>226</v>
      </c>
      <c r="P124" s="4">
        <v>45283</v>
      </c>
      <c r="Q124" s="3" t="s">
        <v>32</v>
      </c>
      <c r="R124" s="3" t="s">
        <v>38</v>
      </c>
      <c r="S124" s="3" t="s">
        <v>34</v>
      </c>
      <c r="T124" s="3"/>
      <c r="U124" s="3" t="s">
        <v>35</v>
      </c>
      <c r="V124" s="5">
        <v>119804</v>
      </c>
      <c r="W124" s="5">
        <v>51659.48</v>
      </c>
      <c r="X124" s="5">
        <v>47705.95</v>
      </c>
      <c r="Y124" s="3">
        <v>0</v>
      </c>
      <c r="Z124" s="5">
        <v>20438.57</v>
      </c>
    </row>
    <row r="125" spans="1:26" ht="42.75" x14ac:dyDescent="0.25">
      <c r="A125" s="3" t="s">
        <v>27</v>
      </c>
      <c r="B125" s="3" t="s">
        <v>36</v>
      </c>
      <c r="C125" s="3" t="s">
        <v>40</v>
      </c>
      <c r="D125" s="3" t="s">
        <v>41</v>
      </c>
      <c r="E125" s="3" t="s">
        <v>29</v>
      </c>
      <c r="F125" s="3" t="s">
        <v>29</v>
      </c>
      <c r="G125" s="3">
        <v>2023</v>
      </c>
      <c r="H125" s="3" t="str">
        <f>CONCATENATE("34240594589")</f>
        <v>34240594589</v>
      </c>
      <c r="I125" s="3" t="s">
        <v>30</v>
      </c>
      <c r="J125" s="3" t="s">
        <v>31</v>
      </c>
      <c r="K125" s="3" t="str">
        <f>CONCATENATE("")</f>
        <v/>
      </c>
      <c r="L125" s="3" t="str">
        <f>CONCATENATE("14 14.1 3a")</f>
        <v>14 14.1 3a</v>
      </c>
      <c r="M125" s="3" t="str">
        <f>CONCATENATE("MTTMRA57T19F524A")</f>
        <v>MTTMRA57T19F524A</v>
      </c>
      <c r="N125" s="3" t="s">
        <v>227</v>
      </c>
      <c r="O125" s="3" t="s">
        <v>228</v>
      </c>
      <c r="P125" s="4">
        <v>45282</v>
      </c>
      <c r="Q125" s="3" t="s">
        <v>32</v>
      </c>
      <c r="R125" s="3" t="s">
        <v>38</v>
      </c>
      <c r="S125" s="3" t="s">
        <v>34</v>
      </c>
      <c r="T125" s="3"/>
      <c r="U125" s="3" t="s">
        <v>35</v>
      </c>
      <c r="V125" s="5">
        <v>18933.2</v>
      </c>
      <c r="W125" s="5">
        <v>8164</v>
      </c>
      <c r="X125" s="5">
        <v>7539.2</v>
      </c>
      <c r="Y125" s="3">
        <v>0</v>
      </c>
      <c r="Z125" s="5">
        <v>3230</v>
      </c>
    </row>
    <row r="126" spans="1:26" ht="34.5" x14ac:dyDescent="0.25">
      <c r="A126" s="3" t="s">
        <v>27</v>
      </c>
      <c r="B126" s="3" t="s">
        <v>36</v>
      </c>
      <c r="C126" s="3" t="s">
        <v>40</v>
      </c>
      <c r="D126" s="3" t="s">
        <v>41</v>
      </c>
      <c r="E126" s="3" t="s">
        <v>54</v>
      </c>
      <c r="F126" s="3" t="s">
        <v>229</v>
      </c>
      <c r="G126" s="3">
        <v>2023</v>
      </c>
      <c r="H126" s="3" t="str">
        <f>CONCATENATE("34240242627")</f>
        <v>34240242627</v>
      </c>
      <c r="I126" s="3" t="s">
        <v>30</v>
      </c>
      <c r="J126" s="3" t="s">
        <v>31</v>
      </c>
      <c r="K126" s="3" t="str">
        <f>CONCATENATE("")</f>
        <v/>
      </c>
      <c r="L126" s="3" t="str">
        <f>CONCATENATE("10 10.1 4a")</f>
        <v>10 10.1 4a</v>
      </c>
      <c r="M126" s="3" t="str">
        <f>CONCATENATE("CRDTNI53S49D791C")</f>
        <v>CRDTNI53S49D791C</v>
      </c>
      <c r="N126" s="3" t="s">
        <v>230</v>
      </c>
      <c r="O126" s="3" t="s">
        <v>178</v>
      </c>
      <c r="P126" s="4">
        <v>45282</v>
      </c>
      <c r="Q126" s="3" t="s">
        <v>32</v>
      </c>
      <c r="R126" s="3" t="s">
        <v>38</v>
      </c>
      <c r="S126" s="3" t="s">
        <v>34</v>
      </c>
      <c r="T126" s="3"/>
      <c r="U126" s="3" t="s">
        <v>35</v>
      </c>
      <c r="V126" s="3">
        <v>182.79</v>
      </c>
      <c r="W126" s="3">
        <v>78.819999999999993</v>
      </c>
      <c r="X126" s="3">
        <v>72.790000000000006</v>
      </c>
      <c r="Y126" s="3">
        <v>0</v>
      </c>
      <c r="Z126" s="3">
        <v>31.18</v>
      </c>
    </row>
    <row r="127" spans="1:26" ht="26.25" x14ac:dyDescent="0.25">
      <c r="A127" s="3" t="s">
        <v>27</v>
      </c>
      <c r="B127" s="3" t="s">
        <v>28</v>
      </c>
      <c r="C127" s="3" t="s">
        <v>40</v>
      </c>
      <c r="D127" s="3" t="s">
        <v>68</v>
      </c>
      <c r="E127" s="3" t="s">
        <v>29</v>
      </c>
      <c r="F127" s="3" t="s">
        <v>29</v>
      </c>
      <c r="G127" s="3">
        <v>2017</v>
      </c>
      <c r="H127" s="3" t="str">
        <f>CONCATENATE("34270419186")</f>
        <v>34270419186</v>
      </c>
      <c r="I127" s="3" t="s">
        <v>30</v>
      </c>
      <c r="J127" s="3" t="s">
        <v>31</v>
      </c>
      <c r="K127" s="3" t="str">
        <f>CONCATENATE("")</f>
        <v/>
      </c>
      <c r="L127" s="3" t="str">
        <f>CONCATENATE("4 4.1 2a")</f>
        <v>4 4.1 2a</v>
      </c>
      <c r="M127" s="3" t="str">
        <f>CONCATENATE("00489300426")</f>
        <v>00489300426</v>
      </c>
      <c r="N127" s="3" t="s">
        <v>231</v>
      </c>
      <c r="O127" s="3" t="s">
        <v>232</v>
      </c>
      <c r="P127" s="4">
        <v>45282</v>
      </c>
      <c r="Q127" s="3" t="s">
        <v>32</v>
      </c>
      <c r="R127" s="3" t="s">
        <v>38</v>
      </c>
      <c r="S127" s="3" t="s">
        <v>34</v>
      </c>
      <c r="T127" s="3"/>
      <c r="U127" s="3" t="s">
        <v>35</v>
      </c>
      <c r="V127" s="5">
        <v>166076.70000000001</v>
      </c>
      <c r="W127" s="5">
        <v>71612.27</v>
      </c>
      <c r="X127" s="5">
        <v>66131.740000000005</v>
      </c>
      <c r="Y127" s="3">
        <v>0</v>
      </c>
      <c r="Z127" s="5">
        <v>28332.69</v>
      </c>
    </row>
    <row r="128" spans="1:26" ht="34.5" x14ac:dyDescent="0.25">
      <c r="A128" s="3" t="s">
        <v>27</v>
      </c>
      <c r="B128" s="3" t="s">
        <v>36</v>
      </c>
      <c r="C128" s="3" t="s">
        <v>40</v>
      </c>
      <c r="D128" s="3" t="s">
        <v>41</v>
      </c>
      <c r="E128" s="3" t="s">
        <v>39</v>
      </c>
      <c r="F128" s="3" t="s">
        <v>207</v>
      </c>
      <c r="G128" s="3">
        <v>2023</v>
      </c>
      <c r="H128" s="3" t="str">
        <f>CONCATENATE("34240350271")</f>
        <v>34240350271</v>
      </c>
      <c r="I128" s="3" t="s">
        <v>30</v>
      </c>
      <c r="J128" s="3" t="s">
        <v>31</v>
      </c>
      <c r="K128" s="3" t="str">
        <f t="shared" ref="K128:K138" si="17">CONCATENATE("")</f>
        <v/>
      </c>
      <c r="L128" s="3" t="str">
        <f>CONCATENATE("11 11.2 4b")</f>
        <v>11 11.2 4b</v>
      </c>
      <c r="M128" s="3" t="str">
        <f>CONCATENATE("SLTMRA60M31I459G")</f>
        <v>SLTMRA60M31I459G</v>
      </c>
      <c r="N128" s="3" t="s">
        <v>233</v>
      </c>
      <c r="O128" s="3" t="s">
        <v>234</v>
      </c>
      <c r="P128" s="4">
        <v>45282</v>
      </c>
      <c r="Q128" s="3" t="s">
        <v>32</v>
      </c>
      <c r="R128" s="3" t="s">
        <v>38</v>
      </c>
      <c r="S128" s="3" t="s">
        <v>34</v>
      </c>
      <c r="T128" s="3"/>
      <c r="U128" s="3" t="s">
        <v>35</v>
      </c>
      <c r="V128" s="5">
        <v>40656.629999999997</v>
      </c>
      <c r="W128" s="5">
        <v>17531.14</v>
      </c>
      <c r="X128" s="5">
        <v>16189.47</v>
      </c>
      <c r="Y128" s="3">
        <v>0</v>
      </c>
      <c r="Z128" s="5">
        <v>6936.02</v>
      </c>
    </row>
    <row r="129" spans="1:26" ht="34.5" x14ac:dyDescent="0.25">
      <c r="A129" s="3" t="s">
        <v>27</v>
      </c>
      <c r="B129" s="3" t="s">
        <v>36</v>
      </c>
      <c r="C129" s="3" t="s">
        <v>40</v>
      </c>
      <c r="D129" s="3" t="s">
        <v>76</v>
      </c>
      <c r="E129" s="3" t="s">
        <v>44</v>
      </c>
      <c r="F129" s="3" t="s">
        <v>235</v>
      </c>
      <c r="G129" s="3">
        <v>2023</v>
      </c>
      <c r="H129" s="3" t="str">
        <f>CONCATENATE("34240035385")</f>
        <v>34240035385</v>
      </c>
      <c r="I129" s="3" t="s">
        <v>30</v>
      </c>
      <c r="J129" s="3" t="s">
        <v>31</v>
      </c>
      <c r="K129" s="3" t="str">
        <f t="shared" si="17"/>
        <v/>
      </c>
      <c r="L129" s="3" t="str">
        <f>CONCATENATE("11 11.2 4b")</f>
        <v>11 11.2 4b</v>
      </c>
      <c r="M129" s="3" t="str">
        <f>CONCATENATE("SNTLRA76A58F347J")</f>
        <v>SNTLRA76A58F347J</v>
      </c>
      <c r="N129" s="3" t="s">
        <v>236</v>
      </c>
      <c r="O129" s="3" t="s">
        <v>237</v>
      </c>
      <c r="P129" s="4">
        <v>45282</v>
      </c>
      <c r="Q129" s="3" t="s">
        <v>32</v>
      </c>
      <c r="R129" s="3" t="s">
        <v>38</v>
      </c>
      <c r="S129" s="3" t="s">
        <v>34</v>
      </c>
      <c r="T129" s="3"/>
      <c r="U129" s="3" t="s">
        <v>35</v>
      </c>
      <c r="V129" s="5">
        <v>2088.5300000000002</v>
      </c>
      <c r="W129" s="3">
        <v>900.57</v>
      </c>
      <c r="X129" s="3">
        <v>831.65</v>
      </c>
      <c r="Y129" s="3">
        <v>0</v>
      </c>
      <c r="Z129" s="3">
        <v>356.31</v>
      </c>
    </row>
    <row r="130" spans="1:26" ht="42.75" x14ac:dyDescent="0.25">
      <c r="A130" s="3" t="s">
        <v>27</v>
      </c>
      <c r="B130" s="3" t="s">
        <v>36</v>
      </c>
      <c r="C130" s="3" t="s">
        <v>40</v>
      </c>
      <c r="D130" s="3" t="s">
        <v>46</v>
      </c>
      <c r="E130" s="3" t="s">
        <v>39</v>
      </c>
      <c r="F130" s="3" t="s">
        <v>238</v>
      </c>
      <c r="G130" s="3">
        <v>2023</v>
      </c>
      <c r="H130" s="3" t="str">
        <f>CONCATENATE("34210042346")</f>
        <v>34210042346</v>
      </c>
      <c r="I130" s="3" t="s">
        <v>30</v>
      </c>
      <c r="J130" s="3" t="s">
        <v>31</v>
      </c>
      <c r="K130" s="3" t="str">
        <f t="shared" si="17"/>
        <v/>
      </c>
      <c r="L130" s="3" t="str">
        <f t="shared" ref="L130:L138" si="18">CONCATENATE("13 13.1 4a")</f>
        <v>13 13.1 4a</v>
      </c>
      <c r="M130" s="3" t="str">
        <f>CONCATENATE("DDMNLR50C69L597B")</f>
        <v>DDMNLR50C69L597B</v>
      </c>
      <c r="N130" s="3" t="s">
        <v>239</v>
      </c>
      <c r="O130" s="3" t="s">
        <v>188</v>
      </c>
      <c r="P130" s="4">
        <v>45282</v>
      </c>
      <c r="Q130" s="3" t="s">
        <v>32</v>
      </c>
      <c r="R130" s="3" t="s">
        <v>38</v>
      </c>
      <c r="S130" s="3" t="s">
        <v>34</v>
      </c>
      <c r="T130" s="3"/>
      <c r="U130" s="3" t="s">
        <v>35</v>
      </c>
      <c r="V130" s="3">
        <v>761.45</v>
      </c>
      <c r="W130" s="3">
        <v>328.34</v>
      </c>
      <c r="X130" s="3">
        <v>303.20999999999998</v>
      </c>
      <c r="Y130" s="3">
        <v>0</v>
      </c>
      <c r="Z130" s="3">
        <v>129.9</v>
      </c>
    </row>
    <row r="131" spans="1:26" ht="42.75" x14ac:dyDescent="0.25">
      <c r="A131" s="3" t="s">
        <v>27</v>
      </c>
      <c r="B131" s="3" t="s">
        <v>36</v>
      </c>
      <c r="C131" s="3" t="s">
        <v>40</v>
      </c>
      <c r="D131" s="3" t="s">
        <v>41</v>
      </c>
      <c r="E131" s="3" t="s">
        <v>39</v>
      </c>
      <c r="F131" s="3" t="s">
        <v>140</v>
      </c>
      <c r="G131" s="3">
        <v>2023</v>
      </c>
      <c r="H131" s="3" t="str">
        <f>CONCATENATE("34210110549")</f>
        <v>34210110549</v>
      </c>
      <c r="I131" s="3" t="s">
        <v>30</v>
      </c>
      <c r="J131" s="3" t="s">
        <v>31</v>
      </c>
      <c r="K131" s="3" t="str">
        <f t="shared" si="17"/>
        <v/>
      </c>
      <c r="L131" s="3" t="str">
        <f t="shared" si="18"/>
        <v>13 13.1 4a</v>
      </c>
      <c r="M131" s="3" t="str">
        <f>CONCATENATE("PCAGNN44D25F497Q")</f>
        <v>PCAGNN44D25F497Q</v>
      </c>
      <c r="N131" s="3" t="s">
        <v>240</v>
      </c>
      <c r="O131" s="3" t="s">
        <v>188</v>
      </c>
      <c r="P131" s="4">
        <v>45282</v>
      </c>
      <c r="Q131" s="3" t="s">
        <v>32</v>
      </c>
      <c r="R131" s="3" t="s">
        <v>38</v>
      </c>
      <c r="S131" s="3" t="s">
        <v>34</v>
      </c>
      <c r="T131" s="3"/>
      <c r="U131" s="3" t="s">
        <v>35</v>
      </c>
      <c r="V131" s="5">
        <v>1468.4</v>
      </c>
      <c r="W131" s="3">
        <v>633.16999999999996</v>
      </c>
      <c r="X131" s="3">
        <v>584.72</v>
      </c>
      <c r="Y131" s="3">
        <v>0</v>
      </c>
      <c r="Z131" s="3">
        <v>250.51</v>
      </c>
    </row>
    <row r="132" spans="1:26" ht="26.25" x14ac:dyDescent="0.25">
      <c r="A132" s="3" t="s">
        <v>27</v>
      </c>
      <c r="B132" s="3" t="s">
        <v>36</v>
      </c>
      <c r="C132" s="3" t="s">
        <v>40</v>
      </c>
      <c r="D132" s="3" t="s">
        <v>41</v>
      </c>
      <c r="E132" s="3" t="s">
        <v>44</v>
      </c>
      <c r="F132" s="3" t="s">
        <v>87</v>
      </c>
      <c r="G132" s="3">
        <v>2023</v>
      </c>
      <c r="H132" s="3" t="str">
        <f>CONCATENATE("34210075932")</f>
        <v>34210075932</v>
      </c>
      <c r="I132" s="3" t="s">
        <v>30</v>
      </c>
      <c r="J132" s="3" t="s">
        <v>31</v>
      </c>
      <c r="K132" s="3" t="str">
        <f t="shared" si="17"/>
        <v/>
      </c>
      <c r="L132" s="3" t="str">
        <f t="shared" si="18"/>
        <v>13 13.1 4a</v>
      </c>
      <c r="M132" s="3" t="str">
        <f>CONCATENATE("02793420411")</f>
        <v>02793420411</v>
      </c>
      <c r="N132" s="3" t="s">
        <v>241</v>
      </c>
      <c r="O132" s="3" t="s">
        <v>188</v>
      </c>
      <c r="P132" s="4">
        <v>45282</v>
      </c>
      <c r="Q132" s="3" t="s">
        <v>32</v>
      </c>
      <c r="R132" s="3" t="s">
        <v>38</v>
      </c>
      <c r="S132" s="3" t="s">
        <v>34</v>
      </c>
      <c r="T132" s="3"/>
      <c r="U132" s="3" t="s">
        <v>35</v>
      </c>
      <c r="V132" s="5">
        <v>2593.9899999999998</v>
      </c>
      <c r="W132" s="5">
        <v>1118.53</v>
      </c>
      <c r="X132" s="5">
        <v>1032.93</v>
      </c>
      <c r="Y132" s="3">
        <v>0</v>
      </c>
      <c r="Z132" s="3">
        <v>442.53</v>
      </c>
    </row>
    <row r="133" spans="1:26" ht="34.5" x14ac:dyDescent="0.25">
      <c r="A133" s="3" t="s">
        <v>27</v>
      </c>
      <c r="B133" s="3" t="s">
        <v>36</v>
      </c>
      <c r="C133" s="3" t="s">
        <v>40</v>
      </c>
      <c r="D133" s="3" t="s">
        <v>41</v>
      </c>
      <c r="E133" s="3" t="s">
        <v>39</v>
      </c>
      <c r="F133" s="3" t="s">
        <v>242</v>
      </c>
      <c r="G133" s="3">
        <v>2023</v>
      </c>
      <c r="H133" s="3" t="str">
        <f>CONCATENATE("34210021274")</f>
        <v>34210021274</v>
      </c>
      <c r="I133" s="3" t="s">
        <v>30</v>
      </c>
      <c r="J133" s="3" t="s">
        <v>31</v>
      </c>
      <c r="K133" s="3" t="str">
        <f t="shared" si="17"/>
        <v/>
      </c>
      <c r="L133" s="3" t="str">
        <f t="shared" si="18"/>
        <v>13 13.1 4a</v>
      </c>
      <c r="M133" s="3" t="str">
        <f>CONCATENATE("PCCLSE34A50D809U")</f>
        <v>PCCLSE34A50D809U</v>
      </c>
      <c r="N133" s="3" t="s">
        <v>243</v>
      </c>
      <c r="O133" s="3" t="s">
        <v>188</v>
      </c>
      <c r="P133" s="4">
        <v>45282</v>
      </c>
      <c r="Q133" s="3" t="s">
        <v>32</v>
      </c>
      <c r="R133" s="3" t="s">
        <v>38</v>
      </c>
      <c r="S133" s="3" t="s">
        <v>34</v>
      </c>
      <c r="T133" s="3"/>
      <c r="U133" s="3" t="s">
        <v>35</v>
      </c>
      <c r="V133" s="5">
        <v>10037.700000000001</v>
      </c>
      <c r="W133" s="5">
        <v>4328.26</v>
      </c>
      <c r="X133" s="5">
        <v>3997.01</v>
      </c>
      <c r="Y133" s="3">
        <v>0</v>
      </c>
      <c r="Z133" s="5">
        <v>1712.43</v>
      </c>
    </row>
    <row r="134" spans="1:26" ht="34.5" x14ac:dyDescent="0.25">
      <c r="A134" s="3" t="s">
        <v>27</v>
      </c>
      <c r="B134" s="3" t="s">
        <v>36</v>
      </c>
      <c r="C134" s="3" t="s">
        <v>40</v>
      </c>
      <c r="D134" s="3" t="s">
        <v>41</v>
      </c>
      <c r="E134" s="3" t="s">
        <v>39</v>
      </c>
      <c r="F134" s="3" t="s">
        <v>142</v>
      </c>
      <c r="G134" s="3">
        <v>2023</v>
      </c>
      <c r="H134" s="3" t="str">
        <f>CONCATENATE("34210029293")</f>
        <v>34210029293</v>
      </c>
      <c r="I134" s="3" t="s">
        <v>30</v>
      </c>
      <c r="J134" s="3" t="s">
        <v>31</v>
      </c>
      <c r="K134" s="3" t="str">
        <f t="shared" si="17"/>
        <v/>
      </c>
      <c r="L134" s="3" t="str">
        <f t="shared" si="18"/>
        <v>13 13.1 4a</v>
      </c>
      <c r="M134" s="3" t="str">
        <f>CONCATENATE("VNNCRL69L27I287T")</f>
        <v>VNNCRL69L27I287T</v>
      </c>
      <c r="N134" s="3" t="s">
        <v>244</v>
      </c>
      <c r="O134" s="3" t="s">
        <v>188</v>
      </c>
      <c r="P134" s="4">
        <v>45282</v>
      </c>
      <c r="Q134" s="3" t="s">
        <v>32</v>
      </c>
      <c r="R134" s="3" t="s">
        <v>38</v>
      </c>
      <c r="S134" s="3" t="s">
        <v>34</v>
      </c>
      <c r="T134" s="3"/>
      <c r="U134" s="3" t="s">
        <v>35</v>
      </c>
      <c r="V134" s="5">
        <v>1210.72</v>
      </c>
      <c r="W134" s="3">
        <v>522.05999999999995</v>
      </c>
      <c r="X134" s="3">
        <v>482.11</v>
      </c>
      <c r="Y134" s="3">
        <v>0</v>
      </c>
      <c r="Z134" s="3">
        <v>206.55</v>
      </c>
    </row>
    <row r="135" spans="1:26" ht="26.25" x14ac:dyDescent="0.25">
      <c r="A135" s="3" t="s">
        <v>27</v>
      </c>
      <c r="B135" s="3" t="s">
        <v>36</v>
      </c>
      <c r="C135" s="3" t="s">
        <v>40</v>
      </c>
      <c r="D135" s="3" t="s">
        <v>41</v>
      </c>
      <c r="E135" s="3" t="s">
        <v>245</v>
      </c>
      <c r="F135" s="3" t="s">
        <v>246</v>
      </c>
      <c r="G135" s="3">
        <v>2022</v>
      </c>
      <c r="H135" s="3" t="str">
        <f>CONCATENATE("24211256755")</f>
        <v>24211256755</v>
      </c>
      <c r="I135" s="3" t="s">
        <v>30</v>
      </c>
      <c r="J135" s="3" t="s">
        <v>31</v>
      </c>
      <c r="K135" s="3" t="str">
        <f t="shared" si="17"/>
        <v/>
      </c>
      <c r="L135" s="3" t="str">
        <f t="shared" si="18"/>
        <v>13 13.1 4a</v>
      </c>
      <c r="M135" s="3" t="str">
        <f>CONCATENATE("02344250515")</f>
        <v>02344250515</v>
      </c>
      <c r="N135" s="3" t="s">
        <v>247</v>
      </c>
      <c r="O135" s="3" t="s">
        <v>188</v>
      </c>
      <c r="P135" s="4">
        <v>45282</v>
      </c>
      <c r="Q135" s="3" t="s">
        <v>32</v>
      </c>
      <c r="R135" s="3" t="s">
        <v>38</v>
      </c>
      <c r="S135" s="3" t="s">
        <v>34</v>
      </c>
      <c r="T135" s="3"/>
      <c r="U135" s="3" t="s">
        <v>35</v>
      </c>
      <c r="V135" s="5">
        <v>2739.34</v>
      </c>
      <c r="W135" s="5">
        <v>1181.2</v>
      </c>
      <c r="X135" s="5">
        <v>1090.81</v>
      </c>
      <c r="Y135" s="3">
        <v>0</v>
      </c>
      <c r="Z135" s="3">
        <v>467.33</v>
      </c>
    </row>
    <row r="136" spans="1:26" ht="42.75" x14ac:dyDescent="0.25">
      <c r="A136" s="3" t="s">
        <v>27</v>
      </c>
      <c r="B136" s="3" t="s">
        <v>36</v>
      </c>
      <c r="C136" s="3" t="s">
        <v>40</v>
      </c>
      <c r="D136" s="3" t="s">
        <v>41</v>
      </c>
      <c r="E136" s="3" t="s">
        <v>54</v>
      </c>
      <c r="F136" s="3" t="s">
        <v>116</v>
      </c>
      <c r="G136" s="3">
        <v>2023</v>
      </c>
      <c r="H136" s="3" t="str">
        <f>CONCATENATE("34210043641")</f>
        <v>34210043641</v>
      </c>
      <c r="I136" s="3" t="s">
        <v>30</v>
      </c>
      <c r="J136" s="3" t="s">
        <v>31</v>
      </c>
      <c r="K136" s="3" t="str">
        <f t="shared" si="17"/>
        <v/>
      </c>
      <c r="L136" s="3" t="str">
        <f t="shared" si="18"/>
        <v>13 13.1 4a</v>
      </c>
      <c r="M136" s="3" t="str">
        <f>CONCATENATE("BBCNIA73C43Z140A")</f>
        <v>BBCNIA73C43Z140A</v>
      </c>
      <c r="N136" s="3" t="s">
        <v>248</v>
      </c>
      <c r="O136" s="3" t="s">
        <v>188</v>
      </c>
      <c r="P136" s="4">
        <v>45282</v>
      </c>
      <c r="Q136" s="3" t="s">
        <v>32</v>
      </c>
      <c r="R136" s="3" t="s">
        <v>38</v>
      </c>
      <c r="S136" s="3" t="s">
        <v>34</v>
      </c>
      <c r="T136" s="3"/>
      <c r="U136" s="3" t="s">
        <v>35</v>
      </c>
      <c r="V136" s="3">
        <v>850.67</v>
      </c>
      <c r="W136" s="3">
        <v>366.81</v>
      </c>
      <c r="X136" s="3">
        <v>338.74</v>
      </c>
      <c r="Y136" s="3">
        <v>0</v>
      </c>
      <c r="Z136" s="3">
        <v>145.12</v>
      </c>
    </row>
    <row r="137" spans="1:26" ht="34.5" x14ac:dyDescent="0.25">
      <c r="A137" s="3" t="s">
        <v>27</v>
      </c>
      <c r="B137" s="3" t="s">
        <v>36</v>
      </c>
      <c r="C137" s="3" t="s">
        <v>40</v>
      </c>
      <c r="D137" s="3" t="s">
        <v>46</v>
      </c>
      <c r="E137" s="3" t="s">
        <v>39</v>
      </c>
      <c r="F137" s="3" t="s">
        <v>186</v>
      </c>
      <c r="G137" s="3">
        <v>2023</v>
      </c>
      <c r="H137" s="3" t="str">
        <f>CONCATENATE("34210022587")</f>
        <v>34210022587</v>
      </c>
      <c r="I137" s="3" t="s">
        <v>30</v>
      </c>
      <c r="J137" s="3" t="s">
        <v>31</v>
      </c>
      <c r="K137" s="3" t="str">
        <f t="shared" si="17"/>
        <v/>
      </c>
      <c r="L137" s="3" t="str">
        <f t="shared" si="18"/>
        <v>13 13.1 4a</v>
      </c>
      <c r="M137" s="3" t="str">
        <f>CONCATENATE("SLQFNC53L25D691O")</f>
        <v>SLQFNC53L25D691O</v>
      </c>
      <c r="N137" s="3" t="s">
        <v>249</v>
      </c>
      <c r="O137" s="3" t="s">
        <v>188</v>
      </c>
      <c r="P137" s="4">
        <v>45282</v>
      </c>
      <c r="Q137" s="3" t="s">
        <v>32</v>
      </c>
      <c r="R137" s="3" t="s">
        <v>38</v>
      </c>
      <c r="S137" s="3" t="s">
        <v>34</v>
      </c>
      <c r="T137" s="3"/>
      <c r="U137" s="3" t="s">
        <v>35</v>
      </c>
      <c r="V137" s="5">
        <v>1094.48</v>
      </c>
      <c r="W137" s="3">
        <v>471.94</v>
      </c>
      <c r="X137" s="3">
        <v>435.82</v>
      </c>
      <c r="Y137" s="3">
        <v>0</v>
      </c>
      <c r="Z137" s="3">
        <v>186.72</v>
      </c>
    </row>
    <row r="138" spans="1:26" ht="34.5" x14ac:dyDescent="0.25">
      <c r="A138" s="3" t="s">
        <v>27</v>
      </c>
      <c r="B138" s="3" t="s">
        <v>36</v>
      </c>
      <c r="C138" s="3" t="s">
        <v>40</v>
      </c>
      <c r="D138" s="3" t="s">
        <v>41</v>
      </c>
      <c r="E138" s="3" t="s">
        <v>54</v>
      </c>
      <c r="F138" s="3" t="s">
        <v>203</v>
      </c>
      <c r="G138" s="3">
        <v>2023</v>
      </c>
      <c r="H138" s="3" t="str">
        <f>CONCATENATE("34210086673")</f>
        <v>34210086673</v>
      </c>
      <c r="I138" s="3" t="s">
        <v>30</v>
      </c>
      <c r="J138" s="3" t="s">
        <v>31</v>
      </c>
      <c r="K138" s="3" t="str">
        <f t="shared" si="17"/>
        <v/>
      </c>
      <c r="L138" s="3" t="str">
        <f t="shared" si="18"/>
        <v>13 13.1 4a</v>
      </c>
      <c r="M138" s="3" t="str">
        <f>CONCATENATE("RSSZFR44P07F497K")</f>
        <v>RSSZFR44P07F497K</v>
      </c>
      <c r="N138" s="3" t="s">
        <v>250</v>
      </c>
      <c r="O138" s="3" t="s">
        <v>188</v>
      </c>
      <c r="P138" s="4">
        <v>45282</v>
      </c>
      <c r="Q138" s="3" t="s">
        <v>32</v>
      </c>
      <c r="R138" s="3" t="s">
        <v>38</v>
      </c>
      <c r="S138" s="3" t="s">
        <v>34</v>
      </c>
      <c r="T138" s="3"/>
      <c r="U138" s="3" t="s">
        <v>35</v>
      </c>
      <c r="V138" s="3">
        <v>880.98</v>
      </c>
      <c r="W138" s="3">
        <v>379.88</v>
      </c>
      <c r="X138" s="3">
        <v>350.81</v>
      </c>
      <c r="Y138" s="3">
        <v>0</v>
      </c>
      <c r="Z138" s="3">
        <v>150.29</v>
      </c>
    </row>
    <row r="139" spans="1:26" ht="26.25" x14ac:dyDescent="0.25">
      <c r="A139" s="3" t="s">
        <v>27</v>
      </c>
      <c r="B139" s="3" t="s">
        <v>28</v>
      </c>
      <c r="C139" s="3" t="s">
        <v>40</v>
      </c>
      <c r="D139" s="3" t="s">
        <v>68</v>
      </c>
      <c r="E139" s="3" t="s">
        <v>29</v>
      </c>
      <c r="F139" s="3" t="s">
        <v>29</v>
      </c>
      <c r="G139" s="3">
        <v>2017</v>
      </c>
      <c r="H139" s="3" t="str">
        <f>CONCATENATE("34270418709")</f>
        <v>34270418709</v>
      </c>
      <c r="I139" s="3" t="s">
        <v>30</v>
      </c>
      <c r="J139" s="3" t="s">
        <v>31</v>
      </c>
      <c r="K139" s="3" t="str">
        <f t="shared" ref="K139:K148" si="19">CONCATENATE("")</f>
        <v/>
      </c>
      <c r="L139" s="3" t="str">
        <f>CONCATENATE("16 16.1 2a")</f>
        <v>16 16.1 2a</v>
      </c>
      <c r="M139" s="3" t="str">
        <f>CONCATENATE("00078000429")</f>
        <v>00078000429</v>
      </c>
      <c r="N139" s="3" t="s">
        <v>251</v>
      </c>
      <c r="O139" s="3" t="s">
        <v>196</v>
      </c>
      <c r="P139" s="4">
        <v>45282</v>
      </c>
      <c r="Q139" s="3" t="s">
        <v>32</v>
      </c>
      <c r="R139" s="3" t="s">
        <v>38</v>
      </c>
      <c r="S139" s="3" t="s">
        <v>34</v>
      </c>
      <c r="T139" s="3"/>
      <c r="U139" s="3" t="s">
        <v>35</v>
      </c>
      <c r="V139" s="5">
        <v>321318.77</v>
      </c>
      <c r="W139" s="5">
        <v>138552.65</v>
      </c>
      <c r="X139" s="5">
        <v>127949.13</v>
      </c>
      <c r="Y139" s="3">
        <v>0</v>
      </c>
      <c r="Z139" s="5">
        <v>54816.99</v>
      </c>
    </row>
    <row r="140" spans="1:26" ht="26.25" x14ac:dyDescent="0.25">
      <c r="A140" s="3" t="s">
        <v>27</v>
      </c>
      <c r="B140" s="3" t="s">
        <v>28</v>
      </c>
      <c r="C140" s="3" t="s">
        <v>40</v>
      </c>
      <c r="D140" s="3" t="s">
        <v>41</v>
      </c>
      <c r="E140" s="3" t="s">
        <v>29</v>
      </c>
      <c r="F140" s="3" t="s">
        <v>29</v>
      </c>
      <c r="G140" s="3">
        <v>2017</v>
      </c>
      <c r="H140" s="3" t="str">
        <f>CONCATENATE("34270418717")</f>
        <v>34270418717</v>
      </c>
      <c r="I140" s="3" t="s">
        <v>30</v>
      </c>
      <c r="J140" s="3" t="s">
        <v>31</v>
      </c>
      <c r="K140" s="3" t="str">
        <f t="shared" si="19"/>
        <v/>
      </c>
      <c r="L140" s="3" t="str">
        <f>CONCATENATE("16 16.1 2a")</f>
        <v>16 16.1 2a</v>
      </c>
      <c r="M140" s="3" t="str">
        <f>CONCATENATE("00142480409")</f>
        <v>00142480409</v>
      </c>
      <c r="N140" s="3" t="s">
        <v>252</v>
      </c>
      <c r="O140" s="3" t="s">
        <v>196</v>
      </c>
      <c r="P140" s="4">
        <v>45282</v>
      </c>
      <c r="Q140" s="3" t="s">
        <v>32</v>
      </c>
      <c r="R140" s="3" t="s">
        <v>38</v>
      </c>
      <c r="S140" s="3" t="s">
        <v>34</v>
      </c>
      <c r="T140" s="3"/>
      <c r="U140" s="3" t="s">
        <v>35</v>
      </c>
      <c r="V140" s="5">
        <v>51647.44</v>
      </c>
      <c r="W140" s="5">
        <v>22270.38</v>
      </c>
      <c r="X140" s="5">
        <v>20566.009999999998</v>
      </c>
      <c r="Y140" s="3">
        <v>0</v>
      </c>
      <c r="Z140" s="5">
        <v>8811.0499999999993</v>
      </c>
    </row>
    <row r="141" spans="1:26" ht="26.25" x14ac:dyDescent="0.25">
      <c r="A141" s="3" t="s">
        <v>27</v>
      </c>
      <c r="B141" s="3" t="s">
        <v>28</v>
      </c>
      <c r="C141" s="3" t="s">
        <v>40</v>
      </c>
      <c r="D141" s="3" t="s">
        <v>68</v>
      </c>
      <c r="E141" s="3" t="s">
        <v>29</v>
      </c>
      <c r="F141" s="3" t="s">
        <v>29</v>
      </c>
      <c r="G141" s="3">
        <v>2017</v>
      </c>
      <c r="H141" s="3" t="str">
        <f>CONCATENATE("34270418725")</f>
        <v>34270418725</v>
      </c>
      <c r="I141" s="3" t="s">
        <v>30</v>
      </c>
      <c r="J141" s="3" t="s">
        <v>31</v>
      </c>
      <c r="K141" s="3" t="str">
        <f t="shared" si="19"/>
        <v/>
      </c>
      <c r="L141" s="3" t="str">
        <f>CONCATENATE("16 16.1 2a")</f>
        <v>16 16.1 2a</v>
      </c>
      <c r="M141" s="3" t="str">
        <f>CONCATENATE("01415990421")</f>
        <v>01415990421</v>
      </c>
      <c r="N141" s="3" t="s">
        <v>253</v>
      </c>
      <c r="O141" s="3" t="s">
        <v>196</v>
      </c>
      <c r="P141" s="4">
        <v>45282</v>
      </c>
      <c r="Q141" s="3" t="s">
        <v>32</v>
      </c>
      <c r="R141" s="3" t="s">
        <v>38</v>
      </c>
      <c r="S141" s="3" t="s">
        <v>34</v>
      </c>
      <c r="T141" s="3"/>
      <c r="U141" s="3" t="s">
        <v>35</v>
      </c>
      <c r="V141" s="5">
        <v>85171.32</v>
      </c>
      <c r="W141" s="5">
        <v>36725.870000000003</v>
      </c>
      <c r="X141" s="5">
        <v>33915.22</v>
      </c>
      <c r="Y141" s="3">
        <v>0</v>
      </c>
      <c r="Z141" s="5">
        <v>14530.23</v>
      </c>
    </row>
    <row r="142" spans="1:26" ht="26.25" x14ac:dyDescent="0.25">
      <c r="A142" s="3" t="s">
        <v>27</v>
      </c>
      <c r="B142" s="3" t="s">
        <v>28</v>
      </c>
      <c r="C142" s="3" t="s">
        <v>40</v>
      </c>
      <c r="D142" s="3" t="s">
        <v>76</v>
      </c>
      <c r="E142" s="3" t="s">
        <v>29</v>
      </c>
      <c r="F142" s="3" t="s">
        <v>29</v>
      </c>
      <c r="G142" s="3">
        <v>2017</v>
      </c>
      <c r="H142" s="3" t="str">
        <f>CONCATENATE("34270419210")</f>
        <v>34270419210</v>
      </c>
      <c r="I142" s="3" t="s">
        <v>30</v>
      </c>
      <c r="J142" s="3" t="s">
        <v>31</v>
      </c>
      <c r="K142" s="3" t="str">
        <f t="shared" si="19"/>
        <v/>
      </c>
      <c r="L142" s="3" t="str">
        <f>CONCATENATE("16 16.1 2a")</f>
        <v>16 16.1 2a</v>
      </c>
      <c r="M142" s="3" t="str">
        <f>CONCATENATE("01776160432")</f>
        <v>01776160432</v>
      </c>
      <c r="N142" s="3" t="s">
        <v>254</v>
      </c>
      <c r="O142" s="3" t="s">
        <v>196</v>
      </c>
      <c r="P142" s="4">
        <v>45282</v>
      </c>
      <c r="Q142" s="3" t="s">
        <v>32</v>
      </c>
      <c r="R142" s="3" t="s">
        <v>38</v>
      </c>
      <c r="S142" s="3" t="s">
        <v>34</v>
      </c>
      <c r="T142" s="3"/>
      <c r="U142" s="3" t="s">
        <v>35</v>
      </c>
      <c r="V142" s="5">
        <v>221006.71</v>
      </c>
      <c r="W142" s="5">
        <v>95298.09</v>
      </c>
      <c r="X142" s="5">
        <v>88004.87</v>
      </c>
      <c r="Y142" s="3">
        <v>0</v>
      </c>
      <c r="Z142" s="5">
        <v>37703.75</v>
      </c>
    </row>
    <row r="143" spans="1:26" ht="26.25" x14ac:dyDescent="0.25">
      <c r="A143" s="3" t="s">
        <v>27</v>
      </c>
      <c r="B143" s="3" t="s">
        <v>28</v>
      </c>
      <c r="C143" s="3" t="s">
        <v>40</v>
      </c>
      <c r="D143" s="3" t="s">
        <v>76</v>
      </c>
      <c r="E143" s="3" t="s">
        <v>29</v>
      </c>
      <c r="F143" s="3" t="s">
        <v>29</v>
      </c>
      <c r="G143" s="3">
        <v>2017</v>
      </c>
      <c r="H143" s="3" t="str">
        <f>CONCATENATE("34270409468")</f>
        <v>34270409468</v>
      </c>
      <c r="I143" s="3" t="s">
        <v>30</v>
      </c>
      <c r="J143" s="3" t="s">
        <v>31</v>
      </c>
      <c r="K143" s="3" t="str">
        <f t="shared" si="19"/>
        <v/>
      </c>
      <c r="L143" s="3" t="str">
        <f t="shared" ref="L143:L148" si="20">CONCATENATE("4 4.3 2a")</f>
        <v>4 4.3 2a</v>
      </c>
      <c r="M143" s="3" t="str">
        <f>CONCATENATE("81000910430")</f>
        <v>81000910430</v>
      </c>
      <c r="N143" s="3" t="s">
        <v>219</v>
      </c>
      <c r="O143" s="3" t="s">
        <v>255</v>
      </c>
      <c r="P143" s="4">
        <v>45282</v>
      </c>
      <c r="Q143" s="3" t="s">
        <v>32</v>
      </c>
      <c r="R143" s="3" t="s">
        <v>38</v>
      </c>
      <c r="S143" s="3" t="s">
        <v>34</v>
      </c>
      <c r="T143" s="3"/>
      <c r="U143" s="3" t="s">
        <v>35</v>
      </c>
      <c r="V143" s="5">
        <v>34080.01</v>
      </c>
      <c r="W143" s="5">
        <v>14695.3</v>
      </c>
      <c r="X143" s="5">
        <v>13570.66</v>
      </c>
      <c r="Y143" s="3">
        <v>0</v>
      </c>
      <c r="Z143" s="5">
        <v>5814.05</v>
      </c>
    </row>
    <row r="144" spans="1:26" ht="26.25" x14ac:dyDescent="0.25">
      <c r="A144" s="3" t="s">
        <v>27</v>
      </c>
      <c r="B144" s="3" t="s">
        <v>28</v>
      </c>
      <c r="C144" s="3" t="s">
        <v>40</v>
      </c>
      <c r="D144" s="3" t="s">
        <v>76</v>
      </c>
      <c r="E144" s="3" t="s">
        <v>29</v>
      </c>
      <c r="F144" s="3" t="s">
        <v>29</v>
      </c>
      <c r="G144" s="3">
        <v>2017</v>
      </c>
      <c r="H144" s="3" t="str">
        <f>CONCATENATE("34270409476")</f>
        <v>34270409476</v>
      </c>
      <c r="I144" s="3" t="s">
        <v>30</v>
      </c>
      <c r="J144" s="3" t="s">
        <v>31</v>
      </c>
      <c r="K144" s="3" t="str">
        <f t="shared" si="19"/>
        <v/>
      </c>
      <c r="L144" s="3" t="str">
        <f t="shared" si="20"/>
        <v>4 4.3 2a</v>
      </c>
      <c r="M144" s="3" t="str">
        <f>CONCATENATE("00215270430")</f>
        <v>00215270430</v>
      </c>
      <c r="N144" s="3" t="s">
        <v>222</v>
      </c>
      <c r="O144" s="3" t="s">
        <v>255</v>
      </c>
      <c r="P144" s="4">
        <v>45282</v>
      </c>
      <c r="Q144" s="3" t="s">
        <v>32</v>
      </c>
      <c r="R144" s="3" t="s">
        <v>38</v>
      </c>
      <c r="S144" s="3" t="s">
        <v>34</v>
      </c>
      <c r="T144" s="3"/>
      <c r="U144" s="3" t="s">
        <v>35</v>
      </c>
      <c r="V144" s="5">
        <v>67810.91</v>
      </c>
      <c r="W144" s="5">
        <v>29240.06</v>
      </c>
      <c r="X144" s="5">
        <v>27002.3</v>
      </c>
      <c r="Y144" s="3">
        <v>0</v>
      </c>
      <c r="Z144" s="5">
        <v>11568.55</v>
      </c>
    </row>
    <row r="145" spans="1:26" ht="26.25" x14ac:dyDescent="0.25">
      <c r="A145" s="3" t="s">
        <v>27</v>
      </c>
      <c r="B145" s="3" t="s">
        <v>28</v>
      </c>
      <c r="C145" s="3" t="s">
        <v>40</v>
      </c>
      <c r="D145" s="3" t="s">
        <v>76</v>
      </c>
      <c r="E145" s="3" t="s">
        <v>29</v>
      </c>
      <c r="F145" s="3" t="s">
        <v>29</v>
      </c>
      <c r="G145" s="3">
        <v>2017</v>
      </c>
      <c r="H145" s="3" t="str">
        <f>CONCATENATE("34270418006")</f>
        <v>34270418006</v>
      </c>
      <c r="I145" s="3" t="s">
        <v>30</v>
      </c>
      <c r="J145" s="3" t="s">
        <v>31</v>
      </c>
      <c r="K145" s="3" t="str">
        <f t="shared" si="19"/>
        <v/>
      </c>
      <c r="L145" s="3" t="str">
        <f t="shared" si="20"/>
        <v>4 4.3 2a</v>
      </c>
      <c r="M145" s="3" t="str">
        <f>CONCATENATE("01874180431")</f>
        <v>01874180431</v>
      </c>
      <c r="N145" s="3" t="s">
        <v>220</v>
      </c>
      <c r="O145" s="3" t="s">
        <v>255</v>
      </c>
      <c r="P145" s="4">
        <v>45282</v>
      </c>
      <c r="Q145" s="3" t="s">
        <v>32</v>
      </c>
      <c r="R145" s="3" t="s">
        <v>38</v>
      </c>
      <c r="S145" s="3" t="s">
        <v>34</v>
      </c>
      <c r="T145" s="3"/>
      <c r="U145" s="3" t="s">
        <v>35</v>
      </c>
      <c r="V145" s="5">
        <v>41276.9</v>
      </c>
      <c r="W145" s="5">
        <v>17798.599999999999</v>
      </c>
      <c r="X145" s="5">
        <v>16436.46</v>
      </c>
      <c r="Y145" s="3">
        <v>0</v>
      </c>
      <c r="Z145" s="5">
        <v>7041.84</v>
      </c>
    </row>
    <row r="146" spans="1:26" ht="26.25" x14ac:dyDescent="0.25">
      <c r="A146" s="3" t="s">
        <v>27</v>
      </c>
      <c r="B146" s="3" t="s">
        <v>28</v>
      </c>
      <c r="C146" s="3" t="s">
        <v>40</v>
      </c>
      <c r="D146" s="3" t="s">
        <v>76</v>
      </c>
      <c r="E146" s="3" t="s">
        <v>29</v>
      </c>
      <c r="F146" s="3" t="s">
        <v>29</v>
      </c>
      <c r="G146" s="3">
        <v>2017</v>
      </c>
      <c r="H146" s="3" t="str">
        <f>CONCATENATE("34270418063")</f>
        <v>34270418063</v>
      </c>
      <c r="I146" s="3" t="s">
        <v>30</v>
      </c>
      <c r="J146" s="3" t="s">
        <v>31</v>
      </c>
      <c r="K146" s="3" t="str">
        <f t="shared" si="19"/>
        <v/>
      </c>
      <c r="L146" s="3" t="str">
        <f t="shared" si="20"/>
        <v>4 4.3 2a</v>
      </c>
      <c r="M146" s="3" t="str">
        <f>CONCATENATE("01874180431")</f>
        <v>01874180431</v>
      </c>
      <c r="N146" s="3" t="s">
        <v>220</v>
      </c>
      <c r="O146" s="3" t="s">
        <v>255</v>
      </c>
      <c r="P146" s="4">
        <v>45282</v>
      </c>
      <c r="Q146" s="3" t="s">
        <v>32</v>
      </c>
      <c r="R146" s="3" t="s">
        <v>38</v>
      </c>
      <c r="S146" s="3" t="s">
        <v>34</v>
      </c>
      <c r="T146" s="3"/>
      <c r="U146" s="3" t="s">
        <v>35</v>
      </c>
      <c r="V146" s="5">
        <v>4026.49</v>
      </c>
      <c r="W146" s="5">
        <v>1736.22</v>
      </c>
      <c r="X146" s="5">
        <v>1603.35</v>
      </c>
      <c r="Y146" s="3">
        <v>0</v>
      </c>
      <c r="Z146" s="3">
        <v>686.92</v>
      </c>
    </row>
    <row r="147" spans="1:26" ht="26.25" x14ac:dyDescent="0.25">
      <c r="A147" s="3" t="s">
        <v>27</v>
      </c>
      <c r="B147" s="3" t="s">
        <v>28</v>
      </c>
      <c r="C147" s="3" t="s">
        <v>40</v>
      </c>
      <c r="D147" s="3" t="s">
        <v>76</v>
      </c>
      <c r="E147" s="3" t="s">
        <v>29</v>
      </c>
      <c r="F147" s="3" t="s">
        <v>29</v>
      </c>
      <c r="G147" s="3">
        <v>2017</v>
      </c>
      <c r="H147" s="3" t="str">
        <f>CONCATENATE("34270418030")</f>
        <v>34270418030</v>
      </c>
      <c r="I147" s="3" t="s">
        <v>30</v>
      </c>
      <c r="J147" s="3" t="s">
        <v>31</v>
      </c>
      <c r="K147" s="3" t="str">
        <f t="shared" si="19"/>
        <v/>
      </c>
      <c r="L147" s="3" t="str">
        <f t="shared" si="20"/>
        <v>4 4.3 2a</v>
      </c>
      <c r="M147" s="3" t="str">
        <f>CONCATENATE("01874180431")</f>
        <v>01874180431</v>
      </c>
      <c r="N147" s="3" t="s">
        <v>220</v>
      </c>
      <c r="O147" s="3" t="s">
        <v>255</v>
      </c>
      <c r="P147" s="4">
        <v>45282</v>
      </c>
      <c r="Q147" s="3" t="s">
        <v>32</v>
      </c>
      <c r="R147" s="3" t="s">
        <v>38</v>
      </c>
      <c r="S147" s="3" t="s">
        <v>34</v>
      </c>
      <c r="T147" s="3"/>
      <c r="U147" s="3" t="s">
        <v>35</v>
      </c>
      <c r="V147" s="5">
        <v>4924.16</v>
      </c>
      <c r="W147" s="5">
        <v>2123.3000000000002</v>
      </c>
      <c r="X147" s="5">
        <v>1960.8</v>
      </c>
      <c r="Y147" s="3">
        <v>0</v>
      </c>
      <c r="Z147" s="3">
        <v>840.06</v>
      </c>
    </row>
    <row r="148" spans="1:26" ht="26.25" x14ac:dyDescent="0.25">
      <c r="A148" s="3" t="s">
        <v>27</v>
      </c>
      <c r="B148" s="3" t="s">
        <v>28</v>
      </c>
      <c r="C148" s="3" t="s">
        <v>40</v>
      </c>
      <c r="D148" s="3" t="s">
        <v>76</v>
      </c>
      <c r="E148" s="3" t="s">
        <v>29</v>
      </c>
      <c r="F148" s="3" t="s">
        <v>29</v>
      </c>
      <c r="G148" s="3">
        <v>2017</v>
      </c>
      <c r="H148" s="3" t="str">
        <f>CONCATENATE("34270409450")</f>
        <v>34270409450</v>
      </c>
      <c r="I148" s="3" t="s">
        <v>30</v>
      </c>
      <c r="J148" s="3" t="s">
        <v>31</v>
      </c>
      <c r="K148" s="3" t="str">
        <f t="shared" si="19"/>
        <v/>
      </c>
      <c r="L148" s="3" t="str">
        <f t="shared" si="20"/>
        <v>4 4.3 2a</v>
      </c>
      <c r="M148" s="3" t="str">
        <f>CONCATENATE("01874180431")</f>
        <v>01874180431</v>
      </c>
      <c r="N148" s="3" t="s">
        <v>220</v>
      </c>
      <c r="O148" s="3" t="s">
        <v>255</v>
      </c>
      <c r="P148" s="4">
        <v>45282</v>
      </c>
      <c r="Q148" s="3" t="s">
        <v>32</v>
      </c>
      <c r="R148" s="3" t="s">
        <v>38</v>
      </c>
      <c r="S148" s="3" t="s">
        <v>34</v>
      </c>
      <c r="T148" s="3"/>
      <c r="U148" s="3" t="s">
        <v>35</v>
      </c>
      <c r="V148" s="5">
        <v>180820.34</v>
      </c>
      <c r="W148" s="5">
        <v>77969.73</v>
      </c>
      <c r="X148" s="5">
        <v>72002.66</v>
      </c>
      <c r="Y148" s="3">
        <v>0</v>
      </c>
      <c r="Z148" s="5">
        <v>30847.95</v>
      </c>
    </row>
    <row r="149" spans="1:26" ht="26.25" x14ac:dyDescent="0.25">
      <c r="A149" s="3" t="s">
        <v>27</v>
      </c>
      <c r="B149" s="3" t="s">
        <v>28</v>
      </c>
      <c r="C149" s="3" t="s">
        <v>40</v>
      </c>
      <c r="D149" s="3" t="s">
        <v>46</v>
      </c>
      <c r="E149" s="3" t="s">
        <v>29</v>
      </c>
      <c r="F149" s="3" t="s">
        <v>29</v>
      </c>
      <c r="G149" s="3">
        <v>2017</v>
      </c>
      <c r="H149" s="3" t="str">
        <f>CONCATENATE("34270417545")</f>
        <v>34270417545</v>
      </c>
      <c r="I149" s="3" t="s">
        <v>49</v>
      </c>
      <c r="J149" s="3" t="s">
        <v>31</v>
      </c>
      <c r="K149" s="3" t="str">
        <f t="shared" ref="K149:K163" si="21">CONCATENATE("")</f>
        <v/>
      </c>
      <c r="L149" s="3" t="str">
        <f>CONCATENATE("8 8.3 5e")</f>
        <v>8 8.3 5e</v>
      </c>
      <c r="M149" s="3" t="str">
        <f>CONCATENATE("02124870441")</f>
        <v>02124870441</v>
      </c>
      <c r="N149" s="3" t="s">
        <v>256</v>
      </c>
      <c r="O149" s="3" t="s">
        <v>257</v>
      </c>
      <c r="P149" s="4">
        <v>45282</v>
      </c>
      <c r="Q149" s="3" t="s">
        <v>32</v>
      </c>
      <c r="R149" s="3" t="s">
        <v>38</v>
      </c>
      <c r="S149" s="3" t="s">
        <v>34</v>
      </c>
      <c r="T149" s="3"/>
      <c r="U149" s="3" t="s">
        <v>35</v>
      </c>
      <c r="V149" s="5">
        <v>509357.44</v>
      </c>
      <c r="W149" s="5">
        <v>219634.93</v>
      </c>
      <c r="X149" s="5">
        <v>202826.13</v>
      </c>
      <c r="Y149" s="3">
        <v>0</v>
      </c>
      <c r="Z149" s="5">
        <v>86896.38</v>
      </c>
    </row>
    <row r="150" spans="1:26" ht="26.25" x14ac:dyDescent="0.25">
      <c r="A150" s="3" t="s">
        <v>27</v>
      </c>
      <c r="B150" s="3" t="s">
        <v>28</v>
      </c>
      <c r="C150" s="3" t="s">
        <v>40</v>
      </c>
      <c r="D150" s="3" t="s">
        <v>76</v>
      </c>
      <c r="E150" s="3" t="s">
        <v>29</v>
      </c>
      <c r="F150" s="3" t="s">
        <v>29</v>
      </c>
      <c r="G150" s="3">
        <v>2017</v>
      </c>
      <c r="H150" s="3" t="str">
        <f>CONCATENATE("34270416141")</f>
        <v>34270416141</v>
      </c>
      <c r="I150" s="3" t="s">
        <v>30</v>
      </c>
      <c r="J150" s="3" t="s">
        <v>31</v>
      </c>
      <c r="K150" s="3" t="str">
        <f t="shared" si="21"/>
        <v/>
      </c>
      <c r="L150" s="3" t="str">
        <f>CONCATENATE("4 4.3 2a")</f>
        <v>4 4.3 2a</v>
      </c>
      <c r="M150" s="3" t="str">
        <f>CONCATENATE("00215270430")</f>
        <v>00215270430</v>
      </c>
      <c r="N150" s="3" t="s">
        <v>222</v>
      </c>
      <c r="O150" s="3" t="s">
        <v>258</v>
      </c>
      <c r="P150" s="4">
        <v>45282</v>
      </c>
      <c r="Q150" s="3" t="s">
        <v>32</v>
      </c>
      <c r="R150" s="3" t="s">
        <v>38</v>
      </c>
      <c r="S150" s="3" t="s">
        <v>34</v>
      </c>
      <c r="T150" s="3"/>
      <c r="U150" s="3" t="s">
        <v>35</v>
      </c>
      <c r="V150" s="5">
        <v>39200.75</v>
      </c>
      <c r="W150" s="5">
        <v>16903.36</v>
      </c>
      <c r="X150" s="5">
        <v>15609.74</v>
      </c>
      <c r="Y150" s="3">
        <v>0</v>
      </c>
      <c r="Z150" s="5">
        <v>6687.65</v>
      </c>
    </row>
    <row r="151" spans="1:26" ht="26.25" x14ac:dyDescent="0.25">
      <c r="A151" s="3" t="s">
        <v>27</v>
      </c>
      <c r="B151" s="3" t="s">
        <v>28</v>
      </c>
      <c r="C151" s="3" t="s">
        <v>40</v>
      </c>
      <c r="D151" s="3" t="s">
        <v>68</v>
      </c>
      <c r="E151" s="3" t="s">
        <v>29</v>
      </c>
      <c r="F151" s="3" t="s">
        <v>29</v>
      </c>
      <c r="G151" s="3">
        <v>2017</v>
      </c>
      <c r="H151" s="3" t="str">
        <f>CONCATENATE("34270420721")</f>
        <v>34270420721</v>
      </c>
      <c r="I151" s="3" t="s">
        <v>30</v>
      </c>
      <c r="J151" s="3" t="s">
        <v>31</v>
      </c>
      <c r="K151" s="3" t="str">
        <f t="shared" si="21"/>
        <v/>
      </c>
      <c r="L151" s="3" t="str">
        <f>CONCATENATE("20 20.1 ")</f>
        <v xml:space="preserve">20 20.1 </v>
      </c>
      <c r="M151" s="3" t="str">
        <f>CONCATENATE("80008630420")</f>
        <v>80008630420</v>
      </c>
      <c r="N151" s="3" t="s">
        <v>167</v>
      </c>
      <c r="O151" s="3" t="s">
        <v>259</v>
      </c>
      <c r="P151" s="4">
        <v>45283</v>
      </c>
      <c r="Q151" s="3" t="s">
        <v>32</v>
      </c>
      <c r="R151" s="3" t="s">
        <v>45</v>
      </c>
      <c r="S151" s="3" t="s">
        <v>34</v>
      </c>
      <c r="T151" s="3"/>
      <c r="U151" s="3" t="s">
        <v>35</v>
      </c>
      <c r="V151" s="5">
        <v>75566.3</v>
      </c>
      <c r="W151" s="5">
        <v>32584.19</v>
      </c>
      <c r="X151" s="5">
        <v>30090.5</v>
      </c>
      <c r="Y151" s="3">
        <v>0</v>
      </c>
      <c r="Z151" s="5">
        <v>12891.61</v>
      </c>
    </row>
    <row r="152" spans="1:26" ht="26.25" x14ac:dyDescent="0.25">
      <c r="A152" s="3" t="s">
        <v>27</v>
      </c>
      <c r="B152" s="3" t="s">
        <v>28</v>
      </c>
      <c r="C152" s="3" t="s">
        <v>40</v>
      </c>
      <c r="D152" s="3" t="s">
        <v>68</v>
      </c>
      <c r="E152" s="3" t="s">
        <v>29</v>
      </c>
      <c r="F152" s="3" t="s">
        <v>29</v>
      </c>
      <c r="G152" s="3">
        <v>2017</v>
      </c>
      <c r="H152" s="3" t="str">
        <f>CONCATENATE("34270420879")</f>
        <v>34270420879</v>
      </c>
      <c r="I152" s="3" t="s">
        <v>30</v>
      </c>
      <c r="J152" s="3" t="s">
        <v>31</v>
      </c>
      <c r="K152" s="3" t="str">
        <f t="shared" si="21"/>
        <v/>
      </c>
      <c r="L152" s="3" t="str">
        <f>CONCATENATE("20 20.1 ")</f>
        <v xml:space="preserve">20 20.1 </v>
      </c>
      <c r="M152" s="3" t="str">
        <f>CONCATENATE("80008630420")</f>
        <v>80008630420</v>
      </c>
      <c r="N152" s="3" t="s">
        <v>167</v>
      </c>
      <c r="O152" s="3" t="s">
        <v>259</v>
      </c>
      <c r="P152" s="4">
        <v>45283</v>
      </c>
      <c r="Q152" s="3" t="s">
        <v>32</v>
      </c>
      <c r="R152" s="3" t="s">
        <v>45</v>
      </c>
      <c r="S152" s="3" t="s">
        <v>34</v>
      </c>
      <c r="T152" s="3"/>
      <c r="U152" s="3" t="s">
        <v>35</v>
      </c>
      <c r="V152" s="5">
        <v>326899.27</v>
      </c>
      <c r="W152" s="5">
        <v>140958.97</v>
      </c>
      <c r="X152" s="5">
        <v>130171.29</v>
      </c>
      <c r="Y152" s="3">
        <v>0</v>
      </c>
      <c r="Z152" s="5">
        <v>55769.01</v>
      </c>
    </row>
    <row r="153" spans="1:26" ht="26.25" x14ac:dyDescent="0.25">
      <c r="A153" s="3" t="s">
        <v>27</v>
      </c>
      <c r="B153" s="3" t="s">
        <v>28</v>
      </c>
      <c r="C153" s="3" t="s">
        <v>40</v>
      </c>
      <c r="D153" s="3" t="s">
        <v>68</v>
      </c>
      <c r="E153" s="3" t="s">
        <v>29</v>
      </c>
      <c r="F153" s="3" t="s">
        <v>29</v>
      </c>
      <c r="G153" s="3">
        <v>2017</v>
      </c>
      <c r="H153" s="3" t="str">
        <f>CONCATENATE("34270420713")</f>
        <v>34270420713</v>
      </c>
      <c r="I153" s="3" t="s">
        <v>30</v>
      </c>
      <c r="J153" s="3" t="s">
        <v>31</v>
      </c>
      <c r="K153" s="3" t="str">
        <f t="shared" si="21"/>
        <v/>
      </c>
      <c r="L153" s="3" t="str">
        <f>CONCATENATE("20 20.1 ")</f>
        <v xml:space="preserve">20 20.1 </v>
      </c>
      <c r="M153" s="3" t="str">
        <f>CONCATENATE("80008630420")</f>
        <v>80008630420</v>
      </c>
      <c r="N153" s="3" t="s">
        <v>167</v>
      </c>
      <c r="O153" s="3" t="s">
        <v>259</v>
      </c>
      <c r="P153" s="4">
        <v>45283</v>
      </c>
      <c r="Q153" s="3" t="s">
        <v>32</v>
      </c>
      <c r="R153" s="3" t="s">
        <v>38</v>
      </c>
      <c r="S153" s="3" t="s">
        <v>34</v>
      </c>
      <c r="T153" s="3"/>
      <c r="U153" s="3" t="s">
        <v>35</v>
      </c>
      <c r="V153" s="5">
        <v>13588.68</v>
      </c>
      <c r="W153" s="5">
        <v>5859.44</v>
      </c>
      <c r="X153" s="5">
        <v>5411.01</v>
      </c>
      <c r="Y153" s="3">
        <v>0</v>
      </c>
      <c r="Z153" s="5">
        <v>2318.23</v>
      </c>
    </row>
    <row r="154" spans="1:26" ht="42.75" x14ac:dyDescent="0.25">
      <c r="A154" s="3" t="s">
        <v>27</v>
      </c>
      <c r="B154" s="3" t="s">
        <v>28</v>
      </c>
      <c r="C154" s="3" t="s">
        <v>40</v>
      </c>
      <c r="D154" s="3" t="s">
        <v>46</v>
      </c>
      <c r="E154" s="3" t="s">
        <v>39</v>
      </c>
      <c r="F154" s="3" t="s">
        <v>102</v>
      </c>
      <c r="G154" s="3">
        <v>2017</v>
      </c>
      <c r="H154" s="3" t="str">
        <f>CONCATENATE("34270416604")</f>
        <v>34270416604</v>
      </c>
      <c r="I154" s="3" t="s">
        <v>30</v>
      </c>
      <c r="J154" s="3" t="s">
        <v>31</v>
      </c>
      <c r="K154" s="3" t="str">
        <f t="shared" si="21"/>
        <v/>
      </c>
      <c r="L154" s="3" t="str">
        <f>CONCATENATE("4 4.1 2a")</f>
        <v>4 4.1 2a</v>
      </c>
      <c r="M154" s="3" t="str">
        <f>CONCATENATE("MCALSN96H01B474X")</f>
        <v>MCALSN96H01B474X</v>
      </c>
      <c r="N154" s="3" t="s">
        <v>132</v>
      </c>
      <c r="O154" s="3" t="s">
        <v>260</v>
      </c>
      <c r="P154" s="4">
        <v>45282</v>
      </c>
      <c r="Q154" s="3" t="s">
        <v>32</v>
      </c>
      <c r="R154" s="3" t="s">
        <v>38</v>
      </c>
      <c r="S154" s="3" t="s">
        <v>34</v>
      </c>
      <c r="T154" s="3"/>
      <c r="U154" s="3" t="s">
        <v>35</v>
      </c>
      <c r="V154" s="5">
        <v>27398.82</v>
      </c>
      <c r="W154" s="5">
        <v>11814.37</v>
      </c>
      <c r="X154" s="5">
        <v>10910.21</v>
      </c>
      <c r="Y154" s="3">
        <v>0</v>
      </c>
      <c r="Z154" s="5">
        <v>4674.24</v>
      </c>
    </row>
    <row r="155" spans="1:26" ht="26.25" x14ac:dyDescent="0.25">
      <c r="A155" s="3" t="s">
        <v>27</v>
      </c>
      <c r="B155" s="3" t="s">
        <v>28</v>
      </c>
      <c r="C155" s="3" t="s">
        <v>40</v>
      </c>
      <c r="D155" s="3" t="s">
        <v>46</v>
      </c>
      <c r="E155" s="3" t="s">
        <v>29</v>
      </c>
      <c r="F155" s="3" t="s">
        <v>29</v>
      </c>
      <c r="G155" s="3">
        <v>2017</v>
      </c>
      <c r="H155" s="3" t="str">
        <f>CONCATENATE("34270416646")</f>
        <v>34270416646</v>
      </c>
      <c r="I155" s="3" t="s">
        <v>30</v>
      </c>
      <c r="J155" s="3" t="s">
        <v>31</v>
      </c>
      <c r="K155" s="3" t="str">
        <f t="shared" si="21"/>
        <v/>
      </c>
      <c r="L155" s="3" t="str">
        <f>CONCATENATE("4 4.1 2a")</f>
        <v>4 4.1 2a</v>
      </c>
      <c r="M155" s="3" t="str">
        <f>CONCATENATE("02366910442")</f>
        <v>02366910442</v>
      </c>
      <c r="N155" s="3" t="s">
        <v>135</v>
      </c>
      <c r="O155" s="3" t="s">
        <v>260</v>
      </c>
      <c r="P155" s="4">
        <v>45282</v>
      </c>
      <c r="Q155" s="3" t="s">
        <v>32</v>
      </c>
      <c r="R155" s="3" t="s">
        <v>38</v>
      </c>
      <c r="S155" s="3" t="s">
        <v>34</v>
      </c>
      <c r="T155" s="3"/>
      <c r="U155" s="3" t="s">
        <v>35</v>
      </c>
      <c r="V155" s="5">
        <v>59287.1</v>
      </c>
      <c r="W155" s="5">
        <v>25564.6</v>
      </c>
      <c r="X155" s="5">
        <v>23608.12</v>
      </c>
      <c r="Y155" s="3">
        <v>0</v>
      </c>
      <c r="Z155" s="5">
        <v>10114.379999999999</v>
      </c>
    </row>
    <row r="156" spans="1:26" ht="26.25" x14ac:dyDescent="0.25">
      <c r="A156" s="3" t="s">
        <v>27</v>
      </c>
      <c r="B156" s="3" t="s">
        <v>28</v>
      </c>
      <c r="C156" s="3" t="s">
        <v>40</v>
      </c>
      <c r="D156" s="3" t="s">
        <v>46</v>
      </c>
      <c r="E156" s="3" t="s">
        <v>29</v>
      </c>
      <c r="F156" s="3" t="s">
        <v>29</v>
      </c>
      <c r="G156" s="3">
        <v>2017</v>
      </c>
      <c r="H156" s="3" t="str">
        <f>CONCATENATE("34270416547")</f>
        <v>34270416547</v>
      </c>
      <c r="I156" s="3" t="s">
        <v>30</v>
      </c>
      <c r="J156" s="3" t="s">
        <v>31</v>
      </c>
      <c r="K156" s="3" t="str">
        <f t="shared" si="21"/>
        <v/>
      </c>
      <c r="L156" s="3" t="str">
        <f>CONCATENATE("4 4.1 2a")</f>
        <v>4 4.1 2a</v>
      </c>
      <c r="M156" s="3" t="str">
        <f>CONCATENATE("02364830444")</f>
        <v>02364830444</v>
      </c>
      <c r="N156" s="3" t="s">
        <v>134</v>
      </c>
      <c r="O156" s="3" t="s">
        <v>260</v>
      </c>
      <c r="P156" s="4">
        <v>45282</v>
      </c>
      <c r="Q156" s="3" t="s">
        <v>32</v>
      </c>
      <c r="R156" s="3" t="s">
        <v>38</v>
      </c>
      <c r="S156" s="3" t="s">
        <v>34</v>
      </c>
      <c r="T156" s="3"/>
      <c r="U156" s="3" t="s">
        <v>35</v>
      </c>
      <c r="V156" s="5">
        <v>250000</v>
      </c>
      <c r="W156" s="5">
        <v>107800</v>
      </c>
      <c r="X156" s="5">
        <v>99550</v>
      </c>
      <c r="Y156" s="3">
        <v>0</v>
      </c>
      <c r="Z156" s="5">
        <v>42650</v>
      </c>
    </row>
    <row r="157" spans="1:26" ht="34.5" x14ac:dyDescent="0.25">
      <c r="A157" s="3" t="s">
        <v>27</v>
      </c>
      <c r="B157" s="3" t="s">
        <v>28</v>
      </c>
      <c r="C157" s="3" t="s">
        <v>40</v>
      </c>
      <c r="D157" s="3" t="s">
        <v>46</v>
      </c>
      <c r="E157" s="3" t="s">
        <v>39</v>
      </c>
      <c r="F157" s="3" t="s">
        <v>261</v>
      </c>
      <c r="G157" s="3">
        <v>2017</v>
      </c>
      <c r="H157" s="3" t="str">
        <f>CONCATENATE("34270417925")</f>
        <v>34270417925</v>
      </c>
      <c r="I157" s="3" t="s">
        <v>30</v>
      </c>
      <c r="J157" s="3" t="s">
        <v>31</v>
      </c>
      <c r="K157" s="3" t="str">
        <f t="shared" si="21"/>
        <v/>
      </c>
      <c r="L157" s="3" t="str">
        <f>CONCATENATE("4 4.1 2a")</f>
        <v>4 4.1 2a</v>
      </c>
      <c r="M157" s="3" t="str">
        <f>CONCATENATE("SBERRT65P26F415E")</f>
        <v>SBERRT65P26F415E</v>
      </c>
      <c r="N157" s="3" t="s">
        <v>262</v>
      </c>
      <c r="O157" s="3" t="s">
        <v>263</v>
      </c>
      <c r="P157" s="4">
        <v>45282</v>
      </c>
      <c r="Q157" s="3" t="s">
        <v>32</v>
      </c>
      <c r="R157" s="3" t="s">
        <v>45</v>
      </c>
      <c r="S157" s="3" t="s">
        <v>34</v>
      </c>
      <c r="T157" s="3"/>
      <c r="U157" s="3" t="s">
        <v>35</v>
      </c>
      <c r="V157" s="5">
        <v>28563.65</v>
      </c>
      <c r="W157" s="5">
        <v>12316.65</v>
      </c>
      <c r="X157" s="5">
        <v>11374.05</v>
      </c>
      <c r="Y157" s="3">
        <v>0</v>
      </c>
      <c r="Z157" s="5">
        <v>4872.95</v>
      </c>
    </row>
    <row r="158" spans="1:26" ht="26.25" x14ac:dyDescent="0.25">
      <c r="A158" s="3" t="s">
        <v>27</v>
      </c>
      <c r="B158" s="3" t="s">
        <v>28</v>
      </c>
      <c r="C158" s="3" t="s">
        <v>40</v>
      </c>
      <c r="D158" s="3" t="s">
        <v>40</v>
      </c>
      <c r="E158" s="3" t="s">
        <v>29</v>
      </c>
      <c r="F158" s="3" t="s">
        <v>29</v>
      </c>
      <c r="G158" s="3">
        <v>2017</v>
      </c>
      <c r="H158" s="3" t="str">
        <f>CONCATENATE("34270417578")</f>
        <v>34270417578</v>
      </c>
      <c r="I158" s="3" t="s">
        <v>30</v>
      </c>
      <c r="J158" s="3" t="s">
        <v>31</v>
      </c>
      <c r="K158" s="3" t="str">
        <f t="shared" si="21"/>
        <v/>
      </c>
      <c r="L158" s="3" t="str">
        <f>CONCATENATE("19 19.2 6b")</f>
        <v>19 19.2 6b</v>
      </c>
      <c r="M158" s="3" t="str">
        <f>CONCATENATE("02746440417")</f>
        <v>02746440417</v>
      </c>
      <c r="N158" s="3" t="s">
        <v>264</v>
      </c>
      <c r="O158" s="3" t="s">
        <v>265</v>
      </c>
      <c r="P158" s="4">
        <v>45282</v>
      </c>
      <c r="Q158" s="3" t="s">
        <v>32</v>
      </c>
      <c r="R158" s="3" t="s">
        <v>38</v>
      </c>
      <c r="S158" s="3" t="s">
        <v>34</v>
      </c>
      <c r="T158" s="3"/>
      <c r="U158" s="3" t="s">
        <v>35</v>
      </c>
      <c r="V158" s="5">
        <v>15000</v>
      </c>
      <c r="W158" s="5">
        <v>6468</v>
      </c>
      <c r="X158" s="5">
        <v>5973</v>
      </c>
      <c r="Y158" s="3">
        <v>0</v>
      </c>
      <c r="Z158" s="5">
        <v>2559</v>
      </c>
    </row>
    <row r="159" spans="1:26" ht="26.25" x14ac:dyDescent="0.25">
      <c r="A159" s="3" t="s">
        <v>27</v>
      </c>
      <c r="B159" s="3" t="s">
        <v>28</v>
      </c>
      <c r="C159" s="3" t="s">
        <v>40</v>
      </c>
      <c r="D159" s="3" t="s">
        <v>76</v>
      </c>
      <c r="E159" s="3" t="s">
        <v>29</v>
      </c>
      <c r="F159" s="3" t="s">
        <v>29</v>
      </c>
      <c r="G159" s="3">
        <v>2017</v>
      </c>
      <c r="H159" s="3" t="str">
        <f>CONCATENATE("34270420424")</f>
        <v>34270420424</v>
      </c>
      <c r="I159" s="3" t="s">
        <v>30</v>
      </c>
      <c r="J159" s="3" t="s">
        <v>31</v>
      </c>
      <c r="K159" s="3" t="str">
        <f t="shared" si="21"/>
        <v/>
      </c>
      <c r="L159" s="3" t="str">
        <f>CONCATENATE("4 4.3 2a")</f>
        <v>4 4.3 2a</v>
      </c>
      <c r="M159" s="3" t="str">
        <f>CONCATENATE("01874180431")</f>
        <v>01874180431</v>
      </c>
      <c r="N159" s="3" t="s">
        <v>220</v>
      </c>
      <c r="O159" s="3" t="s">
        <v>266</v>
      </c>
      <c r="P159" s="4">
        <v>45282</v>
      </c>
      <c r="Q159" s="3" t="s">
        <v>32</v>
      </c>
      <c r="R159" s="3" t="s">
        <v>38</v>
      </c>
      <c r="S159" s="3" t="s">
        <v>34</v>
      </c>
      <c r="T159" s="3"/>
      <c r="U159" s="3" t="s">
        <v>35</v>
      </c>
      <c r="V159" s="5">
        <v>23476.91</v>
      </c>
      <c r="W159" s="5">
        <v>10123.24</v>
      </c>
      <c r="X159" s="5">
        <v>9348.51</v>
      </c>
      <c r="Y159" s="3">
        <v>0</v>
      </c>
      <c r="Z159" s="5">
        <v>4005.16</v>
      </c>
    </row>
    <row r="160" spans="1:26" ht="26.25" x14ac:dyDescent="0.25">
      <c r="A160" s="3" t="s">
        <v>27</v>
      </c>
      <c r="B160" s="3" t="s">
        <v>28</v>
      </c>
      <c r="C160" s="3" t="s">
        <v>40</v>
      </c>
      <c r="D160" s="3" t="s">
        <v>76</v>
      </c>
      <c r="E160" s="3" t="s">
        <v>29</v>
      </c>
      <c r="F160" s="3" t="s">
        <v>29</v>
      </c>
      <c r="G160" s="3">
        <v>2017</v>
      </c>
      <c r="H160" s="3" t="str">
        <f>CONCATENATE("34270420416")</f>
        <v>34270420416</v>
      </c>
      <c r="I160" s="3" t="s">
        <v>30</v>
      </c>
      <c r="J160" s="3" t="s">
        <v>31</v>
      </c>
      <c r="K160" s="3" t="str">
        <f t="shared" si="21"/>
        <v/>
      </c>
      <c r="L160" s="3" t="str">
        <f>CONCATENATE("4 4.3 2a")</f>
        <v>4 4.3 2a</v>
      </c>
      <c r="M160" s="3" t="str">
        <f>CONCATENATE("01874180431")</f>
        <v>01874180431</v>
      </c>
      <c r="N160" s="3" t="s">
        <v>220</v>
      </c>
      <c r="O160" s="3" t="s">
        <v>266</v>
      </c>
      <c r="P160" s="4">
        <v>45282</v>
      </c>
      <c r="Q160" s="3" t="s">
        <v>32</v>
      </c>
      <c r="R160" s="3" t="s">
        <v>38</v>
      </c>
      <c r="S160" s="3" t="s">
        <v>34</v>
      </c>
      <c r="T160" s="3"/>
      <c r="U160" s="3" t="s">
        <v>35</v>
      </c>
      <c r="V160" s="5">
        <v>52508.639999999999</v>
      </c>
      <c r="W160" s="5">
        <v>22641.73</v>
      </c>
      <c r="X160" s="5">
        <v>20908.939999999999</v>
      </c>
      <c r="Y160" s="3">
        <v>0</v>
      </c>
      <c r="Z160" s="5">
        <v>8957.9699999999993</v>
      </c>
    </row>
    <row r="161" spans="1:26" ht="26.25" x14ac:dyDescent="0.25">
      <c r="A161" s="3" t="s">
        <v>27</v>
      </c>
      <c r="B161" s="3" t="s">
        <v>28</v>
      </c>
      <c r="C161" s="3" t="s">
        <v>40</v>
      </c>
      <c r="D161" s="3" t="s">
        <v>76</v>
      </c>
      <c r="E161" s="3" t="s">
        <v>29</v>
      </c>
      <c r="F161" s="3" t="s">
        <v>29</v>
      </c>
      <c r="G161" s="3">
        <v>2017</v>
      </c>
      <c r="H161" s="3" t="str">
        <f>CONCATENATE("34270420408")</f>
        <v>34270420408</v>
      </c>
      <c r="I161" s="3" t="s">
        <v>30</v>
      </c>
      <c r="J161" s="3" t="s">
        <v>31</v>
      </c>
      <c r="K161" s="3" t="str">
        <f t="shared" si="21"/>
        <v/>
      </c>
      <c r="L161" s="3" t="str">
        <f>CONCATENATE("4 4.3 2a")</f>
        <v>4 4.3 2a</v>
      </c>
      <c r="M161" s="3" t="str">
        <f>CONCATENATE("01874180431")</f>
        <v>01874180431</v>
      </c>
      <c r="N161" s="3" t="s">
        <v>220</v>
      </c>
      <c r="O161" s="3" t="s">
        <v>266</v>
      </c>
      <c r="P161" s="4">
        <v>45282</v>
      </c>
      <c r="Q161" s="3" t="s">
        <v>32</v>
      </c>
      <c r="R161" s="3" t="s">
        <v>38</v>
      </c>
      <c r="S161" s="3" t="s">
        <v>34</v>
      </c>
      <c r="T161" s="3"/>
      <c r="U161" s="3" t="s">
        <v>35</v>
      </c>
      <c r="V161" s="5">
        <v>15357.98</v>
      </c>
      <c r="W161" s="5">
        <v>6622.36</v>
      </c>
      <c r="X161" s="5">
        <v>6115.55</v>
      </c>
      <c r="Y161" s="3">
        <v>0</v>
      </c>
      <c r="Z161" s="5">
        <v>2620.0700000000002</v>
      </c>
    </row>
    <row r="162" spans="1:26" ht="26.25" x14ac:dyDescent="0.25">
      <c r="A162" s="3" t="s">
        <v>27</v>
      </c>
      <c r="B162" s="3" t="s">
        <v>28</v>
      </c>
      <c r="C162" s="3" t="s">
        <v>40</v>
      </c>
      <c r="D162" s="3" t="s">
        <v>46</v>
      </c>
      <c r="E162" s="3" t="s">
        <v>29</v>
      </c>
      <c r="F162" s="3" t="s">
        <v>29</v>
      </c>
      <c r="G162" s="3">
        <v>2017</v>
      </c>
      <c r="H162" s="3" t="str">
        <f>CONCATENATE("34270416398")</f>
        <v>34270416398</v>
      </c>
      <c r="I162" s="3" t="s">
        <v>30</v>
      </c>
      <c r="J162" s="3" t="s">
        <v>31</v>
      </c>
      <c r="K162" s="3" t="str">
        <f t="shared" si="21"/>
        <v/>
      </c>
      <c r="L162" s="3" t="str">
        <f>CONCATENATE("4 4.3 2a")</f>
        <v>4 4.3 2a</v>
      </c>
      <c r="M162" s="3" t="str">
        <f>CONCATENATE("01874180431")</f>
        <v>01874180431</v>
      </c>
      <c r="N162" s="3" t="s">
        <v>220</v>
      </c>
      <c r="O162" s="3" t="s">
        <v>266</v>
      </c>
      <c r="P162" s="4">
        <v>45282</v>
      </c>
      <c r="Q162" s="3" t="s">
        <v>32</v>
      </c>
      <c r="R162" s="3" t="s">
        <v>38</v>
      </c>
      <c r="S162" s="3" t="s">
        <v>34</v>
      </c>
      <c r="T162" s="3"/>
      <c r="U162" s="3" t="s">
        <v>35</v>
      </c>
      <c r="V162" s="5">
        <v>3186.86</v>
      </c>
      <c r="W162" s="5">
        <v>1374.17</v>
      </c>
      <c r="X162" s="5">
        <v>1269.01</v>
      </c>
      <c r="Y162" s="3">
        <v>0</v>
      </c>
      <c r="Z162" s="3">
        <v>543.67999999999995</v>
      </c>
    </row>
    <row r="163" spans="1:26" ht="26.25" x14ac:dyDescent="0.25">
      <c r="A163" s="3" t="s">
        <v>27</v>
      </c>
      <c r="B163" s="3" t="s">
        <v>28</v>
      </c>
      <c r="C163" s="3" t="s">
        <v>40</v>
      </c>
      <c r="D163" s="3" t="s">
        <v>68</v>
      </c>
      <c r="E163" s="3" t="s">
        <v>29</v>
      </c>
      <c r="F163" s="3" t="s">
        <v>60</v>
      </c>
      <c r="G163" s="3">
        <v>2017</v>
      </c>
      <c r="H163" s="3" t="str">
        <f>CONCATENATE("34270416281")</f>
        <v>34270416281</v>
      </c>
      <c r="I163" s="3" t="s">
        <v>49</v>
      </c>
      <c r="J163" s="3" t="s">
        <v>31</v>
      </c>
      <c r="K163" s="3" t="str">
        <f t="shared" si="21"/>
        <v/>
      </c>
      <c r="L163" s="3" t="str">
        <f>CONCATENATE("7 7.3 6c")</f>
        <v>7 7.3 6c</v>
      </c>
      <c r="M163" s="3" t="str">
        <f>CONCATENATE("80230390587")</f>
        <v>80230390587</v>
      </c>
      <c r="N163" s="3" t="s">
        <v>267</v>
      </c>
      <c r="O163" s="3" t="s">
        <v>268</v>
      </c>
      <c r="P163" s="4">
        <v>45282</v>
      </c>
      <c r="Q163" s="3" t="s">
        <v>32</v>
      </c>
      <c r="R163" s="3" t="s">
        <v>45</v>
      </c>
      <c r="S163" s="3" t="s">
        <v>34</v>
      </c>
      <c r="T163" s="3"/>
      <c r="U163" s="3" t="s">
        <v>35</v>
      </c>
      <c r="V163" s="5">
        <v>1156863.8700000001</v>
      </c>
      <c r="W163" s="5">
        <v>498839.7</v>
      </c>
      <c r="X163" s="5">
        <v>460663.19</v>
      </c>
      <c r="Y163" s="3">
        <v>0</v>
      </c>
      <c r="Z163" s="5">
        <v>197360.98</v>
      </c>
    </row>
    <row r="164" spans="1:26" ht="34.5" x14ac:dyDescent="0.25">
      <c r="A164" s="3" t="s">
        <v>27</v>
      </c>
      <c r="B164" s="3" t="s">
        <v>36</v>
      </c>
      <c r="C164" s="3" t="s">
        <v>40</v>
      </c>
      <c r="D164" s="3" t="s">
        <v>41</v>
      </c>
      <c r="E164" s="3" t="s">
        <v>54</v>
      </c>
      <c r="F164" s="3" t="s">
        <v>203</v>
      </c>
      <c r="G164" s="3">
        <v>2023</v>
      </c>
      <c r="H164" s="3" t="str">
        <f>CONCATENATE("34240403724")</f>
        <v>34240403724</v>
      </c>
      <c r="I164" s="3" t="s">
        <v>30</v>
      </c>
      <c r="J164" s="3" t="s">
        <v>31</v>
      </c>
      <c r="K164" s="3" t="str">
        <f t="shared" ref="K164:K179" si="22">CONCATENATE("")</f>
        <v/>
      </c>
      <c r="L164" s="3" t="str">
        <f>CONCATENATE("10 10.1 4a")</f>
        <v>10 10.1 4a</v>
      </c>
      <c r="M164" s="3" t="str">
        <f>CONCATENATE("BNFLSN91L60L500Q")</f>
        <v>BNFLSN91L60L500Q</v>
      </c>
      <c r="N164" s="3" t="s">
        <v>269</v>
      </c>
      <c r="O164" s="3" t="s">
        <v>178</v>
      </c>
      <c r="P164" s="4">
        <v>45282</v>
      </c>
      <c r="Q164" s="3" t="s">
        <v>32</v>
      </c>
      <c r="R164" s="3" t="s">
        <v>38</v>
      </c>
      <c r="S164" s="3" t="s">
        <v>34</v>
      </c>
      <c r="T164" s="3"/>
      <c r="U164" s="3" t="s">
        <v>35</v>
      </c>
      <c r="V164" s="3">
        <v>300.54000000000002</v>
      </c>
      <c r="W164" s="3">
        <v>129.59</v>
      </c>
      <c r="X164" s="3">
        <v>119.68</v>
      </c>
      <c r="Y164" s="3">
        <v>0</v>
      </c>
      <c r="Z164" s="3">
        <v>51.27</v>
      </c>
    </row>
    <row r="165" spans="1:26" ht="42.75" x14ac:dyDescent="0.25">
      <c r="A165" s="3" t="s">
        <v>27</v>
      </c>
      <c r="B165" s="3" t="s">
        <v>36</v>
      </c>
      <c r="C165" s="3" t="s">
        <v>40</v>
      </c>
      <c r="D165" s="3" t="s">
        <v>41</v>
      </c>
      <c r="E165" s="3" t="s">
        <v>55</v>
      </c>
      <c r="F165" s="3" t="s">
        <v>205</v>
      </c>
      <c r="G165" s="3">
        <v>2023</v>
      </c>
      <c r="H165" s="3" t="str">
        <f>CONCATENATE("34240348754")</f>
        <v>34240348754</v>
      </c>
      <c r="I165" s="3" t="s">
        <v>30</v>
      </c>
      <c r="J165" s="3" t="s">
        <v>31</v>
      </c>
      <c r="K165" s="3" t="str">
        <f t="shared" si="22"/>
        <v/>
      </c>
      <c r="L165" s="3" t="str">
        <f>CONCATENATE("11 11.2 4b")</f>
        <v>11 11.2 4b</v>
      </c>
      <c r="M165" s="3" t="str">
        <f>CONCATENATE("PRNGNN82D23D488Z")</f>
        <v>PRNGNN82D23D488Z</v>
      </c>
      <c r="N165" s="3" t="s">
        <v>270</v>
      </c>
      <c r="O165" s="3" t="s">
        <v>234</v>
      </c>
      <c r="P165" s="4">
        <v>45282</v>
      </c>
      <c r="Q165" s="3" t="s">
        <v>32</v>
      </c>
      <c r="R165" s="3" t="s">
        <v>38</v>
      </c>
      <c r="S165" s="3" t="s">
        <v>34</v>
      </c>
      <c r="T165" s="3"/>
      <c r="U165" s="3" t="s">
        <v>35</v>
      </c>
      <c r="V165" s="5">
        <v>10514.55</v>
      </c>
      <c r="W165" s="5">
        <v>4533.87</v>
      </c>
      <c r="X165" s="5">
        <v>4186.8900000000003</v>
      </c>
      <c r="Y165" s="3">
        <v>0</v>
      </c>
      <c r="Z165" s="5">
        <v>1793.79</v>
      </c>
    </row>
    <row r="166" spans="1:26" ht="34.5" x14ac:dyDescent="0.25">
      <c r="A166" s="3" t="s">
        <v>27</v>
      </c>
      <c r="B166" s="3" t="s">
        <v>36</v>
      </c>
      <c r="C166" s="3" t="s">
        <v>40</v>
      </c>
      <c r="D166" s="3" t="s">
        <v>76</v>
      </c>
      <c r="E166" s="3" t="s">
        <v>44</v>
      </c>
      <c r="F166" s="3" t="s">
        <v>271</v>
      </c>
      <c r="G166" s="3">
        <v>2023</v>
      </c>
      <c r="H166" s="3" t="str">
        <f>CONCATENATE("34240265321")</f>
        <v>34240265321</v>
      </c>
      <c r="I166" s="3" t="s">
        <v>30</v>
      </c>
      <c r="J166" s="3" t="s">
        <v>31</v>
      </c>
      <c r="K166" s="3" t="str">
        <f t="shared" si="22"/>
        <v/>
      </c>
      <c r="L166" s="3" t="str">
        <f>CONCATENATE("11 11.2 4b")</f>
        <v>11 11.2 4b</v>
      </c>
      <c r="M166" s="3" t="str">
        <f>CONCATENATE("BTTFNC77B47H211O")</f>
        <v>BTTFNC77B47H211O</v>
      </c>
      <c r="N166" s="3" t="s">
        <v>272</v>
      </c>
      <c r="O166" s="3" t="s">
        <v>237</v>
      </c>
      <c r="P166" s="4">
        <v>45282</v>
      </c>
      <c r="Q166" s="3" t="s">
        <v>32</v>
      </c>
      <c r="R166" s="3" t="s">
        <v>38</v>
      </c>
      <c r="S166" s="3" t="s">
        <v>34</v>
      </c>
      <c r="T166" s="3"/>
      <c r="U166" s="3" t="s">
        <v>35</v>
      </c>
      <c r="V166" s="5">
        <v>2444.83</v>
      </c>
      <c r="W166" s="5">
        <v>1054.21</v>
      </c>
      <c r="X166" s="3">
        <v>973.53</v>
      </c>
      <c r="Y166" s="3">
        <v>0</v>
      </c>
      <c r="Z166" s="3">
        <v>417.09</v>
      </c>
    </row>
    <row r="167" spans="1:26" ht="34.5" x14ac:dyDescent="0.25">
      <c r="A167" s="3" t="s">
        <v>27</v>
      </c>
      <c r="B167" s="3" t="s">
        <v>36</v>
      </c>
      <c r="C167" s="3" t="s">
        <v>40</v>
      </c>
      <c r="D167" s="3" t="s">
        <v>76</v>
      </c>
      <c r="E167" s="3" t="s">
        <v>44</v>
      </c>
      <c r="F167" s="3" t="s">
        <v>235</v>
      </c>
      <c r="G167" s="3">
        <v>2023</v>
      </c>
      <c r="H167" s="3" t="str">
        <f>CONCATENATE("34210098397")</f>
        <v>34210098397</v>
      </c>
      <c r="I167" s="3" t="s">
        <v>30</v>
      </c>
      <c r="J167" s="3" t="s">
        <v>31</v>
      </c>
      <c r="K167" s="3" t="str">
        <f t="shared" si="22"/>
        <v/>
      </c>
      <c r="L167" s="3" t="str">
        <f t="shared" ref="L167:L173" si="23">CONCATENATE("13 13.1 4a")</f>
        <v>13 13.1 4a</v>
      </c>
      <c r="M167" s="3" t="str">
        <f>CONCATENATE("CPPSFN72L29F051U")</f>
        <v>CPPSFN72L29F051U</v>
      </c>
      <c r="N167" s="3" t="s">
        <v>273</v>
      </c>
      <c r="O167" s="3" t="s">
        <v>188</v>
      </c>
      <c r="P167" s="4">
        <v>45282</v>
      </c>
      <c r="Q167" s="3" t="s">
        <v>32</v>
      </c>
      <c r="R167" s="3" t="s">
        <v>38</v>
      </c>
      <c r="S167" s="3" t="s">
        <v>34</v>
      </c>
      <c r="T167" s="3"/>
      <c r="U167" s="3" t="s">
        <v>35</v>
      </c>
      <c r="V167" s="3">
        <v>956.43</v>
      </c>
      <c r="W167" s="3">
        <v>412.41</v>
      </c>
      <c r="X167" s="3">
        <v>380.85</v>
      </c>
      <c r="Y167" s="3">
        <v>0</v>
      </c>
      <c r="Z167" s="3">
        <v>163.16999999999999</v>
      </c>
    </row>
    <row r="168" spans="1:26" ht="26.25" x14ac:dyDescent="0.25">
      <c r="A168" s="3" t="s">
        <v>27</v>
      </c>
      <c r="B168" s="3" t="s">
        <v>36</v>
      </c>
      <c r="C168" s="3" t="s">
        <v>40</v>
      </c>
      <c r="D168" s="3" t="s">
        <v>76</v>
      </c>
      <c r="E168" s="3" t="s">
        <v>44</v>
      </c>
      <c r="F168" s="3" t="s">
        <v>235</v>
      </c>
      <c r="G168" s="3">
        <v>2023</v>
      </c>
      <c r="H168" s="3" t="str">
        <f>CONCATENATE("34210098108")</f>
        <v>34210098108</v>
      </c>
      <c r="I168" s="3" t="s">
        <v>30</v>
      </c>
      <c r="J168" s="3" t="s">
        <v>31</v>
      </c>
      <c r="K168" s="3" t="str">
        <f t="shared" si="22"/>
        <v/>
      </c>
      <c r="L168" s="3" t="str">
        <f t="shared" si="23"/>
        <v>13 13.1 4a</v>
      </c>
      <c r="M168" s="3" t="str">
        <f>CONCATENATE("01475940431")</f>
        <v>01475940431</v>
      </c>
      <c r="N168" s="3" t="s">
        <v>274</v>
      </c>
      <c r="O168" s="3" t="s">
        <v>188</v>
      </c>
      <c r="P168" s="4">
        <v>45282</v>
      </c>
      <c r="Q168" s="3" t="s">
        <v>32</v>
      </c>
      <c r="R168" s="3" t="s">
        <v>38</v>
      </c>
      <c r="S168" s="3" t="s">
        <v>34</v>
      </c>
      <c r="T168" s="3"/>
      <c r="U168" s="3" t="s">
        <v>35</v>
      </c>
      <c r="V168" s="5">
        <v>2602.67</v>
      </c>
      <c r="W168" s="5">
        <v>1122.27</v>
      </c>
      <c r="X168" s="5">
        <v>1036.3800000000001</v>
      </c>
      <c r="Y168" s="3">
        <v>0</v>
      </c>
      <c r="Z168" s="3">
        <v>444.02</v>
      </c>
    </row>
    <row r="169" spans="1:26" ht="34.5" x14ac:dyDescent="0.25">
      <c r="A169" s="3" t="s">
        <v>27</v>
      </c>
      <c r="B169" s="3" t="s">
        <v>36</v>
      </c>
      <c r="C169" s="3" t="s">
        <v>40</v>
      </c>
      <c r="D169" s="3" t="s">
        <v>41</v>
      </c>
      <c r="E169" s="3" t="s">
        <v>39</v>
      </c>
      <c r="F169" s="3" t="s">
        <v>201</v>
      </c>
      <c r="G169" s="3">
        <v>2023</v>
      </c>
      <c r="H169" s="3" t="str">
        <f>CONCATENATE("34210010459")</f>
        <v>34210010459</v>
      </c>
      <c r="I169" s="3" t="s">
        <v>30</v>
      </c>
      <c r="J169" s="3" t="s">
        <v>31</v>
      </c>
      <c r="K169" s="3" t="str">
        <f t="shared" si="22"/>
        <v/>
      </c>
      <c r="L169" s="3" t="str">
        <f t="shared" si="23"/>
        <v>13 13.1 4a</v>
      </c>
      <c r="M169" s="3" t="str">
        <f>CONCATENATE("FRRLSE81S70I459S")</f>
        <v>FRRLSE81S70I459S</v>
      </c>
      <c r="N169" s="3" t="s">
        <v>275</v>
      </c>
      <c r="O169" s="3" t="s">
        <v>188</v>
      </c>
      <c r="P169" s="4">
        <v>45282</v>
      </c>
      <c r="Q169" s="3" t="s">
        <v>32</v>
      </c>
      <c r="R169" s="3" t="s">
        <v>38</v>
      </c>
      <c r="S169" s="3" t="s">
        <v>34</v>
      </c>
      <c r="T169" s="3"/>
      <c r="U169" s="3" t="s">
        <v>35</v>
      </c>
      <c r="V169" s="3">
        <v>171.1</v>
      </c>
      <c r="W169" s="3">
        <v>73.78</v>
      </c>
      <c r="X169" s="3">
        <v>68.13</v>
      </c>
      <c r="Y169" s="3">
        <v>0</v>
      </c>
      <c r="Z169" s="3">
        <v>29.19</v>
      </c>
    </row>
    <row r="170" spans="1:26" ht="26.25" x14ac:dyDescent="0.25">
      <c r="A170" s="3" t="s">
        <v>27</v>
      </c>
      <c r="B170" s="3" t="s">
        <v>36</v>
      </c>
      <c r="C170" s="3" t="s">
        <v>40</v>
      </c>
      <c r="D170" s="3" t="s">
        <v>41</v>
      </c>
      <c r="E170" s="3" t="s">
        <v>44</v>
      </c>
      <c r="F170" s="3" t="s">
        <v>174</v>
      </c>
      <c r="G170" s="3">
        <v>2023</v>
      </c>
      <c r="H170" s="3" t="str">
        <f>CONCATENATE("34210093364")</f>
        <v>34210093364</v>
      </c>
      <c r="I170" s="3" t="s">
        <v>30</v>
      </c>
      <c r="J170" s="3" t="s">
        <v>31</v>
      </c>
      <c r="K170" s="3" t="str">
        <f t="shared" si="22"/>
        <v/>
      </c>
      <c r="L170" s="3" t="str">
        <f t="shared" si="23"/>
        <v>13 13.1 4a</v>
      </c>
      <c r="M170" s="3" t="str">
        <f>CONCATENATE("02573370414")</f>
        <v>02573370414</v>
      </c>
      <c r="N170" s="3" t="s">
        <v>276</v>
      </c>
      <c r="O170" s="3" t="s">
        <v>188</v>
      </c>
      <c r="P170" s="4">
        <v>45282</v>
      </c>
      <c r="Q170" s="3" t="s">
        <v>32</v>
      </c>
      <c r="R170" s="3" t="s">
        <v>38</v>
      </c>
      <c r="S170" s="3" t="s">
        <v>34</v>
      </c>
      <c r="T170" s="3"/>
      <c r="U170" s="3" t="s">
        <v>35</v>
      </c>
      <c r="V170" s="3">
        <v>497.92</v>
      </c>
      <c r="W170" s="3">
        <v>214.7</v>
      </c>
      <c r="X170" s="3">
        <v>198.27</v>
      </c>
      <c r="Y170" s="3">
        <v>0</v>
      </c>
      <c r="Z170" s="3">
        <v>84.95</v>
      </c>
    </row>
    <row r="171" spans="1:26" ht="42.75" x14ac:dyDescent="0.25">
      <c r="A171" s="3" t="s">
        <v>27</v>
      </c>
      <c r="B171" s="3" t="s">
        <v>36</v>
      </c>
      <c r="C171" s="3" t="s">
        <v>40</v>
      </c>
      <c r="D171" s="3" t="s">
        <v>41</v>
      </c>
      <c r="E171" s="3" t="s">
        <v>54</v>
      </c>
      <c r="F171" s="3" t="s">
        <v>203</v>
      </c>
      <c r="G171" s="3">
        <v>2023</v>
      </c>
      <c r="H171" s="3" t="str">
        <f>CONCATENATE("34210081252")</f>
        <v>34210081252</v>
      </c>
      <c r="I171" s="3" t="s">
        <v>30</v>
      </c>
      <c r="J171" s="3" t="s">
        <v>31</v>
      </c>
      <c r="K171" s="3" t="str">
        <f t="shared" si="22"/>
        <v/>
      </c>
      <c r="L171" s="3" t="str">
        <f t="shared" si="23"/>
        <v>13 13.1 4a</v>
      </c>
      <c r="M171" s="3" t="str">
        <f>CONCATENATE("GTRCRS78A24D786U")</f>
        <v>GTRCRS78A24D786U</v>
      </c>
      <c r="N171" s="3" t="s">
        <v>277</v>
      </c>
      <c r="O171" s="3" t="s">
        <v>188</v>
      </c>
      <c r="P171" s="4">
        <v>45282</v>
      </c>
      <c r="Q171" s="3" t="s">
        <v>32</v>
      </c>
      <c r="R171" s="3" t="s">
        <v>38</v>
      </c>
      <c r="S171" s="3" t="s">
        <v>34</v>
      </c>
      <c r="T171" s="3"/>
      <c r="U171" s="3" t="s">
        <v>35</v>
      </c>
      <c r="V171" s="5">
        <v>2380.1999999999998</v>
      </c>
      <c r="W171" s="5">
        <v>1026.3399999999999</v>
      </c>
      <c r="X171" s="3">
        <v>947.8</v>
      </c>
      <c r="Y171" s="3">
        <v>0</v>
      </c>
      <c r="Z171" s="3">
        <v>406.06</v>
      </c>
    </row>
    <row r="172" spans="1:26" ht="34.5" x14ac:dyDescent="0.25">
      <c r="A172" s="3" t="s">
        <v>27</v>
      </c>
      <c r="B172" s="3" t="s">
        <v>36</v>
      </c>
      <c r="C172" s="3" t="s">
        <v>40</v>
      </c>
      <c r="D172" s="3" t="s">
        <v>41</v>
      </c>
      <c r="E172" s="3" t="s">
        <v>54</v>
      </c>
      <c r="F172" s="3" t="s">
        <v>116</v>
      </c>
      <c r="G172" s="3">
        <v>2023</v>
      </c>
      <c r="H172" s="3" t="str">
        <f>CONCATENATE("34210050885")</f>
        <v>34210050885</v>
      </c>
      <c r="I172" s="3" t="s">
        <v>30</v>
      </c>
      <c r="J172" s="3" t="s">
        <v>31</v>
      </c>
      <c r="K172" s="3" t="str">
        <f t="shared" si="22"/>
        <v/>
      </c>
      <c r="L172" s="3" t="str">
        <f t="shared" si="23"/>
        <v>13 13.1 4a</v>
      </c>
      <c r="M172" s="3" t="str">
        <f>CONCATENATE("LPULEO56R23L500A")</f>
        <v>LPULEO56R23L500A</v>
      </c>
      <c r="N172" s="3" t="s">
        <v>278</v>
      </c>
      <c r="O172" s="3" t="s">
        <v>188</v>
      </c>
      <c r="P172" s="4">
        <v>45282</v>
      </c>
      <c r="Q172" s="3" t="s">
        <v>32</v>
      </c>
      <c r="R172" s="3" t="s">
        <v>38</v>
      </c>
      <c r="S172" s="3" t="s">
        <v>34</v>
      </c>
      <c r="T172" s="3"/>
      <c r="U172" s="3" t="s">
        <v>35</v>
      </c>
      <c r="V172" s="5">
        <v>1997.38</v>
      </c>
      <c r="W172" s="3">
        <v>861.27</v>
      </c>
      <c r="X172" s="3">
        <v>795.36</v>
      </c>
      <c r="Y172" s="3">
        <v>0</v>
      </c>
      <c r="Z172" s="3">
        <v>340.75</v>
      </c>
    </row>
    <row r="173" spans="1:26" ht="42.75" x14ac:dyDescent="0.25">
      <c r="A173" s="3" t="s">
        <v>27</v>
      </c>
      <c r="B173" s="3" t="s">
        <v>36</v>
      </c>
      <c r="C173" s="3" t="s">
        <v>40</v>
      </c>
      <c r="D173" s="3" t="s">
        <v>41</v>
      </c>
      <c r="E173" s="3" t="s">
        <v>39</v>
      </c>
      <c r="F173" s="3" t="s">
        <v>201</v>
      </c>
      <c r="G173" s="3">
        <v>2023</v>
      </c>
      <c r="H173" s="3" t="str">
        <f>CONCATENATE("34210000856")</f>
        <v>34210000856</v>
      </c>
      <c r="I173" s="3" t="s">
        <v>30</v>
      </c>
      <c r="J173" s="3" t="s">
        <v>31</v>
      </c>
      <c r="K173" s="3" t="str">
        <f t="shared" si="22"/>
        <v/>
      </c>
      <c r="L173" s="3" t="str">
        <f t="shared" si="23"/>
        <v>13 13.1 4a</v>
      </c>
      <c r="M173" s="3" t="str">
        <f>CONCATENATE("GVGDNC52A29B816V")</f>
        <v>GVGDNC52A29B816V</v>
      </c>
      <c r="N173" s="3" t="s">
        <v>279</v>
      </c>
      <c r="O173" s="3" t="s">
        <v>188</v>
      </c>
      <c r="P173" s="4">
        <v>45282</v>
      </c>
      <c r="Q173" s="3" t="s">
        <v>32</v>
      </c>
      <c r="R173" s="3" t="s">
        <v>38</v>
      </c>
      <c r="S173" s="3" t="s">
        <v>34</v>
      </c>
      <c r="T173" s="3"/>
      <c r="U173" s="3" t="s">
        <v>35</v>
      </c>
      <c r="V173" s="3">
        <v>826.8</v>
      </c>
      <c r="W173" s="3">
        <v>356.52</v>
      </c>
      <c r="X173" s="3">
        <v>329.23</v>
      </c>
      <c r="Y173" s="3">
        <v>0</v>
      </c>
      <c r="Z173" s="3">
        <v>141.05000000000001</v>
      </c>
    </row>
    <row r="174" spans="1:26" ht="26.25" x14ac:dyDescent="0.25">
      <c r="A174" s="3" t="s">
        <v>27</v>
      </c>
      <c r="B174" s="3" t="s">
        <v>28</v>
      </c>
      <c r="C174" s="3" t="s">
        <v>40</v>
      </c>
      <c r="D174" s="3" t="s">
        <v>76</v>
      </c>
      <c r="E174" s="3" t="s">
        <v>29</v>
      </c>
      <c r="F174" s="3" t="s">
        <v>29</v>
      </c>
      <c r="G174" s="3">
        <v>2017</v>
      </c>
      <c r="H174" s="3" t="str">
        <f>CONCATENATE("34270418733")</f>
        <v>34270418733</v>
      </c>
      <c r="I174" s="3" t="s">
        <v>30</v>
      </c>
      <c r="J174" s="3" t="s">
        <v>31</v>
      </c>
      <c r="K174" s="3" t="str">
        <f t="shared" si="22"/>
        <v/>
      </c>
      <c r="L174" s="3" t="str">
        <f>CONCATENATE("16 16.1 2a")</f>
        <v>16 16.1 2a</v>
      </c>
      <c r="M174" s="3" t="str">
        <f>CONCATENATE("00864100425")</f>
        <v>00864100425</v>
      </c>
      <c r="N174" s="3" t="s">
        <v>280</v>
      </c>
      <c r="O174" s="3" t="s">
        <v>196</v>
      </c>
      <c r="P174" s="4">
        <v>45282</v>
      </c>
      <c r="Q174" s="3" t="s">
        <v>32</v>
      </c>
      <c r="R174" s="3" t="s">
        <v>38</v>
      </c>
      <c r="S174" s="3" t="s">
        <v>34</v>
      </c>
      <c r="T174" s="3"/>
      <c r="U174" s="3" t="s">
        <v>35</v>
      </c>
      <c r="V174" s="5">
        <v>129476.83</v>
      </c>
      <c r="W174" s="5">
        <v>55830.41</v>
      </c>
      <c r="X174" s="5">
        <v>51557.67</v>
      </c>
      <c r="Y174" s="3">
        <v>0</v>
      </c>
      <c r="Z174" s="5">
        <v>22088.75</v>
      </c>
    </row>
    <row r="175" spans="1:26" ht="26.25" x14ac:dyDescent="0.25">
      <c r="A175" s="3" t="s">
        <v>27</v>
      </c>
      <c r="B175" s="3" t="s">
        <v>28</v>
      </c>
      <c r="C175" s="3" t="s">
        <v>40</v>
      </c>
      <c r="D175" s="3" t="s">
        <v>46</v>
      </c>
      <c r="E175" s="3" t="s">
        <v>29</v>
      </c>
      <c r="F175" s="3" t="s">
        <v>29</v>
      </c>
      <c r="G175" s="3">
        <v>2017</v>
      </c>
      <c r="H175" s="3" t="str">
        <f>CONCATENATE("34270409484")</f>
        <v>34270409484</v>
      </c>
      <c r="I175" s="3" t="s">
        <v>30</v>
      </c>
      <c r="J175" s="3" t="s">
        <v>31</v>
      </c>
      <c r="K175" s="3" t="str">
        <f t="shared" si="22"/>
        <v/>
      </c>
      <c r="L175" s="3" t="str">
        <f>CONCATENATE("4 4.3 2a")</f>
        <v>4 4.3 2a</v>
      </c>
      <c r="M175" s="3" t="str">
        <f>CONCATENATE("80001250440")</f>
        <v>80001250440</v>
      </c>
      <c r="N175" s="3" t="s">
        <v>281</v>
      </c>
      <c r="O175" s="3" t="s">
        <v>255</v>
      </c>
      <c r="P175" s="4">
        <v>45282</v>
      </c>
      <c r="Q175" s="3" t="s">
        <v>32</v>
      </c>
      <c r="R175" s="3" t="s">
        <v>38</v>
      </c>
      <c r="S175" s="3" t="s">
        <v>34</v>
      </c>
      <c r="T175" s="3"/>
      <c r="U175" s="3" t="s">
        <v>35</v>
      </c>
      <c r="V175" s="5">
        <v>106178.51</v>
      </c>
      <c r="W175" s="5">
        <v>45784.17</v>
      </c>
      <c r="X175" s="5">
        <v>42280.28</v>
      </c>
      <c r="Y175" s="3">
        <v>0</v>
      </c>
      <c r="Z175" s="5">
        <v>18114.060000000001</v>
      </c>
    </row>
    <row r="176" spans="1:26" ht="26.25" x14ac:dyDescent="0.25">
      <c r="A176" s="3" t="s">
        <v>27</v>
      </c>
      <c r="B176" s="3" t="s">
        <v>28</v>
      </c>
      <c r="C176" s="3" t="s">
        <v>40</v>
      </c>
      <c r="D176" s="3" t="s">
        <v>46</v>
      </c>
      <c r="E176" s="3" t="s">
        <v>29</v>
      </c>
      <c r="F176" s="3" t="s">
        <v>29</v>
      </c>
      <c r="G176" s="3">
        <v>2017</v>
      </c>
      <c r="H176" s="3" t="str">
        <f>CONCATENATE("34270409781")</f>
        <v>34270409781</v>
      </c>
      <c r="I176" s="3" t="s">
        <v>30</v>
      </c>
      <c r="J176" s="3" t="s">
        <v>31</v>
      </c>
      <c r="K176" s="3" t="str">
        <f t="shared" si="22"/>
        <v/>
      </c>
      <c r="L176" s="3" t="str">
        <f>CONCATENATE("4 4.3 2a")</f>
        <v>4 4.3 2a</v>
      </c>
      <c r="M176" s="3" t="str">
        <f>CONCATENATE("80001250440")</f>
        <v>80001250440</v>
      </c>
      <c r="N176" s="3" t="s">
        <v>281</v>
      </c>
      <c r="O176" s="3" t="s">
        <v>255</v>
      </c>
      <c r="P176" s="4">
        <v>45282</v>
      </c>
      <c r="Q176" s="3" t="s">
        <v>32</v>
      </c>
      <c r="R176" s="3" t="s">
        <v>38</v>
      </c>
      <c r="S176" s="3" t="s">
        <v>34</v>
      </c>
      <c r="T176" s="3"/>
      <c r="U176" s="3" t="s">
        <v>35</v>
      </c>
      <c r="V176" s="5">
        <v>59004.19</v>
      </c>
      <c r="W176" s="5">
        <v>25442.61</v>
      </c>
      <c r="X176" s="5">
        <v>23495.47</v>
      </c>
      <c r="Y176" s="3">
        <v>0</v>
      </c>
      <c r="Z176" s="5">
        <v>10066.11</v>
      </c>
    </row>
    <row r="177" spans="1:26" ht="26.25" x14ac:dyDescent="0.25">
      <c r="A177" s="3" t="s">
        <v>27</v>
      </c>
      <c r="B177" s="3" t="s">
        <v>28</v>
      </c>
      <c r="C177" s="3" t="s">
        <v>40</v>
      </c>
      <c r="D177" s="3" t="s">
        <v>46</v>
      </c>
      <c r="E177" s="3" t="s">
        <v>29</v>
      </c>
      <c r="F177" s="3" t="s">
        <v>29</v>
      </c>
      <c r="G177" s="3">
        <v>2017</v>
      </c>
      <c r="H177" s="3" t="str">
        <f>CONCATENATE("34270409492")</f>
        <v>34270409492</v>
      </c>
      <c r="I177" s="3" t="s">
        <v>30</v>
      </c>
      <c r="J177" s="3" t="s">
        <v>31</v>
      </c>
      <c r="K177" s="3" t="str">
        <f t="shared" si="22"/>
        <v/>
      </c>
      <c r="L177" s="3" t="str">
        <f>CONCATENATE("4 4.3 2a")</f>
        <v>4 4.3 2a</v>
      </c>
      <c r="M177" s="3" t="str">
        <f>CONCATENATE("80001250440")</f>
        <v>80001250440</v>
      </c>
      <c r="N177" s="3" t="s">
        <v>281</v>
      </c>
      <c r="O177" s="3" t="s">
        <v>255</v>
      </c>
      <c r="P177" s="4">
        <v>45282</v>
      </c>
      <c r="Q177" s="3" t="s">
        <v>32</v>
      </c>
      <c r="R177" s="3" t="s">
        <v>38</v>
      </c>
      <c r="S177" s="3" t="s">
        <v>34</v>
      </c>
      <c r="T177" s="3"/>
      <c r="U177" s="3" t="s">
        <v>35</v>
      </c>
      <c r="V177" s="5">
        <v>62664.41</v>
      </c>
      <c r="W177" s="5">
        <v>27020.89</v>
      </c>
      <c r="X177" s="5">
        <v>24952.97</v>
      </c>
      <c r="Y177" s="3">
        <v>0</v>
      </c>
      <c r="Z177" s="5">
        <v>10690.55</v>
      </c>
    </row>
    <row r="178" spans="1:26" ht="26.25" x14ac:dyDescent="0.25">
      <c r="A178" s="3" t="s">
        <v>27</v>
      </c>
      <c r="B178" s="3" t="s">
        <v>28</v>
      </c>
      <c r="C178" s="3" t="s">
        <v>40</v>
      </c>
      <c r="D178" s="3" t="s">
        <v>68</v>
      </c>
      <c r="E178" s="3" t="s">
        <v>29</v>
      </c>
      <c r="F178" s="3" t="s">
        <v>29</v>
      </c>
      <c r="G178" s="3">
        <v>2017</v>
      </c>
      <c r="H178" s="3" t="str">
        <f>CONCATENATE("34270421265")</f>
        <v>34270421265</v>
      </c>
      <c r="I178" s="3" t="s">
        <v>30</v>
      </c>
      <c r="J178" s="3" t="s">
        <v>31</v>
      </c>
      <c r="K178" s="3" t="str">
        <f t="shared" si="22"/>
        <v/>
      </c>
      <c r="L178" s="3" t="str">
        <f>CONCATENATE("4 4.1 2a")</f>
        <v>4 4.1 2a</v>
      </c>
      <c r="M178" s="3" t="str">
        <f>CONCATENATE("02578620425")</f>
        <v>02578620425</v>
      </c>
      <c r="N178" s="3" t="s">
        <v>282</v>
      </c>
      <c r="O178" s="3" t="s">
        <v>283</v>
      </c>
      <c r="P178" s="4">
        <v>45283</v>
      </c>
      <c r="Q178" s="3" t="s">
        <v>32</v>
      </c>
      <c r="R178" s="3" t="s">
        <v>45</v>
      </c>
      <c r="S178" s="3" t="s">
        <v>34</v>
      </c>
      <c r="T178" s="3"/>
      <c r="U178" s="3" t="s">
        <v>35</v>
      </c>
      <c r="V178" s="5">
        <v>28353.93</v>
      </c>
      <c r="W178" s="5">
        <v>12226.21</v>
      </c>
      <c r="X178" s="5">
        <v>11290.53</v>
      </c>
      <c r="Y178" s="3">
        <v>0</v>
      </c>
      <c r="Z178" s="5">
        <v>4837.1899999999996</v>
      </c>
    </row>
    <row r="179" spans="1:26" ht="26.25" x14ac:dyDescent="0.25">
      <c r="A179" s="3" t="s">
        <v>27</v>
      </c>
      <c r="B179" s="3" t="s">
        <v>28</v>
      </c>
      <c r="C179" s="3" t="s">
        <v>40</v>
      </c>
      <c r="D179" s="3" t="s">
        <v>68</v>
      </c>
      <c r="E179" s="3" t="s">
        <v>54</v>
      </c>
      <c r="F179" s="3" t="s">
        <v>144</v>
      </c>
      <c r="G179" s="3">
        <v>2017</v>
      </c>
      <c r="H179" s="3" t="str">
        <f>CONCATENATE("34270420002")</f>
        <v>34270420002</v>
      </c>
      <c r="I179" s="3" t="s">
        <v>30</v>
      </c>
      <c r="J179" s="3" t="s">
        <v>31</v>
      </c>
      <c r="K179" s="3" t="str">
        <f t="shared" si="22"/>
        <v/>
      </c>
      <c r="L179" s="3" t="str">
        <f>CONCATENATE("4 4.1 2a")</f>
        <v>4 4.1 2a</v>
      </c>
      <c r="M179" s="3" t="str">
        <f>CONCATENATE("02842610426")</f>
        <v>02842610426</v>
      </c>
      <c r="N179" s="3" t="s">
        <v>284</v>
      </c>
      <c r="O179" s="3" t="s">
        <v>283</v>
      </c>
      <c r="P179" s="4">
        <v>45283</v>
      </c>
      <c r="Q179" s="3" t="s">
        <v>32</v>
      </c>
      <c r="R179" s="3" t="s">
        <v>45</v>
      </c>
      <c r="S179" s="3" t="s">
        <v>34</v>
      </c>
      <c r="T179" s="3"/>
      <c r="U179" s="3" t="s">
        <v>35</v>
      </c>
      <c r="V179" s="5">
        <v>64842.58</v>
      </c>
      <c r="W179" s="5">
        <v>27960.12</v>
      </c>
      <c r="X179" s="5">
        <v>25820.32</v>
      </c>
      <c r="Y179" s="3">
        <v>0</v>
      </c>
      <c r="Z179" s="5">
        <v>11062.14</v>
      </c>
    </row>
    <row r="180" spans="1:26" ht="26.25" x14ac:dyDescent="0.25">
      <c r="A180" s="3" t="s">
        <v>27</v>
      </c>
      <c r="B180" s="3" t="s">
        <v>28</v>
      </c>
      <c r="C180" s="3" t="s">
        <v>40</v>
      </c>
      <c r="D180" s="3" t="s">
        <v>76</v>
      </c>
      <c r="E180" s="3" t="s">
        <v>54</v>
      </c>
      <c r="F180" s="3" t="s">
        <v>119</v>
      </c>
      <c r="G180" s="3">
        <v>2017</v>
      </c>
      <c r="H180" s="3" t="str">
        <f>CONCATENATE("34270417552")</f>
        <v>34270417552</v>
      </c>
      <c r="I180" s="3" t="s">
        <v>30</v>
      </c>
      <c r="J180" s="3" t="s">
        <v>31</v>
      </c>
      <c r="K180" s="3" t="str">
        <f t="shared" ref="K180:K190" si="24">CONCATENATE("")</f>
        <v/>
      </c>
      <c r="L180" s="3" t="str">
        <f>CONCATENATE("8 8.3 5e")</f>
        <v>8 8.3 5e</v>
      </c>
      <c r="M180" s="3" t="str">
        <f>CONCATENATE("01736200435")</f>
        <v>01736200435</v>
      </c>
      <c r="N180" s="3" t="s">
        <v>285</v>
      </c>
      <c r="O180" s="3" t="s">
        <v>257</v>
      </c>
      <c r="P180" s="4">
        <v>45282</v>
      </c>
      <c r="Q180" s="3" t="s">
        <v>32</v>
      </c>
      <c r="R180" s="3" t="s">
        <v>38</v>
      </c>
      <c r="S180" s="3" t="s">
        <v>34</v>
      </c>
      <c r="T180" s="3"/>
      <c r="U180" s="3" t="s">
        <v>35</v>
      </c>
      <c r="V180" s="5">
        <v>240132.63</v>
      </c>
      <c r="W180" s="5">
        <v>103545.19</v>
      </c>
      <c r="X180" s="5">
        <v>95620.81</v>
      </c>
      <c r="Y180" s="3">
        <v>0</v>
      </c>
      <c r="Z180" s="5">
        <v>40966.629999999997</v>
      </c>
    </row>
    <row r="181" spans="1:26" ht="26.25" x14ac:dyDescent="0.25">
      <c r="A181" s="3" t="s">
        <v>27</v>
      </c>
      <c r="B181" s="3" t="s">
        <v>28</v>
      </c>
      <c r="C181" s="3" t="s">
        <v>40</v>
      </c>
      <c r="D181" s="3" t="s">
        <v>76</v>
      </c>
      <c r="E181" s="3" t="s">
        <v>29</v>
      </c>
      <c r="F181" s="3" t="s">
        <v>29</v>
      </c>
      <c r="G181" s="3">
        <v>2017</v>
      </c>
      <c r="H181" s="3" t="str">
        <f>CONCATENATE("34270416133")</f>
        <v>34270416133</v>
      </c>
      <c r="I181" s="3" t="s">
        <v>30</v>
      </c>
      <c r="J181" s="3" t="s">
        <v>31</v>
      </c>
      <c r="K181" s="3" t="str">
        <f t="shared" si="24"/>
        <v/>
      </c>
      <c r="L181" s="3" t="str">
        <f>CONCATENATE("4 4.3 2a")</f>
        <v>4 4.3 2a</v>
      </c>
      <c r="M181" s="3" t="str">
        <f>CONCATENATE("81001230432")</f>
        <v>81001230432</v>
      </c>
      <c r="N181" s="3" t="s">
        <v>286</v>
      </c>
      <c r="O181" s="3" t="s">
        <v>258</v>
      </c>
      <c r="P181" s="4">
        <v>45282</v>
      </c>
      <c r="Q181" s="3" t="s">
        <v>32</v>
      </c>
      <c r="R181" s="3" t="s">
        <v>38</v>
      </c>
      <c r="S181" s="3" t="s">
        <v>34</v>
      </c>
      <c r="T181" s="3"/>
      <c r="U181" s="3" t="s">
        <v>35</v>
      </c>
      <c r="V181" s="5">
        <v>107937.61</v>
      </c>
      <c r="W181" s="5">
        <v>46542.7</v>
      </c>
      <c r="X181" s="5">
        <v>42980.76</v>
      </c>
      <c r="Y181" s="3">
        <v>0</v>
      </c>
      <c r="Z181" s="5">
        <v>18414.150000000001</v>
      </c>
    </row>
    <row r="182" spans="1:26" ht="26.25" x14ac:dyDescent="0.25">
      <c r="A182" s="3" t="s">
        <v>27</v>
      </c>
      <c r="B182" s="3" t="s">
        <v>28</v>
      </c>
      <c r="C182" s="3" t="s">
        <v>40</v>
      </c>
      <c r="D182" s="3" t="s">
        <v>40</v>
      </c>
      <c r="E182" s="3" t="s">
        <v>29</v>
      </c>
      <c r="F182" s="3" t="s">
        <v>29</v>
      </c>
      <c r="G182" s="3">
        <v>2017</v>
      </c>
      <c r="H182" s="3" t="str">
        <f>CONCATENATE("34270416505")</f>
        <v>34270416505</v>
      </c>
      <c r="I182" s="3" t="s">
        <v>30</v>
      </c>
      <c r="J182" s="3" t="s">
        <v>31</v>
      </c>
      <c r="K182" s="3" t="str">
        <f t="shared" si="24"/>
        <v/>
      </c>
      <c r="L182" s="3" t="str">
        <f>CONCATENATE("19 19.2 6b")</f>
        <v>19 19.2 6b</v>
      </c>
      <c r="M182" s="3" t="str">
        <f>CONCATENATE("82002090411")</f>
        <v>82002090411</v>
      </c>
      <c r="N182" s="3" t="s">
        <v>287</v>
      </c>
      <c r="O182" s="3" t="s">
        <v>288</v>
      </c>
      <c r="P182" s="4">
        <v>45282</v>
      </c>
      <c r="Q182" s="3" t="s">
        <v>32</v>
      </c>
      <c r="R182" s="3" t="s">
        <v>38</v>
      </c>
      <c r="S182" s="3" t="s">
        <v>34</v>
      </c>
      <c r="T182" s="3"/>
      <c r="U182" s="3" t="s">
        <v>35</v>
      </c>
      <c r="V182" s="5">
        <v>26386.36</v>
      </c>
      <c r="W182" s="5">
        <v>11377.8</v>
      </c>
      <c r="X182" s="5">
        <v>10507.05</v>
      </c>
      <c r="Y182" s="3">
        <v>0</v>
      </c>
      <c r="Z182" s="5">
        <v>4501.51</v>
      </c>
    </row>
    <row r="183" spans="1:26" ht="26.25" x14ac:dyDescent="0.25">
      <c r="A183" s="3" t="s">
        <v>27</v>
      </c>
      <c r="B183" s="3" t="s">
        <v>28</v>
      </c>
      <c r="C183" s="3" t="s">
        <v>40</v>
      </c>
      <c r="D183" s="3" t="s">
        <v>76</v>
      </c>
      <c r="E183" s="3" t="s">
        <v>29</v>
      </c>
      <c r="F183" s="3" t="s">
        <v>29</v>
      </c>
      <c r="G183" s="3">
        <v>2017</v>
      </c>
      <c r="H183" s="3" t="str">
        <f>CONCATENATE("34270416596")</f>
        <v>34270416596</v>
      </c>
      <c r="I183" s="3" t="s">
        <v>30</v>
      </c>
      <c r="J183" s="3" t="s">
        <v>31</v>
      </c>
      <c r="K183" s="3" t="str">
        <f t="shared" si="24"/>
        <v/>
      </c>
      <c r="L183" s="3" t="str">
        <f>CONCATENATE("4 4.1 2a")</f>
        <v>4 4.1 2a</v>
      </c>
      <c r="M183" s="3" t="str">
        <f>CONCATENATE("01744040435")</f>
        <v>01744040435</v>
      </c>
      <c r="N183" s="3" t="s">
        <v>289</v>
      </c>
      <c r="O183" s="3" t="s">
        <v>260</v>
      </c>
      <c r="P183" s="4">
        <v>45282</v>
      </c>
      <c r="Q183" s="3" t="s">
        <v>32</v>
      </c>
      <c r="R183" s="3" t="s">
        <v>45</v>
      </c>
      <c r="S183" s="3" t="s">
        <v>34</v>
      </c>
      <c r="T183" s="3"/>
      <c r="U183" s="3" t="s">
        <v>35</v>
      </c>
      <c r="V183" s="5">
        <v>101500.44</v>
      </c>
      <c r="W183" s="5">
        <v>43766.99</v>
      </c>
      <c r="X183" s="5">
        <v>40417.480000000003</v>
      </c>
      <c r="Y183" s="3">
        <v>0</v>
      </c>
      <c r="Z183" s="5">
        <v>17315.97</v>
      </c>
    </row>
    <row r="184" spans="1:26" ht="42.75" x14ac:dyDescent="0.25">
      <c r="A184" s="3" t="s">
        <v>27</v>
      </c>
      <c r="B184" s="3" t="s">
        <v>28</v>
      </c>
      <c r="C184" s="3" t="s">
        <v>40</v>
      </c>
      <c r="D184" s="3" t="s">
        <v>46</v>
      </c>
      <c r="E184" s="3" t="s">
        <v>55</v>
      </c>
      <c r="F184" s="3" t="s">
        <v>95</v>
      </c>
      <c r="G184" s="3">
        <v>2017</v>
      </c>
      <c r="H184" s="3" t="str">
        <f>CONCATENATE("34270419251")</f>
        <v>34270419251</v>
      </c>
      <c r="I184" s="3" t="s">
        <v>30</v>
      </c>
      <c r="J184" s="3" t="s">
        <v>31</v>
      </c>
      <c r="K184" s="3" t="str">
        <f t="shared" si="24"/>
        <v/>
      </c>
      <c r="L184" s="3" t="str">
        <f>CONCATENATE("4 4.1 2a")</f>
        <v>4 4.1 2a</v>
      </c>
      <c r="M184" s="3" t="str">
        <f>CONCATENATE("MZZSFN89D15H769C")</f>
        <v>MZZSFN89D15H769C</v>
      </c>
      <c r="N184" s="3" t="s">
        <v>290</v>
      </c>
      <c r="O184" s="3" t="s">
        <v>263</v>
      </c>
      <c r="P184" s="4">
        <v>45282</v>
      </c>
      <c r="Q184" s="3" t="s">
        <v>32</v>
      </c>
      <c r="R184" s="3" t="s">
        <v>38</v>
      </c>
      <c r="S184" s="3" t="s">
        <v>34</v>
      </c>
      <c r="T184" s="3"/>
      <c r="U184" s="3" t="s">
        <v>35</v>
      </c>
      <c r="V184" s="5">
        <v>98654.79</v>
      </c>
      <c r="W184" s="5">
        <v>42539.95</v>
      </c>
      <c r="X184" s="5">
        <v>39284.339999999997</v>
      </c>
      <c r="Y184" s="3">
        <v>0</v>
      </c>
      <c r="Z184" s="5">
        <v>16830.5</v>
      </c>
    </row>
    <row r="185" spans="1:26" ht="34.5" x14ac:dyDescent="0.25">
      <c r="A185" s="3" t="s">
        <v>27</v>
      </c>
      <c r="B185" s="3" t="s">
        <v>28</v>
      </c>
      <c r="C185" s="3" t="s">
        <v>40</v>
      </c>
      <c r="D185" s="3" t="s">
        <v>68</v>
      </c>
      <c r="E185" s="3" t="s">
        <v>29</v>
      </c>
      <c r="F185" s="3" t="s">
        <v>29</v>
      </c>
      <c r="G185" s="3">
        <v>2017</v>
      </c>
      <c r="H185" s="3" t="str">
        <f>CONCATENATE("34270417933")</f>
        <v>34270417933</v>
      </c>
      <c r="I185" s="3" t="s">
        <v>49</v>
      </c>
      <c r="J185" s="3" t="s">
        <v>31</v>
      </c>
      <c r="K185" s="3" t="str">
        <f t="shared" si="24"/>
        <v/>
      </c>
      <c r="L185" s="3" t="str">
        <f>CONCATENATE("4 4.1 2a")</f>
        <v>4 4.1 2a</v>
      </c>
      <c r="M185" s="3" t="str">
        <f>CONCATENATE("STRRNZ60S18D451J")</f>
        <v>STRRNZ60S18D451J</v>
      </c>
      <c r="N185" s="3" t="s">
        <v>291</v>
      </c>
      <c r="O185" s="3" t="s">
        <v>263</v>
      </c>
      <c r="P185" s="4">
        <v>45282</v>
      </c>
      <c r="Q185" s="3" t="s">
        <v>32</v>
      </c>
      <c r="R185" s="3" t="s">
        <v>38</v>
      </c>
      <c r="S185" s="3" t="s">
        <v>34</v>
      </c>
      <c r="T185" s="3"/>
      <c r="U185" s="3" t="s">
        <v>35</v>
      </c>
      <c r="V185" s="5">
        <v>46702.75</v>
      </c>
      <c r="W185" s="5">
        <v>20138.23</v>
      </c>
      <c r="X185" s="5">
        <v>18597.04</v>
      </c>
      <c r="Y185" s="3">
        <v>0</v>
      </c>
      <c r="Z185" s="5">
        <v>7967.48</v>
      </c>
    </row>
    <row r="186" spans="1:26" ht="42.75" x14ac:dyDescent="0.25">
      <c r="A186" s="3" t="s">
        <v>27</v>
      </c>
      <c r="B186" s="3" t="s">
        <v>28</v>
      </c>
      <c r="C186" s="3" t="s">
        <v>40</v>
      </c>
      <c r="D186" s="3" t="s">
        <v>40</v>
      </c>
      <c r="E186" s="3" t="s">
        <v>29</v>
      </c>
      <c r="F186" s="3" t="s">
        <v>29</v>
      </c>
      <c r="G186" s="3">
        <v>2017</v>
      </c>
      <c r="H186" s="3" t="str">
        <f>CONCATENATE("34270418196")</f>
        <v>34270418196</v>
      </c>
      <c r="I186" s="3" t="s">
        <v>30</v>
      </c>
      <c r="J186" s="3" t="s">
        <v>31</v>
      </c>
      <c r="K186" s="3" t="str">
        <f t="shared" si="24"/>
        <v/>
      </c>
      <c r="L186" s="3" t="str">
        <f>CONCATENATE("19 19.2 6b")</f>
        <v>19 19.2 6b</v>
      </c>
      <c r="M186" s="3" t="str">
        <f>CONCATENATE("CNNDVD83T26A462X")</f>
        <v>CNNDVD83T26A462X</v>
      </c>
      <c r="N186" s="3" t="s">
        <v>292</v>
      </c>
      <c r="O186" s="3" t="s">
        <v>293</v>
      </c>
      <c r="P186" s="4">
        <v>45282</v>
      </c>
      <c r="Q186" s="3" t="s">
        <v>32</v>
      </c>
      <c r="R186" s="3" t="s">
        <v>38</v>
      </c>
      <c r="S186" s="3" t="s">
        <v>34</v>
      </c>
      <c r="T186" s="3"/>
      <c r="U186" s="3" t="s">
        <v>35</v>
      </c>
      <c r="V186" s="5">
        <v>20000</v>
      </c>
      <c r="W186" s="5">
        <v>8624</v>
      </c>
      <c r="X186" s="5">
        <v>7964</v>
      </c>
      <c r="Y186" s="3">
        <v>0</v>
      </c>
      <c r="Z186" s="5">
        <v>3412</v>
      </c>
    </row>
    <row r="187" spans="1:26" ht="26.25" x14ac:dyDescent="0.25">
      <c r="A187" s="3" t="s">
        <v>27</v>
      </c>
      <c r="B187" s="3" t="s">
        <v>28</v>
      </c>
      <c r="C187" s="3" t="s">
        <v>40</v>
      </c>
      <c r="D187" s="3" t="s">
        <v>68</v>
      </c>
      <c r="E187" s="3" t="s">
        <v>39</v>
      </c>
      <c r="F187" s="3" t="s">
        <v>92</v>
      </c>
      <c r="G187" s="3">
        <v>2017</v>
      </c>
      <c r="H187" s="3" t="str">
        <f>CONCATENATE("34270419905")</f>
        <v>34270419905</v>
      </c>
      <c r="I187" s="3" t="s">
        <v>30</v>
      </c>
      <c r="J187" s="3" t="s">
        <v>31</v>
      </c>
      <c r="K187" s="3" t="str">
        <f t="shared" si="24"/>
        <v/>
      </c>
      <c r="L187" s="3" t="str">
        <f>CONCATENATE("4 4.1 2a")</f>
        <v>4 4.1 2a</v>
      </c>
      <c r="M187" s="3" t="str">
        <f>CONCATENATE("02901710422")</f>
        <v>02901710422</v>
      </c>
      <c r="N187" s="3" t="s">
        <v>93</v>
      </c>
      <c r="O187" s="3" t="s">
        <v>294</v>
      </c>
      <c r="P187" s="4">
        <v>45282</v>
      </c>
      <c r="Q187" s="3" t="s">
        <v>32</v>
      </c>
      <c r="R187" s="3" t="s">
        <v>38</v>
      </c>
      <c r="S187" s="3" t="s">
        <v>34</v>
      </c>
      <c r="T187" s="3"/>
      <c r="U187" s="3" t="s">
        <v>35</v>
      </c>
      <c r="V187" s="5">
        <v>94984.1</v>
      </c>
      <c r="W187" s="5">
        <v>40957.14</v>
      </c>
      <c r="X187" s="5">
        <v>37822.67</v>
      </c>
      <c r="Y187" s="3">
        <v>0</v>
      </c>
      <c r="Z187" s="5">
        <v>16204.29</v>
      </c>
    </row>
    <row r="188" spans="1:26" ht="26.25" x14ac:dyDescent="0.25">
      <c r="A188" s="3" t="s">
        <v>27</v>
      </c>
      <c r="B188" s="3" t="s">
        <v>28</v>
      </c>
      <c r="C188" s="3" t="s">
        <v>40</v>
      </c>
      <c r="D188" s="3" t="s">
        <v>46</v>
      </c>
      <c r="E188" s="3" t="s">
        <v>55</v>
      </c>
      <c r="F188" s="3" t="s">
        <v>95</v>
      </c>
      <c r="G188" s="3">
        <v>2017</v>
      </c>
      <c r="H188" s="3" t="str">
        <f>CONCATENATE("34270419996")</f>
        <v>34270419996</v>
      </c>
      <c r="I188" s="3" t="s">
        <v>30</v>
      </c>
      <c r="J188" s="3" t="s">
        <v>31</v>
      </c>
      <c r="K188" s="3" t="str">
        <f t="shared" si="24"/>
        <v/>
      </c>
      <c r="L188" s="3" t="str">
        <f>CONCATENATE("4 4.1 2a")</f>
        <v>4 4.1 2a</v>
      </c>
      <c r="M188" s="3" t="str">
        <f>CONCATENATE("00097830442")</f>
        <v>00097830442</v>
      </c>
      <c r="N188" s="3" t="s">
        <v>295</v>
      </c>
      <c r="O188" s="3" t="s">
        <v>283</v>
      </c>
      <c r="P188" s="4">
        <v>45283</v>
      </c>
      <c r="Q188" s="3" t="s">
        <v>32</v>
      </c>
      <c r="R188" s="3" t="s">
        <v>38</v>
      </c>
      <c r="S188" s="3" t="s">
        <v>34</v>
      </c>
      <c r="T188" s="3"/>
      <c r="U188" s="3" t="s">
        <v>35</v>
      </c>
      <c r="V188" s="5">
        <v>24124.6</v>
      </c>
      <c r="W188" s="5">
        <v>10402.530000000001</v>
      </c>
      <c r="X188" s="5">
        <v>9606.42</v>
      </c>
      <c r="Y188" s="3">
        <v>0</v>
      </c>
      <c r="Z188" s="5">
        <v>4115.6499999999996</v>
      </c>
    </row>
    <row r="189" spans="1:26" ht="26.25" x14ac:dyDescent="0.25">
      <c r="A189" s="3" t="s">
        <v>27</v>
      </c>
      <c r="B189" s="3" t="s">
        <v>28</v>
      </c>
      <c r="C189" s="3" t="s">
        <v>40</v>
      </c>
      <c r="D189" s="3" t="s">
        <v>46</v>
      </c>
      <c r="E189" s="3" t="s">
        <v>29</v>
      </c>
      <c r="F189" s="3" t="s">
        <v>29</v>
      </c>
      <c r="G189" s="3">
        <v>2017</v>
      </c>
      <c r="H189" s="3" t="str">
        <f>CONCATENATE("34270416257")</f>
        <v>34270416257</v>
      </c>
      <c r="I189" s="3" t="s">
        <v>30</v>
      </c>
      <c r="J189" s="3" t="s">
        <v>31</v>
      </c>
      <c r="K189" s="3" t="str">
        <f t="shared" si="24"/>
        <v/>
      </c>
      <c r="L189" s="3" t="str">
        <f>CONCATENATE("4 4.3 2a")</f>
        <v>4 4.3 2a</v>
      </c>
      <c r="M189" s="3" t="str">
        <f>CONCATENATE("80004250447")</f>
        <v>80004250447</v>
      </c>
      <c r="N189" s="3" t="s">
        <v>296</v>
      </c>
      <c r="O189" s="3" t="s">
        <v>297</v>
      </c>
      <c r="P189" s="4">
        <v>45282</v>
      </c>
      <c r="Q189" s="3" t="s">
        <v>32</v>
      </c>
      <c r="R189" s="3" t="s">
        <v>38</v>
      </c>
      <c r="S189" s="3" t="s">
        <v>34</v>
      </c>
      <c r="T189" s="3"/>
      <c r="U189" s="3" t="s">
        <v>35</v>
      </c>
      <c r="V189" s="5">
        <v>60493.37</v>
      </c>
      <c r="W189" s="5">
        <v>26084.74</v>
      </c>
      <c r="X189" s="5">
        <v>24088.46</v>
      </c>
      <c r="Y189" s="3">
        <v>0</v>
      </c>
      <c r="Z189" s="5">
        <v>10320.17</v>
      </c>
    </row>
    <row r="190" spans="1:26" ht="26.25" x14ac:dyDescent="0.25">
      <c r="A190" s="3" t="s">
        <v>27</v>
      </c>
      <c r="B190" s="3" t="s">
        <v>28</v>
      </c>
      <c r="C190" s="3" t="s">
        <v>40</v>
      </c>
      <c r="D190" s="3" t="s">
        <v>76</v>
      </c>
      <c r="E190" s="3" t="s">
        <v>29</v>
      </c>
      <c r="F190" s="3" t="s">
        <v>29</v>
      </c>
      <c r="G190" s="3">
        <v>2017</v>
      </c>
      <c r="H190" s="3" t="str">
        <f>CONCATENATE("34270420887")</f>
        <v>34270420887</v>
      </c>
      <c r="I190" s="3" t="s">
        <v>49</v>
      </c>
      <c r="J190" s="3" t="s">
        <v>31</v>
      </c>
      <c r="K190" s="3" t="str">
        <f t="shared" si="24"/>
        <v/>
      </c>
      <c r="L190" s="3" t="str">
        <f>CONCATENATE("8 8.3 5e")</f>
        <v>8 8.3 5e</v>
      </c>
      <c r="M190" s="3" t="str">
        <f>CONCATENATE("01874330432")</f>
        <v>01874330432</v>
      </c>
      <c r="N190" s="3" t="s">
        <v>216</v>
      </c>
      <c r="O190" s="3" t="s">
        <v>298</v>
      </c>
      <c r="P190" s="4">
        <v>45283</v>
      </c>
      <c r="Q190" s="3" t="s">
        <v>32</v>
      </c>
      <c r="R190" s="3" t="s">
        <v>38</v>
      </c>
      <c r="S190" s="3" t="s">
        <v>34</v>
      </c>
      <c r="T190" s="3"/>
      <c r="U190" s="3" t="s">
        <v>35</v>
      </c>
      <c r="V190" s="5">
        <v>125341.94</v>
      </c>
      <c r="W190" s="5">
        <v>54047.44</v>
      </c>
      <c r="X190" s="5">
        <v>49911.16</v>
      </c>
      <c r="Y190" s="3">
        <v>0</v>
      </c>
      <c r="Z190" s="5">
        <v>21383.34</v>
      </c>
    </row>
    <row r="191" spans="1:26" ht="26.25" x14ac:dyDescent="0.25">
      <c r="A191" s="3" t="s">
        <v>27</v>
      </c>
      <c r="B191" s="3" t="s">
        <v>36</v>
      </c>
      <c r="C191" s="3" t="s">
        <v>40</v>
      </c>
      <c r="D191" s="3" t="s">
        <v>46</v>
      </c>
      <c r="E191" s="3" t="s">
        <v>29</v>
      </c>
      <c r="F191" s="3" t="s">
        <v>29</v>
      </c>
      <c r="G191" s="3">
        <v>2023</v>
      </c>
      <c r="H191" s="3" t="str">
        <f>CONCATENATE("34240301761")</f>
        <v>34240301761</v>
      </c>
      <c r="I191" s="3" t="s">
        <v>30</v>
      </c>
      <c r="J191" s="3" t="s">
        <v>31</v>
      </c>
      <c r="K191" s="3" t="str">
        <f t="shared" ref="K191:K202" si="25">CONCATENATE("")</f>
        <v/>
      </c>
      <c r="L191" s="3" t="str">
        <f>CONCATENATE("11 11.2 4b")</f>
        <v>11 11.2 4b</v>
      </c>
      <c r="M191" s="3" t="str">
        <f>CONCATENATE("01098050444")</f>
        <v>01098050444</v>
      </c>
      <c r="N191" s="3" t="s">
        <v>299</v>
      </c>
      <c r="O191" s="3" t="s">
        <v>300</v>
      </c>
      <c r="P191" s="4">
        <v>45282</v>
      </c>
      <c r="Q191" s="3" t="s">
        <v>32</v>
      </c>
      <c r="R191" s="3" t="s">
        <v>38</v>
      </c>
      <c r="S191" s="3" t="s">
        <v>34</v>
      </c>
      <c r="T191" s="3"/>
      <c r="U191" s="3" t="s">
        <v>35</v>
      </c>
      <c r="V191" s="5">
        <v>2074.21</v>
      </c>
      <c r="W191" s="3">
        <v>894.4</v>
      </c>
      <c r="X191" s="3">
        <v>825.95</v>
      </c>
      <c r="Y191" s="3">
        <v>0</v>
      </c>
      <c r="Z191" s="3">
        <v>353.86</v>
      </c>
    </row>
    <row r="192" spans="1:26" ht="34.5" x14ac:dyDescent="0.25">
      <c r="A192" s="3" t="s">
        <v>27</v>
      </c>
      <c r="B192" s="3" t="s">
        <v>36</v>
      </c>
      <c r="C192" s="3" t="s">
        <v>40</v>
      </c>
      <c r="D192" s="3" t="s">
        <v>46</v>
      </c>
      <c r="E192" s="3" t="s">
        <v>98</v>
      </c>
      <c r="F192" s="3" t="s">
        <v>301</v>
      </c>
      <c r="G192" s="3">
        <v>2023</v>
      </c>
      <c r="H192" s="3" t="str">
        <f>CONCATENATE("34240511997")</f>
        <v>34240511997</v>
      </c>
      <c r="I192" s="3" t="s">
        <v>30</v>
      </c>
      <c r="J192" s="3" t="s">
        <v>31</v>
      </c>
      <c r="K192" s="3" t="str">
        <f t="shared" si="25"/>
        <v/>
      </c>
      <c r="L192" s="3" t="str">
        <f>CONCATENATE("11 11.2 4b")</f>
        <v>11 11.2 4b</v>
      </c>
      <c r="M192" s="3" t="str">
        <f>CONCATENATE("PRTBNR32T48H321E")</f>
        <v>PRTBNR32T48H321E</v>
      </c>
      <c r="N192" s="3" t="s">
        <v>302</v>
      </c>
      <c r="O192" s="3" t="s">
        <v>300</v>
      </c>
      <c r="P192" s="4">
        <v>45282</v>
      </c>
      <c r="Q192" s="3" t="s">
        <v>32</v>
      </c>
      <c r="R192" s="3" t="s">
        <v>38</v>
      </c>
      <c r="S192" s="3" t="s">
        <v>34</v>
      </c>
      <c r="T192" s="3"/>
      <c r="U192" s="3" t="s">
        <v>35</v>
      </c>
      <c r="V192" s="5">
        <v>1277.71</v>
      </c>
      <c r="W192" s="3">
        <v>550.95000000000005</v>
      </c>
      <c r="X192" s="3">
        <v>508.78</v>
      </c>
      <c r="Y192" s="3">
        <v>0</v>
      </c>
      <c r="Z192" s="3">
        <v>217.98</v>
      </c>
    </row>
    <row r="193" spans="1:26" ht="34.5" x14ac:dyDescent="0.25">
      <c r="A193" s="3" t="s">
        <v>27</v>
      </c>
      <c r="B193" s="3" t="s">
        <v>28</v>
      </c>
      <c r="C193" s="3" t="s">
        <v>40</v>
      </c>
      <c r="D193" s="3" t="s">
        <v>40</v>
      </c>
      <c r="E193" s="3" t="s">
        <v>29</v>
      </c>
      <c r="F193" s="3" t="s">
        <v>29</v>
      </c>
      <c r="G193" s="3">
        <v>2017</v>
      </c>
      <c r="H193" s="3" t="str">
        <f>CONCATENATE("34270416240")</f>
        <v>34270416240</v>
      </c>
      <c r="I193" s="3" t="s">
        <v>30</v>
      </c>
      <c r="J193" s="3" t="s">
        <v>31</v>
      </c>
      <c r="K193" s="3" t="str">
        <f t="shared" si="25"/>
        <v/>
      </c>
      <c r="L193" s="3" t="str">
        <f>CONCATENATE("19 19.2 6b")</f>
        <v>19 19.2 6b</v>
      </c>
      <c r="M193" s="3" t="str">
        <f>CONCATENATE("VLTLNZ00L22I608P")</f>
        <v>VLTLNZ00L22I608P</v>
      </c>
      <c r="N193" s="3" t="s">
        <v>303</v>
      </c>
      <c r="O193" s="3" t="s">
        <v>304</v>
      </c>
      <c r="P193" s="4">
        <v>45282</v>
      </c>
      <c r="Q193" s="3" t="s">
        <v>32</v>
      </c>
      <c r="R193" s="3" t="s">
        <v>38</v>
      </c>
      <c r="S193" s="3" t="s">
        <v>34</v>
      </c>
      <c r="T193" s="3"/>
      <c r="U193" s="3" t="s">
        <v>35</v>
      </c>
      <c r="V193" s="5">
        <v>12500</v>
      </c>
      <c r="W193" s="5">
        <v>5390</v>
      </c>
      <c r="X193" s="5">
        <v>4977.5</v>
      </c>
      <c r="Y193" s="3">
        <v>0</v>
      </c>
      <c r="Z193" s="5">
        <v>2132.5</v>
      </c>
    </row>
    <row r="194" spans="1:26" ht="26.25" x14ac:dyDescent="0.25">
      <c r="A194" s="3" t="s">
        <v>27</v>
      </c>
      <c r="B194" s="3" t="s">
        <v>28</v>
      </c>
      <c r="C194" s="3" t="s">
        <v>40</v>
      </c>
      <c r="D194" s="3" t="s">
        <v>76</v>
      </c>
      <c r="E194" s="3" t="s">
        <v>29</v>
      </c>
      <c r="F194" s="3" t="s">
        <v>29</v>
      </c>
      <c r="G194" s="3">
        <v>2017</v>
      </c>
      <c r="H194" s="3" t="str">
        <f>CONCATENATE("34270417529")</f>
        <v>34270417529</v>
      </c>
      <c r="I194" s="3" t="s">
        <v>30</v>
      </c>
      <c r="J194" s="3" t="s">
        <v>31</v>
      </c>
      <c r="K194" s="3" t="str">
        <f t="shared" si="25"/>
        <v/>
      </c>
      <c r="L194" s="3" t="str">
        <f>CONCATENATE("8 8.1 5e")</f>
        <v>8 8.1 5e</v>
      </c>
      <c r="M194" s="3" t="str">
        <f>CONCATENATE("01866910431")</f>
        <v>01866910431</v>
      </c>
      <c r="N194" s="3" t="s">
        <v>305</v>
      </c>
      <c r="O194" s="3" t="s">
        <v>306</v>
      </c>
      <c r="P194" s="4">
        <v>45282</v>
      </c>
      <c r="Q194" s="3" t="s">
        <v>32</v>
      </c>
      <c r="R194" s="3" t="s">
        <v>38</v>
      </c>
      <c r="S194" s="3" t="s">
        <v>34</v>
      </c>
      <c r="T194" s="3"/>
      <c r="U194" s="3" t="s">
        <v>35</v>
      </c>
      <c r="V194" s="5">
        <v>16033.03</v>
      </c>
      <c r="W194" s="5">
        <v>6913.44</v>
      </c>
      <c r="X194" s="5">
        <v>6384.35</v>
      </c>
      <c r="Y194" s="3">
        <v>0</v>
      </c>
      <c r="Z194" s="5">
        <v>2735.24</v>
      </c>
    </row>
    <row r="195" spans="1:26" ht="34.5" x14ac:dyDescent="0.25">
      <c r="A195" s="3" t="s">
        <v>27</v>
      </c>
      <c r="B195" s="3" t="s">
        <v>28</v>
      </c>
      <c r="C195" s="3" t="s">
        <v>40</v>
      </c>
      <c r="D195" s="3" t="s">
        <v>41</v>
      </c>
      <c r="E195" s="3" t="s">
        <v>29</v>
      </c>
      <c r="F195" s="3" t="s">
        <v>29</v>
      </c>
      <c r="G195" s="3">
        <v>2017</v>
      </c>
      <c r="H195" s="3" t="str">
        <f>CONCATENATE("34270417537")</f>
        <v>34270417537</v>
      </c>
      <c r="I195" s="3" t="s">
        <v>30</v>
      </c>
      <c r="J195" s="3" t="s">
        <v>31</v>
      </c>
      <c r="K195" s="3" t="str">
        <f t="shared" si="25"/>
        <v/>
      </c>
      <c r="L195" s="3" t="str">
        <f>CONCATENATE("8 8.1 5e")</f>
        <v>8 8.1 5e</v>
      </c>
      <c r="M195" s="3" t="str">
        <f>CONCATENATE("BSTNDR60L01H501E")</f>
        <v>BSTNDR60L01H501E</v>
      </c>
      <c r="N195" s="3" t="s">
        <v>307</v>
      </c>
      <c r="O195" s="3" t="s">
        <v>306</v>
      </c>
      <c r="P195" s="4">
        <v>45282</v>
      </c>
      <c r="Q195" s="3" t="s">
        <v>32</v>
      </c>
      <c r="R195" s="3" t="s">
        <v>38</v>
      </c>
      <c r="S195" s="3" t="s">
        <v>34</v>
      </c>
      <c r="T195" s="3"/>
      <c r="U195" s="3" t="s">
        <v>35</v>
      </c>
      <c r="V195" s="5">
        <v>5506.41</v>
      </c>
      <c r="W195" s="5">
        <v>2374.36</v>
      </c>
      <c r="X195" s="5">
        <v>2192.65</v>
      </c>
      <c r="Y195" s="3">
        <v>0</v>
      </c>
      <c r="Z195" s="3">
        <v>939.4</v>
      </c>
    </row>
    <row r="196" spans="1:26" ht="34.5" x14ac:dyDescent="0.25">
      <c r="A196" s="3" t="s">
        <v>27</v>
      </c>
      <c r="B196" s="3" t="s">
        <v>28</v>
      </c>
      <c r="C196" s="3" t="s">
        <v>40</v>
      </c>
      <c r="D196" s="3" t="s">
        <v>76</v>
      </c>
      <c r="E196" s="3" t="s">
        <v>29</v>
      </c>
      <c r="F196" s="3" t="s">
        <v>29</v>
      </c>
      <c r="G196" s="3">
        <v>2017</v>
      </c>
      <c r="H196" s="3" t="str">
        <f>CONCATENATE("34270418667")</f>
        <v>34270418667</v>
      </c>
      <c r="I196" s="3" t="s">
        <v>30</v>
      </c>
      <c r="J196" s="3" t="s">
        <v>31</v>
      </c>
      <c r="K196" s="3" t="str">
        <f t="shared" si="25"/>
        <v/>
      </c>
      <c r="L196" s="3" t="str">
        <f>CONCATENATE("8 8.1 5e")</f>
        <v>8 8.1 5e</v>
      </c>
      <c r="M196" s="3" t="str">
        <f>CONCATENATE("RTRLGU84H09H211Z")</f>
        <v>RTRLGU84H09H211Z</v>
      </c>
      <c r="N196" s="3" t="s">
        <v>308</v>
      </c>
      <c r="O196" s="3" t="s">
        <v>306</v>
      </c>
      <c r="P196" s="4">
        <v>45282</v>
      </c>
      <c r="Q196" s="3" t="s">
        <v>32</v>
      </c>
      <c r="R196" s="3" t="s">
        <v>38</v>
      </c>
      <c r="S196" s="3" t="s">
        <v>34</v>
      </c>
      <c r="T196" s="3"/>
      <c r="U196" s="3" t="s">
        <v>35</v>
      </c>
      <c r="V196" s="5">
        <v>5415.02</v>
      </c>
      <c r="W196" s="5">
        <v>2334.96</v>
      </c>
      <c r="X196" s="5">
        <v>2156.2600000000002</v>
      </c>
      <c r="Y196" s="3">
        <v>0</v>
      </c>
      <c r="Z196" s="3">
        <v>923.8</v>
      </c>
    </row>
    <row r="197" spans="1:26" ht="26.25" x14ac:dyDescent="0.25">
      <c r="A197" s="3" t="s">
        <v>27</v>
      </c>
      <c r="B197" s="3" t="s">
        <v>28</v>
      </c>
      <c r="C197" s="3" t="s">
        <v>40</v>
      </c>
      <c r="D197" s="3" t="s">
        <v>41</v>
      </c>
      <c r="E197" s="3" t="s">
        <v>29</v>
      </c>
      <c r="F197" s="3" t="s">
        <v>29</v>
      </c>
      <c r="G197" s="3">
        <v>2017</v>
      </c>
      <c r="H197" s="3" t="str">
        <f>CONCATENATE("34270418436")</f>
        <v>34270418436</v>
      </c>
      <c r="I197" s="3" t="s">
        <v>30</v>
      </c>
      <c r="J197" s="3" t="s">
        <v>31</v>
      </c>
      <c r="K197" s="3" t="str">
        <f t="shared" si="25"/>
        <v/>
      </c>
      <c r="L197" s="3" t="str">
        <f>CONCATENATE("8 8.1 5e")</f>
        <v>8 8.1 5e</v>
      </c>
      <c r="M197" s="3" t="str">
        <f>CONCATENATE("02638880415")</f>
        <v>02638880415</v>
      </c>
      <c r="N197" s="3" t="s">
        <v>309</v>
      </c>
      <c r="O197" s="3" t="s">
        <v>306</v>
      </c>
      <c r="P197" s="4">
        <v>45282</v>
      </c>
      <c r="Q197" s="3" t="s">
        <v>32</v>
      </c>
      <c r="R197" s="3" t="s">
        <v>38</v>
      </c>
      <c r="S197" s="3" t="s">
        <v>34</v>
      </c>
      <c r="T197" s="3"/>
      <c r="U197" s="3" t="s">
        <v>35</v>
      </c>
      <c r="V197" s="5">
        <v>8578.91</v>
      </c>
      <c r="W197" s="5">
        <v>3699.23</v>
      </c>
      <c r="X197" s="5">
        <v>3416.12</v>
      </c>
      <c r="Y197" s="3">
        <v>0</v>
      </c>
      <c r="Z197" s="5">
        <v>1463.56</v>
      </c>
    </row>
    <row r="198" spans="1:26" ht="26.25" x14ac:dyDescent="0.25">
      <c r="A198" s="3" t="s">
        <v>27</v>
      </c>
      <c r="B198" s="3" t="s">
        <v>28</v>
      </c>
      <c r="C198" s="3" t="s">
        <v>40</v>
      </c>
      <c r="D198" s="3" t="s">
        <v>41</v>
      </c>
      <c r="E198" s="3" t="s">
        <v>29</v>
      </c>
      <c r="F198" s="3" t="s">
        <v>29</v>
      </c>
      <c r="G198" s="3">
        <v>2017</v>
      </c>
      <c r="H198" s="3" t="str">
        <f>CONCATENATE("34270421117")</f>
        <v>34270421117</v>
      </c>
      <c r="I198" s="3" t="s">
        <v>49</v>
      </c>
      <c r="J198" s="3" t="s">
        <v>31</v>
      </c>
      <c r="K198" s="3" t="str">
        <f t="shared" si="25"/>
        <v/>
      </c>
      <c r="L198" s="3" t="str">
        <f>CONCATENATE("16 16.1 2a")</f>
        <v>16 16.1 2a</v>
      </c>
      <c r="M198" s="3" t="str">
        <f>CONCATENATE("02334930415")</f>
        <v>02334930415</v>
      </c>
      <c r="N198" s="3" t="s">
        <v>310</v>
      </c>
      <c r="O198" s="3" t="s">
        <v>311</v>
      </c>
      <c r="P198" s="4">
        <v>45283</v>
      </c>
      <c r="Q198" s="3" t="s">
        <v>32</v>
      </c>
      <c r="R198" s="3" t="s">
        <v>38</v>
      </c>
      <c r="S198" s="3" t="s">
        <v>34</v>
      </c>
      <c r="T198" s="3"/>
      <c r="U198" s="3" t="s">
        <v>35</v>
      </c>
      <c r="V198" s="5">
        <v>251247.4</v>
      </c>
      <c r="W198" s="5">
        <v>108337.88</v>
      </c>
      <c r="X198" s="5">
        <v>100046.71</v>
      </c>
      <c r="Y198" s="3">
        <v>0</v>
      </c>
      <c r="Z198" s="5">
        <v>42862.81</v>
      </c>
    </row>
    <row r="199" spans="1:26" ht="26.25" x14ac:dyDescent="0.25">
      <c r="A199" s="3" t="s">
        <v>27</v>
      </c>
      <c r="B199" s="3" t="s">
        <v>28</v>
      </c>
      <c r="C199" s="3" t="s">
        <v>40</v>
      </c>
      <c r="D199" s="3" t="s">
        <v>68</v>
      </c>
      <c r="E199" s="3" t="s">
        <v>54</v>
      </c>
      <c r="F199" s="3" t="s">
        <v>119</v>
      </c>
      <c r="G199" s="3">
        <v>2017</v>
      </c>
      <c r="H199" s="3" t="str">
        <f>CONCATENATE("34270420697")</f>
        <v>34270420697</v>
      </c>
      <c r="I199" s="3" t="s">
        <v>30</v>
      </c>
      <c r="J199" s="3" t="s">
        <v>31</v>
      </c>
      <c r="K199" s="3" t="str">
        <f t="shared" si="25"/>
        <v/>
      </c>
      <c r="L199" s="3" t="str">
        <f>CONCATENATE("16 16.1 2a")</f>
        <v>16 16.1 2a</v>
      </c>
      <c r="M199" s="3" t="str">
        <f>CONCATENATE("02588530424")</f>
        <v>02588530424</v>
      </c>
      <c r="N199" s="3" t="s">
        <v>312</v>
      </c>
      <c r="O199" s="3" t="s">
        <v>311</v>
      </c>
      <c r="P199" s="4">
        <v>45283</v>
      </c>
      <c r="Q199" s="3" t="s">
        <v>32</v>
      </c>
      <c r="R199" s="3" t="s">
        <v>38</v>
      </c>
      <c r="S199" s="3" t="s">
        <v>34</v>
      </c>
      <c r="T199" s="3"/>
      <c r="U199" s="3" t="s">
        <v>35</v>
      </c>
      <c r="V199" s="5">
        <v>66879.97</v>
      </c>
      <c r="W199" s="5">
        <v>28838.639999999999</v>
      </c>
      <c r="X199" s="5">
        <v>26631.599999999999</v>
      </c>
      <c r="Y199" s="3">
        <v>0</v>
      </c>
      <c r="Z199" s="5">
        <v>11409.73</v>
      </c>
    </row>
    <row r="200" spans="1:26" ht="42.75" x14ac:dyDescent="0.25">
      <c r="A200" s="3" t="s">
        <v>27</v>
      </c>
      <c r="B200" s="3" t="s">
        <v>28</v>
      </c>
      <c r="C200" s="3" t="s">
        <v>40</v>
      </c>
      <c r="D200" s="3" t="s">
        <v>46</v>
      </c>
      <c r="E200" s="3" t="s">
        <v>29</v>
      </c>
      <c r="F200" s="3" t="s">
        <v>29</v>
      </c>
      <c r="G200" s="3">
        <v>2017</v>
      </c>
      <c r="H200" s="3" t="str">
        <f>CONCATENATE("34270421018")</f>
        <v>34270421018</v>
      </c>
      <c r="I200" s="3" t="s">
        <v>30</v>
      </c>
      <c r="J200" s="3" t="s">
        <v>31</v>
      </c>
      <c r="K200" s="3" t="str">
        <f t="shared" si="25"/>
        <v/>
      </c>
      <c r="L200" s="3" t="str">
        <f>CONCATENATE("16 16.1 2a")</f>
        <v>16 16.1 2a</v>
      </c>
      <c r="M200" s="3" t="str">
        <f>CONCATENATE("STPFRZ61M23G516U")</f>
        <v>STPFRZ61M23G516U</v>
      </c>
      <c r="N200" s="3" t="s">
        <v>313</v>
      </c>
      <c r="O200" s="3" t="s">
        <v>311</v>
      </c>
      <c r="P200" s="4">
        <v>45283</v>
      </c>
      <c r="Q200" s="3" t="s">
        <v>32</v>
      </c>
      <c r="R200" s="3" t="s">
        <v>38</v>
      </c>
      <c r="S200" s="3" t="s">
        <v>34</v>
      </c>
      <c r="T200" s="3"/>
      <c r="U200" s="3" t="s">
        <v>35</v>
      </c>
      <c r="V200" s="5">
        <v>116833.61</v>
      </c>
      <c r="W200" s="5">
        <v>50378.65</v>
      </c>
      <c r="X200" s="5">
        <v>46523.14</v>
      </c>
      <c r="Y200" s="3">
        <v>0</v>
      </c>
      <c r="Z200" s="5">
        <v>19931.82</v>
      </c>
    </row>
    <row r="201" spans="1:26" ht="26.25" x14ac:dyDescent="0.25">
      <c r="A201" s="3" t="s">
        <v>27</v>
      </c>
      <c r="B201" s="3" t="s">
        <v>36</v>
      </c>
      <c r="C201" s="3" t="s">
        <v>40</v>
      </c>
      <c r="D201" s="3" t="s">
        <v>46</v>
      </c>
      <c r="E201" s="3" t="s">
        <v>54</v>
      </c>
      <c r="F201" s="3" t="s">
        <v>314</v>
      </c>
      <c r="G201" s="3">
        <v>2023</v>
      </c>
      <c r="H201" s="3" t="str">
        <f>CONCATENATE("34240426071")</f>
        <v>34240426071</v>
      </c>
      <c r="I201" s="3" t="s">
        <v>30</v>
      </c>
      <c r="J201" s="3" t="s">
        <v>31</v>
      </c>
      <c r="K201" s="3" t="str">
        <f t="shared" si="25"/>
        <v/>
      </c>
      <c r="L201" s="3" t="str">
        <f>CONCATENATE("11 11.2 4b")</f>
        <v>11 11.2 4b</v>
      </c>
      <c r="M201" s="3" t="str">
        <f>CONCATENATE("02164470441")</f>
        <v>02164470441</v>
      </c>
      <c r="N201" s="3" t="s">
        <v>315</v>
      </c>
      <c r="O201" s="3" t="s">
        <v>300</v>
      </c>
      <c r="P201" s="4">
        <v>45282</v>
      </c>
      <c r="Q201" s="3" t="s">
        <v>32</v>
      </c>
      <c r="R201" s="3" t="s">
        <v>38</v>
      </c>
      <c r="S201" s="3" t="s">
        <v>34</v>
      </c>
      <c r="T201" s="3"/>
      <c r="U201" s="3" t="s">
        <v>35</v>
      </c>
      <c r="V201" s="5">
        <v>32781.879999999997</v>
      </c>
      <c r="W201" s="5">
        <v>14135.55</v>
      </c>
      <c r="X201" s="5">
        <v>13053.74</v>
      </c>
      <c r="Y201" s="3">
        <v>0</v>
      </c>
      <c r="Z201" s="5">
        <v>5592.59</v>
      </c>
    </row>
    <row r="202" spans="1:26" ht="34.5" x14ac:dyDescent="0.25">
      <c r="A202" s="3" t="s">
        <v>27</v>
      </c>
      <c r="B202" s="3" t="s">
        <v>36</v>
      </c>
      <c r="C202" s="3" t="s">
        <v>40</v>
      </c>
      <c r="D202" s="3" t="s">
        <v>46</v>
      </c>
      <c r="E202" s="3" t="s">
        <v>37</v>
      </c>
      <c r="F202" s="3" t="s">
        <v>316</v>
      </c>
      <c r="G202" s="3">
        <v>2023</v>
      </c>
      <c r="H202" s="3" t="str">
        <f>CONCATENATE("34240284157")</f>
        <v>34240284157</v>
      </c>
      <c r="I202" s="3" t="s">
        <v>30</v>
      </c>
      <c r="J202" s="3" t="s">
        <v>31</v>
      </c>
      <c r="K202" s="3" t="str">
        <f t="shared" si="25"/>
        <v/>
      </c>
      <c r="L202" s="3" t="str">
        <f>CONCATENATE("11 11.2 4b")</f>
        <v>11 11.2 4b</v>
      </c>
      <c r="M202" s="3" t="str">
        <f>CONCATENATE("PLOBBR91B42H769V")</f>
        <v>PLOBBR91B42H769V</v>
      </c>
      <c r="N202" s="3" t="s">
        <v>317</v>
      </c>
      <c r="O202" s="3" t="s">
        <v>300</v>
      </c>
      <c r="P202" s="4">
        <v>45282</v>
      </c>
      <c r="Q202" s="3" t="s">
        <v>32</v>
      </c>
      <c r="R202" s="3" t="s">
        <v>38</v>
      </c>
      <c r="S202" s="3" t="s">
        <v>34</v>
      </c>
      <c r="T202" s="3"/>
      <c r="U202" s="3" t="s">
        <v>35</v>
      </c>
      <c r="V202" s="3">
        <v>263.24</v>
      </c>
      <c r="W202" s="3">
        <v>113.51</v>
      </c>
      <c r="X202" s="3">
        <v>104.82</v>
      </c>
      <c r="Y202" s="3">
        <v>0</v>
      </c>
      <c r="Z202" s="3">
        <v>44.91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Galeazzi</dc:creator>
  <cp:lastModifiedBy>Marco Galeazzi</cp:lastModifiedBy>
  <dcterms:created xsi:type="dcterms:W3CDTF">2024-01-03T15:30:44Z</dcterms:created>
  <dcterms:modified xsi:type="dcterms:W3CDTF">2024-01-04T09:03:43Z</dcterms:modified>
</cp:coreProperties>
</file>