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agov-my.sharepoint.com/personal/gi_greco_agea_gov_it/Documents/Decreti/652/Spacchettamento/"/>
    </mc:Choice>
  </mc:AlternateContent>
  <xr:revisionPtr revIDLastSave="0" documentId="8_{60C13A29-A052-47DA-AD55-0A6B027B3D4E}" xr6:coauthVersionLast="47" xr6:coauthVersionMax="47" xr10:uidLastSave="{00000000-0000-0000-0000-000000000000}"/>
  <bookViews>
    <workbookView xWindow="-110" yWindow="-110" windowWidth="19420" windowHeight="10300" xr2:uid="{D4926F25-F1F8-45F5-AEF8-B5CDB9092123}"/>
  </bookViews>
  <sheets>
    <sheet name="MARCH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2" i="1" l="1"/>
  <c r="L62" i="1"/>
  <c r="K62" i="1"/>
  <c r="H62" i="1"/>
  <c r="M61" i="1"/>
  <c r="L61" i="1"/>
  <c r="K61" i="1"/>
  <c r="H61" i="1"/>
  <c r="M60" i="1"/>
  <c r="L60" i="1"/>
  <c r="K60" i="1"/>
  <c r="H60" i="1"/>
  <c r="M59" i="1"/>
  <c r="L59" i="1"/>
  <c r="K59" i="1"/>
  <c r="H59" i="1"/>
  <c r="M58" i="1"/>
  <c r="L58" i="1"/>
  <c r="K58" i="1"/>
  <c r="H58" i="1"/>
  <c r="M57" i="1"/>
  <c r="L57" i="1"/>
  <c r="K57" i="1"/>
  <c r="H57" i="1"/>
  <c r="M56" i="1"/>
  <c r="L56" i="1"/>
  <c r="K56" i="1"/>
  <c r="H56" i="1"/>
  <c r="M55" i="1"/>
  <c r="L55" i="1"/>
  <c r="K55" i="1"/>
  <c r="H55" i="1"/>
  <c r="M54" i="1"/>
  <c r="L54" i="1"/>
  <c r="K54" i="1"/>
  <c r="H54" i="1"/>
  <c r="M53" i="1"/>
  <c r="L53" i="1"/>
  <c r="K53" i="1"/>
  <c r="H53" i="1"/>
  <c r="M52" i="1"/>
  <c r="L52" i="1"/>
  <c r="K52" i="1"/>
  <c r="H52" i="1"/>
  <c r="M51" i="1"/>
  <c r="L51" i="1"/>
  <c r="K51" i="1"/>
  <c r="H51" i="1"/>
  <c r="M50" i="1"/>
  <c r="L50" i="1"/>
  <c r="K50" i="1"/>
  <c r="H50" i="1"/>
  <c r="M49" i="1"/>
  <c r="L49" i="1"/>
  <c r="K49" i="1"/>
  <c r="H49" i="1"/>
  <c r="M48" i="1"/>
  <c r="L48" i="1"/>
  <c r="K48" i="1"/>
  <c r="H48" i="1"/>
  <c r="M47" i="1"/>
  <c r="L47" i="1"/>
  <c r="K47" i="1"/>
  <c r="H47" i="1"/>
  <c r="M46" i="1"/>
  <c r="L46" i="1"/>
  <c r="K46" i="1"/>
  <c r="H46" i="1"/>
  <c r="M45" i="1"/>
  <c r="L45" i="1"/>
  <c r="K45" i="1"/>
  <c r="H45" i="1"/>
  <c r="M44" i="1"/>
  <c r="L44" i="1"/>
  <c r="K44" i="1"/>
  <c r="H44" i="1"/>
  <c r="M43" i="1"/>
  <c r="L43" i="1"/>
  <c r="K43" i="1"/>
  <c r="H43" i="1"/>
  <c r="M42" i="1"/>
  <c r="L42" i="1"/>
  <c r="K42" i="1"/>
  <c r="H42" i="1"/>
  <c r="M41" i="1"/>
  <c r="L41" i="1"/>
  <c r="K41" i="1"/>
  <c r="H41" i="1"/>
  <c r="M40" i="1"/>
  <c r="L40" i="1"/>
  <c r="K40" i="1"/>
  <c r="H40" i="1"/>
  <c r="M39" i="1"/>
  <c r="L39" i="1"/>
  <c r="K39" i="1"/>
  <c r="H39" i="1"/>
  <c r="M38" i="1"/>
  <c r="L38" i="1"/>
  <c r="K38" i="1"/>
  <c r="H38" i="1"/>
  <c r="M37" i="1"/>
  <c r="L37" i="1"/>
  <c r="K37" i="1"/>
  <c r="H37" i="1"/>
  <c r="M36" i="1"/>
  <c r="L36" i="1"/>
  <c r="K36" i="1"/>
  <c r="H36" i="1"/>
  <c r="M35" i="1"/>
  <c r="L35" i="1"/>
  <c r="K35" i="1"/>
  <c r="H35" i="1"/>
  <c r="M34" i="1"/>
  <c r="L34" i="1"/>
  <c r="K34" i="1"/>
  <c r="H34" i="1"/>
  <c r="M33" i="1"/>
  <c r="L33" i="1"/>
  <c r="K33" i="1"/>
  <c r="H33" i="1"/>
  <c r="M32" i="1"/>
  <c r="L32" i="1"/>
  <c r="K32" i="1"/>
  <c r="H32" i="1"/>
  <c r="M31" i="1"/>
  <c r="L31" i="1"/>
  <c r="K31" i="1"/>
  <c r="H31" i="1"/>
  <c r="M30" i="1"/>
  <c r="L30" i="1"/>
  <c r="K30" i="1"/>
  <c r="H30" i="1"/>
  <c r="M29" i="1"/>
  <c r="L29" i="1"/>
  <c r="K29" i="1"/>
  <c r="H29" i="1"/>
  <c r="M28" i="1"/>
  <c r="L28" i="1"/>
  <c r="K28" i="1"/>
  <c r="H28" i="1"/>
  <c r="M27" i="1"/>
  <c r="L27" i="1"/>
  <c r="K27" i="1"/>
  <c r="H27" i="1"/>
  <c r="M26" i="1"/>
  <c r="L26" i="1"/>
  <c r="K26" i="1"/>
  <c r="H26" i="1"/>
  <c r="M25" i="1"/>
  <c r="L25" i="1"/>
  <c r="K25" i="1"/>
  <c r="H25" i="1"/>
  <c r="M24" i="1"/>
  <c r="L24" i="1"/>
  <c r="K24" i="1"/>
  <c r="H24" i="1"/>
  <c r="M23" i="1"/>
  <c r="L23" i="1"/>
  <c r="K23" i="1"/>
  <c r="H23" i="1"/>
  <c r="M22" i="1"/>
  <c r="L22" i="1"/>
  <c r="K22" i="1"/>
  <c r="H22" i="1"/>
  <c r="M21" i="1"/>
  <c r="L21" i="1"/>
  <c r="K21" i="1"/>
  <c r="H21" i="1"/>
  <c r="M20" i="1"/>
  <c r="L20" i="1"/>
  <c r="K20" i="1"/>
  <c r="H20" i="1"/>
  <c r="M19" i="1"/>
  <c r="L19" i="1"/>
  <c r="K19" i="1"/>
  <c r="H19" i="1"/>
  <c r="M18" i="1"/>
  <c r="L18" i="1"/>
  <c r="K18" i="1"/>
  <c r="H18" i="1"/>
  <c r="M17" i="1"/>
  <c r="L17" i="1"/>
  <c r="K17" i="1"/>
  <c r="H17" i="1"/>
  <c r="M16" i="1"/>
  <c r="L16" i="1"/>
  <c r="K16" i="1"/>
  <c r="H16" i="1"/>
  <c r="M15" i="1"/>
  <c r="L15" i="1"/>
  <c r="K15" i="1"/>
  <c r="H15" i="1"/>
  <c r="M14" i="1"/>
  <c r="L14" i="1"/>
  <c r="K14" i="1"/>
  <c r="H14" i="1"/>
  <c r="M13" i="1"/>
  <c r="L13" i="1"/>
  <c r="K13" i="1"/>
  <c r="H13" i="1"/>
  <c r="M12" i="1"/>
  <c r="L12" i="1"/>
  <c r="K12" i="1"/>
  <c r="H12" i="1"/>
  <c r="M11" i="1"/>
  <c r="L11" i="1"/>
  <c r="K11" i="1"/>
  <c r="H11" i="1"/>
  <c r="M10" i="1"/>
  <c r="L10" i="1"/>
  <c r="K10" i="1"/>
  <c r="H10" i="1"/>
  <c r="M9" i="1"/>
  <c r="L9" i="1"/>
  <c r="K9" i="1"/>
  <c r="H9" i="1"/>
  <c r="M8" i="1"/>
  <c r="L8" i="1"/>
  <c r="K8" i="1"/>
  <c r="H8" i="1"/>
  <c r="M7" i="1"/>
  <c r="L7" i="1"/>
  <c r="K7" i="1"/>
  <c r="H7" i="1"/>
  <c r="M6" i="1"/>
  <c r="L6" i="1"/>
  <c r="K6" i="1"/>
  <c r="H6" i="1"/>
  <c r="M5" i="1"/>
  <c r="L5" i="1"/>
  <c r="K5" i="1"/>
  <c r="H5" i="1"/>
  <c r="M4" i="1"/>
  <c r="L4" i="1"/>
  <c r="K4" i="1"/>
  <c r="H4" i="1"/>
</calcChain>
</file>

<file path=xl/sharedStrings.xml><?xml version="1.0" encoding="utf-8"?>
<sst xmlns="http://schemas.openxmlformats.org/spreadsheetml/2006/main" count="853" uniqueCount="166">
  <si>
    <t>Dettaglio Domande Pagabili Decreto 652</t>
  </si>
  <si>
    <t>Organismo Pagatore</t>
  </si>
  <si>
    <t>Gruppo Misura</t>
  </si>
  <si>
    <t>Regione</t>
  </si>
  <si>
    <t>Ente</t>
  </si>
  <si>
    <t>Caa Nazionale</t>
  </si>
  <si>
    <t>Ufficio Caa</t>
  </si>
  <si>
    <t>Campagna</t>
  </si>
  <si>
    <t>codice Domanda</t>
  </si>
  <si>
    <t>Domanda Campione (Si/No)</t>
  </si>
  <si>
    <t>Tipologia Programmazione</t>
  </si>
  <si>
    <t>Misura PSR 2007-2013</t>
  </si>
  <si>
    <t>Misura PSR 2014-2020</t>
  </si>
  <si>
    <t>Cuaa</t>
  </si>
  <si>
    <t>Denominazione</t>
  </si>
  <si>
    <t>Protocollo Elenco</t>
  </si>
  <si>
    <t>Data Autorizzazione OP Elenco</t>
  </si>
  <si>
    <t>Stato Della Domanda</t>
  </si>
  <si>
    <t>Tipologia di Pagamento</t>
  </si>
  <si>
    <t>Tipologia di Finanziamento</t>
  </si>
  <si>
    <t>PSRN</t>
  </si>
  <si>
    <t>Tipologia di Strumento Finanziario</t>
  </si>
  <si>
    <t>Importo Totale in Elenco</t>
  </si>
  <si>
    <t>Importo in Elenco (Quota FEASR)</t>
  </si>
  <si>
    <t>Importo in Elenco (Quota Nazionale)</t>
  </si>
  <si>
    <t>Importo in Elenco (Quota Regionale)</t>
  </si>
  <si>
    <t>Importo in Elenco (Quota Fondo di Rotazione)</t>
  </si>
  <si>
    <t>AGEA</t>
  </si>
  <si>
    <t>Misure Strutturali</t>
  </si>
  <si>
    <t>MARCHE</t>
  </si>
  <si>
    <t>SERV. DEC. AGRICOLTURA E ALIMENTAZIONE - ANCONA</t>
  </si>
  <si>
    <t>IN PROPRIO</t>
  </si>
  <si>
    <t>NO</t>
  </si>
  <si>
    <t>PSR 2014/2022</t>
  </si>
  <si>
    <t>FLAMINIA CESANO S.R.L.</t>
  </si>
  <si>
    <t>AGEA.ASR.2023.1451834</t>
  </si>
  <si>
    <t>In Liquidazione</t>
  </si>
  <si>
    <t>SAL</t>
  </si>
  <si>
    <t>Co-Finanziato</t>
  </si>
  <si>
    <t>Ordinario</t>
  </si>
  <si>
    <t>SERV. DEC. AGRICOLTURA E ALIM. -ASCOLI PICENO</t>
  </si>
  <si>
    <t>CAA UNICAA srl</t>
  </si>
  <si>
    <t>CAA UNICAA - ASCOLI PICENO - 004</t>
  </si>
  <si>
    <t>MORESCO SOCIETA' AGRICOLA SEMPLICE</t>
  </si>
  <si>
    <t>AGEA.ASR.2023.1442854</t>
  </si>
  <si>
    <t>SERV. DEC. AGRICOLTURA E ALIM. - MACERATA</t>
  </si>
  <si>
    <t>SERRE ALTE S.R.L. SOCIETA' AGRICOLA</t>
  </si>
  <si>
    <t>AGEA.ASR.2023.1434433</t>
  </si>
  <si>
    <t>Saldo</t>
  </si>
  <si>
    <t>SQUADRONI SOCIETA' AGRICOLA SEMPLICE</t>
  </si>
  <si>
    <t>AGEA.ASR.2023.1460315</t>
  </si>
  <si>
    <t>Anticipo</t>
  </si>
  <si>
    <t>COMUNE DI MONTE PORZIO</t>
  </si>
  <si>
    <t>AGEA.ASR.2023.1443190</t>
  </si>
  <si>
    <t>Misure a Superficie</t>
  </si>
  <si>
    <t>CAA-CAF AGRI S.R.L.</t>
  </si>
  <si>
    <t>CAA CAF AGRI - ASCOLI PICENO - 223</t>
  </si>
  <si>
    <t>SOCIETA' AGRICOLA COLLINA DI IPPOLITI LORENZO E VALERIO S.S.</t>
  </si>
  <si>
    <t>AGEA.ASR.2023.1452227</t>
  </si>
  <si>
    <t>CAA CIA srl</t>
  </si>
  <si>
    <t>CAA CIA - ASCOLI PICENO - 001</t>
  </si>
  <si>
    <t>SANTOLINI SANTA SOCIETA' AGRICOLA SEMPLICE</t>
  </si>
  <si>
    <t>AGEA.ASR.2023.1456624</t>
  </si>
  <si>
    <t>CAA Coldiretti srl</t>
  </si>
  <si>
    <t>CAA Coldiretti - MACERATA - 002</t>
  </si>
  <si>
    <t>BIOAGRITURISMO RAMBONA DI CUCCAGNA LUIGI E RENZO S</t>
  </si>
  <si>
    <t>ETRA FILM PRODUCTION - SOCIETA' COOPERATIVA</t>
  </si>
  <si>
    <t>AGEA.ASR.2023.1443740</t>
  </si>
  <si>
    <t>CAMPO DI MAGGIO S.S. AGRICOLA</t>
  </si>
  <si>
    <t>AGEA.ASR.2023.1449176</t>
  </si>
  <si>
    <t>REMIA GIACOMO</t>
  </si>
  <si>
    <t>AGEA.ASR.2023.1449187</t>
  </si>
  <si>
    <t>SERV. DEC. AGRICOLTURA E ALIMENTAZIONE - PESARO</t>
  </si>
  <si>
    <t>SOLFANELLI GIULIANO</t>
  </si>
  <si>
    <t>BONGIOVANNI IGOR ALESSANDRO</t>
  </si>
  <si>
    <t>AGEA.ASR.2023.1455548</t>
  </si>
  <si>
    <t>CRINELLA LUCA</t>
  </si>
  <si>
    <t>AGEA.ASR.2023.1456593</t>
  </si>
  <si>
    <t>BATTISTONI MIRELLA</t>
  </si>
  <si>
    <t>AGEA.ASR.2023.1453351</t>
  </si>
  <si>
    <t>CAA CIA - PESARO E URBINO - 002</t>
  </si>
  <si>
    <t>SI</t>
  </si>
  <si>
    <t>TRIPPETTA GIOVANNI</t>
  </si>
  <si>
    <t>AGEA.ASR.2023.1458312</t>
  </si>
  <si>
    <t>MOLINO AGOSTINI S.R.L. SOCIETA' BENEFIT</t>
  </si>
  <si>
    <t>AGEA.ASR.2023.1456669</t>
  </si>
  <si>
    <t>CAA AGRISERVIZI s.r.l.</t>
  </si>
  <si>
    <t>CAA AGRISERVIZI - LATINA - 001</t>
  </si>
  <si>
    <t>PIERMARTIRI ROSALBO</t>
  </si>
  <si>
    <t>NUOVA AGRIMM S.R.L.</t>
  </si>
  <si>
    <t>CAA CIA - RIMINI - 001</t>
  </si>
  <si>
    <t>VERDIRAME SALVATORE</t>
  </si>
  <si>
    <t>CAA CIA - ANCONA - 005</t>
  </si>
  <si>
    <t>PECCI DANIELE</t>
  </si>
  <si>
    <t>CAA Confagricoltura srl</t>
  </si>
  <si>
    <t>CAA Confagricoltura - PESARO E URBINO - 001</t>
  </si>
  <si>
    <t>BARTOLINI ANNA MARIA</t>
  </si>
  <si>
    <t>CAA Coldiretti - FERMO - 001</t>
  </si>
  <si>
    <t>COZZI GIOVANNI E GIANNINI ANNA SOCIETA' SEMPLICE</t>
  </si>
  <si>
    <t>COMUNE DI MONTERUBBIANO</t>
  </si>
  <si>
    <t>AGEA.ASR.2023.1443743</t>
  </si>
  <si>
    <t>CAA UNSIC s.r.l.</t>
  </si>
  <si>
    <t>CAA UNSIC - ASCOLI PICENO - 001</t>
  </si>
  <si>
    <t>LA CANOSA S.R.L. SOCIETA' AGRICOLA</t>
  </si>
  <si>
    <t>AGEA.ASR.2023.1449166</t>
  </si>
  <si>
    <t>PICCHIO GENNY</t>
  </si>
  <si>
    <t>COMUNE DI MACERATA FELTRIA</t>
  </si>
  <si>
    <t>AGEA.ASR.2023.1443241</t>
  </si>
  <si>
    <t>SHUFRA DI SHUFRA SOCIETA' AGRICOLA SRL</t>
  </si>
  <si>
    <t>AGEA.ASR.2023.1454051</t>
  </si>
  <si>
    <t>ENTE REGIONE MARCHE</t>
  </si>
  <si>
    <t>AGEA.ASR.2023.1447993</t>
  </si>
  <si>
    <t>COMUNE DI COLLI DEL TRONTO</t>
  </si>
  <si>
    <t>AGEA.ASR.2023.1452367</t>
  </si>
  <si>
    <t>TEC SOCIETA' COOPERATIVA A RESPONSABILITA LIMITATA</t>
  </si>
  <si>
    <t>AGEA.ASR.2023.1443752</t>
  </si>
  <si>
    <t>CAA Coldiretti - ANCONA - 002</t>
  </si>
  <si>
    <t>CAMPIONI DANILO</t>
  </si>
  <si>
    <t>AGEA.ASR.2023.1456599</t>
  </si>
  <si>
    <t>SOCIETA' AGRICOLA LA STAFFA DI BALDI RICCARDO E C. S.S.</t>
  </si>
  <si>
    <t>COMUNE DI SMERILLO</t>
  </si>
  <si>
    <t>CAA Coldiretti - PESARO E URBINO - 001</t>
  </si>
  <si>
    <t>VENTURINI VIRGINIA</t>
  </si>
  <si>
    <t>AGEA.ASR.2023.1460300</t>
  </si>
  <si>
    <t>COCCI ISABELLA</t>
  </si>
  <si>
    <t>RUGGERI MASSIMILIANO</t>
  </si>
  <si>
    <t>PANICCIARI MARICA</t>
  </si>
  <si>
    <t>PETRINI SERENA</t>
  </si>
  <si>
    <t>POPART 3D DI FOLLENTI LUCA E POP MIRELA S.N.C.</t>
  </si>
  <si>
    <t>CAA Coldiretti - ASCOLI PICENO - 010</t>
  </si>
  <si>
    <t>PACI SIMONE</t>
  </si>
  <si>
    <t>AGEA.ASR.2023.1461162</t>
  </si>
  <si>
    <t>AGEA.ASR.2023.1461169</t>
  </si>
  <si>
    <t>URBINO INCOMING SNC DI BORGIANI MARGHERITA &amp; C. AGENZIA DI SERVIZI PER</t>
  </si>
  <si>
    <t>AGEA.ASR.2023.1443225</t>
  </si>
  <si>
    <t>CAA CIA - ANCONA - 004</t>
  </si>
  <si>
    <t>Trascinamenti PSR 2014/2022</t>
  </si>
  <si>
    <t>GAGGIOTTINI EMILIO</t>
  </si>
  <si>
    <t>AGEA.ASR.2023.1442390</t>
  </si>
  <si>
    <t>CAA CAF AGRI - PESARO E URBINO - 221</t>
  </si>
  <si>
    <t>CANDIERACCI ALFONSO</t>
  </si>
  <si>
    <t>AGEA.ASR.2023.1454037</t>
  </si>
  <si>
    <t>PALLONI GIULIANO</t>
  </si>
  <si>
    <t>ACCIARRI GIOVANNA</t>
  </si>
  <si>
    <t>AGEA.ASR.2023.1442842</t>
  </si>
  <si>
    <t>CAA Coldiretti - ANCONA - 003</t>
  </si>
  <si>
    <t>BOLOGNINI STEFANO</t>
  </si>
  <si>
    <t>D'ANGELO LEO</t>
  </si>
  <si>
    <t>D'ANGELO MARIA</t>
  </si>
  <si>
    <t>CAA CIA - ANCONA - 002</t>
  </si>
  <si>
    <t>CADABO' SOCIETA' SEMPLICE AGRICOLA DI BUSCHI MATTEO E LANDI ROSSANO</t>
  </si>
  <si>
    <t>CAA CIA - ANCONA - 006</t>
  </si>
  <si>
    <t>CEDI S.R.L.</t>
  </si>
  <si>
    <t>AGEA.ASR.2023.1454063</t>
  </si>
  <si>
    <t>CAA Coldiretti - PESARO E URBINO - 008</t>
  </si>
  <si>
    <t>PAIARINI MILENA</t>
  </si>
  <si>
    <t>CAA Coldiretti - MACERATA - 007</t>
  </si>
  <si>
    <t>SOCIETA' AGRICOLA MANCINI MICHELE E C. S.S</t>
  </si>
  <si>
    <t>CAA Copagri srl</t>
  </si>
  <si>
    <t>CAA Copagri - ANCONA - 502</t>
  </si>
  <si>
    <t>TOGNONI LORENZO</t>
  </si>
  <si>
    <t>AGEA.ASR.2023.1450368</t>
  </si>
  <si>
    <t>ANTONUZZO GREGORIO</t>
  </si>
  <si>
    <t>AGEA.ASR.2023.1443760</t>
  </si>
  <si>
    <t>FONTEABETI SOCIETA' AGRICOLA S.R.L.</t>
  </si>
  <si>
    <t>AGEA.ASR.2023.1452105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</si>
</sst>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4" fontId="2" fillId="0" borderId="4" xfId="0" applyNumberFormat="1" applyFont="1" applyBorder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B17FC-A7E6-401C-B26D-E925472A0346}">
  <sheetPr>
    <pageSetUpPr fitToPage="1"/>
  </sheetPr>
  <dimension ref="A1:Z62"/>
  <sheetViews>
    <sheetView tabSelected="1" workbookViewId="0"/>
  </sheetViews>
  <sheetFormatPr defaultRowHeight="14.5" x14ac:dyDescent="0.35"/>
  <cols>
    <col min="1" max="1" width="9.81640625" bestFit="1" customWidth="1"/>
    <col min="2" max="2" width="10.26953125" bestFit="1" customWidth="1"/>
    <col min="3" max="3" width="11.54296875" bestFit="1" customWidth="1"/>
    <col min="4" max="4" width="27.6328125" bestFit="1" customWidth="1"/>
    <col min="5" max="5" width="20.36328125" bestFit="1" customWidth="1"/>
    <col min="6" max="6" width="22.54296875" bestFit="1" customWidth="1"/>
    <col min="7" max="7" width="5.36328125" bestFit="1" customWidth="1"/>
    <col min="8" max="8" width="8.08984375" bestFit="1" customWidth="1"/>
    <col min="9" max="9" width="13.36328125" bestFit="1" customWidth="1"/>
    <col min="10" max="10" width="14.90625" bestFit="1" customWidth="1"/>
    <col min="11" max="12" width="10.7265625" bestFit="1" customWidth="1"/>
    <col min="13" max="13" width="2.81640625" bestFit="1" customWidth="1"/>
    <col min="14" max="14" width="34.90625" bestFit="1" customWidth="1"/>
    <col min="15" max="15" width="11.81640625" bestFit="1" customWidth="1"/>
    <col min="16" max="16" width="14.453125" bestFit="1" customWidth="1"/>
    <col min="17" max="17" width="10.26953125" bestFit="1" customWidth="1"/>
    <col min="18" max="18" width="11.1796875" bestFit="1" customWidth="1"/>
    <col min="19" max="19" width="14.81640625" bestFit="1" customWidth="1"/>
    <col min="20" max="20" width="3.08984375" bestFit="1" customWidth="1"/>
    <col min="21" max="21" width="16.08984375" bestFit="1" customWidth="1"/>
    <col min="22" max="22" width="11.54296875" bestFit="1" customWidth="1"/>
    <col min="23" max="23" width="15.453125" bestFit="1" customWidth="1"/>
    <col min="24" max="25" width="17.08984375" bestFit="1" customWidth="1"/>
    <col min="26" max="26" width="21.26953125" bestFit="1" customWidth="1"/>
  </cols>
  <sheetData>
    <row r="1" spans="1:26" ht="24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3"/>
    </row>
    <row r="2" spans="1:26" x14ac:dyDescent="0.3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</row>
    <row r="3" spans="1:26" x14ac:dyDescent="0.35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7" t="s">
        <v>21</v>
      </c>
      <c r="V3" s="7" t="s">
        <v>22</v>
      </c>
      <c r="W3" s="7" t="s">
        <v>23</v>
      </c>
      <c r="X3" s="7" t="s">
        <v>24</v>
      </c>
      <c r="Y3" s="7" t="s">
        <v>25</v>
      </c>
      <c r="Z3" s="7" t="s">
        <v>26</v>
      </c>
    </row>
    <row r="4" spans="1:26" ht="25.5" x14ac:dyDescent="0.35">
      <c r="A4" s="8" t="s">
        <v>27</v>
      </c>
      <c r="B4" s="8" t="s">
        <v>28</v>
      </c>
      <c r="C4" s="8" t="s">
        <v>29</v>
      </c>
      <c r="D4" s="8" t="s">
        <v>30</v>
      </c>
      <c r="E4" s="8" t="s">
        <v>31</v>
      </c>
      <c r="F4" s="8" t="s">
        <v>31</v>
      </c>
      <c r="G4" s="8">
        <v>2017</v>
      </c>
      <c r="H4" s="8" t="str">
        <f>CONCATENATE("34270365918")</f>
        <v>34270365918</v>
      </c>
      <c r="I4" s="8" t="s">
        <v>32</v>
      </c>
      <c r="J4" s="8" t="s">
        <v>33</v>
      </c>
      <c r="K4" s="8" t="str">
        <f t="shared" ref="K4:K48" si="0">CONCATENATE("")</f>
        <v/>
      </c>
      <c r="L4" s="8" t="str">
        <f>CONCATENATE("19 19.4 6b")</f>
        <v>19 19.4 6b</v>
      </c>
      <c r="M4" s="8" t="str">
        <f>CONCATENATE("01377760416")</f>
        <v>01377760416</v>
      </c>
      <c r="N4" s="8" t="s">
        <v>34</v>
      </c>
      <c r="O4" s="8" t="s">
        <v>35</v>
      </c>
      <c r="P4" s="9">
        <v>45245</v>
      </c>
      <c r="Q4" s="8" t="s">
        <v>36</v>
      </c>
      <c r="R4" s="8" t="s">
        <v>37</v>
      </c>
      <c r="S4" s="8" t="s">
        <v>38</v>
      </c>
      <c r="T4" s="8"/>
      <c r="U4" s="8" t="s">
        <v>39</v>
      </c>
      <c r="V4" s="10">
        <v>27633.97</v>
      </c>
      <c r="W4" s="10">
        <v>11915.77</v>
      </c>
      <c r="X4" s="10">
        <v>11003.85</v>
      </c>
      <c r="Y4" s="8">
        <v>0</v>
      </c>
      <c r="Z4" s="10">
        <v>4714.3500000000004</v>
      </c>
    </row>
    <row r="5" spans="1:26" ht="25.5" x14ac:dyDescent="0.35">
      <c r="A5" s="8" t="s">
        <v>27</v>
      </c>
      <c r="B5" s="8" t="s">
        <v>28</v>
      </c>
      <c r="C5" s="8" t="s">
        <v>29</v>
      </c>
      <c r="D5" s="8" t="s">
        <v>40</v>
      </c>
      <c r="E5" s="8" t="s">
        <v>41</v>
      </c>
      <c r="F5" s="8" t="s">
        <v>42</v>
      </c>
      <c r="G5" s="8">
        <v>2017</v>
      </c>
      <c r="H5" s="8" t="str">
        <f>CONCATENATE("34270365926")</f>
        <v>34270365926</v>
      </c>
      <c r="I5" s="8" t="s">
        <v>32</v>
      </c>
      <c r="J5" s="8" t="s">
        <v>33</v>
      </c>
      <c r="K5" s="8" t="str">
        <f t="shared" si="0"/>
        <v/>
      </c>
      <c r="L5" s="8" t="str">
        <f>CONCATENATE("4 4.1 2a")</f>
        <v>4 4.1 2a</v>
      </c>
      <c r="M5" s="8" t="str">
        <f>CONCATENATE("02386270447")</f>
        <v>02386270447</v>
      </c>
      <c r="N5" s="8" t="s">
        <v>43</v>
      </c>
      <c r="O5" s="8" t="s">
        <v>44</v>
      </c>
      <c r="P5" s="9">
        <v>45245</v>
      </c>
      <c r="Q5" s="8" t="s">
        <v>36</v>
      </c>
      <c r="R5" s="8" t="s">
        <v>37</v>
      </c>
      <c r="S5" s="8" t="s">
        <v>38</v>
      </c>
      <c r="T5" s="8"/>
      <c r="U5" s="8" t="s">
        <v>39</v>
      </c>
      <c r="V5" s="10">
        <v>103499.59</v>
      </c>
      <c r="W5" s="10">
        <v>44629.02</v>
      </c>
      <c r="X5" s="10">
        <v>41213.54</v>
      </c>
      <c r="Y5" s="8">
        <v>0</v>
      </c>
      <c r="Z5" s="10">
        <v>17657.03</v>
      </c>
    </row>
    <row r="6" spans="1:26" ht="25.5" x14ac:dyDescent="0.35">
      <c r="A6" s="8" t="s">
        <v>27</v>
      </c>
      <c r="B6" s="8" t="s">
        <v>28</v>
      </c>
      <c r="C6" s="8" t="s">
        <v>29</v>
      </c>
      <c r="D6" s="8" t="s">
        <v>45</v>
      </c>
      <c r="E6" s="8" t="s">
        <v>31</v>
      </c>
      <c r="F6" s="8" t="s">
        <v>31</v>
      </c>
      <c r="G6" s="8">
        <v>2017</v>
      </c>
      <c r="H6" s="8" t="str">
        <f>CONCATENATE("24270242878")</f>
        <v>24270242878</v>
      </c>
      <c r="I6" s="8" t="s">
        <v>32</v>
      </c>
      <c r="J6" s="8" t="s">
        <v>33</v>
      </c>
      <c r="K6" s="8" t="str">
        <f t="shared" si="0"/>
        <v/>
      </c>
      <c r="L6" s="8" t="str">
        <f>CONCATENATE("6 6.4 2a")</f>
        <v>6 6.4 2a</v>
      </c>
      <c r="M6" s="8" t="str">
        <f>CONCATENATE("01883030437")</f>
        <v>01883030437</v>
      </c>
      <c r="N6" s="8" t="s">
        <v>46</v>
      </c>
      <c r="O6" s="8" t="s">
        <v>47</v>
      </c>
      <c r="P6" s="9">
        <v>45245</v>
      </c>
      <c r="Q6" s="8" t="s">
        <v>36</v>
      </c>
      <c r="R6" s="8" t="s">
        <v>48</v>
      </c>
      <c r="S6" s="8" t="s">
        <v>38</v>
      </c>
      <c r="T6" s="8"/>
      <c r="U6" s="8" t="s">
        <v>39</v>
      </c>
      <c r="V6" s="10">
        <v>191427.64</v>
      </c>
      <c r="W6" s="10">
        <v>82543.600000000006</v>
      </c>
      <c r="X6" s="10">
        <v>76226.490000000005</v>
      </c>
      <c r="Y6" s="8">
        <v>0</v>
      </c>
      <c r="Z6" s="10">
        <v>32657.55</v>
      </c>
    </row>
    <row r="7" spans="1:26" ht="25.5" x14ac:dyDescent="0.35">
      <c r="A7" s="8" t="s">
        <v>27</v>
      </c>
      <c r="B7" s="8" t="s">
        <v>28</v>
      </c>
      <c r="C7" s="8" t="s">
        <v>29</v>
      </c>
      <c r="D7" s="8" t="s">
        <v>30</v>
      </c>
      <c r="E7" s="8" t="s">
        <v>31</v>
      </c>
      <c r="F7" s="8" t="s">
        <v>31</v>
      </c>
      <c r="G7" s="8">
        <v>2017</v>
      </c>
      <c r="H7" s="8" t="str">
        <f>CONCATENATE("34270372765")</f>
        <v>34270372765</v>
      </c>
      <c r="I7" s="8" t="s">
        <v>32</v>
      </c>
      <c r="J7" s="8" t="s">
        <v>33</v>
      </c>
      <c r="K7" s="8" t="str">
        <f t="shared" si="0"/>
        <v/>
      </c>
      <c r="L7" s="8" t="str">
        <f>CONCATENATE("4 4.1 2a")</f>
        <v>4 4.1 2a</v>
      </c>
      <c r="M7" s="8" t="str">
        <f>CONCATENATE("02863280422")</f>
        <v>02863280422</v>
      </c>
      <c r="N7" s="8" t="s">
        <v>49</v>
      </c>
      <c r="O7" s="8" t="s">
        <v>50</v>
      </c>
      <c r="P7" s="9">
        <v>45247</v>
      </c>
      <c r="Q7" s="8" t="s">
        <v>36</v>
      </c>
      <c r="R7" s="8" t="s">
        <v>51</v>
      </c>
      <c r="S7" s="8" t="s">
        <v>38</v>
      </c>
      <c r="T7" s="8"/>
      <c r="U7" s="8" t="s">
        <v>39</v>
      </c>
      <c r="V7" s="10">
        <v>22959.67</v>
      </c>
      <c r="W7" s="10">
        <v>9900.2099999999991</v>
      </c>
      <c r="X7" s="10">
        <v>9142.5400000000009</v>
      </c>
      <c r="Y7" s="8">
        <v>0</v>
      </c>
      <c r="Z7" s="10">
        <v>3916.92</v>
      </c>
    </row>
    <row r="8" spans="1:26" ht="25.5" x14ac:dyDescent="0.35">
      <c r="A8" s="8" t="s">
        <v>27</v>
      </c>
      <c r="B8" s="8" t="s">
        <v>28</v>
      </c>
      <c r="C8" s="8" t="s">
        <v>29</v>
      </c>
      <c r="D8" s="8" t="s">
        <v>29</v>
      </c>
      <c r="E8" s="8" t="s">
        <v>31</v>
      </c>
      <c r="F8" s="8" t="s">
        <v>31</v>
      </c>
      <c r="G8" s="8">
        <v>2017</v>
      </c>
      <c r="H8" s="8" t="str">
        <f>CONCATENATE("34270355992")</f>
        <v>34270355992</v>
      </c>
      <c r="I8" s="8" t="s">
        <v>32</v>
      </c>
      <c r="J8" s="8" t="s">
        <v>33</v>
      </c>
      <c r="K8" s="8" t="str">
        <f t="shared" si="0"/>
        <v/>
      </c>
      <c r="L8" s="8" t="str">
        <f>CONCATENATE("19 19.2 6b")</f>
        <v>19 19.2 6b</v>
      </c>
      <c r="M8" s="8" t="str">
        <f>CONCATENATE("81001610419")</f>
        <v>81001610419</v>
      </c>
      <c r="N8" s="8" t="s">
        <v>52</v>
      </c>
      <c r="O8" s="8" t="s">
        <v>53</v>
      </c>
      <c r="P8" s="9">
        <v>45245</v>
      </c>
      <c r="Q8" s="8" t="s">
        <v>36</v>
      </c>
      <c r="R8" s="8" t="s">
        <v>51</v>
      </c>
      <c r="S8" s="8" t="s">
        <v>38</v>
      </c>
      <c r="T8" s="8"/>
      <c r="U8" s="8" t="s">
        <v>39</v>
      </c>
      <c r="V8" s="10">
        <v>22400.7</v>
      </c>
      <c r="W8" s="10">
        <v>9659.18</v>
      </c>
      <c r="X8" s="10">
        <v>8919.9599999999991</v>
      </c>
      <c r="Y8" s="8">
        <v>0</v>
      </c>
      <c r="Z8" s="10">
        <v>3821.56</v>
      </c>
    </row>
    <row r="9" spans="1:26" ht="25.5" x14ac:dyDescent="0.35">
      <c r="A9" s="8" t="s">
        <v>27</v>
      </c>
      <c r="B9" s="8" t="s">
        <v>54</v>
      </c>
      <c r="C9" s="8" t="s">
        <v>29</v>
      </c>
      <c r="D9" s="8" t="s">
        <v>40</v>
      </c>
      <c r="E9" s="8" t="s">
        <v>55</v>
      </c>
      <c r="F9" s="8" t="s">
        <v>56</v>
      </c>
      <c r="G9" s="8">
        <v>2022</v>
      </c>
      <c r="H9" s="8" t="str">
        <f>CONCATENATE("24241188085")</f>
        <v>24241188085</v>
      </c>
      <c r="I9" s="8" t="s">
        <v>32</v>
      </c>
      <c r="J9" s="8" t="s">
        <v>33</v>
      </c>
      <c r="K9" s="8" t="str">
        <f t="shared" si="0"/>
        <v/>
      </c>
      <c r="L9" s="8" t="str">
        <f>CONCATENATE("11 11.2 4b")</f>
        <v>11 11.2 4b</v>
      </c>
      <c r="M9" s="8" t="str">
        <f>CONCATENATE("02340300447")</f>
        <v>02340300447</v>
      </c>
      <c r="N9" s="8" t="s">
        <v>57</v>
      </c>
      <c r="O9" s="8" t="s">
        <v>58</v>
      </c>
      <c r="P9" s="9">
        <v>45245</v>
      </c>
      <c r="Q9" s="8" t="s">
        <v>36</v>
      </c>
      <c r="R9" s="8" t="s">
        <v>48</v>
      </c>
      <c r="S9" s="8" t="s">
        <v>38</v>
      </c>
      <c r="T9" s="8"/>
      <c r="U9" s="8" t="s">
        <v>39</v>
      </c>
      <c r="V9" s="10">
        <v>2793.47</v>
      </c>
      <c r="W9" s="10">
        <v>1204.54</v>
      </c>
      <c r="X9" s="10">
        <v>1112.3599999999999</v>
      </c>
      <c r="Y9" s="8">
        <v>0</v>
      </c>
      <c r="Z9" s="8">
        <v>476.57</v>
      </c>
    </row>
    <row r="10" spans="1:26" ht="25.5" x14ac:dyDescent="0.35">
      <c r="A10" s="8" t="s">
        <v>27</v>
      </c>
      <c r="B10" s="8" t="s">
        <v>54</v>
      </c>
      <c r="C10" s="8" t="s">
        <v>29</v>
      </c>
      <c r="D10" s="8" t="s">
        <v>40</v>
      </c>
      <c r="E10" s="8" t="s">
        <v>59</v>
      </c>
      <c r="F10" s="8" t="s">
        <v>60</v>
      </c>
      <c r="G10" s="8">
        <v>2022</v>
      </c>
      <c r="H10" s="8" t="str">
        <f>CONCATENATE("24241119585")</f>
        <v>24241119585</v>
      </c>
      <c r="I10" s="8" t="s">
        <v>32</v>
      </c>
      <c r="J10" s="8" t="s">
        <v>33</v>
      </c>
      <c r="K10" s="8" t="str">
        <f t="shared" si="0"/>
        <v/>
      </c>
      <c r="L10" s="8" t="str">
        <f>CONCATENATE("11 11.2 4b")</f>
        <v>11 11.2 4b</v>
      </c>
      <c r="M10" s="8" t="str">
        <f>CONCATENATE("02451910448")</f>
        <v>02451910448</v>
      </c>
      <c r="N10" s="8" t="s">
        <v>61</v>
      </c>
      <c r="O10" s="8" t="s">
        <v>58</v>
      </c>
      <c r="P10" s="9">
        <v>45245</v>
      </c>
      <c r="Q10" s="8" t="s">
        <v>36</v>
      </c>
      <c r="R10" s="8" t="s">
        <v>48</v>
      </c>
      <c r="S10" s="8" t="s">
        <v>38</v>
      </c>
      <c r="T10" s="8"/>
      <c r="U10" s="8" t="s">
        <v>39</v>
      </c>
      <c r="V10" s="10">
        <v>8288.4699999999993</v>
      </c>
      <c r="W10" s="10">
        <v>3573.99</v>
      </c>
      <c r="X10" s="10">
        <v>3300.47</v>
      </c>
      <c r="Y10" s="8">
        <v>0</v>
      </c>
      <c r="Z10" s="10">
        <v>1414.01</v>
      </c>
    </row>
    <row r="11" spans="1:26" ht="25.5" x14ac:dyDescent="0.35">
      <c r="A11" s="8" t="s">
        <v>27</v>
      </c>
      <c r="B11" s="8" t="s">
        <v>54</v>
      </c>
      <c r="C11" s="8" t="s">
        <v>29</v>
      </c>
      <c r="D11" s="8" t="s">
        <v>40</v>
      </c>
      <c r="E11" s="8" t="s">
        <v>59</v>
      </c>
      <c r="F11" s="8" t="s">
        <v>60</v>
      </c>
      <c r="G11" s="8">
        <v>2022</v>
      </c>
      <c r="H11" s="8" t="str">
        <f>CONCATENATE("24210846440")</f>
        <v>24210846440</v>
      </c>
      <c r="I11" s="8" t="s">
        <v>32</v>
      </c>
      <c r="J11" s="8" t="s">
        <v>33</v>
      </c>
      <c r="K11" s="8" t="str">
        <f t="shared" si="0"/>
        <v/>
      </c>
      <c r="L11" s="8" t="str">
        <f>CONCATENATE("13 13.1 4a")</f>
        <v>13 13.1 4a</v>
      </c>
      <c r="M11" s="8" t="str">
        <f>CONCATENATE("02451910448")</f>
        <v>02451910448</v>
      </c>
      <c r="N11" s="8" t="s">
        <v>61</v>
      </c>
      <c r="O11" s="8" t="s">
        <v>62</v>
      </c>
      <c r="P11" s="9">
        <v>45251</v>
      </c>
      <c r="Q11" s="8" t="s">
        <v>36</v>
      </c>
      <c r="R11" s="8" t="s">
        <v>48</v>
      </c>
      <c r="S11" s="8" t="s">
        <v>38</v>
      </c>
      <c r="T11" s="8"/>
      <c r="U11" s="8" t="s">
        <v>39</v>
      </c>
      <c r="V11" s="10">
        <v>8112.84</v>
      </c>
      <c r="W11" s="10">
        <v>3498.26</v>
      </c>
      <c r="X11" s="10">
        <v>3230.53</v>
      </c>
      <c r="Y11" s="8">
        <v>0</v>
      </c>
      <c r="Z11" s="10">
        <v>1384.05</v>
      </c>
    </row>
    <row r="12" spans="1:26" ht="25.5" x14ac:dyDescent="0.35">
      <c r="A12" s="8" t="s">
        <v>27</v>
      </c>
      <c r="B12" s="8" t="s">
        <v>54</v>
      </c>
      <c r="C12" s="8" t="s">
        <v>29</v>
      </c>
      <c r="D12" s="8" t="s">
        <v>45</v>
      </c>
      <c r="E12" s="8" t="s">
        <v>63</v>
      </c>
      <c r="F12" s="8" t="s">
        <v>64</v>
      </c>
      <c r="G12" s="8">
        <v>2022</v>
      </c>
      <c r="H12" s="8" t="str">
        <f>CONCATENATE("24240638585")</f>
        <v>24240638585</v>
      </c>
      <c r="I12" s="8" t="s">
        <v>32</v>
      </c>
      <c r="J12" s="8" t="s">
        <v>33</v>
      </c>
      <c r="K12" s="8" t="str">
        <f t="shared" si="0"/>
        <v/>
      </c>
      <c r="L12" s="8" t="str">
        <f>CONCATENATE("11 11.2 4b")</f>
        <v>11 11.2 4b</v>
      </c>
      <c r="M12" s="8" t="str">
        <f>CONCATENATE("01213610437")</f>
        <v>01213610437</v>
      </c>
      <c r="N12" s="8" t="s">
        <v>65</v>
      </c>
      <c r="O12" s="8" t="s">
        <v>58</v>
      </c>
      <c r="P12" s="9">
        <v>45245</v>
      </c>
      <c r="Q12" s="8" t="s">
        <v>36</v>
      </c>
      <c r="R12" s="8" t="s">
        <v>48</v>
      </c>
      <c r="S12" s="8" t="s">
        <v>38</v>
      </c>
      <c r="T12" s="8"/>
      <c r="U12" s="8" t="s">
        <v>39</v>
      </c>
      <c r="V12" s="10">
        <v>1509.35</v>
      </c>
      <c r="W12" s="8">
        <v>650.83000000000004</v>
      </c>
      <c r="X12" s="8">
        <v>601.02</v>
      </c>
      <c r="Y12" s="8">
        <v>0</v>
      </c>
      <c r="Z12" s="8">
        <v>257.5</v>
      </c>
    </row>
    <row r="13" spans="1:26" ht="25.5" x14ac:dyDescent="0.35">
      <c r="A13" s="8" t="s">
        <v>27</v>
      </c>
      <c r="B13" s="8" t="s">
        <v>54</v>
      </c>
      <c r="C13" s="8" t="s">
        <v>29</v>
      </c>
      <c r="D13" s="8" t="s">
        <v>45</v>
      </c>
      <c r="E13" s="8" t="s">
        <v>63</v>
      </c>
      <c r="F13" s="8" t="s">
        <v>64</v>
      </c>
      <c r="G13" s="8">
        <v>2021</v>
      </c>
      <c r="H13" s="8" t="str">
        <f>CONCATENATE("14240381591")</f>
        <v>14240381591</v>
      </c>
      <c r="I13" s="8" t="s">
        <v>32</v>
      </c>
      <c r="J13" s="8" t="s">
        <v>33</v>
      </c>
      <c r="K13" s="8" t="str">
        <f t="shared" si="0"/>
        <v/>
      </c>
      <c r="L13" s="8" t="str">
        <f>CONCATENATE("11 11.2 4b")</f>
        <v>11 11.2 4b</v>
      </c>
      <c r="M13" s="8" t="str">
        <f>CONCATENATE("01213610437")</f>
        <v>01213610437</v>
      </c>
      <c r="N13" s="8" t="s">
        <v>65</v>
      </c>
      <c r="O13" s="8" t="s">
        <v>58</v>
      </c>
      <c r="P13" s="9">
        <v>45245</v>
      </c>
      <c r="Q13" s="8" t="s">
        <v>36</v>
      </c>
      <c r="R13" s="8" t="s">
        <v>48</v>
      </c>
      <c r="S13" s="8" t="s">
        <v>38</v>
      </c>
      <c r="T13" s="8"/>
      <c r="U13" s="8" t="s">
        <v>39</v>
      </c>
      <c r="V13" s="10">
        <v>1552.5</v>
      </c>
      <c r="W13" s="8">
        <v>669.44</v>
      </c>
      <c r="X13" s="8">
        <v>618.21</v>
      </c>
      <c r="Y13" s="8">
        <v>0</v>
      </c>
      <c r="Z13" s="8">
        <v>264.85000000000002</v>
      </c>
    </row>
    <row r="14" spans="1:26" ht="25.5" x14ac:dyDescent="0.35">
      <c r="A14" s="8" t="s">
        <v>27</v>
      </c>
      <c r="B14" s="8" t="s">
        <v>28</v>
      </c>
      <c r="C14" s="8" t="s">
        <v>29</v>
      </c>
      <c r="D14" s="8" t="s">
        <v>29</v>
      </c>
      <c r="E14" s="8" t="s">
        <v>31</v>
      </c>
      <c r="F14" s="8" t="s">
        <v>31</v>
      </c>
      <c r="G14" s="8">
        <v>2017</v>
      </c>
      <c r="H14" s="8" t="str">
        <f>CONCATENATE("34270365884")</f>
        <v>34270365884</v>
      </c>
      <c r="I14" s="8" t="s">
        <v>32</v>
      </c>
      <c r="J14" s="8" t="s">
        <v>33</v>
      </c>
      <c r="K14" s="8" t="str">
        <f t="shared" si="0"/>
        <v/>
      </c>
      <c r="L14" s="8" t="str">
        <f>CONCATENATE("19 19.2 6b")</f>
        <v>19 19.2 6b</v>
      </c>
      <c r="M14" s="8" t="str">
        <f>CONCATENATE("02110760432")</f>
        <v>02110760432</v>
      </c>
      <c r="N14" s="8" t="s">
        <v>66</v>
      </c>
      <c r="O14" s="8" t="s">
        <v>67</v>
      </c>
      <c r="P14" s="9">
        <v>45245</v>
      </c>
      <c r="Q14" s="8" t="s">
        <v>36</v>
      </c>
      <c r="R14" s="8" t="s">
        <v>37</v>
      </c>
      <c r="S14" s="8" t="s">
        <v>38</v>
      </c>
      <c r="T14" s="8"/>
      <c r="U14" s="8" t="s">
        <v>39</v>
      </c>
      <c r="V14" s="10">
        <v>20000</v>
      </c>
      <c r="W14" s="10">
        <v>8624</v>
      </c>
      <c r="X14" s="10">
        <v>7964</v>
      </c>
      <c r="Y14" s="8">
        <v>0</v>
      </c>
      <c r="Z14" s="10">
        <v>3412</v>
      </c>
    </row>
    <row r="15" spans="1:26" ht="25.5" x14ac:dyDescent="0.35">
      <c r="A15" s="8" t="s">
        <v>27</v>
      </c>
      <c r="B15" s="8" t="s">
        <v>28</v>
      </c>
      <c r="C15" s="8" t="s">
        <v>29</v>
      </c>
      <c r="D15" s="8" t="s">
        <v>40</v>
      </c>
      <c r="E15" s="8" t="s">
        <v>41</v>
      </c>
      <c r="F15" s="8" t="s">
        <v>42</v>
      </c>
      <c r="G15" s="8">
        <v>2017</v>
      </c>
      <c r="H15" s="8" t="str">
        <f>CONCATENATE("34270367468")</f>
        <v>34270367468</v>
      </c>
      <c r="I15" s="8" t="s">
        <v>32</v>
      </c>
      <c r="J15" s="8" t="s">
        <v>33</v>
      </c>
      <c r="K15" s="8" t="str">
        <f t="shared" si="0"/>
        <v/>
      </c>
      <c r="L15" s="8" t="str">
        <f>CONCATENATE("4 4.1 2a")</f>
        <v>4 4.1 2a</v>
      </c>
      <c r="M15" s="8" t="str">
        <f>CONCATENATE("02122300441")</f>
        <v>02122300441</v>
      </c>
      <c r="N15" s="8" t="s">
        <v>68</v>
      </c>
      <c r="O15" s="8" t="s">
        <v>69</v>
      </c>
      <c r="P15" s="9">
        <v>45245</v>
      </c>
      <c r="Q15" s="8" t="s">
        <v>36</v>
      </c>
      <c r="R15" s="8" t="s">
        <v>48</v>
      </c>
      <c r="S15" s="8" t="s">
        <v>38</v>
      </c>
      <c r="T15" s="8"/>
      <c r="U15" s="8" t="s">
        <v>39</v>
      </c>
      <c r="V15" s="10">
        <v>41483.129999999997</v>
      </c>
      <c r="W15" s="10">
        <v>17887.53</v>
      </c>
      <c r="X15" s="10">
        <v>16518.580000000002</v>
      </c>
      <c r="Y15" s="8">
        <v>0</v>
      </c>
      <c r="Z15" s="10">
        <v>7077.02</v>
      </c>
    </row>
    <row r="16" spans="1:26" ht="41.5" x14ac:dyDescent="0.35">
      <c r="A16" s="8" t="s">
        <v>27</v>
      </c>
      <c r="B16" s="8" t="s">
        <v>28</v>
      </c>
      <c r="C16" s="8" t="s">
        <v>29</v>
      </c>
      <c r="D16" s="8" t="s">
        <v>40</v>
      </c>
      <c r="E16" s="8" t="s">
        <v>41</v>
      </c>
      <c r="F16" s="8" t="s">
        <v>42</v>
      </c>
      <c r="G16" s="8">
        <v>2017</v>
      </c>
      <c r="H16" s="8" t="str">
        <f>CONCATENATE("34270367476")</f>
        <v>34270367476</v>
      </c>
      <c r="I16" s="8" t="s">
        <v>32</v>
      </c>
      <c r="J16" s="8" t="s">
        <v>33</v>
      </c>
      <c r="K16" s="8" t="str">
        <f t="shared" si="0"/>
        <v/>
      </c>
      <c r="L16" s="8" t="str">
        <f>CONCATENATE("4 4.1 2a")</f>
        <v>4 4.1 2a</v>
      </c>
      <c r="M16" s="8" t="str">
        <f>CONCATENATE("RMEGCM65M25F520W")</f>
        <v>RMEGCM65M25F520W</v>
      </c>
      <c r="N16" s="8" t="s">
        <v>70</v>
      </c>
      <c r="O16" s="8" t="s">
        <v>71</v>
      </c>
      <c r="P16" s="9">
        <v>45245</v>
      </c>
      <c r="Q16" s="8" t="s">
        <v>36</v>
      </c>
      <c r="R16" s="8" t="s">
        <v>48</v>
      </c>
      <c r="S16" s="8" t="s">
        <v>38</v>
      </c>
      <c r="T16" s="8"/>
      <c r="U16" s="8" t="s">
        <v>39</v>
      </c>
      <c r="V16" s="10">
        <v>18454.099999999999</v>
      </c>
      <c r="W16" s="10">
        <v>7957.41</v>
      </c>
      <c r="X16" s="10">
        <v>7348.42</v>
      </c>
      <c r="Y16" s="8">
        <v>0</v>
      </c>
      <c r="Z16" s="10">
        <v>3148.27</v>
      </c>
    </row>
    <row r="17" spans="1:26" ht="49.5" x14ac:dyDescent="0.35">
      <c r="A17" s="8" t="s">
        <v>27</v>
      </c>
      <c r="B17" s="8" t="s">
        <v>28</v>
      </c>
      <c r="C17" s="8" t="s">
        <v>29</v>
      </c>
      <c r="D17" s="8" t="s">
        <v>72</v>
      </c>
      <c r="E17" s="8" t="s">
        <v>31</v>
      </c>
      <c r="F17" s="8" t="s">
        <v>31</v>
      </c>
      <c r="G17" s="8">
        <v>2017</v>
      </c>
      <c r="H17" s="8" t="str">
        <f>CONCATENATE("34270367450")</f>
        <v>34270367450</v>
      </c>
      <c r="I17" s="8" t="s">
        <v>32</v>
      </c>
      <c r="J17" s="8" t="s">
        <v>33</v>
      </c>
      <c r="K17" s="8" t="str">
        <f t="shared" si="0"/>
        <v/>
      </c>
      <c r="L17" s="8" t="str">
        <f>CONCATENATE("4 4.1 2a")</f>
        <v>4 4.1 2a</v>
      </c>
      <c r="M17" s="8" t="str">
        <f>CONCATENATE("SLFGLN72A09D007R")</f>
        <v>SLFGLN72A09D007R</v>
      </c>
      <c r="N17" s="8" t="s">
        <v>73</v>
      </c>
      <c r="O17" s="8" t="s">
        <v>71</v>
      </c>
      <c r="P17" s="9">
        <v>45245</v>
      </c>
      <c r="Q17" s="8" t="s">
        <v>36</v>
      </c>
      <c r="R17" s="8" t="s">
        <v>51</v>
      </c>
      <c r="S17" s="8" t="s">
        <v>38</v>
      </c>
      <c r="T17" s="8"/>
      <c r="U17" s="8" t="s">
        <v>39</v>
      </c>
      <c r="V17" s="10">
        <v>200000</v>
      </c>
      <c r="W17" s="10">
        <v>86240</v>
      </c>
      <c r="X17" s="10">
        <v>79640</v>
      </c>
      <c r="Y17" s="8">
        <v>0</v>
      </c>
      <c r="Z17" s="10">
        <v>34120</v>
      </c>
    </row>
    <row r="18" spans="1:26" ht="41.5" x14ac:dyDescent="0.35">
      <c r="A18" s="8" t="s">
        <v>27</v>
      </c>
      <c r="B18" s="8" t="s">
        <v>28</v>
      </c>
      <c r="C18" s="8" t="s">
        <v>29</v>
      </c>
      <c r="D18" s="8" t="s">
        <v>45</v>
      </c>
      <c r="E18" s="8" t="s">
        <v>31</v>
      </c>
      <c r="F18" s="8" t="s">
        <v>31</v>
      </c>
      <c r="G18" s="8">
        <v>2017</v>
      </c>
      <c r="H18" s="8" t="str">
        <f>CONCATENATE("34270370074")</f>
        <v>34270370074</v>
      </c>
      <c r="I18" s="8" t="s">
        <v>32</v>
      </c>
      <c r="J18" s="8" t="s">
        <v>33</v>
      </c>
      <c r="K18" s="8" t="str">
        <f t="shared" si="0"/>
        <v/>
      </c>
      <c r="L18" s="8" t="str">
        <f>CONCATENATE("3 3.1 3a")</f>
        <v>3 3.1 3a</v>
      </c>
      <c r="M18" s="8" t="str">
        <f>CONCATENATE("BNGGLS75A29L219K")</f>
        <v>BNGGLS75A29L219K</v>
      </c>
      <c r="N18" s="8" t="s">
        <v>74</v>
      </c>
      <c r="O18" s="8" t="s">
        <v>75</v>
      </c>
      <c r="P18" s="9">
        <v>45245</v>
      </c>
      <c r="Q18" s="8" t="s">
        <v>36</v>
      </c>
      <c r="R18" s="8" t="s">
        <v>48</v>
      </c>
      <c r="S18" s="8" t="s">
        <v>38</v>
      </c>
      <c r="T18" s="8"/>
      <c r="U18" s="8" t="s">
        <v>39</v>
      </c>
      <c r="V18" s="8">
        <v>801.33</v>
      </c>
      <c r="W18" s="8">
        <v>345.53</v>
      </c>
      <c r="X18" s="8">
        <v>319.08999999999997</v>
      </c>
      <c r="Y18" s="8">
        <v>0</v>
      </c>
      <c r="Z18" s="8">
        <v>136.71</v>
      </c>
    </row>
    <row r="19" spans="1:26" ht="41.5" x14ac:dyDescent="0.35">
      <c r="A19" s="8" t="s">
        <v>27</v>
      </c>
      <c r="B19" s="8" t="s">
        <v>28</v>
      </c>
      <c r="C19" s="8" t="s">
        <v>29</v>
      </c>
      <c r="D19" s="8" t="s">
        <v>30</v>
      </c>
      <c r="E19" s="8" t="s">
        <v>31</v>
      </c>
      <c r="F19" s="8" t="s">
        <v>31</v>
      </c>
      <c r="G19" s="8">
        <v>2017</v>
      </c>
      <c r="H19" s="8" t="str">
        <f>CONCATENATE("34270371981")</f>
        <v>34270371981</v>
      </c>
      <c r="I19" s="8" t="s">
        <v>32</v>
      </c>
      <c r="J19" s="8" t="s">
        <v>33</v>
      </c>
      <c r="K19" s="8" t="str">
        <f t="shared" si="0"/>
        <v/>
      </c>
      <c r="L19" s="8" t="str">
        <f>CONCATENATE("4 4.1 2a")</f>
        <v>4 4.1 2a</v>
      </c>
      <c r="M19" s="8" t="str">
        <f>CONCATENATE("CRNLCU90D02D451Y")</f>
        <v>CRNLCU90D02D451Y</v>
      </c>
      <c r="N19" s="8" t="s">
        <v>76</v>
      </c>
      <c r="O19" s="8" t="s">
        <v>77</v>
      </c>
      <c r="P19" s="9">
        <v>45245</v>
      </c>
      <c r="Q19" s="8" t="s">
        <v>36</v>
      </c>
      <c r="R19" s="8" t="s">
        <v>51</v>
      </c>
      <c r="S19" s="8" t="s">
        <v>38</v>
      </c>
      <c r="T19" s="8"/>
      <c r="U19" s="8" t="s">
        <v>39</v>
      </c>
      <c r="V19" s="10">
        <v>65992.350000000006</v>
      </c>
      <c r="W19" s="10">
        <v>28455.9</v>
      </c>
      <c r="X19" s="10">
        <v>26278.15</v>
      </c>
      <c r="Y19" s="8">
        <v>0</v>
      </c>
      <c r="Z19" s="10">
        <v>11258.3</v>
      </c>
    </row>
    <row r="20" spans="1:26" ht="41.5" x14ac:dyDescent="0.35">
      <c r="A20" s="8" t="s">
        <v>27</v>
      </c>
      <c r="B20" s="8" t="s">
        <v>28</v>
      </c>
      <c r="C20" s="8" t="s">
        <v>29</v>
      </c>
      <c r="D20" s="8" t="s">
        <v>29</v>
      </c>
      <c r="E20" s="8" t="s">
        <v>31</v>
      </c>
      <c r="F20" s="8" t="s">
        <v>31</v>
      </c>
      <c r="G20" s="8">
        <v>2017</v>
      </c>
      <c r="H20" s="8" t="str">
        <f>CONCATENATE("34270368847")</f>
        <v>34270368847</v>
      </c>
      <c r="I20" s="8" t="s">
        <v>32</v>
      </c>
      <c r="J20" s="8" t="s">
        <v>33</v>
      </c>
      <c r="K20" s="8" t="str">
        <f t="shared" si="0"/>
        <v/>
      </c>
      <c r="L20" s="8" t="str">
        <f t="shared" ref="L20" si="1">CONCATENATE("19 19.2 6b")</f>
        <v>19 19.2 6b</v>
      </c>
      <c r="M20" s="8" t="str">
        <f>CONCATENATE("BTTMLL65B49D451S")</f>
        <v>BTTMLL65B49D451S</v>
      </c>
      <c r="N20" s="8" t="s">
        <v>78</v>
      </c>
      <c r="O20" s="8" t="s">
        <v>79</v>
      </c>
      <c r="P20" s="9">
        <v>45245</v>
      </c>
      <c r="Q20" s="8" t="s">
        <v>36</v>
      </c>
      <c r="R20" s="8" t="s">
        <v>48</v>
      </c>
      <c r="S20" s="8" t="s">
        <v>38</v>
      </c>
      <c r="T20" s="8"/>
      <c r="U20" s="8" t="s">
        <v>39</v>
      </c>
      <c r="V20" s="10">
        <v>26694.69</v>
      </c>
      <c r="W20" s="10">
        <v>11510.75</v>
      </c>
      <c r="X20" s="10">
        <v>10629.83</v>
      </c>
      <c r="Y20" s="8">
        <v>0</v>
      </c>
      <c r="Z20" s="10">
        <v>4554.1099999999997</v>
      </c>
    </row>
    <row r="21" spans="1:26" ht="41.5" x14ac:dyDescent="0.35">
      <c r="A21" s="8" t="s">
        <v>27</v>
      </c>
      <c r="B21" s="8" t="s">
        <v>54</v>
      </c>
      <c r="C21" s="8" t="s">
        <v>29</v>
      </c>
      <c r="D21" s="8" t="s">
        <v>72</v>
      </c>
      <c r="E21" s="8" t="s">
        <v>59</v>
      </c>
      <c r="F21" s="8" t="s">
        <v>80</v>
      </c>
      <c r="G21" s="8">
        <v>2022</v>
      </c>
      <c r="H21" s="8" t="str">
        <f>CONCATENATE("24240680983")</f>
        <v>24240680983</v>
      </c>
      <c r="I21" s="8" t="s">
        <v>81</v>
      </c>
      <c r="J21" s="8" t="s">
        <v>33</v>
      </c>
      <c r="K21" s="8" t="str">
        <f t="shared" si="0"/>
        <v/>
      </c>
      <c r="L21" s="8" t="str">
        <f t="shared" ref="L21" si="2">CONCATENATE("11 11.2 4b")</f>
        <v>11 11.2 4b</v>
      </c>
      <c r="M21" s="8" t="str">
        <f>CONCATENATE("TRPGNN99H06L500E")</f>
        <v>TRPGNN99H06L500E</v>
      </c>
      <c r="N21" s="8" t="s">
        <v>82</v>
      </c>
      <c r="O21" s="8" t="s">
        <v>83</v>
      </c>
      <c r="P21" s="9">
        <v>45251</v>
      </c>
      <c r="Q21" s="8" t="s">
        <v>36</v>
      </c>
      <c r="R21" s="8" t="s">
        <v>48</v>
      </c>
      <c r="S21" s="8" t="s">
        <v>38</v>
      </c>
      <c r="T21" s="8"/>
      <c r="U21" s="8" t="s">
        <v>39</v>
      </c>
      <c r="V21" s="10">
        <v>1323.1</v>
      </c>
      <c r="W21" s="8">
        <v>570.52</v>
      </c>
      <c r="X21" s="8">
        <v>526.86</v>
      </c>
      <c r="Y21" s="8">
        <v>0</v>
      </c>
      <c r="Z21" s="8">
        <v>225.72</v>
      </c>
    </row>
    <row r="22" spans="1:26" ht="25.5" x14ac:dyDescent="0.35">
      <c r="A22" s="8" t="s">
        <v>27</v>
      </c>
      <c r="B22" s="8" t="s">
        <v>28</v>
      </c>
      <c r="C22" s="8" t="s">
        <v>29</v>
      </c>
      <c r="D22" s="8" t="s">
        <v>40</v>
      </c>
      <c r="E22" s="8" t="s">
        <v>31</v>
      </c>
      <c r="F22" s="8" t="s">
        <v>31</v>
      </c>
      <c r="G22" s="8">
        <v>2017</v>
      </c>
      <c r="H22" s="8" t="str">
        <f>CONCATENATE("34270372229")</f>
        <v>34270372229</v>
      </c>
      <c r="I22" s="8" t="s">
        <v>32</v>
      </c>
      <c r="J22" s="8" t="s">
        <v>33</v>
      </c>
      <c r="K22" s="8" t="str">
        <f t="shared" si="0"/>
        <v/>
      </c>
      <c r="L22" s="8" t="str">
        <f>CONCATENATE("4 4.2 5b")</f>
        <v>4 4.2 5b</v>
      </c>
      <c r="M22" s="8" t="str">
        <f>CONCATENATE("02031270446")</f>
        <v>02031270446</v>
      </c>
      <c r="N22" s="8" t="s">
        <v>84</v>
      </c>
      <c r="O22" s="8" t="s">
        <v>85</v>
      </c>
      <c r="P22" s="9">
        <v>45245</v>
      </c>
      <c r="Q22" s="8" t="s">
        <v>36</v>
      </c>
      <c r="R22" s="8" t="s">
        <v>51</v>
      </c>
      <c r="S22" s="8" t="s">
        <v>38</v>
      </c>
      <c r="T22" s="8"/>
      <c r="U22" s="8" t="s">
        <v>39</v>
      </c>
      <c r="V22" s="10">
        <v>30098.9</v>
      </c>
      <c r="W22" s="10">
        <v>12978.65</v>
      </c>
      <c r="X22" s="10">
        <v>11985.38</v>
      </c>
      <c r="Y22" s="8">
        <v>0</v>
      </c>
      <c r="Z22" s="10">
        <v>5134.87</v>
      </c>
    </row>
    <row r="23" spans="1:26" ht="41.5" x14ac:dyDescent="0.35">
      <c r="A23" s="8" t="s">
        <v>27</v>
      </c>
      <c r="B23" s="8" t="s">
        <v>54</v>
      </c>
      <c r="C23" s="8" t="s">
        <v>29</v>
      </c>
      <c r="D23" s="8" t="s">
        <v>40</v>
      </c>
      <c r="E23" s="8" t="s">
        <v>86</v>
      </c>
      <c r="F23" s="8" t="s">
        <v>87</v>
      </c>
      <c r="G23" s="8">
        <v>2022</v>
      </c>
      <c r="H23" s="8" t="str">
        <f>CONCATENATE("24210937520")</f>
        <v>24210937520</v>
      </c>
      <c r="I23" s="8" t="s">
        <v>32</v>
      </c>
      <c r="J23" s="8" t="s">
        <v>33</v>
      </c>
      <c r="K23" s="8" t="str">
        <f t="shared" si="0"/>
        <v/>
      </c>
      <c r="L23" s="8" t="str">
        <f>CONCATENATE("13 13.1 4a")</f>
        <v>13 13.1 4a</v>
      </c>
      <c r="M23" s="8" t="str">
        <f>CONCATENATE("PRMRLB54C22H588G")</f>
        <v>PRMRLB54C22H588G</v>
      </c>
      <c r="N23" s="8" t="s">
        <v>88</v>
      </c>
      <c r="O23" s="8" t="s">
        <v>62</v>
      </c>
      <c r="P23" s="9">
        <v>45251</v>
      </c>
      <c r="Q23" s="8" t="s">
        <v>36</v>
      </c>
      <c r="R23" s="8" t="s">
        <v>48</v>
      </c>
      <c r="S23" s="8" t="s">
        <v>38</v>
      </c>
      <c r="T23" s="8"/>
      <c r="U23" s="8" t="s">
        <v>39</v>
      </c>
      <c r="V23" s="10">
        <v>3053.5</v>
      </c>
      <c r="W23" s="10">
        <v>1316.67</v>
      </c>
      <c r="X23" s="10">
        <v>1215.9000000000001</v>
      </c>
      <c r="Y23" s="8">
        <v>0</v>
      </c>
      <c r="Z23" s="8">
        <v>520.92999999999995</v>
      </c>
    </row>
    <row r="24" spans="1:26" ht="41.5" x14ac:dyDescent="0.35">
      <c r="A24" s="8" t="s">
        <v>27</v>
      </c>
      <c r="B24" s="8" t="s">
        <v>54</v>
      </c>
      <c r="C24" s="8" t="s">
        <v>29</v>
      </c>
      <c r="D24" s="8" t="s">
        <v>72</v>
      </c>
      <c r="E24" s="8" t="s">
        <v>89</v>
      </c>
      <c r="F24" s="8" t="s">
        <v>90</v>
      </c>
      <c r="G24" s="8">
        <v>2022</v>
      </c>
      <c r="H24" s="8" t="str">
        <f>CONCATENATE("24211522032")</f>
        <v>24211522032</v>
      </c>
      <c r="I24" s="8" t="s">
        <v>32</v>
      </c>
      <c r="J24" s="8" t="s">
        <v>33</v>
      </c>
      <c r="K24" s="8" t="str">
        <f t="shared" si="0"/>
        <v/>
      </c>
      <c r="L24" s="8" t="str">
        <f>CONCATENATE("13 13.1 4a")</f>
        <v>13 13.1 4a</v>
      </c>
      <c r="M24" s="8" t="str">
        <f>CONCATENATE("VRDSVT58H15B287I")</f>
        <v>VRDSVT58H15B287I</v>
      </c>
      <c r="N24" s="8" t="s">
        <v>91</v>
      </c>
      <c r="O24" s="8" t="s">
        <v>62</v>
      </c>
      <c r="P24" s="9">
        <v>45251</v>
      </c>
      <c r="Q24" s="8" t="s">
        <v>36</v>
      </c>
      <c r="R24" s="8" t="s">
        <v>48</v>
      </c>
      <c r="S24" s="8" t="s">
        <v>38</v>
      </c>
      <c r="T24" s="8"/>
      <c r="U24" s="8" t="s">
        <v>39</v>
      </c>
      <c r="V24" s="10">
        <v>1438.6</v>
      </c>
      <c r="W24" s="8">
        <v>620.32000000000005</v>
      </c>
      <c r="X24" s="8">
        <v>572.85</v>
      </c>
      <c r="Y24" s="8">
        <v>0</v>
      </c>
      <c r="Z24" s="8">
        <v>245.43</v>
      </c>
    </row>
    <row r="25" spans="1:26" ht="41.5" x14ac:dyDescent="0.35">
      <c r="A25" s="8" t="s">
        <v>27</v>
      </c>
      <c r="B25" s="8" t="s">
        <v>28</v>
      </c>
      <c r="C25" s="8" t="s">
        <v>29</v>
      </c>
      <c r="D25" s="8" t="s">
        <v>30</v>
      </c>
      <c r="E25" s="8" t="s">
        <v>59</v>
      </c>
      <c r="F25" s="8" t="s">
        <v>92</v>
      </c>
      <c r="G25" s="8">
        <v>2017</v>
      </c>
      <c r="H25" s="8" t="str">
        <f>CONCATENATE("34270371999")</f>
        <v>34270371999</v>
      </c>
      <c r="I25" s="8" t="s">
        <v>32</v>
      </c>
      <c r="J25" s="8" t="s">
        <v>33</v>
      </c>
      <c r="K25" s="8" t="str">
        <f t="shared" si="0"/>
        <v/>
      </c>
      <c r="L25" s="8" t="str">
        <f>CONCATENATE("4 4.1 2a")</f>
        <v>4 4.1 2a</v>
      </c>
      <c r="M25" s="8" t="str">
        <f>CONCATENATE("PCCDNL82T29D451P")</f>
        <v>PCCDNL82T29D451P</v>
      </c>
      <c r="N25" s="8" t="s">
        <v>93</v>
      </c>
      <c r="O25" s="8" t="s">
        <v>77</v>
      </c>
      <c r="P25" s="9">
        <v>45245</v>
      </c>
      <c r="Q25" s="8" t="s">
        <v>36</v>
      </c>
      <c r="R25" s="8" t="s">
        <v>48</v>
      </c>
      <c r="S25" s="8" t="s">
        <v>38</v>
      </c>
      <c r="T25" s="8"/>
      <c r="U25" s="8" t="s">
        <v>39</v>
      </c>
      <c r="V25" s="10">
        <v>54470.54</v>
      </c>
      <c r="W25" s="10">
        <v>23487.7</v>
      </c>
      <c r="X25" s="10">
        <v>21690.17</v>
      </c>
      <c r="Y25" s="8">
        <v>0</v>
      </c>
      <c r="Z25" s="10">
        <v>9292.67</v>
      </c>
    </row>
    <row r="26" spans="1:26" ht="49.5" x14ac:dyDescent="0.35">
      <c r="A26" s="8" t="s">
        <v>27</v>
      </c>
      <c r="B26" s="8" t="s">
        <v>54</v>
      </c>
      <c r="C26" s="8" t="s">
        <v>29</v>
      </c>
      <c r="D26" s="8" t="s">
        <v>72</v>
      </c>
      <c r="E26" s="8" t="s">
        <v>94</v>
      </c>
      <c r="F26" s="8" t="s">
        <v>95</v>
      </c>
      <c r="G26" s="8">
        <v>2022</v>
      </c>
      <c r="H26" s="8" t="str">
        <f>CONCATENATE("24210340824")</f>
        <v>24210340824</v>
      </c>
      <c r="I26" s="8" t="s">
        <v>32</v>
      </c>
      <c r="J26" s="8" t="s">
        <v>33</v>
      </c>
      <c r="K26" s="8" t="str">
        <f t="shared" si="0"/>
        <v/>
      </c>
      <c r="L26" s="8" t="str">
        <f>CONCATENATE("13 13.1 4a")</f>
        <v>13 13.1 4a</v>
      </c>
      <c r="M26" s="8" t="str">
        <f>CONCATENATE("BRTNMR43D66H958P")</f>
        <v>BRTNMR43D66H958P</v>
      </c>
      <c r="N26" s="8" t="s">
        <v>96</v>
      </c>
      <c r="O26" s="8" t="s">
        <v>62</v>
      </c>
      <c r="P26" s="9">
        <v>45251</v>
      </c>
      <c r="Q26" s="8" t="s">
        <v>36</v>
      </c>
      <c r="R26" s="8" t="s">
        <v>48</v>
      </c>
      <c r="S26" s="8" t="s">
        <v>38</v>
      </c>
      <c r="T26" s="8"/>
      <c r="U26" s="8" t="s">
        <v>39</v>
      </c>
      <c r="V26" s="10">
        <v>3938.5</v>
      </c>
      <c r="W26" s="10">
        <v>1698.28</v>
      </c>
      <c r="X26" s="10">
        <v>1568.31</v>
      </c>
      <c r="Y26" s="8">
        <v>0</v>
      </c>
      <c r="Z26" s="8">
        <v>671.91</v>
      </c>
    </row>
    <row r="27" spans="1:26" ht="25.5" x14ac:dyDescent="0.35">
      <c r="A27" s="8" t="s">
        <v>27</v>
      </c>
      <c r="B27" s="8" t="s">
        <v>54</v>
      </c>
      <c r="C27" s="8" t="s">
        <v>29</v>
      </c>
      <c r="D27" s="8" t="s">
        <v>40</v>
      </c>
      <c r="E27" s="8" t="s">
        <v>63</v>
      </c>
      <c r="F27" s="8" t="s">
        <v>97</v>
      </c>
      <c r="G27" s="8">
        <v>2022</v>
      </c>
      <c r="H27" s="8" t="str">
        <f>CONCATENATE("24210194668")</f>
        <v>24210194668</v>
      </c>
      <c r="I27" s="8" t="s">
        <v>32</v>
      </c>
      <c r="J27" s="8" t="s">
        <v>33</v>
      </c>
      <c r="K27" s="8" t="str">
        <f t="shared" si="0"/>
        <v/>
      </c>
      <c r="L27" s="8" t="str">
        <f>CONCATENATE("13 13.1 4a")</f>
        <v>13 13.1 4a</v>
      </c>
      <c r="M27" s="8" t="str">
        <f>CONCATENATE("01519680449")</f>
        <v>01519680449</v>
      </c>
      <c r="N27" s="8" t="s">
        <v>98</v>
      </c>
      <c r="O27" s="8" t="s">
        <v>62</v>
      </c>
      <c r="P27" s="9">
        <v>45251</v>
      </c>
      <c r="Q27" s="8" t="s">
        <v>36</v>
      </c>
      <c r="R27" s="8" t="s">
        <v>48</v>
      </c>
      <c r="S27" s="8" t="s">
        <v>38</v>
      </c>
      <c r="T27" s="8"/>
      <c r="U27" s="8" t="s">
        <v>39</v>
      </c>
      <c r="V27" s="10">
        <v>1029.4000000000001</v>
      </c>
      <c r="W27" s="8">
        <v>443.88</v>
      </c>
      <c r="X27" s="8">
        <v>409.91</v>
      </c>
      <c r="Y27" s="8">
        <v>0</v>
      </c>
      <c r="Z27" s="8">
        <v>175.61</v>
      </c>
    </row>
    <row r="28" spans="1:26" ht="25.5" x14ac:dyDescent="0.35">
      <c r="A28" s="8" t="s">
        <v>27</v>
      </c>
      <c r="B28" s="8" t="s">
        <v>28</v>
      </c>
      <c r="C28" s="8" t="s">
        <v>29</v>
      </c>
      <c r="D28" s="8" t="s">
        <v>29</v>
      </c>
      <c r="E28" s="8" t="s">
        <v>31</v>
      </c>
      <c r="F28" s="8" t="s">
        <v>31</v>
      </c>
      <c r="G28" s="8">
        <v>2017</v>
      </c>
      <c r="H28" s="8" t="str">
        <f>CONCATENATE("34270360307")</f>
        <v>34270360307</v>
      </c>
      <c r="I28" s="8" t="s">
        <v>32</v>
      </c>
      <c r="J28" s="8" t="s">
        <v>33</v>
      </c>
      <c r="K28" s="8" t="str">
        <f t="shared" si="0"/>
        <v/>
      </c>
      <c r="L28" s="8" t="str">
        <f>CONCATENATE("19 19.2 6b")</f>
        <v>19 19.2 6b</v>
      </c>
      <c r="M28" s="8" t="str">
        <f>CONCATENATE("00357030444")</f>
        <v>00357030444</v>
      </c>
      <c r="N28" s="8" t="s">
        <v>99</v>
      </c>
      <c r="O28" s="8" t="s">
        <v>100</v>
      </c>
      <c r="P28" s="9">
        <v>45245</v>
      </c>
      <c r="Q28" s="8" t="s">
        <v>36</v>
      </c>
      <c r="R28" s="8" t="s">
        <v>48</v>
      </c>
      <c r="S28" s="8" t="s">
        <v>38</v>
      </c>
      <c r="T28" s="8"/>
      <c r="U28" s="8" t="s">
        <v>39</v>
      </c>
      <c r="V28" s="10">
        <v>22349.21</v>
      </c>
      <c r="W28" s="10">
        <v>9636.98</v>
      </c>
      <c r="X28" s="10">
        <v>8899.4599999999991</v>
      </c>
      <c r="Y28" s="8">
        <v>0</v>
      </c>
      <c r="Z28" s="10">
        <v>3812.77</v>
      </c>
    </row>
    <row r="29" spans="1:26" ht="25.5" x14ac:dyDescent="0.35">
      <c r="A29" s="8" t="s">
        <v>27</v>
      </c>
      <c r="B29" s="8" t="s">
        <v>28</v>
      </c>
      <c r="C29" s="8" t="s">
        <v>29</v>
      </c>
      <c r="D29" s="8" t="s">
        <v>40</v>
      </c>
      <c r="E29" s="8" t="s">
        <v>101</v>
      </c>
      <c r="F29" s="8" t="s">
        <v>102</v>
      </c>
      <c r="G29" s="8">
        <v>2017</v>
      </c>
      <c r="H29" s="8" t="str">
        <f>CONCATENATE("34270367443")</f>
        <v>34270367443</v>
      </c>
      <c r="I29" s="8" t="s">
        <v>32</v>
      </c>
      <c r="J29" s="8" t="s">
        <v>33</v>
      </c>
      <c r="K29" s="8" t="str">
        <f t="shared" si="0"/>
        <v/>
      </c>
      <c r="L29" s="8" t="str">
        <f>CONCATENATE("4 4.1 2a")</f>
        <v>4 4.1 2a</v>
      </c>
      <c r="M29" s="8" t="str">
        <f>CONCATENATE("01716790686")</f>
        <v>01716790686</v>
      </c>
      <c r="N29" s="8" t="s">
        <v>103</v>
      </c>
      <c r="O29" s="8" t="s">
        <v>104</v>
      </c>
      <c r="P29" s="9">
        <v>45245</v>
      </c>
      <c r="Q29" s="8" t="s">
        <v>36</v>
      </c>
      <c r="R29" s="8" t="s">
        <v>48</v>
      </c>
      <c r="S29" s="8" t="s">
        <v>38</v>
      </c>
      <c r="T29" s="8"/>
      <c r="U29" s="8" t="s">
        <v>39</v>
      </c>
      <c r="V29" s="10">
        <v>35370.32</v>
      </c>
      <c r="W29" s="10">
        <v>15251.68</v>
      </c>
      <c r="X29" s="10">
        <v>14084.46</v>
      </c>
      <c r="Y29" s="8">
        <v>0</v>
      </c>
      <c r="Z29" s="10">
        <v>6034.18</v>
      </c>
    </row>
    <row r="30" spans="1:26" ht="41.5" x14ac:dyDescent="0.35">
      <c r="A30" s="8" t="s">
        <v>27</v>
      </c>
      <c r="B30" s="8" t="s">
        <v>28</v>
      </c>
      <c r="C30" s="8" t="s">
        <v>29</v>
      </c>
      <c r="D30" s="8" t="s">
        <v>72</v>
      </c>
      <c r="E30" s="8" t="s">
        <v>31</v>
      </c>
      <c r="F30" s="8" t="s">
        <v>31</v>
      </c>
      <c r="G30" s="8">
        <v>2017</v>
      </c>
      <c r="H30" s="8" t="str">
        <f>CONCATENATE("34270367435")</f>
        <v>34270367435</v>
      </c>
      <c r="I30" s="8" t="s">
        <v>32</v>
      </c>
      <c r="J30" s="8" t="s">
        <v>33</v>
      </c>
      <c r="K30" s="8" t="str">
        <f t="shared" si="0"/>
        <v/>
      </c>
      <c r="L30" s="8" t="str">
        <f>CONCATENATE("4 4.1 2a")</f>
        <v>4 4.1 2a</v>
      </c>
      <c r="M30" s="8" t="str">
        <f>CONCATENATE("PCCGNY80T70L366K")</f>
        <v>PCCGNY80T70L366K</v>
      </c>
      <c r="N30" s="8" t="s">
        <v>105</v>
      </c>
      <c r="O30" s="8" t="s">
        <v>104</v>
      </c>
      <c r="P30" s="9">
        <v>45245</v>
      </c>
      <c r="Q30" s="8" t="s">
        <v>36</v>
      </c>
      <c r="R30" s="8" t="s">
        <v>48</v>
      </c>
      <c r="S30" s="8" t="s">
        <v>38</v>
      </c>
      <c r="T30" s="8"/>
      <c r="U30" s="8" t="s">
        <v>39</v>
      </c>
      <c r="V30" s="10">
        <v>190834.91</v>
      </c>
      <c r="W30" s="10">
        <v>82288.009999999995</v>
      </c>
      <c r="X30" s="10">
        <v>75990.460000000006</v>
      </c>
      <c r="Y30" s="8">
        <v>0</v>
      </c>
      <c r="Z30" s="10">
        <v>32556.44</v>
      </c>
    </row>
    <row r="31" spans="1:26" ht="25.5" x14ac:dyDescent="0.35">
      <c r="A31" s="8" t="s">
        <v>27</v>
      </c>
      <c r="B31" s="8" t="s">
        <v>28</v>
      </c>
      <c r="C31" s="8" t="s">
        <v>29</v>
      </c>
      <c r="D31" s="8" t="s">
        <v>29</v>
      </c>
      <c r="E31" s="8" t="s">
        <v>31</v>
      </c>
      <c r="F31" s="8" t="s">
        <v>31</v>
      </c>
      <c r="G31" s="8">
        <v>2017</v>
      </c>
      <c r="H31" s="8" t="str">
        <f>CONCATENATE("34270356099")</f>
        <v>34270356099</v>
      </c>
      <c r="I31" s="8" t="s">
        <v>32</v>
      </c>
      <c r="J31" s="8" t="s">
        <v>33</v>
      </c>
      <c r="K31" s="8" t="str">
        <f t="shared" si="0"/>
        <v/>
      </c>
      <c r="L31" s="8" t="str">
        <f>CONCATENATE("19 19.2 6b")</f>
        <v>19 19.2 6b</v>
      </c>
      <c r="M31" s="8" t="str">
        <f>CONCATENATE("00360620413")</f>
        <v>00360620413</v>
      </c>
      <c r="N31" s="8" t="s">
        <v>106</v>
      </c>
      <c r="O31" s="8" t="s">
        <v>107</v>
      </c>
      <c r="P31" s="9">
        <v>45245</v>
      </c>
      <c r="Q31" s="8" t="s">
        <v>36</v>
      </c>
      <c r="R31" s="8" t="s">
        <v>37</v>
      </c>
      <c r="S31" s="8" t="s">
        <v>38</v>
      </c>
      <c r="T31" s="8"/>
      <c r="U31" s="8" t="s">
        <v>39</v>
      </c>
      <c r="V31" s="10">
        <v>9005.66</v>
      </c>
      <c r="W31" s="10">
        <v>3883.24</v>
      </c>
      <c r="X31" s="10">
        <v>3586.05</v>
      </c>
      <c r="Y31" s="8">
        <v>0</v>
      </c>
      <c r="Z31" s="10">
        <v>1536.37</v>
      </c>
    </row>
    <row r="32" spans="1:26" ht="25.5" x14ac:dyDescent="0.35">
      <c r="A32" s="8" t="s">
        <v>27</v>
      </c>
      <c r="B32" s="8" t="s">
        <v>28</v>
      </c>
      <c r="C32" s="8" t="s">
        <v>29</v>
      </c>
      <c r="D32" s="8" t="s">
        <v>40</v>
      </c>
      <c r="E32" s="8" t="s">
        <v>31</v>
      </c>
      <c r="F32" s="8" t="s">
        <v>31</v>
      </c>
      <c r="G32" s="8">
        <v>2017</v>
      </c>
      <c r="H32" s="8" t="str">
        <f>CONCATENATE("34270368573")</f>
        <v>34270368573</v>
      </c>
      <c r="I32" s="8" t="s">
        <v>32</v>
      </c>
      <c r="J32" s="8" t="s">
        <v>33</v>
      </c>
      <c r="K32" s="8" t="str">
        <f t="shared" si="0"/>
        <v/>
      </c>
      <c r="L32" s="8" t="str">
        <f>CONCATENATE("4 4.1 2a")</f>
        <v>4 4.1 2a</v>
      </c>
      <c r="M32" s="8" t="str">
        <f>CONCATENATE("02321200442")</f>
        <v>02321200442</v>
      </c>
      <c r="N32" s="8" t="s">
        <v>108</v>
      </c>
      <c r="O32" s="8" t="s">
        <v>109</v>
      </c>
      <c r="P32" s="9">
        <v>45245</v>
      </c>
      <c r="Q32" s="8" t="s">
        <v>36</v>
      </c>
      <c r="R32" s="8" t="s">
        <v>48</v>
      </c>
      <c r="S32" s="8" t="s">
        <v>38</v>
      </c>
      <c r="T32" s="8"/>
      <c r="U32" s="8" t="s">
        <v>39</v>
      </c>
      <c r="V32" s="10">
        <v>268937.18</v>
      </c>
      <c r="W32" s="10">
        <v>115965.71</v>
      </c>
      <c r="X32" s="10">
        <v>107090.79</v>
      </c>
      <c r="Y32" s="8">
        <v>0</v>
      </c>
      <c r="Z32" s="10">
        <v>45880.68</v>
      </c>
    </row>
    <row r="33" spans="1:26" ht="25.5" x14ac:dyDescent="0.35">
      <c r="A33" s="8" t="s">
        <v>27</v>
      </c>
      <c r="B33" s="8" t="s">
        <v>28</v>
      </c>
      <c r="C33" s="8" t="s">
        <v>29</v>
      </c>
      <c r="D33" s="8" t="s">
        <v>30</v>
      </c>
      <c r="E33" s="8" t="s">
        <v>31</v>
      </c>
      <c r="F33" s="8" t="s">
        <v>31</v>
      </c>
      <c r="G33" s="8">
        <v>2017</v>
      </c>
      <c r="H33" s="8" t="str">
        <f>CONCATENATE("34270360281")</f>
        <v>34270360281</v>
      </c>
      <c r="I33" s="8" t="s">
        <v>32</v>
      </c>
      <c r="J33" s="8" t="s">
        <v>33</v>
      </c>
      <c r="K33" s="8" t="str">
        <f t="shared" si="0"/>
        <v/>
      </c>
      <c r="L33" s="8" t="str">
        <f>CONCATENATE("20 20.1 ")</f>
        <v xml:space="preserve">20 20.1 </v>
      </c>
      <c r="M33" s="8" t="str">
        <f>CONCATENATE("80008630420")</f>
        <v>80008630420</v>
      </c>
      <c r="N33" s="8" t="s">
        <v>110</v>
      </c>
      <c r="O33" s="8" t="s">
        <v>111</v>
      </c>
      <c r="P33" s="9">
        <v>45245</v>
      </c>
      <c r="Q33" s="8" t="s">
        <v>36</v>
      </c>
      <c r="R33" s="8" t="s">
        <v>37</v>
      </c>
      <c r="S33" s="8" t="s">
        <v>38</v>
      </c>
      <c r="T33" s="8"/>
      <c r="U33" s="8" t="s">
        <v>39</v>
      </c>
      <c r="V33" s="10">
        <v>117425.7</v>
      </c>
      <c r="W33" s="10">
        <v>50633.96</v>
      </c>
      <c r="X33" s="10">
        <v>46758.91</v>
      </c>
      <c r="Y33" s="8">
        <v>0</v>
      </c>
      <c r="Z33" s="10">
        <v>20032.830000000002</v>
      </c>
    </row>
    <row r="34" spans="1:26" ht="25.5" x14ac:dyDescent="0.35">
      <c r="A34" s="8" t="s">
        <v>27</v>
      </c>
      <c r="B34" s="8" t="s">
        <v>28</v>
      </c>
      <c r="C34" s="8" t="s">
        <v>29</v>
      </c>
      <c r="D34" s="8" t="s">
        <v>40</v>
      </c>
      <c r="E34" s="8" t="s">
        <v>31</v>
      </c>
      <c r="F34" s="8" t="s">
        <v>31</v>
      </c>
      <c r="G34" s="8">
        <v>2017</v>
      </c>
      <c r="H34" s="8" t="str">
        <f>CONCATENATE("34270367815")</f>
        <v>34270367815</v>
      </c>
      <c r="I34" s="8" t="s">
        <v>32</v>
      </c>
      <c r="J34" s="8" t="s">
        <v>33</v>
      </c>
      <c r="K34" s="8" t="str">
        <f t="shared" si="0"/>
        <v/>
      </c>
      <c r="L34" s="8" t="str">
        <f>CONCATENATE("4 4.3 2a")</f>
        <v>4 4.3 2a</v>
      </c>
      <c r="M34" s="8" t="str">
        <f>CONCATENATE("00355250440")</f>
        <v>00355250440</v>
      </c>
      <c r="N34" s="8" t="s">
        <v>112</v>
      </c>
      <c r="O34" s="8" t="s">
        <v>113</v>
      </c>
      <c r="P34" s="9">
        <v>45245</v>
      </c>
      <c r="Q34" s="8" t="s">
        <v>36</v>
      </c>
      <c r="R34" s="8" t="s">
        <v>48</v>
      </c>
      <c r="S34" s="8" t="s">
        <v>38</v>
      </c>
      <c r="T34" s="8"/>
      <c r="U34" s="8" t="s">
        <v>39</v>
      </c>
      <c r="V34" s="10">
        <v>15618.13</v>
      </c>
      <c r="W34" s="10">
        <v>6734.54</v>
      </c>
      <c r="X34" s="10">
        <v>6219.14</v>
      </c>
      <c r="Y34" s="8">
        <v>0</v>
      </c>
      <c r="Z34" s="10">
        <v>2664.45</v>
      </c>
    </row>
    <row r="35" spans="1:26" ht="25.5" x14ac:dyDescent="0.35">
      <c r="A35" s="8" t="s">
        <v>27</v>
      </c>
      <c r="B35" s="8" t="s">
        <v>28</v>
      </c>
      <c r="C35" s="8" t="s">
        <v>29</v>
      </c>
      <c r="D35" s="8" t="s">
        <v>29</v>
      </c>
      <c r="E35" s="8" t="s">
        <v>31</v>
      </c>
      <c r="F35" s="8" t="s">
        <v>31</v>
      </c>
      <c r="G35" s="8">
        <v>2017</v>
      </c>
      <c r="H35" s="8" t="str">
        <f>CONCATENATE("34270361537")</f>
        <v>34270361537</v>
      </c>
      <c r="I35" s="8" t="s">
        <v>32</v>
      </c>
      <c r="J35" s="8" t="s">
        <v>33</v>
      </c>
      <c r="K35" s="8" t="str">
        <f t="shared" si="0"/>
        <v/>
      </c>
      <c r="L35" s="8" t="str">
        <f>CONCATENATE("19 19.2 6b")</f>
        <v>19 19.2 6b</v>
      </c>
      <c r="M35" s="8" t="str">
        <f>CONCATENATE("02390050447")</f>
        <v>02390050447</v>
      </c>
      <c r="N35" s="8" t="s">
        <v>114</v>
      </c>
      <c r="O35" s="8" t="s">
        <v>115</v>
      </c>
      <c r="P35" s="9">
        <v>45245</v>
      </c>
      <c r="Q35" s="8" t="s">
        <v>36</v>
      </c>
      <c r="R35" s="8" t="s">
        <v>48</v>
      </c>
      <c r="S35" s="8" t="s">
        <v>38</v>
      </c>
      <c r="T35" s="8"/>
      <c r="U35" s="8" t="s">
        <v>39</v>
      </c>
      <c r="V35" s="10">
        <v>18000</v>
      </c>
      <c r="W35" s="10">
        <v>7761.6</v>
      </c>
      <c r="X35" s="10">
        <v>7167.6</v>
      </c>
      <c r="Y35" s="8">
        <v>0</v>
      </c>
      <c r="Z35" s="10">
        <v>3070.8</v>
      </c>
    </row>
    <row r="36" spans="1:26" ht="41.5" x14ac:dyDescent="0.35">
      <c r="A36" s="8" t="s">
        <v>27</v>
      </c>
      <c r="B36" s="8" t="s">
        <v>28</v>
      </c>
      <c r="C36" s="8" t="s">
        <v>29</v>
      </c>
      <c r="D36" s="8" t="s">
        <v>30</v>
      </c>
      <c r="E36" s="8" t="s">
        <v>63</v>
      </c>
      <c r="F36" s="8" t="s">
        <v>116</v>
      </c>
      <c r="G36" s="8">
        <v>2017</v>
      </c>
      <c r="H36" s="8" t="str">
        <f>CONCATENATE("34270372013")</f>
        <v>34270372013</v>
      </c>
      <c r="I36" s="8" t="s">
        <v>32</v>
      </c>
      <c r="J36" s="8" t="s">
        <v>33</v>
      </c>
      <c r="K36" s="8" t="str">
        <f t="shared" si="0"/>
        <v/>
      </c>
      <c r="L36" s="8" t="str">
        <f>CONCATENATE("4 4.1 2a")</f>
        <v>4 4.1 2a</v>
      </c>
      <c r="M36" s="8" t="str">
        <f>CONCATENATE("CMPDNL97S16D451X")</f>
        <v>CMPDNL97S16D451X</v>
      </c>
      <c r="N36" s="8" t="s">
        <v>117</v>
      </c>
      <c r="O36" s="8" t="s">
        <v>118</v>
      </c>
      <c r="P36" s="9">
        <v>45245</v>
      </c>
      <c r="Q36" s="8" t="s">
        <v>36</v>
      </c>
      <c r="R36" s="8" t="s">
        <v>37</v>
      </c>
      <c r="S36" s="8" t="s">
        <v>38</v>
      </c>
      <c r="T36" s="8"/>
      <c r="U36" s="8" t="s">
        <v>39</v>
      </c>
      <c r="V36" s="10">
        <v>64524.3</v>
      </c>
      <c r="W36" s="10">
        <v>27822.880000000001</v>
      </c>
      <c r="X36" s="10">
        <v>25693.58</v>
      </c>
      <c r="Y36" s="8">
        <v>0</v>
      </c>
      <c r="Z36" s="10">
        <v>11007.84</v>
      </c>
    </row>
    <row r="37" spans="1:26" ht="25.5" x14ac:dyDescent="0.35">
      <c r="A37" s="8" t="s">
        <v>27</v>
      </c>
      <c r="B37" s="8" t="s">
        <v>28</v>
      </c>
      <c r="C37" s="8" t="s">
        <v>29</v>
      </c>
      <c r="D37" s="8" t="s">
        <v>30</v>
      </c>
      <c r="E37" s="8" t="s">
        <v>31</v>
      </c>
      <c r="F37" s="8" t="s">
        <v>31</v>
      </c>
      <c r="G37" s="8">
        <v>2017</v>
      </c>
      <c r="H37" s="8" t="str">
        <f>CONCATENATE("34270372005")</f>
        <v>34270372005</v>
      </c>
      <c r="I37" s="8" t="s">
        <v>32</v>
      </c>
      <c r="J37" s="8" t="s">
        <v>33</v>
      </c>
      <c r="K37" s="8" t="str">
        <f t="shared" si="0"/>
        <v/>
      </c>
      <c r="L37" s="8" t="str">
        <f>CONCATENATE("4 4.1 2a")</f>
        <v>4 4.1 2a</v>
      </c>
      <c r="M37" s="8" t="str">
        <f>CONCATENATE("02428010421")</f>
        <v>02428010421</v>
      </c>
      <c r="N37" s="8" t="s">
        <v>119</v>
      </c>
      <c r="O37" s="8" t="s">
        <v>118</v>
      </c>
      <c r="P37" s="9">
        <v>45245</v>
      </c>
      <c r="Q37" s="8" t="s">
        <v>36</v>
      </c>
      <c r="R37" s="8" t="s">
        <v>51</v>
      </c>
      <c r="S37" s="8" t="s">
        <v>38</v>
      </c>
      <c r="T37" s="8"/>
      <c r="U37" s="8" t="s">
        <v>39</v>
      </c>
      <c r="V37" s="10">
        <v>71189.960000000006</v>
      </c>
      <c r="W37" s="10">
        <v>30697.11</v>
      </c>
      <c r="X37" s="10">
        <v>28347.84</v>
      </c>
      <c r="Y37" s="8">
        <v>0</v>
      </c>
      <c r="Z37" s="10">
        <v>12145.01</v>
      </c>
    </row>
    <row r="38" spans="1:26" ht="25.5" x14ac:dyDescent="0.35">
      <c r="A38" s="8" t="s">
        <v>27</v>
      </c>
      <c r="B38" s="8" t="s">
        <v>28</v>
      </c>
      <c r="C38" s="8" t="s">
        <v>29</v>
      </c>
      <c r="D38" s="8" t="s">
        <v>40</v>
      </c>
      <c r="E38" s="8" t="s">
        <v>31</v>
      </c>
      <c r="F38" s="8" t="s">
        <v>31</v>
      </c>
      <c r="G38" s="8">
        <v>2017</v>
      </c>
      <c r="H38" s="8" t="str">
        <f>CONCATENATE("34270367831")</f>
        <v>34270367831</v>
      </c>
      <c r="I38" s="8" t="s">
        <v>32</v>
      </c>
      <c r="J38" s="8" t="s">
        <v>33</v>
      </c>
      <c r="K38" s="8" t="str">
        <f t="shared" si="0"/>
        <v/>
      </c>
      <c r="L38" s="8" t="str">
        <f>CONCATENATE("4 4.3 2a")</f>
        <v>4 4.3 2a</v>
      </c>
      <c r="M38" s="8" t="str">
        <f>CONCATENATE("80000970444")</f>
        <v>80000970444</v>
      </c>
      <c r="N38" s="8" t="s">
        <v>120</v>
      </c>
      <c r="O38" s="8" t="s">
        <v>113</v>
      </c>
      <c r="P38" s="9">
        <v>45245</v>
      </c>
      <c r="Q38" s="8" t="s">
        <v>36</v>
      </c>
      <c r="R38" s="8" t="s">
        <v>48</v>
      </c>
      <c r="S38" s="8" t="s">
        <v>38</v>
      </c>
      <c r="T38" s="8"/>
      <c r="U38" s="8" t="s">
        <v>39</v>
      </c>
      <c r="V38" s="10">
        <v>3223.94</v>
      </c>
      <c r="W38" s="10">
        <v>1390.16</v>
      </c>
      <c r="X38" s="10">
        <v>1283.77</v>
      </c>
      <c r="Y38" s="8">
        <v>0</v>
      </c>
      <c r="Z38" s="8">
        <v>550.01</v>
      </c>
    </row>
    <row r="39" spans="1:26" ht="25.5" x14ac:dyDescent="0.35">
      <c r="A39" s="8" t="s">
        <v>27</v>
      </c>
      <c r="B39" s="8" t="s">
        <v>28</v>
      </c>
      <c r="C39" s="8" t="s">
        <v>29</v>
      </c>
      <c r="D39" s="8" t="s">
        <v>40</v>
      </c>
      <c r="E39" s="8" t="s">
        <v>31</v>
      </c>
      <c r="F39" s="8" t="s">
        <v>31</v>
      </c>
      <c r="G39" s="8">
        <v>2017</v>
      </c>
      <c r="H39" s="8" t="str">
        <f>CONCATENATE("34270367823")</f>
        <v>34270367823</v>
      </c>
      <c r="I39" s="8" t="s">
        <v>32</v>
      </c>
      <c r="J39" s="8" t="s">
        <v>33</v>
      </c>
      <c r="K39" s="8" t="str">
        <f t="shared" si="0"/>
        <v/>
      </c>
      <c r="L39" s="8" t="str">
        <f>CONCATENATE("4 4.3 2a")</f>
        <v>4 4.3 2a</v>
      </c>
      <c r="M39" s="8" t="str">
        <f>CONCATENATE("80000970444")</f>
        <v>80000970444</v>
      </c>
      <c r="N39" s="8" t="s">
        <v>120</v>
      </c>
      <c r="O39" s="8" t="s">
        <v>113</v>
      </c>
      <c r="P39" s="9">
        <v>45245</v>
      </c>
      <c r="Q39" s="8" t="s">
        <v>36</v>
      </c>
      <c r="R39" s="8" t="s">
        <v>48</v>
      </c>
      <c r="S39" s="8" t="s">
        <v>38</v>
      </c>
      <c r="T39" s="8"/>
      <c r="U39" s="8" t="s">
        <v>39</v>
      </c>
      <c r="V39" s="10">
        <v>57200.5</v>
      </c>
      <c r="W39" s="10">
        <v>24664.86</v>
      </c>
      <c r="X39" s="10">
        <v>22777.24</v>
      </c>
      <c r="Y39" s="8">
        <v>0</v>
      </c>
      <c r="Z39" s="10">
        <v>9758.4</v>
      </c>
    </row>
    <row r="40" spans="1:26" ht="41.5" x14ac:dyDescent="0.35">
      <c r="A40" s="8" t="s">
        <v>27</v>
      </c>
      <c r="B40" s="8" t="s">
        <v>28</v>
      </c>
      <c r="C40" s="8" t="s">
        <v>29</v>
      </c>
      <c r="D40" s="8" t="s">
        <v>72</v>
      </c>
      <c r="E40" s="8" t="s">
        <v>63</v>
      </c>
      <c r="F40" s="8" t="s">
        <v>121</v>
      </c>
      <c r="G40" s="8">
        <v>2017</v>
      </c>
      <c r="H40" s="8" t="str">
        <f>CONCATENATE("34270372757")</f>
        <v>34270372757</v>
      </c>
      <c r="I40" s="8" t="s">
        <v>32</v>
      </c>
      <c r="J40" s="8" t="s">
        <v>33</v>
      </c>
      <c r="K40" s="8" t="str">
        <f t="shared" si="0"/>
        <v/>
      </c>
      <c r="L40" s="8" t="str">
        <f>CONCATENATE("6 6.1 2b")</f>
        <v>6 6.1 2b</v>
      </c>
      <c r="M40" s="8" t="str">
        <f>CONCATENATE("VNTVGN02S55L500O")</f>
        <v>VNTVGN02S55L500O</v>
      </c>
      <c r="N40" s="8" t="s">
        <v>122</v>
      </c>
      <c r="O40" s="8" t="s">
        <v>123</v>
      </c>
      <c r="P40" s="9">
        <v>45247</v>
      </c>
      <c r="Q40" s="8" t="s">
        <v>36</v>
      </c>
      <c r="R40" s="8" t="s">
        <v>37</v>
      </c>
      <c r="S40" s="8" t="s">
        <v>38</v>
      </c>
      <c r="T40" s="8"/>
      <c r="U40" s="8" t="s">
        <v>39</v>
      </c>
      <c r="V40" s="10">
        <v>24500</v>
      </c>
      <c r="W40" s="10">
        <v>10564.4</v>
      </c>
      <c r="X40" s="10">
        <v>9755.9</v>
      </c>
      <c r="Y40" s="8">
        <v>0</v>
      </c>
      <c r="Z40" s="10">
        <v>4179.7</v>
      </c>
    </row>
    <row r="41" spans="1:26" ht="41.5" x14ac:dyDescent="0.35">
      <c r="A41" s="8" t="s">
        <v>27</v>
      </c>
      <c r="B41" s="8" t="s">
        <v>28</v>
      </c>
      <c r="C41" s="8" t="s">
        <v>29</v>
      </c>
      <c r="D41" s="8" t="s">
        <v>29</v>
      </c>
      <c r="E41" s="8" t="s">
        <v>31</v>
      </c>
      <c r="F41" s="8" t="s">
        <v>31</v>
      </c>
      <c r="G41" s="8">
        <v>2017</v>
      </c>
      <c r="H41" s="8" t="str">
        <f>CONCATENATE("34270365892")</f>
        <v>34270365892</v>
      </c>
      <c r="I41" s="8" t="s">
        <v>32</v>
      </c>
      <c r="J41" s="8" t="s">
        <v>33</v>
      </c>
      <c r="K41" s="8" t="str">
        <f t="shared" si="0"/>
        <v/>
      </c>
      <c r="L41" s="8" t="str">
        <f>CONCATENATE("19 19.2 6b")</f>
        <v>19 19.2 6b</v>
      </c>
      <c r="M41" s="8" t="str">
        <f>CONCATENATE("CCCSLL83E64H769M")</f>
        <v>CCCSLL83E64H769M</v>
      </c>
      <c r="N41" s="8" t="s">
        <v>124</v>
      </c>
      <c r="O41" s="8" t="s">
        <v>115</v>
      </c>
      <c r="P41" s="9">
        <v>45245</v>
      </c>
      <c r="Q41" s="8" t="s">
        <v>36</v>
      </c>
      <c r="R41" s="8" t="s">
        <v>48</v>
      </c>
      <c r="S41" s="8" t="s">
        <v>38</v>
      </c>
      <c r="T41" s="8"/>
      <c r="U41" s="8" t="s">
        <v>39</v>
      </c>
      <c r="V41" s="10">
        <v>13000</v>
      </c>
      <c r="W41" s="10">
        <v>5605.6</v>
      </c>
      <c r="X41" s="10">
        <v>5176.6000000000004</v>
      </c>
      <c r="Y41" s="8">
        <v>0</v>
      </c>
      <c r="Z41" s="10">
        <v>2217.8000000000002</v>
      </c>
    </row>
    <row r="42" spans="1:26" ht="49.5" x14ac:dyDescent="0.35">
      <c r="A42" s="8" t="s">
        <v>27</v>
      </c>
      <c r="B42" s="8" t="s">
        <v>28</v>
      </c>
      <c r="C42" s="8" t="s">
        <v>29</v>
      </c>
      <c r="D42" s="8" t="s">
        <v>29</v>
      </c>
      <c r="E42" s="8" t="s">
        <v>31</v>
      </c>
      <c r="F42" s="8" t="s">
        <v>31</v>
      </c>
      <c r="G42" s="8">
        <v>2017</v>
      </c>
      <c r="H42" s="8" t="str">
        <f>CONCATENATE("34270361487")</f>
        <v>34270361487</v>
      </c>
      <c r="I42" s="8" t="s">
        <v>32</v>
      </c>
      <c r="J42" s="8" t="s">
        <v>33</v>
      </c>
      <c r="K42" s="8" t="str">
        <f t="shared" si="0"/>
        <v/>
      </c>
      <c r="L42" s="8" t="str">
        <f>CONCATENATE("19 19.2 6b")</f>
        <v>19 19.2 6b</v>
      </c>
      <c r="M42" s="8" t="str">
        <f>CONCATENATE("RGGMSM68M19E783I")</f>
        <v>RGGMSM68M19E783I</v>
      </c>
      <c r="N42" s="8" t="s">
        <v>125</v>
      </c>
      <c r="O42" s="8" t="s">
        <v>115</v>
      </c>
      <c r="P42" s="9">
        <v>45245</v>
      </c>
      <c r="Q42" s="8" t="s">
        <v>36</v>
      </c>
      <c r="R42" s="8" t="s">
        <v>48</v>
      </c>
      <c r="S42" s="8" t="s">
        <v>38</v>
      </c>
      <c r="T42" s="8"/>
      <c r="U42" s="8" t="s">
        <v>39</v>
      </c>
      <c r="V42" s="10">
        <v>18000</v>
      </c>
      <c r="W42" s="10">
        <v>7761.6</v>
      </c>
      <c r="X42" s="10">
        <v>7167.6</v>
      </c>
      <c r="Y42" s="8">
        <v>0</v>
      </c>
      <c r="Z42" s="10">
        <v>3070.8</v>
      </c>
    </row>
    <row r="43" spans="1:26" ht="41.5" x14ac:dyDescent="0.35">
      <c r="A43" s="8" t="s">
        <v>27</v>
      </c>
      <c r="B43" s="8" t="s">
        <v>28</v>
      </c>
      <c r="C43" s="8" t="s">
        <v>29</v>
      </c>
      <c r="D43" s="8" t="s">
        <v>29</v>
      </c>
      <c r="E43" s="8" t="s">
        <v>31</v>
      </c>
      <c r="F43" s="8" t="s">
        <v>31</v>
      </c>
      <c r="G43" s="8">
        <v>2017</v>
      </c>
      <c r="H43" s="8" t="str">
        <f>CONCATENATE("34270361503")</f>
        <v>34270361503</v>
      </c>
      <c r="I43" s="8" t="s">
        <v>32</v>
      </c>
      <c r="J43" s="8" t="s">
        <v>33</v>
      </c>
      <c r="K43" s="8" t="str">
        <f t="shared" si="0"/>
        <v/>
      </c>
      <c r="L43" s="8" t="str">
        <f>CONCATENATE("19 19.2 6b")</f>
        <v>19 19.2 6b</v>
      </c>
      <c r="M43" s="8" t="str">
        <f>CONCATENATE("PNCMRC68S70G920M")</f>
        <v>PNCMRC68S70G920M</v>
      </c>
      <c r="N43" s="8" t="s">
        <v>126</v>
      </c>
      <c r="O43" s="8" t="s">
        <v>115</v>
      </c>
      <c r="P43" s="9">
        <v>45245</v>
      </c>
      <c r="Q43" s="8" t="s">
        <v>36</v>
      </c>
      <c r="R43" s="8" t="s">
        <v>48</v>
      </c>
      <c r="S43" s="8" t="s">
        <v>38</v>
      </c>
      <c r="T43" s="8"/>
      <c r="U43" s="8" t="s">
        <v>39</v>
      </c>
      <c r="V43" s="10">
        <v>18000</v>
      </c>
      <c r="W43" s="10">
        <v>7761.6</v>
      </c>
      <c r="X43" s="10">
        <v>7167.6</v>
      </c>
      <c r="Y43" s="8">
        <v>0</v>
      </c>
      <c r="Z43" s="10">
        <v>3070.8</v>
      </c>
    </row>
    <row r="44" spans="1:26" ht="41.5" x14ac:dyDescent="0.35">
      <c r="A44" s="8" t="s">
        <v>27</v>
      </c>
      <c r="B44" s="8" t="s">
        <v>28</v>
      </c>
      <c r="C44" s="8" t="s">
        <v>29</v>
      </c>
      <c r="D44" s="8" t="s">
        <v>29</v>
      </c>
      <c r="E44" s="8" t="s">
        <v>31</v>
      </c>
      <c r="F44" s="8" t="s">
        <v>31</v>
      </c>
      <c r="G44" s="8">
        <v>2017</v>
      </c>
      <c r="H44" s="8" t="str">
        <f>CONCATENATE("34270361511")</f>
        <v>34270361511</v>
      </c>
      <c r="I44" s="8" t="s">
        <v>32</v>
      </c>
      <c r="J44" s="8" t="s">
        <v>33</v>
      </c>
      <c r="K44" s="8" t="str">
        <f t="shared" si="0"/>
        <v/>
      </c>
      <c r="L44" s="8" t="str">
        <f>CONCATENATE("19 19.2 6b")</f>
        <v>19 19.2 6b</v>
      </c>
      <c r="M44" s="8" t="str">
        <f>CONCATENATE("PTRSRN91P42D542Y")</f>
        <v>PTRSRN91P42D542Y</v>
      </c>
      <c r="N44" s="8" t="s">
        <v>127</v>
      </c>
      <c r="O44" s="8" t="s">
        <v>115</v>
      </c>
      <c r="P44" s="9">
        <v>45245</v>
      </c>
      <c r="Q44" s="8" t="s">
        <v>36</v>
      </c>
      <c r="R44" s="8" t="s">
        <v>48</v>
      </c>
      <c r="S44" s="8" t="s">
        <v>38</v>
      </c>
      <c r="T44" s="8"/>
      <c r="U44" s="8" t="s">
        <v>39</v>
      </c>
      <c r="V44" s="10">
        <v>18000</v>
      </c>
      <c r="W44" s="10">
        <v>7761.6</v>
      </c>
      <c r="X44" s="10">
        <v>7167.6</v>
      </c>
      <c r="Y44" s="8">
        <v>0</v>
      </c>
      <c r="Z44" s="10">
        <v>3070.8</v>
      </c>
    </row>
    <row r="45" spans="1:26" ht="25.5" x14ac:dyDescent="0.35">
      <c r="A45" s="8" t="s">
        <v>27</v>
      </c>
      <c r="B45" s="8" t="s">
        <v>28</v>
      </c>
      <c r="C45" s="8" t="s">
        <v>29</v>
      </c>
      <c r="D45" s="8" t="s">
        <v>29</v>
      </c>
      <c r="E45" s="8" t="s">
        <v>31</v>
      </c>
      <c r="F45" s="8" t="s">
        <v>31</v>
      </c>
      <c r="G45" s="8">
        <v>2017</v>
      </c>
      <c r="H45" s="8" t="str">
        <f>CONCATENATE("34270361495")</f>
        <v>34270361495</v>
      </c>
      <c r="I45" s="8" t="s">
        <v>32</v>
      </c>
      <c r="J45" s="8" t="s">
        <v>33</v>
      </c>
      <c r="K45" s="8" t="str">
        <f t="shared" si="0"/>
        <v/>
      </c>
      <c r="L45" s="8" t="str">
        <f>CONCATENATE("19 19.2 6b")</f>
        <v>19 19.2 6b</v>
      </c>
      <c r="M45" s="8" t="str">
        <f>CONCATENATE("02386900449")</f>
        <v>02386900449</v>
      </c>
      <c r="N45" s="8" t="s">
        <v>128</v>
      </c>
      <c r="O45" s="8" t="s">
        <v>115</v>
      </c>
      <c r="P45" s="9">
        <v>45245</v>
      </c>
      <c r="Q45" s="8" t="s">
        <v>36</v>
      </c>
      <c r="R45" s="8" t="s">
        <v>48</v>
      </c>
      <c r="S45" s="8" t="s">
        <v>38</v>
      </c>
      <c r="T45" s="8"/>
      <c r="U45" s="8" t="s">
        <v>39</v>
      </c>
      <c r="V45" s="10">
        <v>18000</v>
      </c>
      <c r="W45" s="10">
        <v>7761.6</v>
      </c>
      <c r="X45" s="10">
        <v>7167.6</v>
      </c>
      <c r="Y45" s="8">
        <v>0</v>
      </c>
      <c r="Z45" s="10">
        <v>3070.8</v>
      </c>
    </row>
    <row r="46" spans="1:26" ht="49.5" x14ac:dyDescent="0.35">
      <c r="A46" s="8" t="s">
        <v>27</v>
      </c>
      <c r="B46" s="8" t="s">
        <v>28</v>
      </c>
      <c r="C46" s="8" t="s">
        <v>29</v>
      </c>
      <c r="D46" s="8" t="s">
        <v>40</v>
      </c>
      <c r="E46" s="8" t="s">
        <v>63</v>
      </c>
      <c r="F46" s="8" t="s">
        <v>129</v>
      </c>
      <c r="G46" s="8">
        <v>2017</v>
      </c>
      <c r="H46" s="8" t="str">
        <f>CONCATENATE("34270372823")</f>
        <v>34270372823</v>
      </c>
      <c r="I46" s="8" t="s">
        <v>32</v>
      </c>
      <c r="J46" s="8" t="s">
        <v>33</v>
      </c>
      <c r="K46" s="8" t="str">
        <f t="shared" si="0"/>
        <v/>
      </c>
      <c r="L46" s="8" t="str">
        <f>CONCATENATE("6 6.1 2b")</f>
        <v>6 6.1 2b</v>
      </c>
      <c r="M46" s="8" t="str">
        <f>CONCATENATE("PCASMN89B19A462V")</f>
        <v>PCASMN89B19A462V</v>
      </c>
      <c r="N46" s="8" t="s">
        <v>130</v>
      </c>
      <c r="O46" s="8" t="s">
        <v>131</v>
      </c>
      <c r="P46" s="9">
        <v>45247</v>
      </c>
      <c r="Q46" s="8" t="s">
        <v>36</v>
      </c>
      <c r="R46" s="8" t="s">
        <v>48</v>
      </c>
      <c r="S46" s="8" t="s">
        <v>38</v>
      </c>
      <c r="T46" s="8"/>
      <c r="U46" s="8" t="s">
        <v>39</v>
      </c>
      <c r="V46" s="10">
        <v>18000</v>
      </c>
      <c r="W46" s="10">
        <v>7761.6</v>
      </c>
      <c r="X46" s="10">
        <v>7167.6</v>
      </c>
      <c r="Y46" s="8">
        <v>0</v>
      </c>
      <c r="Z46" s="10">
        <v>3070.8</v>
      </c>
    </row>
    <row r="47" spans="1:26" ht="49.5" x14ac:dyDescent="0.35">
      <c r="A47" s="8" t="s">
        <v>27</v>
      </c>
      <c r="B47" s="8" t="s">
        <v>28</v>
      </c>
      <c r="C47" s="8" t="s">
        <v>29</v>
      </c>
      <c r="D47" s="8" t="s">
        <v>40</v>
      </c>
      <c r="E47" s="8" t="s">
        <v>63</v>
      </c>
      <c r="F47" s="8" t="s">
        <v>129</v>
      </c>
      <c r="G47" s="8">
        <v>2017</v>
      </c>
      <c r="H47" s="8" t="str">
        <f>CONCATENATE("34270372831")</f>
        <v>34270372831</v>
      </c>
      <c r="I47" s="8" t="s">
        <v>32</v>
      </c>
      <c r="J47" s="8" t="s">
        <v>33</v>
      </c>
      <c r="K47" s="8" t="str">
        <f t="shared" si="0"/>
        <v/>
      </c>
      <c r="L47" s="8" t="str">
        <f>CONCATENATE("4 4.1 2a")</f>
        <v>4 4.1 2a</v>
      </c>
      <c r="M47" s="8" t="str">
        <f>CONCATENATE("PCASMN89B19A462V")</f>
        <v>PCASMN89B19A462V</v>
      </c>
      <c r="N47" s="8" t="s">
        <v>130</v>
      </c>
      <c r="O47" s="8" t="s">
        <v>132</v>
      </c>
      <c r="P47" s="9">
        <v>45247</v>
      </c>
      <c r="Q47" s="8" t="s">
        <v>36</v>
      </c>
      <c r="R47" s="8" t="s">
        <v>48</v>
      </c>
      <c r="S47" s="8" t="s">
        <v>38</v>
      </c>
      <c r="T47" s="8"/>
      <c r="U47" s="8" t="s">
        <v>39</v>
      </c>
      <c r="V47" s="10">
        <v>35477.14</v>
      </c>
      <c r="W47" s="10">
        <v>15297.74</v>
      </c>
      <c r="X47" s="10">
        <v>14127</v>
      </c>
      <c r="Y47" s="8">
        <v>0</v>
      </c>
      <c r="Z47" s="10">
        <v>6052.4</v>
      </c>
    </row>
    <row r="48" spans="1:26" ht="25.5" x14ac:dyDescent="0.35">
      <c r="A48" s="8" t="s">
        <v>27</v>
      </c>
      <c r="B48" s="8" t="s">
        <v>28</v>
      </c>
      <c r="C48" s="8" t="s">
        <v>29</v>
      </c>
      <c r="D48" s="8" t="s">
        <v>29</v>
      </c>
      <c r="E48" s="8" t="s">
        <v>31</v>
      </c>
      <c r="F48" s="8" t="s">
        <v>31</v>
      </c>
      <c r="G48" s="8">
        <v>2017</v>
      </c>
      <c r="H48" s="8" t="str">
        <f>CONCATENATE("34270356081")</f>
        <v>34270356081</v>
      </c>
      <c r="I48" s="8" t="s">
        <v>32</v>
      </c>
      <c r="J48" s="8" t="s">
        <v>33</v>
      </c>
      <c r="K48" s="8" t="str">
        <f t="shared" si="0"/>
        <v/>
      </c>
      <c r="L48" s="8" t="str">
        <f>CONCATENATE("19 19.2 6b")</f>
        <v>19 19.2 6b</v>
      </c>
      <c r="M48" s="8" t="str">
        <f>CONCATENATE("02208480414")</f>
        <v>02208480414</v>
      </c>
      <c r="N48" s="8" t="s">
        <v>133</v>
      </c>
      <c r="O48" s="8" t="s">
        <v>134</v>
      </c>
      <c r="P48" s="9">
        <v>45245</v>
      </c>
      <c r="Q48" s="8" t="s">
        <v>36</v>
      </c>
      <c r="R48" s="8" t="s">
        <v>48</v>
      </c>
      <c r="S48" s="8" t="s">
        <v>38</v>
      </c>
      <c r="T48" s="8"/>
      <c r="U48" s="8" t="s">
        <v>39</v>
      </c>
      <c r="V48" s="10">
        <v>14075.8</v>
      </c>
      <c r="W48" s="10">
        <v>6069.48</v>
      </c>
      <c r="X48" s="10">
        <v>5604.98</v>
      </c>
      <c r="Y48" s="8">
        <v>0</v>
      </c>
      <c r="Z48" s="10">
        <v>2401.34</v>
      </c>
    </row>
    <row r="49" spans="1:26" ht="41.5" x14ac:dyDescent="0.35">
      <c r="A49" s="8" t="s">
        <v>27</v>
      </c>
      <c r="B49" s="8" t="s">
        <v>54</v>
      </c>
      <c r="C49" s="8" t="s">
        <v>29</v>
      </c>
      <c r="D49" s="8" t="s">
        <v>30</v>
      </c>
      <c r="E49" s="8" t="s">
        <v>59</v>
      </c>
      <c r="F49" s="8" t="s">
        <v>135</v>
      </c>
      <c r="G49" s="8">
        <v>2022</v>
      </c>
      <c r="H49" s="8" t="str">
        <f>CONCATENATE("24780014072")</f>
        <v>24780014072</v>
      </c>
      <c r="I49" s="8" t="s">
        <v>81</v>
      </c>
      <c r="J49" s="8" t="s">
        <v>136</v>
      </c>
      <c r="K49" s="8" t="str">
        <f>CONCATENATE("221")</f>
        <v>221</v>
      </c>
      <c r="L49" s="8" t="str">
        <f>CONCATENATE("8 8.1 5e")</f>
        <v>8 8.1 5e</v>
      </c>
      <c r="M49" s="8" t="str">
        <f>CONCATENATE("GGGMLE89B03I608D")</f>
        <v>GGGMLE89B03I608D</v>
      </c>
      <c r="N49" s="8" t="s">
        <v>137</v>
      </c>
      <c r="O49" s="8" t="s">
        <v>138</v>
      </c>
      <c r="P49" s="9">
        <v>45245</v>
      </c>
      <c r="Q49" s="8" t="s">
        <v>36</v>
      </c>
      <c r="R49" s="8" t="s">
        <v>48</v>
      </c>
      <c r="S49" s="8" t="s">
        <v>38</v>
      </c>
      <c r="T49" s="8"/>
      <c r="U49" s="8" t="s">
        <v>39</v>
      </c>
      <c r="V49" s="8">
        <v>387.6</v>
      </c>
      <c r="W49" s="8">
        <v>167.13</v>
      </c>
      <c r="X49" s="8">
        <v>154.34</v>
      </c>
      <c r="Y49" s="8">
        <v>0</v>
      </c>
      <c r="Z49" s="8">
        <v>66.13</v>
      </c>
    </row>
    <row r="50" spans="1:26" ht="49.5" x14ac:dyDescent="0.35">
      <c r="A50" s="8" t="s">
        <v>27</v>
      </c>
      <c r="B50" s="8" t="s">
        <v>28</v>
      </c>
      <c r="C50" s="8" t="s">
        <v>29</v>
      </c>
      <c r="D50" s="8" t="s">
        <v>72</v>
      </c>
      <c r="E50" s="8" t="s">
        <v>55</v>
      </c>
      <c r="F50" s="8" t="s">
        <v>139</v>
      </c>
      <c r="G50" s="8">
        <v>2017</v>
      </c>
      <c r="H50" s="8" t="str">
        <f>CONCATENATE("34270367690")</f>
        <v>34270367690</v>
      </c>
      <c r="I50" s="8" t="s">
        <v>32</v>
      </c>
      <c r="J50" s="8" t="s">
        <v>33</v>
      </c>
      <c r="K50" s="8" t="str">
        <f t="shared" ref="K50:K62" si="3">CONCATENATE("")</f>
        <v/>
      </c>
      <c r="L50" s="8" t="str">
        <f t="shared" ref="L50:L56" si="4">CONCATENATE("4 4.1 2a")</f>
        <v>4 4.1 2a</v>
      </c>
      <c r="M50" s="8" t="str">
        <f>CONCATENATE("CNDLNS68H17D749V")</f>
        <v>CNDLNS68H17D749V</v>
      </c>
      <c r="N50" s="8" t="s">
        <v>140</v>
      </c>
      <c r="O50" s="8" t="s">
        <v>141</v>
      </c>
      <c r="P50" s="9">
        <v>45245</v>
      </c>
      <c r="Q50" s="8" t="s">
        <v>36</v>
      </c>
      <c r="R50" s="8" t="s">
        <v>48</v>
      </c>
      <c r="S50" s="8" t="s">
        <v>38</v>
      </c>
      <c r="T50" s="8"/>
      <c r="U50" s="8" t="s">
        <v>39</v>
      </c>
      <c r="V50" s="10">
        <v>19500</v>
      </c>
      <c r="W50" s="10">
        <v>8408.4</v>
      </c>
      <c r="X50" s="10">
        <v>7764.9</v>
      </c>
      <c r="Y50" s="8">
        <v>0</v>
      </c>
      <c r="Z50" s="10">
        <v>3326.7</v>
      </c>
    </row>
    <row r="51" spans="1:26" ht="41.5" x14ac:dyDescent="0.35">
      <c r="A51" s="8" t="s">
        <v>27</v>
      </c>
      <c r="B51" s="8" t="s">
        <v>28</v>
      </c>
      <c r="C51" s="8" t="s">
        <v>29</v>
      </c>
      <c r="D51" s="8" t="s">
        <v>40</v>
      </c>
      <c r="E51" s="8" t="s">
        <v>41</v>
      </c>
      <c r="F51" s="8" t="s">
        <v>42</v>
      </c>
      <c r="G51" s="8">
        <v>2017</v>
      </c>
      <c r="H51" s="8" t="str">
        <f>CONCATENATE("34270367427")</f>
        <v>34270367427</v>
      </c>
      <c r="I51" s="8" t="s">
        <v>32</v>
      </c>
      <c r="J51" s="8" t="s">
        <v>33</v>
      </c>
      <c r="K51" s="8" t="str">
        <f t="shared" si="3"/>
        <v/>
      </c>
      <c r="L51" s="8" t="str">
        <f t="shared" si="4"/>
        <v>4 4.1 2a</v>
      </c>
      <c r="M51" s="8" t="str">
        <f>CONCATENATE("PLLGLN64A09G920I")</f>
        <v>PLLGLN64A09G920I</v>
      </c>
      <c r="N51" s="8" t="s">
        <v>142</v>
      </c>
      <c r="O51" s="8" t="s">
        <v>141</v>
      </c>
      <c r="P51" s="9">
        <v>45245</v>
      </c>
      <c r="Q51" s="8" t="s">
        <v>36</v>
      </c>
      <c r="R51" s="8" t="s">
        <v>48</v>
      </c>
      <c r="S51" s="8" t="s">
        <v>38</v>
      </c>
      <c r="T51" s="8"/>
      <c r="U51" s="8" t="s">
        <v>39</v>
      </c>
      <c r="V51" s="10">
        <v>29523.99</v>
      </c>
      <c r="W51" s="10">
        <v>12730.74</v>
      </c>
      <c r="X51" s="10">
        <v>11756.45</v>
      </c>
      <c r="Y51" s="8">
        <v>0</v>
      </c>
      <c r="Z51" s="10">
        <v>5036.8</v>
      </c>
    </row>
    <row r="52" spans="1:26" ht="41.5" x14ac:dyDescent="0.35">
      <c r="A52" s="8" t="s">
        <v>27</v>
      </c>
      <c r="B52" s="8" t="s">
        <v>28</v>
      </c>
      <c r="C52" s="8" t="s">
        <v>29</v>
      </c>
      <c r="D52" s="8" t="s">
        <v>40</v>
      </c>
      <c r="E52" s="8" t="s">
        <v>41</v>
      </c>
      <c r="F52" s="8" t="s">
        <v>42</v>
      </c>
      <c r="G52" s="8">
        <v>2017</v>
      </c>
      <c r="H52" s="8" t="str">
        <f>CONCATENATE("34270361388")</f>
        <v>34270361388</v>
      </c>
      <c r="I52" s="8" t="s">
        <v>32</v>
      </c>
      <c r="J52" s="8" t="s">
        <v>33</v>
      </c>
      <c r="K52" s="8" t="str">
        <f t="shared" si="3"/>
        <v/>
      </c>
      <c r="L52" s="8" t="str">
        <f t="shared" si="4"/>
        <v>4 4.1 2a</v>
      </c>
      <c r="M52" s="8" t="str">
        <f>CONCATENATE("CCRGNN64M55F415H")</f>
        <v>CCRGNN64M55F415H</v>
      </c>
      <c r="N52" s="8" t="s">
        <v>143</v>
      </c>
      <c r="O52" s="8" t="s">
        <v>144</v>
      </c>
      <c r="P52" s="9">
        <v>45245</v>
      </c>
      <c r="Q52" s="8" t="s">
        <v>36</v>
      </c>
      <c r="R52" s="8" t="s">
        <v>48</v>
      </c>
      <c r="S52" s="8" t="s">
        <v>38</v>
      </c>
      <c r="T52" s="8"/>
      <c r="U52" s="8" t="s">
        <v>39</v>
      </c>
      <c r="V52" s="10">
        <v>15968.45</v>
      </c>
      <c r="W52" s="10">
        <v>6885.6</v>
      </c>
      <c r="X52" s="10">
        <v>6358.64</v>
      </c>
      <c r="Y52" s="8">
        <v>0</v>
      </c>
      <c r="Z52" s="10">
        <v>2724.21</v>
      </c>
    </row>
    <row r="53" spans="1:26" ht="41.5" x14ac:dyDescent="0.35">
      <c r="A53" s="8" t="s">
        <v>27</v>
      </c>
      <c r="B53" s="8" t="s">
        <v>28</v>
      </c>
      <c r="C53" s="8" t="s">
        <v>29</v>
      </c>
      <c r="D53" s="8" t="s">
        <v>30</v>
      </c>
      <c r="E53" s="8" t="s">
        <v>63</v>
      </c>
      <c r="F53" s="8" t="s">
        <v>145</v>
      </c>
      <c r="G53" s="8">
        <v>2017</v>
      </c>
      <c r="H53" s="8" t="str">
        <f>CONCATENATE("34270361420")</f>
        <v>34270361420</v>
      </c>
      <c r="I53" s="8" t="s">
        <v>32</v>
      </c>
      <c r="J53" s="8" t="s">
        <v>33</v>
      </c>
      <c r="K53" s="8" t="str">
        <f t="shared" si="3"/>
        <v/>
      </c>
      <c r="L53" s="8" t="str">
        <f t="shared" si="4"/>
        <v>4 4.1 2a</v>
      </c>
      <c r="M53" s="8" t="str">
        <f>CONCATENATE("BLGSFN69R24C615O")</f>
        <v>BLGSFN69R24C615O</v>
      </c>
      <c r="N53" s="8" t="s">
        <v>146</v>
      </c>
      <c r="O53" s="8" t="s">
        <v>144</v>
      </c>
      <c r="P53" s="9">
        <v>45245</v>
      </c>
      <c r="Q53" s="8" t="s">
        <v>36</v>
      </c>
      <c r="R53" s="8" t="s">
        <v>37</v>
      </c>
      <c r="S53" s="8" t="s">
        <v>38</v>
      </c>
      <c r="T53" s="8"/>
      <c r="U53" s="8" t="s">
        <v>39</v>
      </c>
      <c r="V53" s="10">
        <v>41904.76</v>
      </c>
      <c r="W53" s="10">
        <v>18069.330000000002</v>
      </c>
      <c r="X53" s="10">
        <v>16686.48</v>
      </c>
      <c r="Y53" s="8">
        <v>0</v>
      </c>
      <c r="Z53" s="10">
        <v>7148.95</v>
      </c>
    </row>
    <row r="54" spans="1:26" ht="41.5" x14ac:dyDescent="0.35">
      <c r="A54" s="8" t="s">
        <v>27</v>
      </c>
      <c r="B54" s="8" t="s">
        <v>28</v>
      </c>
      <c r="C54" s="8" t="s">
        <v>29</v>
      </c>
      <c r="D54" s="8" t="s">
        <v>40</v>
      </c>
      <c r="E54" s="8" t="s">
        <v>31</v>
      </c>
      <c r="F54" s="8" t="s">
        <v>31</v>
      </c>
      <c r="G54" s="8">
        <v>2017</v>
      </c>
      <c r="H54" s="8" t="str">
        <f>CONCATENATE("34270361438")</f>
        <v>34270361438</v>
      </c>
      <c r="I54" s="8" t="s">
        <v>32</v>
      </c>
      <c r="J54" s="8" t="s">
        <v>33</v>
      </c>
      <c r="K54" s="8" t="str">
        <f t="shared" si="3"/>
        <v/>
      </c>
      <c r="L54" s="8" t="str">
        <f t="shared" si="4"/>
        <v>4 4.1 2a</v>
      </c>
      <c r="M54" s="8" t="str">
        <f>CONCATENATE("DNGLEO54L19G005C")</f>
        <v>DNGLEO54L19G005C</v>
      </c>
      <c r="N54" s="8" t="s">
        <v>147</v>
      </c>
      <c r="O54" s="8" t="s">
        <v>144</v>
      </c>
      <c r="P54" s="9">
        <v>45245</v>
      </c>
      <c r="Q54" s="8" t="s">
        <v>36</v>
      </c>
      <c r="R54" s="8" t="s">
        <v>48</v>
      </c>
      <c r="S54" s="8" t="s">
        <v>38</v>
      </c>
      <c r="T54" s="8"/>
      <c r="U54" s="8" t="s">
        <v>39</v>
      </c>
      <c r="V54" s="10">
        <v>7855.09</v>
      </c>
      <c r="W54" s="10">
        <v>3387.11</v>
      </c>
      <c r="X54" s="10">
        <v>3127.9</v>
      </c>
      <c r="Y54" s="8">
        <v>0</v>
      </c>
      <c r="Z54" s="10">
        <v>1340.08</v>
      </c>
    </row>
    <row r="55" spans="1:26" ht="49.5" x14ac:dyDescent="0.35">
      <c r="A55" s="8" t="s">
        <v>27</v>
      </c>
      <c r="B55" s="8" t="s">
        <v>28</v>
      </c>
      <c r="C55" s="8" t="s">
        <v>29</v>
      </c>
      <c r="D55" s="8" t="s">
        <v>40</v>
      </c>
      <c r="E55" s="8" t="s">
        <v>31</v>
      </c>
      <c r="F55" s="8" t="s">
        <v>31</v>
      </c>
      <c r="G55" s="8">
        <v>2017</v>
      </c>
      <c r="H55" s="8" t="str">
        <f>CONCATENATE("34270361412")</f>
        <v>34270361412</v>
      </c>
      <c r="I55" s="8" t="s">
        <v>32</v>
      </c>
      <c r="J55" s="8" t="s">
        <v>33</v>
      </c>
      <c r="K55" s="8" t="str">
        <f t="shared" si="3"/>
        <v/>
      </c>
      <c r="L55" s="8" t="str">
        <f t="shared" si="4"/>
        <v>4 4.1 2a</v>
      </c>
      <c r="M55" s="8" t="str">
        <f>CONCATENATE("DNGMRA66M53G005W")</f>
        <v>DNGMRA66M53G005W</v>
      </c>
      <c r="N55" s="8" t="s">
        <v>148</v>
      </c>
      <c r="O55" s="8" t="s">
        <v>144</v>
      </c>
      <c r="P55" s="9">
        <v>45245</v>
      </c>
      <c r="Q55" s="8" t="s">
        <v>36</v>
      </c>
      <c r="R55" s="8" t="s">
        <v>48</v>
      </c>
      <c r="S55" s="8" t="s">
        <v>38</v>
      </c>
      <c r="T55" s="8"/>
      <c r="U55" s="8" t="s">
        <v>39</v>
      </c>
      <c r="V55" s="10">
        <v>9931.5499999999993</v>
      </c>
      <c r="W55" s="10">
        <v>4282.4799999999996</v>
      </c>
      <c r="X55" s="10">
        <v>3954.74</v>
      </c>
      <c r="Y55" s="8">
        <v>0</v>
      </c>
      <c r="Z55" s="10">
        <v>1694.33</v>
      </c>
    </row>
    <row r="56" spans="1:26" ht="25.5" x14ac:dyDescent="0.35">
      <c r="A56" s="8" t="s">
        <v>27</v>
      </c>
      <c r="B56" s="8" t="s">
        <v>28</v>
      </c>
      <c r="C56" s="8" t="s">
        <v>29</v>
      </c>
      <c r="D56" s="8" t="s">
        <v>30</v>
      </c>
      <c r="E56" s="8" t="s">
        <v>59</v>
      </c>
      <c r="F56" s="8" t="s">
        <v>149</v>
      </c>
      <c r="G56" s="8">
        <v>2017</v>
      </c>
      <c r="H56" s="8" t="str">
        <f>CONCATENATE("34270361404")</f>
        <v>34270361404</v>
      </c>
      <c r="I56" s="8" t="s">
        <v>32</v>
      </c>
      <c r="J56" s="8" t="s">
        <v>33</v>
      </c>
      <c r="K56" s="8" t="str">
        <f t="shared" si="3"/>
        <v/>
      </c>
      <c r="L56" s="8" t="str">
        <f t="shared" si="4"/>
        <v>4 4.1 2a</v>
      </c>
      <c r="M56" s="8" t="str">
        <f>CONCATENATE("02427770421")</f>
        <v>02427770421</v>
      </c>
      <c r="N56" s="8" t="s">
        <v>150</v>
      </c>
      <c r="O56" s="8" t="s">
        <v>144</v>
      </c>
      <c r="P56" s="9">
        <v>45245</v>
      </c>
      <c r="Q56" s="8" t="s">
        <v>36</v>
      </c>
      <c r="R56" s="8" t="s">
        <v>48</v>
      </c>
      <c r="S56" s="8" t="s">
        <v>38</v>
      </c>
      <c r="T56" s="8"/>
      <c r="U56" s="8" t="s">
        <v>39</v>
      </c>
      <c r="V56" s="10">
        <v>9936</v>
      </c>
      <c r="W56" s="10">
        <v>4284.3999999999996</v>
      </c>
      <c r="X56" s="10">
        <v>3956.52</v>
      </c>
      <c r="Y56" s="8">
        <v>0</v>
      </c>
      <c r="Z56" s="10">
        <v>1695.08</v>
      </c>
    </row>
    <row r="57" spans="1:26" ht="25.5" x14ac:dyDescent="0.35">
      <c r="A57" s="8" t="s">
        <v>27</v>
      </c>
      <c r="B57" s="8" t="s">
        <v>28</v>
      </c>
      <c r="C57" s="8" t="s">
        <v>29</v>
      </c>
      <c r="D57" s="8" t="s">
        <v>40</v>
      </c>
      <c r="E57" s="8" t="s">
        <v>59</v>
      </c>
      <c r="F57" s="8" t="s">
        <v>151</v>
      </c>
      <c r="G57" s="8">
        <v>2017</v>
      </c>
      <c r="H57" s="8" t="str">
        <f>CONCATENATE("34270367807")</f>
        <v>34270367807</v>
      </c>
      <c r="I57" s="8" t="s">
        <v>32</v>
      </c>
      <c r="J57" s="8" t="s">
        <v>33</v>
      </c>
      <c r="K57" s="8" t="str">
        <f t="shared" si="3"/>
        <v/>
      </c>
      <c r="L57" s="8" t="str">
        <f>CONCATENATE("4 4.1 2a")</f>
        <v>4 4.1 2a</v>
      </c>
      <c r="M57" s="8" t="str">
        <f>CONCATENATE("02001510441")</f>
        <v>02001510441</v>
      </c>
      <c r="N57" s="8" t="s">
        <v>152</v>
      </c>
      <c r="O57" s="8" t="s">
        <v>153</v>
      </c>
      <c r="P57" s="9">
        <v>45245</v>
      </c>
      <c r="Q57" s="8" t="s">
        <v>36</v>
      </c>
      <c r="R57" s="8" t="s">
        <v>51</v>
      </c>
      <c r="S57" s="8" t="s">
        <v>38</v>
      </c>
      <c r="T57" s="8"/>
      <c r="U57" s="8" t="s">
        <v>39</v>
      </c>
      <c r="V57" s="10">
        <v>199703.24</v>
      </c>
      <c r="W57" s="10">
        <v>86112.04</v>
      </c>
      <c r="X57" s="10">
        <v>79521.83</v>
      </c>
      <c r="Y57" s="8">
        <v>0</v>
      </c>
      <c r="Z57" s="10">
        <v>34069.370000000003</v>
      </c>
    </row>
    <row r="58" spans="1:26" ht="41.5" x14ac:dyDescent="0.35">
      <c r="A58" s="8" t="s">
        <v>27</v>
      </c>
      <c r="B58" s="8" t="s">
        <v>28</v>
      </c>
      <c r="C58" s="8" t="s">
        <v>29</v>
      </c>
      <c r="D58" s="8" t="s">
        <v>72</v>
      </c>
      <c r="E58" s="8" t="s">
        <v>63</v>
      </c>
      <c r="F58" s="8" t="s">
        <v>154</v>
      </c>
      <c r="G58" s="8">
        <v>2017</v>
      </c>
      <c r="H58" s="8" t="str">
        <f>CONCATENATE("34270367781")</f>
        <v>34270367781</v>
      </c>
      <c r="I58" s="8" t="s">
        <v>32</v>
      </c>
      <c r="J58" s="8" t="s">
        <v>33</v>
      </c>
      <c r="K58" s="8" t="str">
        <f t="shared" si="3"/>
        <v/>
      </c>
      <c r="L58" s="8" t="str">
        <f>CONCATENATE("4 4.1 2a")</f>
        <v>4 4.1 2a</v>
      </c>
      <c r="M58" s="8" t="str">
        <f>CONCATENATE("PRNMLN74M68L500C")</f>
        <v>PRNMLN74M68L500C</v>
      </c>
      <c r="N58" s="8" t="s">
        <v>155</v>
      </c>
      <c r="O58" s="8" t="s">
        <v>153</v>
      </c>
      <c r="P58" s="9">
        <v>45245</v>
      </c>
      <c r="Q58" s="8" t="s">
        <v>36</v>
      </c>
      <c r="R58" s="8" t="s">
        <v>48</v>
      </c>
      <c r="S58" s="8" t="s">
        <v>38</v>
      </c>
      <c r="T58" s="8"/>
      <c r="U58" s="8" t="s">
        <v>39</v>
      </c>
      <c r="V58" s="10">
        <v>24000</v>
      </c>
      <c r="W58" s="10">
        <v>10348.799999999999</v>
      </c>
      <c r="X58" s="10">
        <v>9556.7999999999993</v>
      </c>
      <c r="Y58" s="8">
        <v>0</v>
      </c>
      <c r="Z58" s="10">
        <v>4094.4</v>
      </c>
    </row>
    <row r="59" spans="1:26" ht="25.5" x14ac:dyDescent="0.35">
      <c r="A59" s="8" t="s">
        <v>27</v>
      </c>
      <c r="B59" s="8" t="s">
        <v>28</v>
      </c>
      <c r="C59" s="8" t="s">
        <v>29</v>
      </c>
      <c r="D59" s="8" t="s">
        <v>45</v>
      </c>
      <c r="E59" s="8" t="s">
        <v>63</v>
      </c>
      <c r="F59" s="8" t="s">
        <v>156</v>
      </c>
      <c r="G59" s="8">
        <v>2017</v>
      </c>
      <c r="H59" s="8" t="str">
        <f>CONCATENATE("34270367799")</f>
        <v>34270367799</v>
      </c>
      <c r="I59" s="8" t="s">
        <v>32</v>
      </c>
      <c r="J59" s="8" t="s">
        <v>33</v>
      </c>
      <c r="K59" s="8" t="str">
        <f t="shared" si="3"/>
        <v/>
      </c>
      <c r="L59" s="8" t="str">
        <f>CONCATENATE("4 4.1 2a")</f>
        <v>4 4.1 2a</v>
      </c>
      <c r="M59" s="8" t="str">
        <f>CONCATENATE("01914550437")</f>
        <v>01914550437</v>
      </c>
      <c r="N59" s="8" t="s">
        <v>157</v>
      </c>
      <c r="O59" s="8" t="s">
        <v>153</v>
      </c>
      <c r="P59" s="9">
        <v>45245</v>
      </c>
      <c r="Q59" s="8" t="s">
        <v>36</v>
      </c>
      <c r="R59" s="8" t="s">
        <v>48</v>
      </c>
      <c r="S59" s="8" t="s">
        <v>38</v>
      </c>
      <c r="T59" s="8"/>
      <c r="U59" s="8" t="s">
        <v>39</v>
      </c>
      <c r="V59" s="10">
        <v>9087.68</v>
      </c>
      <c r="W59" s="10">
        <v>3918.61</v>
      </c>
      <c r="X59" s="10">
        <v>3618.71</v>
      </c>
      <c r="Y59" s="8">
        <v>0</v>
      </c>
      <c r="Z59" s="10">
        <v>1550.36</v>
      </c>
    </row>
    <row r="60" spans="1:26" ht="41.5" x14ac:dyDescent="0.35">
      <c r="A60" s="8" t="s">
        <v>27</v>
      </c>
      <c r="B60" s="8" t="s">
        <v>28</v>
      </c>
      <c r="C60" s="8" t="s">
        <v>29</v>
      </c>
      <c r="D60" s="8" t="s">
        <v>30</v>
      </c>
      <c r="E60" s="8" t="s">
        <v>158</v>
      </c>
      <c r="F60" s="8" t="s">
        <v>159</v>
      </c>
      <c r="G60" s="8">
        <v>2017</v>
      </c>
      <c r="H60" s="8" t="str">
        <f>CONCATENATE("34270367617")</f>
        <v>34270367617</v>
      </c>
      <c r="I60" s="8" t="s">
        <v>32</v>
      </c>
      <c r="J60" s="8" t="s">
        <v>33</v>
      </c>
      <c r="K60" s="8" t="str">
        <f t="shared" si="3"/>
        <v/>
      </c>
      <c r="L60" s="8" t="str">
        <f>CONCATENATE("6 6.4 2a")</f>
        <v>6 6.4 2a</v>
      </c>
      <c r="M60" s="8" t="str">
        <f>CONCATENATE("TGNLNZ96D17F704X")</f>
        <v>TGNLNZ96D17F704X</v>
      </c>
      <c r="N60" s="8" t="s">
        <v>160</v>
      </c>
      <c r="O60" s="8" t="s">
        <v>161</v>
      </c>
      <c r="P60" s="9">
        <v>45245</v>
      </c>
      <c r="Q60" s="8" t="s">
        <v>36</v>
      </c>
      <c r="R60" s="8" t="s">
        <v>48</v>
      </c>
      <c r="S60" s="8" t="s">
        <v>38</v>
      </c>
      <c r="T60" s="8"/>
      <c r="U60" s="8" t="s">
        <v>39</v>
      </c>
      <c r="V60" s="10">
        <v>39623.629999999997</v>
      </c>
      <c r="W60" s="10">
        <v>17085.71</v>
      </c>
      <c r="X60" s="10">
        <v>15778.13</v>
      </c>
      <c r="Y60" s="8">
        <v>0</v>
      </c>
      <c r="Z60" s="10">
        <v>6759.79</v>
      </c>
    </row>
    <row r="61" spans="1:26" ht="41.5" x14ac:dyDescent="0.35">
      <c r="A61" s="8" t="s">
        <v>27</v>
      </c>
      <c r="B61" s="8" t="s">
        <v>28</v>
      </c>
      <c r="C61" s="8" t="s">
        <v>29</v>
      </c>
      <c r="D61" s="8" t="s">
        <v>29</v>
      </c>
      <c r="E61" s="8" t="s">
        <v>31</v>
      </c>
      <c r="F61" s="8" t="s">
        <v>31</v>
      </c>
      <c r="G61" s="8">
        <v>2017</v>
      </c>
      <c r="H61" s="8" t="str">
        <f>CONCATENATE("34270361917")</f>
        <v>34270361917</v>
      </c>
      <c r="I61" s="8" t="s">
        <v>32</v>
      </c>
      <c r="J61" s="8" t="s">
        <v>33</v>
      </c>
      <c r="K61" s="8" t="str">
        <f t="shared" si="3"/>
        <v/>
      </c>
      <c r="L61" s="8" t="str">
        <f>CONCATENATE("19 19.2 6b")</f>
        <v>19 19.2 6b</v>
      </c>
      <c r="M61" s="8" t="str">
        <f>CONCATENATE("NTNGGR74S28Z112A")</f>
        <v>NTNGGR74S28Z112A</v>
      </c>
      <c r="N61" s="8" t="s">
        <v>162</v>
      </c>
      <c r="O61" s="8" t="s">
        <v>163</v>
      </c>
      <c r="P61" s="9">
        <v>45245</v>
      </c>
      <c r="Q61" s="8" t="s">
        <v>36</v>
      </c>
      <c r="R61" s="8" t="s">
        <v>37</v>
      </c>
      <c r="S61" s="8" t="s">
        <v>38</v>
      </c>
      <c r="T61" s="8"/>
      <c r="U61" s="8" t="s">
        <v>39</v>
      </c>
      <c r="V61" s="10">
        <v>20000</v>
      </c>
      <c r="W61" s="10">
        <v>8624</v>
      </c>
      <c r="X61" s="10">
        <v>7964</v>
      </c>
      <c r="Y61" s="8">
        <v>0</v>
      </c>
      <c r="Z61" s="10">
        <v>3412</v>
      </c>
    </row>
    <row r="62" spans="1:26" ht="25.5" x14ac:dyDescent="0.35">
      <c r="A62" s="8" t="s">
        <v>27</v>
      </c>
      <c r="B62" s="8" t="s">
        <v>28</v>
      </c>
      <c r="C62" s="8" t="s">
        <v>29</v>
      </c>
      <c r="D62" s="8" t="s">
        <v>72</v>
      </c>
      <c r="E62" s="8" t="s">
        <v>31</v>
      </c>
      <c r="F62" s="8" t="s">
        <v>31</v>
      </c>
      <c r="G62" s="8">
        <v>2017</v>
      </c>
      <c r="H62" s="8" t="str">
        <f>CONCATENATE("34270368813")</f>
        <v>34270368813</v>
      </c>
      <c r="I62" s="8" t="s">
        <v>32</v>
      </c>
      <c r="J62" s="8" t="s">
        <v>33</v>
      </c>
      <c r="K62" s="8" t="str">
        <f t="shared" si="3"/>
        <v/>
      </c>
      <c r="L62" s="8" t="str">
        <f>CONCATENATE("8 8.6 5c")</f>
        <v>8 8.6 5c</v>
      </c>
      <c r="M62" s="8" t="str">
        <f>CONCATENATE("00199680547")</f>
        <v>00199680547</v>
      </c>
      <c r="N62" s="8" t="s">
        <v>164</v>
      </c>
      <c r="O62" s="8" t="s">
        <v>165</v>
      </c>
      <c r="P62" s="9">
        <v>45245</v>
      </c>
      <c r="Q62" s="8" t="s">
        <v>36</v>
      </c>
      <c r="R62" s="8" t="s">
        <v>51</v>
      </c>
      <c r="S62" s="8" t="s">
        <v>38</v>
      </c>
      <c r="T62" s="8"/>
      <c r="U62" s="8" t="s">
        <v>39</v>
      </c>
      <c r="V62" s="10">
        <v>100000</v>
      </c>
      <c r="W62" s="10">
        <v>43120</v>
      </c>
      <c r="X62" s="10">
        <v>39820</v>
      </c>
      <c r="Y62" s="8">
        <v>0</v>
      </c>
      <c r="Z62" s="10">
        <v>17060</v>
      </c>
    </row>
  </sheetData>
  <mergeCells count="1">
    <mergeCell ref="A2:Z2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MARCHE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Greco Giancarlo</dc:creator>
  <cp:lastModifiedBy>Greco Giancarlo</cp:lastModifiedBy>
  <dcterms:created xsi:type="dcterms:W3CDTF">2023-11-23T11:29:50Z</dcterms:created>
  <dcterms:modified xsi:type="dcterms:W3CDTF">2023-11-23T11:29:51Z</dcterms:modified>
</cp:coreProperties>
</file>