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gi_greco_agea_gov_it/Documents/Decreti/649/Spacchettamento/"/>
    </mc:Choice>
  </mc:AlternateContent>
  <xr:revisionPtr revIDLastSave="0" documentId="8_{44EA3987-CF49-4C3B-AF73-ADE2B1135D88}" xr6:coauthVersionLast="47" xr6:coauthVersionMax="47" xr10:uidLastSave="{00000000-0000-0000-0000-000000000000}"/>
  <bookViews>
    <workbookView xWindow="-110" yWindow="-110" windowWidth="19420" windowHeight="10300" xr2:uid="{BEA7889F-886D-4A35-A893-788799245C54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8" i="1" l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<sst xmlns="http://schemas.openxmlformats.org/spreadsheetml/2006/main" count="517" uniqueCount="110">
  <si>
    <t>Dettaglio Domande Pagabili Decreto 649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</si>
  <si>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</si>
  <si>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</si>
  <si>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</si>
  <si>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</si>
  <si>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</si>
  <si>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</si>
  <si>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</si>
  <si>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</si>
  <si>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</si>
  <si>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</si>
  <si>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</si>
  <si>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</si>
  <si>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</si>
  <si>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</si>
  <si>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</si>
  <si>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</si>
  <si>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</si>
  <si>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</si>
  <si>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</si>
  <si>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</si>
  <si>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</si>
  <si>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</si>
  <si>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</si>
  <si>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</si>
  <si>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</si>
  <si>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</si>
  <si>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</si>
  <si>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</si>
  <si>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</si>
  <si>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CAA CIA srl</t>
  </si>
  <si>
    <t>CAA CIA - ANCONA - 002</t>
  </si>
  <si>
    <t>NO</t>
  </si>
  <si>
    <t>Nuova Programmazione</t>
  </si>
  <si>
    <t>BETTARELLI ANNA</t>
  </si>
  <si>
    <t>AGEA.ASR.2023.1428100</t>
  </si>
  <si>
    <t>In Liquidazione</t>
  </si>
  <si>
    <t>Saldo</t>
  </si>
  <si>
    <t>Co-Finanziato</t>
  </si>
  <si>
    <t>Ordinario</t>
  </si>
  <si>
    <t>CAA CIA - ANCONA - 006</t>
  </si>
  <si>
    <t>PETROLATI SANTE</t>
  </si>
  <si>
    <t>SERV. DEC. AGRICOLTURA E ALIM. - MACERATA</t>
  </si>
  <si>
    <t>IN PROPRIO</t>
  </si>
  <si>
    <t>SOCIETA' AGRICOLA CRUCIANI RUGGERO &amp; C. SOCIETA' SEMPLICE</t>
  </si>
  <si>
    <t>AGEA.ASR.2023.1417339</t>
  </si>
  <si>
    <t>SERV. DEC. AGRICOLTURA E ALIMENTAZIONE - PESARO</t>
  </si>
  <si>
    <t>SI</t>
  </si>
  <si>
    <t>COMUNE DI SERRA SANT'ABBONDIO</t>
  </si>
  <si>
    <t>AGEA.ASR.2023.1428075</t>
  </si>
  <si>
    <t>CAA Coldiretti srl</t>
  </si>
  <si>
    <t>CAA Coldiretti - MACERATA - 017</t>
  </si>
  <si>
    <t>COMUNE DI FIASTRA</t>
  </si>
  <si>
    <t>AGEA.ASR.2023.1417193</t>
  </si>
  <si>
    <t>SERV. DEC. AGRICOLTURA E ALIM. -ASCOLI PICENO</t>
  </si>
  <si>
    <t>CAA UNICAA srl</t>
  </si>
  <si>
    <t>CAA UNICAA - ASCOLI PICENO - 004</t>
  </si>
  <si>
    <t>CIOTTI POMPILIO</t>
  </si>
  <si>
    <t>AGEA.ASR.2023.1429027</t>
  </si>
  <si>
    <t>BELTRANI ISABELLA</t>
  </si>
  <si>
    <t>AGEA.ASR.2023.1428106</t>
  </si>
  <si>
    <t>AGEA.ASR.2023.1417326</t>
  </si>
  <si>
    <t>C'ENTRO APPENNINO COOPERATIVA SOCIALE</t>
  </si>
  <si>
    <t>AGEA.ASR.2023.1423859</t>
  </si>
  <si>
    <t>SAL</t>
  </si>
  <si>
    <t>LUMANI ELIZABETA</t>
  </si>
  <si>
    <t>CAA LiberiAgricoltori srl già CAA AGCI srl</t>
  </si>
  <si>
    <t>CAA LiberiAgricoltori - MACERATA - 002</t>
  </si>
  <si>
    <t>FRASCARELLI MARIA PAOLA</t>
  </si>
  <si>
    <t>AGEA.ASR.2023.1426908</t>
  </si>
  <si>
    <t>Anticipo</t>
  </si>
  <si>
    <t>LEBEL MARCO</t>
  </si>
  <si>
    <t>AGEA.ASR.2023.1335843</t>
  </si>
  <si>
    <t>CAA CIA - ASCOLI PICENO - 001</t>
  </si>
  <si>
    <t>C.I.A. SERVICE GROUP S.R.L.</t>
  </si>
  <si>
    <t>AGEA.ASR.2023.1423626</t>
  </si>
  <si>
    <t>COMUNE DI BELVEDERE OSTRENSE</t>
  </si>
  <si>
    <t>AGEA.ASR.2023.1423864</t>
  </si>
  <si>
    <t>COMUNE DI ROSORA</t>
  </si>
  <si>
    <t>CARDINI VALENTINO</t>
  </si>
  <si>
    <t>AGEA.ASR.2023.1413502</t>
  </si>
  <si>
    <t>CAVALIERI ALESSANDRO</t>
  </si>
  <si>
    <t>MAOLONI GIUSEPPINA</t>
  </si>
  <si>
    <t>AGEA.ASR.2023.1428997</t>
  </si>
  <si>
    <t>COMUNE DI CASTELBELLINO</t>
  </si>
  <si>
    <t>AGEA.ASR.2023.1423869</t>
  </si>
  <si>
    <t>COMUNE DI MERGO</t>
  </si>
  <si>
    <t>AGEA.ASR.2023.1428097</t>
  </si>
  <si>
    <t>AZIENDA AGRICOLA F.LLI BERNABEI BRUNO E VINCENZO SOCIETA' SEMPLICE</t>
  </si>
  <si>
    <t>AGEA.ASR.2023.1429018</t>
  </si>
  <si>
    <t>SERV. DEC. AGRICOLTURA E ALIMENTAZIONE - ANCONA</t>
  </si>
  <si>
    <t>ISTITUTO MARCHIGIANO DI TUTELA VINI - I.M.T.</t>
  </si>
  <si>
    <t>AGEA.ASR.2023.1428591</t>
  </si>
  <si>
    <t>IMPRESA VERDE MARCHE S.R.L.</t>
  </si>
  <si>
    <t>AGEA.ASR.2023.1423628</t>
  </si>
  <si>
    <t>COMUNE DI CASTELLEONE DI SUASA</t>
  </si>
  <si>
    <t>AGEA.ASR.2023.1423851</t>
  </si>
  <si>
    <t>COMUNE DI SASSOFERRATO</t>
  </si>
  <si>
    <t>AGEA.ASR.2023.1423623</t>
  </si>
  <si>
    <t>ORAZI LEONARDO</t>
  </si>
  <si>
    <t>AGEA.ASR.2023.1429287</t>
  </si>
  <si>
    <t>SILVERI LUCA</t>
  </si>
  <si>
    <t>CAA Coldiretti - ASCOLI PICENO - 030</t>
  </si>
  <si>
    <t>SOCIATA' AGRICOLA ALEANDRI PAOLA &amp; TIZIANO SOCIETA' SEMPLICE</t>
  </si>
  <si>
    <t>AGEA.ASR.2023.1429288</t>
  </si>
  <si>
    <t>PALAZZESI STEFANIA</t>
  </si>
  <si>
    <t>AGEA.ASR.2023.1417031</t>
  </si>
  <si>
    <t>CAA CIA - PESARO E URBINO - 001</t>
  </si>
  <si>
    <t>C.I.A. SERVIZI S.R.L.</t>
  </si>
  <si>
    <t>AGEA.ASR.2023.1427094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</si>
</sst>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60C89-77E0-4499-AB22-1BFCDBD76572}">
  <sheetPr>
    <pageSetUpPr fitToPage="1"/>
  </sheetPr>
  <dimension ref="A1:Z38"/>
  <sheetViews>
    <sheetView tabSelected="1" workbookViewId="0"/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54296875" bestFit="1" customWidth="1"/>
    <col min="5" max="5" width="20.36328125" bestFit="1" customWidth="1"/>
    <col min="6" max="6" width="26.0898437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2.816406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ht="24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x14ac:dyDescent="0.3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</row>
    <row r="4" spans="1:26" ht="41.5" x14ac:dyDescent="0.35">
      <c r="A4" s="8" t="s">
        <v>27</v>
      </c>
      <c r="B4" s="8" t="s">
        <v>28</v>
      </c>
      <c r="C4" s="8" t="s">
        <v>29</v>
      </c>
      <c r="D4" s="8" t="s">
        <v>29</v>
      </c>
      <c r="E4" s="8" t="s">
        <v>30</v>
      </c>
      <c r="F4" s="8" t="s">
        <v>31</v>
      </c>
      <c r="G4" s="8">
        <v>2017</v>
      </c>
      <c r="H4" s="8" t="str">
        <f>CONCATENATE("34270354359")</f>
        <v>34270354359</v>
      </c>
      <c r="I4" s="8" t="s">
        <v>32</v>
      </c>
      <c r="J4" s="8" t="s">
        <v>33</v>
      </c>
      <c r="K4" s="8" t="str">
        <f t="shared" ref="K4:K38" si="0">CONCATENATE("")</f>
        <v/>
      </c>
      <c r="L4" s="8" t="str">
        <f>CONCATENATE("19 19.2 6b")</f>
        <v>19 19.2 6b</v>
      </c>
      <c r="M4" s="8" t="str">
        <f>CONCATENATE("BTTNNA45L57D965T")</f>
        <v>BTTNNA45L57D965T</v>
      </c>
      <c r="N4" s="8" t="s">
        <v>34</v>
      </c>
      <c r="O4" s="8" t="s">
        <v>35</v>
      </c>
      <c r="P4" s="9">
        <v>45226</v>
      </c>
      <c r="Q4" s="8" t="s">
        <v>36</v>
      </c>
      <c r="R4" s="8" t="s">
        <v>37</v>
      </c>
      <c r="S4" s="8" t="s">
        <v>38</v>
      </c>
      <c r="T4" s="8"/>
      <c r="U4" s="8" t="s">
        <v>39</v>
      </c>
      <c r="V4" s="10">
        <v>15048.95</v>
      </c>
      <c r="W4" s="10">
        <v>6489.11</v>
      </c>
      <c r="X4" s="10">
        <v>5992.49</v>
      </c>
      <c r="Y4" s="8">
        <v>0</v>
      </c>
      <c r="Z4" s="10">
        <v>2567.35</v>
      </c>
    </row>
    <row r="5" spans="1:26" ht="41.5" x14ac:dyDescent="0.35">
      <c r="A5" s="8" t="s">
        <v>27</v>
      </c>
      <c r="B5" s="8" t="s">
        <v>28</v>
      </c>
      <c r="C5" s="8" t="s">
        <v>29</v>
      </c>
      <c r="D5" s="8" t="s">
        <v>29</v>
      </c>
      <c r="E5" s="8" t="s">
        <v>30</v>
      </c>
      <c r="F5" s="8" t="s">
        <v>40</v>
      </c>
      <c r="G5" s="8">
        <v>2017</v>
      </c>
      <c r="H5" s="8" t="str">
        <f>CONCATENATE("34270354367")</f>
        <v>34270354367</v>
      </c>
      <c r="I5" s="8" t="s">
        <v>32</v>
      </c>
      <c r="J5" s="8" t="s">
        <v>33</v>
      </c>
      <c r="K5" s="8" t="str">
        <f t="shared" si="0"/>
        <v/>
      </c>
      <c r="L5" s="8" t="str">
        <f>CONCATENATE("19 19.2 6b")</f>
        <v>19 19.2 6b</v>
      </c>
      <c r="M5" s="8" t="str">
        <f>CONCATENATE("PTRSNT71L21F453H")</f>
        <v>PTRSNT71L21F453H</v>
      </c>
      <c r="N5" s="8" t="s">
        <v>41</v>
      </c>
      <c r="O5" s="8" t="s">
        <v>35</v>
      </c>
      <c r="P5" s="9">
        <v>45226</v>
      </c>
      <c r="Q5" s="8" t="s">
        <v>36</v>
      </c>
      <c r="R5" s="8" t="s">
        <v>37</v>
      </c>
      <c r="S5" s="8" t="s">
        <v>38</v>
      </c>
      <c r="T5" s="8"/>
      <c r="U5" s="8" t="s">
        <v>39</v>
      </c>
      <c r="V5" s="10">
        <v>9196.75</v>
      </c>
      <c r="W5" s="10">
        <v>3965.64</v>
      </c>
      <c r="X5" s="10">
        <v>3662.15</v>
      </c>
      <c r="Y5" s="8">
        <v>0</v>
      </c>
      <c r="Z5" s="10">
        <v>1568.96</v>
      </c>
    </row>
    <row r="6" spans="1:26" ht="25.5" x14ac:dyDescent="0.35">
      <c r="A6" s="8" t="s">
        <v>27</v>
      </c>
      <c r="B6" s="8" t="s">
        <v>28</v>
      </c>
      <c r="C6" s="8" t="s">
        <v>29</v>
      </c>
      <c r="D6" s="8" t="s">
        <v>42</v>
      </c>
      <c r="E6" s="8" t="s">
        <v>43</v>
      </c>
      <c r="F6" s="8" t="s">
        <v>43</v>
      </c>
      <c r="G6" s="8">
        <v>2017</v>
      </c>
      <c r="H6" s="8" t="str">
        <f>CONCATENATE("34270347296")</f>
        <v>34270347296</v>
      </c>
      <c r="I6" s="8" t="s">
        <v>32</v>
      </c>
      <c r="J6" s="8" t="s">
        <v>33</v>
      </c>
      <c r="K6" s="8" t="str">
        <f t="shared" si="0"/>
        <v/>
      </c>
      <c r="L6" s="8" t="str">
        <f>CONCATENATE("6 6.1 2b")</f>
        <v>6 6.1 2b</v>
      </c>
      <c r="M6" s="8" t="str">
        <f>CONCATENATE("01988400436")</f>
        <v>01988400436</v>
      </c>
      <c r="N6" s="8" t="s">
        <v>44</v>
      </c>
      <c r="O6" s="8" t="s">
        <v>45</v>
      </c>
      <c r="P6" s="9">
        <v>45226</v>
      </c>
      <c r="Q6" s="8" t="s">
        <v>36</v>
      </c>
      <c r="R6" s="8" t="s">
        <v>37</v>
      </c>
      <c r="S6" s="8" t="s">
        <v>38</v>
      </c>
      <c r="T6" s="8"/>
      <c r="U6" s="8" t="s">
        <v>39</v>
      </c>
      <c r="V6" s="10">
        <v>12000</v>
      </c>
      <c r="W6" s="10">
        <v>5174.3999999999996</v>
      </c>
      <c r="X6" s="10">
        <v>4778.3999999999996</v>
      </c>
      <c r="Y6" s="8">
        <v>0</v>
      </c>
      <c r="Z6" s="10">
        <v>2047.2</v>
      </c>
    </row>
    <row r="7" spans="1:26" ht="25.5" x14ac:dyDescent="0.35">
      <c r="A7" s="8" t="s">
        <v>27</v>
      </c>
      <c r="B7" s="8" t="s">
        <v>28</v>
      </c>
      <c r="C7" s="8" t="s">
        <v>29</v>
      </c>
      <c r="D7" s="8" t="s">
        <v>46</v>
      </c>
      <c r="E7" s="8" t="s">
        <v>43</v>
      </c>
      <c r="F7" s="8" t="s">
        <v>43</v>
      </c>
      <c r="G7" s="8">
        <v>2017</v>
      </c>
      <c r="H7" s="8" t="str">
        <f>CONCATENATE("24270242712")</f>
        <v>24270242712</v>
      </c>
      <c r="I7" s="8" t="s">
        <v>47</v>
      </c>
      <c r="J7" s="8" t="s">
        <v>33</v>
      </c>
      <c r="K7" s="8" t="str">
        <f t="shared" si="0"/>
        <v/>
      </c>
      <c r="L7" s="8" t="str">
        <f>CONCATENATE("7 7.2 6a")</f>
        <v>7 7.2 6a</v>
      </c>
      <c r="M7" s="8" t="str">
        <f>CONCATENATE("81003370418")</f>
        <v>81003370418</v>
      </c>
      <c r="N7" s="8" t="s">
        <v>48</v>
      </c>
      <c r="O7" s="8" t="s">
        <v>49</v>
      </c>
      <c r="P7" s="9">
        <v>45226</v>
      </c>
      <c r="Q7" s="8" t="s">
        <v>36</v>
      </c>
      <c r="R7" s="8" t="s">
        <v>37</v>
      </c>
      <c r="S7" s="8" t="s">
        <v>38</v>
      </c>
      <c r="T7" s="8"/>
      <c r="U7" s="8" t="s">
        <v>39</v>
      </c>
      <c r="V7" s="10">
        <v>80667.350000000006</v>
      </c>
      <c r="W7" s="10">
        <v>34783.760000000002</v>
      </c>
      <c r="X7" s="10">
        <v>32121.74</v>
      </c>
      <c r="Y7" s="8">
        <v>0</v>
      </c>
      <c r="Z7" s="10">
        <v>13761.85</v>
      </c>
    </row>
    <row r="8" spans="1:26" ht="25.5" x14ac:dyDescent="0.35">
      <c r="A8" s="8" t="s">
        <v>27</v>
      </c>
      <c r="B8" s="8" t="s">
        <v>28</v>
      </c>
      <c r="C8" s="8" t="s">
        <v>29</v>
      </c>
      <c r="D8" s="8" t="s">
        <v>42</v>
      </c>
      <c r="E8" s="8" t="s">
        <v>50</v>
      </c>
      <c r="F8" s="8" t="s">
        <v>51</v>
      </c>
      <c r="G8" s="8">
        <v>2017</v>
      </c>
      <c r="H8" s="8" t="str">
        <f>CONCATENATE("34270347288")</f>
        <v>34270347288</v>
      </c>
      <c r="I8" s="8" t="s">
        <v>32</v>
      </c>
      <c r="J8" s="8" t="s">
        <v>33</v>
      </c>
      <c r="K8" s="8" t="str">
        <f t="shared" si="0"/>
        <v/>
      </c>
      <c r="L8" s="8" t="str">
        <f>CONCATENATE("4 4.3 2a")</f>
        <v>4 4.3 2a</v>
      </c>
      <c r="M8" s="8" t="str">
        <f>CONCATENATE("81000250431")</f>
        <v>81000250431</v>
      </c>
      <c r="N8" s="8" t="s">
        <v>52</v>
      </c>
      <c r="O8" s="8" t="s">
        <v>53</v>
      </c>
      <c r="P8" s="9">
        <v>45226</v>
      </c>
      <c r="Q8" s="8" t="s">
        <v>36</v>
      </c>
      <c r="R8" s="8" t="s">
        <v>37</v>
      </c>
      <c r="S8" s="8" t="s">
        <v>38</v>
      </c>
      <c r="T8" s="8"/>
      <c r="U8" s="8" t="s">
        <v>39</v>
      </c>
      <c r="V8" s="10">
        <v>109202.49</v>
      </c>
      <c r="W8" s="10">
        <v>47088.11</v>
      </c>
      <c r="X8" s="10">
        <v>43484.43</v>
      </c>
      <c r="Y8" s="8">
        <v>0</v>
      </c>
      <c r="Z8" s="10">
        <v>18629.95</v>
      </c>
    </row>
    <row r="9" spans="1:26" ht="41.5" x14ac:dyDescent="0.35">
      <c r="A9" s="8" t="s">
        <v>27</v>
      </c>
      <c r="B9" s="8" t="s">
        <v>28</v>
      </c>
      <c r="C9" s="8" t="s">
        <v>29</v>
      </c>
      <c r="D9" s="8" t="s">
        <v>54</v>
      </c>
      <c r="E9" s="8" t="s">
        <v>55</v>
      </c>
      <c r="F9" s="8" t="s">
        <v>56</v>
      </c>
      <c r="G9" s="8">
        <v>2017</v>
      </c>
      <c r="H9" s="8" t="str">
        <f>CONCATENATE("34270356032")</f>
        <v>34270356032</v>
      </c>
      <c r="I9" s="8" t="s">
        <v>32</v>
      </c>
      <c r="J9" s="8" t="s">
        <v>33</v>
      </c>
      <c r="K9" s="8" t="str">
        <f t="shared" si="0"/>
        <v/>
      </c>
      <c r="L9" s="8" t="str">
        <f>CONCATENATE("4 4.1 2a")</f>
        <v>4 4.1 2a</v>
      </c>
      <c r="M9" s="8" t="str">
        <f>CONCATENATE("CTTPPL64P19H769G")</f>
        <v>CTTPPL64P19H769G</v>
      </c>
      <c r="N9" s="8" t="s">
        <v>57</v>
      </c>
      <c r="O9" s="8" t="s">
        <v>58</v>
      </c>
      <c r="P9" s="9">
        <v>45226</v>
      </c>
      <c r="Q9" s="8" t="s">
        <v>36</v>
      </c>
      <c r="R9" s="8" t="s">
        <v>37</v>
      </c>
      <c r="S9" s="8" t="s">
        <v>38</v>
      </c>
      <c r="T9" s="8"/>
      <c r="U9" s="8" t="s">
        <v>39</v>
      </c>
      <c r="V9" s="10">
        <v>6536.36</v>
      </c>
      <c r="W9" s="10">
        <v>2818.48</v>
      </c>
      <c r="X9" s="10">
        <v>2602.7800000000002</v>
      </c>
      <c r="Y9" s="8">
        <v>0</v>
      </c>
      <c r="Z9" s="10">
        <v>1115.0999999999999</v>
      </c>
    </row>
    <row r="10" spans="1:26" ht="41.5" x14ac:dyDescent="0.35">
      <c r="A10" s="8" t="s">
        <v>27</v>
      </c>
      <c r="B10" s="8" t="s">
        <v>28</v>
      </c>
      <c r="C10" s="8" t="s">
        <v>29</v>
      </c>
      <c r="D10" s="8" t="s">
        <v>29</v>
      </c>
      <c r="E10" s="8" t="s">
        <v>43</v>
      </c>
      <c r="F10" s="8" t="s">
        <v>43</v>
      </c>
      <c r="G10" s="8">
        <v>2017</v>
      </c>
      <c r="H10" s="8" t="str">
        <f>CONCATENATE("34270354342")</f>
        <v>34270354342</v>
      </c>
      <c r="I10" s="8" t="s">
        <v>32</v>
      </c>
      <c r="J10" s="8" t="s">
        <v>33</v>
      </c>
      <c r="K10" s="8" t="str">
        <f t="shared" si="0"/>
        <v/>
      </c>
      <c r="L10" s="8" t="str">
        <f>CONCATENATE("19 19.2 6b")</f>
        <v>19 19.2 6b</v>
      </c>
      <c r="M10" s="8" t="str">
        <f>CONCATENATE("BLTSLL62P70D211R")</f>
        <v>BLTSLL62P70D211R</v>
      </c>
      <c r="N10" s="8" t="s">
        <v>59</v>
      </c>
      <c r="O10" s="8" t="s">
        <v>60</v>
      </c>
      <c r="P10" s="9">
        <v>45226</v>
      </c>
      <c r="Q10" s="8" t="s">
        <v>36</v>
      </c>
      <c r="R10" s="8" t="s">
        <v>37</v>
      </c>
      <c r="S10" s="8" t="s">
        <v>38</v>
      </c>
      <c r="T10" s="8"/>
      <c r="U10" s="8" t="s">
        <v>39</v>
      </c>
      <c r="V10" s="10">
        <v>20000</v>
      </c>
      <c r="W10" s="10">
        <v>8624</v>
      </c>
      <c r="X10" s="10">
        <v>7964</v>
      </c>
      <c r="Y10" s="8">
        <v>0</v>
      </c>
      <c r="Z10" s="10">
        <v>3412</v>
      </c>
    </row>
    <row r="11" spans="1:26" ht="25.5" x14ac:dyDescent="0.35">
      <c r="A11" s="8" t="s">
        <v>27</v>
      </c>
      <c r="B11" s="8" t="s">
        <v>28</v>
      </c>
      <c r="C11" s="8" t="s">
        <v>29</v>
      </c>
      <c r="D11" s="8" t="s">
        <v>42</v>
      </c>
      <c r="E11" s="8" t="s">
        <v>43</v>
      </c>
      <c r="F11" s="8" t="s">
        <v>43</v>
      </c>
      <c r="G11" s="8">
        <v>2017</v>
      </c>
      <c r="H11" s="8" t="str">
        <f>CONCATENATE("34270347304")</f>
        <v>34270347304</v>
      </c>
      <c r="I11" s="8" t="s">
        <v>32</v>
      </c>
      <c r="J11" s="8" t="s">
        <v>33</v>
      </c>
      <c r="K11" s="8" t="str">
        <f t="shared" si="0"/>
        <v/>
      </c>
      <c r="L11" s="8" t="str">
        <f>CONCATENATE("4 4.1 2a")</f>
        <v>4 4.1 2a</v>
      </c>
      <c r="M11" s="8" t="str">
        <f>CONCATENATE("01988400436")</f>
        <v>01988400436</v>
      </c>
      <c r="N11" s="8" t="s">
        <v>44</v>
      </c>
      <c r="O11" s="8" t="s">
        <v>61</v>
      </c>
      <c r="P11" s="9">
        <v>45226</v>
      </c>
      <c r="Q11" s="8" t="s">
        <v>36</v>
      </c>
      <c r="R11" s="8" t="s">
        <v>37</v>
      </c>
      <c r="S11" s="8" t="s">
        <v>38</v>
      </c>
      <c r="T11" s="8"/>
      <c r="U11" s="8" t="s">
        <v>39</v>
      </c>
      <c r="V11" s="10">
        <v>27230</v>
      </c>
      <c r="W11" s="10">
        <v>11741.58</v>
      </c>
      <c r="X11" s="10">
        <v>10842.99</v>
      </c>
      <c r="Y11" s="8">
        <v>0</v>
      </c>
      <c r="Z11" s="10">
        <v>4645.43</v>
      </c>
    </row>
    <row r="12" spans="1:26" ht="25.5" x14ac:dyDescent="0.35">
      <c r="A12" s="8" t="s">
        <v>27</v>
      </c>
      <c r="B12" s="8" t="s">
        <v>28</v>
      </c>
      <c r="C12" s="8" t="s">
        <v>29</v>
      </c>
      <c r="D12" s="8" t="s">
        <v>29</v>
      </c>
      <c r="E12" s="8" t="s">
        <v>43</v>
      </c>
      <c r="F12" s="8" t="s">
        <v>43</v>
      </c>
      <c r="G12" s="8">
        <v>2017</v>
      </c>
      <c r="H12" s="8" t="str">
        <f>CONCATENATE("34270351132")</f>
        <v>34270351132</v>
      </c>
      <c r="I12" s="8" t="s">
        <v>32</v>
      </c>
      <c r="J12" s="8" t="s">
        <v>33</v>
      </c>
      <c r="K12" s="8" t="str">
        <f t="shared" si="0"/>
        <v/>
      </c>
      <c r="L12" s="8" t="str">
        <f>CONCATENATE("19 19.2 6b")</f>
        <v>19 19.2 6b</v>
      </c>
      <c r="M12" s="8" t="str">
        <f>CONCATENATE("02898390428")</f>
        <v>02898390428</v>
      </c>
      <c r="N12" s="8" t="s">
        <v>62</v>
      </c>
      <c r="O12" s="8" t="s">
        <v>63</v>
      </c>
      <c r="P12" s="9">
        <v>45226</v>
      </c>
      <c r="Q12" s="8" t="s">
        <v>36</v>
      </c>
      <c r="R12" s="8" t="s">
        <v>64</v>
      </c>
      <c r="S12" s="8" t="s">
        <v>38</v>
      </c>
      <c r="T12" s="8"/>
      <c r="U12" s="8" t="s">
        <v>39</v>
      </c>
      <c r="V12" s="10">
        <v>15000</v>
      </c>
      <c r="W12" s="10">
        <v>6468</v>
      </c>
      <c r="X12" s="10">
        <v>5973</v>
      </c>
      <c r="Y12" s="8">
        <v>0</v>
      </c>
      <c r="Z12" s="10">
        <v>2559</v>
      </c>
    </row>
    <row r="13" spans="1:26" ht="41.5" x14ac:dyDescent="0.35">
      <c r="A13" s="8" t="s">
        <v>27</v>
      </c>
      <c r="B13" s="8" t="s">
        <v>28</v>
      </c>
      <c r="C13" s="8" t="s">
        <v>29</v>
      </c>
      <c r="D13" s="8" t="s">
        <v>29</v>
      </c>
      <c r="E13" s="8" t="s">
        <v>43</v>
      </c>
      <c r="F13" s="8" t="s">
        <v>43</v>
      </c>
      <c r="G13" s="8">
        <v>2017</v>
      </c>
      <c r="H13" s="8" t="str">
        <f>CONCATENATE("34270351124")</f>
        <v>34270351124</v>
      </c>
      <c r="I13" s="8" t="s">
        <v>32</v>
      </c>
      <c r="J13" s="8" t="s">
        <v>33</v>
      </c>
      <c r="K13" s="8" t="str">
        <f t="shared" si="0"/>
        <v/>
      </c>
      <c r="L13" s="8" t="str">
        <f>CONCATENATE("19 19.2 6b")</f>
        <v>19 19.2 6b</v>
      </c>
      <c r="M13" s="8" t="str">
        <f>CONCATENATE("LMNLBT80S69Z148Q")</f>
        <v>LMNLBT80S69Z148Q</v>
      </c>
      <c r="N13" s="8" t="s">
        <v>65</v>
      </c>
      <c r="O13" s="8" t="s">
        <v>63</v>
      </c>
      <c r="P13" s="9">
        <v>45226</v>
      </c>
      <c r="Q13" s="8" t="s">
        <v>36</v>
      </c>
      <c r="R13" s="8" t="s">
        <v>37</v>
      </c>
      <c r="S13" s="8" t="s">
        <v>38</v>
      </c>
      <c r="T13" s="8"/>
      <c r="U13" s="8" t="s">
        <v>39</v>
      </c>
      <c r="V13" s="10">
        <v>35000</v>
      </c>
      <c r="W13" s="10">
        <v>15092</v>
      </c>
      <c r="X13" s="10">
        <v>13937</v>
      </c>
      <c r="Y13" s="8">
        <v>0</v>
      </c>
      <c r="Z13" s="10">
        <v>5971</v>
      </c>
    </row>
    <row r="14" spans="1:26" ht="41.5" x14ac:dyDescent="0.35">
      <c r="A14" s="8" t="s">
        <v>27</v>
      </c>
      <c r="B14" s="8" t="s">
        <v>28</v>
      </c>
      <c r="C14" s="8" t="s">
        <v>29</v>
      </c>
      <c r="D14" s="8" t="s">
        <v>46</v>
      </c>
      <c r="E14" s="8" t="s">
        <v>66</v>
      </c>
      <c r="F14" s="8" t="s">
        <v>67</v>
      </c>
      <c r="G14" s="8">
        <v>2017</v>
      </c>
      <c r="H14" s="8" t="str">
        <f>CONCATENATE("34270354334")</f>
        <v>34270354334</v>
      </c>
      <c r="I14" s="8" t="s">
        <v>32</v>
      </c>
      <c r="J14" s="8" t="s">
        <v>33</v>
      </c>
      <c r="K14" s="8" t="str">
        <f t="shared" si="0"/>
        <v/>
      </c>
      <c r="L14" s="8" t="str">
        <f>CONCATENATE("4 4.1 2a")</f>
        <v>4 4.1 2a</v>
      </c>
      <c r="M14" s="8" t="str">
        <f>CONCATENATE("FRSMPL77T52B474M")</f>
        <v>FRSMPL77T52B474M</v>
      </c>
      <c r="N14" s="8" t="s">
        <v>68</v>
      </c>
      <c r="O14" s="8" t="s">
        <v>69</v>
      </c>
      <c r="P14" s="9">
        <v>45226</v>
      </c>
      <c r="Q14" s="8" t="s">
        <v>36</v>
      </c>
      <c r="R14" s="8" t="s">
        <v>70</v>
      </c>
      <c r="S14" s="8" t="s">
        <v>38</v>
      </c>
      <c r="T14" s="8"/>
      <c r="U14" s="8" t="s">
        <v>39</v>
      </c>
      <c r="V14" s="10">
        <v>44000</v>
      </c>
      <c r="W14" s="10">
        <v>18972.8</v>
      </c>
      <c r="X14" s="10">
        <v>17520.8</v>
      </c>
      <c r="Y14" s="8">
        <v>0</v>
      </c>
      <c r="Z14" s="10">
        <v>7506.4</v>
      </c>
    </row>
    <row r="15" spans="1:26" ht="41.5" x14ac:dyDescent="0.35">
      <c r="A15" s="8" t="s">
        <v>27</v>
      </c>
      <c r="B15" s="8" t="s">
        <v>28</v>
      </c>
      <c r="C15" s="8" t="s">
        <v>29</v>
      </c>
      <c r="D15" s="8" t="s">
        <v>29</v>
      </c>
      <c r="E15" s="8" t="s">
        <v>43</v>
      </c>
      <c r="F15" s="8" t="s">
        <v>43</v>
      </c>
      <c r="G15" s="8">
        <v>2017</v>
      </c>
      <c r="H15" s="8" t="str">
        <f>CONCATENATE("34270320194")</f>
        <v>34270320194</v>
      </c>
      <c r="I15" s="8" t="s">
        <v>32</v>
      </c>
      <c r="J15" s="8" t="s">
        <v>33</v>
      </c>
      <c r="K15" s="8" t="str">
        <f t="shared" si="0"/>
        <v/>
      </c>
      <c r="L15" s="8" t="str">
        <f>CONCATENATE("19 19.2 6b")</f>
        <v>19 19.2 6b</v>
      </c>
      <c r="M15" s="8" t="str">
        <f>CONCATENATE("LBLMRC76P05D451J")</f>
        <v>LBLMRC76P05D451J</v>
      </c>
      <c r="N15" s="8" t="s">
        <v>71</v>
      </c>
      <c r="O15" s="8" t="s">
        <v>72</v>
      </c>
      <c r="P15" s="9">
        <v>45184</v>
      </c>
      <c r="Q15" s="8" t="s">
        <v>36</v>
      </c>
      <c r="R15" s="8" t="s">
        <v>70</v>
      </c>
      <c r="S15" s="8" t="s">
        <v>38</v>
      </c>
      <c r="T15" s="8"/>
      <c r="U15" s="8" t="s">
        <v>39</v>
      </c>
      <c r="V15" s="10">
        <v>10673</v>
      </c>
      <c r="W15" s="10">
        <v>4602.2</v>
      </c>
      <c r="X15" s="10">
        <v>4249.99</v>
      </c>
      <c r="Y15" s="8">
        <v>0</v>
      </c>
      <c r="Z15" s="10">
        <v>1820.81</v>
      </c>
    </row>
    <row r="16" spans="1:26" ht="25.5" x14ac:dyDescent="0.35">
      <c r="A16" s="8" t="s">
        <v>27</v>
      </c>
      <c r="B16" s="8" t="s">
        <v>28</v>
      </c>
      <c r="C16" s="8" t="s">
        <v>29</v>
      </c>
      <c r="D16" s="8" t="s">
        <v>54</v>
      </c>
      <c r="E16" s="8" t="s">
        <v>30</v>
      </c>
      <c r="F16" s="8" t="s">
        <v>73</v>
      </c>
      <c r="G16" s="8">
        <v>2017</v>
      </c>
      <c r="H16" s="8" t="str">
        <f>CONCATENATE("34270351074")</f>
        <v>34270351074</v>
      </c>
      <c r="I16" s="8" t="s">
        <v>32</v>
      </c>
      <c r="J16" s="8" t="s">
        <v>33</v>
      </c>
      <c r="K16" s="8" t="str">
        <f t="shared" si="0"/>
        <v/>
      </c>
      <c r="L16" s="8" t="str">
        <f>CONCATENATE("1 1.1 2a")</f>
        <v>1 1.1 2a</v>
      </c>
      <c r="M16" s="8" t="str">
        <f>CONCATENATE("01632720445")</f>
        <v>01632720445</v>
      </c>
      <c r="N16" s="8" t="s">
        <v>74</v>
      </c>
      <c r="O16" s="8" t="s">
        <v>75</v>
      </c>
      <c r="P16" s="9">
        <v>45226</v>
      </c>
      <c r="Q16" s="8" t="s">
        <v>36</v>
      </c>
      <c r="R16" s="8" t="s">
        <v>37</v>
      </c>
      <c r="S16" s="8" t="s">
        <v>38</v>
      </c>
      <c r="T16" s="8"/>
      <c r="U16" s="8" t="s">
        <v>39</v>
      </c>
      <c r="V16" s="10">
        <v>5632</v>
      </c>
      <c r="W16" s="10">
        <v>2428.52</v>
      </c>
      <c r="X16" s="10">
        <v>2242.66</v>
      </c>
      <c r="Y16" s="8">
        <v>0</v>
      </c>
      <c r="Z16" s="8">
        <v>960.82</v>
      </c>
    </row>
    <row r="17" spans="1:26" ht="25.5" x14ac:dyDescent="0.35">
      <c r="A17" s="8" t="s">
        <v>27</v>
      </c>
      <c r="B17" s="8" t="s">
        <v>28</v>
      </c>
      <c r="C17" s="8" t="s">
        <v>29</v>
      </c>
      <c r="D17" s="8" t="s">
        <v>29</v>
      </c>
      <c r="E17" s="8" t="s">
        <v>43</v>
      </c>
      <c r="F17" s="8" t="s">
        <v>43</v>
      </c>
      <c r="G17" s="8">
        <v>2017</v>
      </c>
      <c r="H17" s="8" t="str">
        <f>CONCATENATE("34270351140")</f>
        <v>34270351140</v>
      </c>
      <c r="I17" s="8" t="s">
        <v>32</v>
      </c>
      <c r="J17" s="8" t="s">
        <v>33</v>
      </c>
      <c r="K17" s="8" t="str">
        <f t="shared" si="0"/>
        <v/>
      </c>
      <c r="L17" s="8" t="str">
        <f>CONCATENATE("19 19.2 6b")</f>
        <v>19 19.2 6b</v>
      </c>
      <c r="M17" s="8" t="str">
        <f>CONCATENATE("00185520426")</f>
        <v>00185520426</v>
      </c>
      <c r="N17" s="8" t="s">
        <v>76</v>
      </c>
      <c r="O17" s="8" t="s">
        <v>77</v>
      </c>
      <c r="P17" s="9">
        <v>45226</v>
      </c>
      <c r="Q17" s="8" t="s">
        <v>36</v>
      </c>
      <c r="R17" s="8" t="s">
        <v>37</v>
      </c>
      <c r="S17" s="8" t="s">
        <v>38</v>
      </c>
      <c r="T17" s="8"/>
      <c r="U17" s="8" t="s">
        <v>39</v>
      </c>
      <c r="V17" s="10">
        <v>50857.9</v>
      </c>
      <c r="W17" s="10">
        <v>21929.93</v>
      </c>
      <c r="X17" s="10">
        <v>20251.62</v>
      </c>
      <c r="Y17" s="8">
        <v>0</v>
      </c>
      <c r="Z17" s="10">
        <v>8676.35</v>
      </c>
    </row>
    <row r="18" spans="1:26" ht="25.5" x14ac:dyDescent="0.35">
      <c r="A18" s="8" t="s">
        <v>27</v>
      </c>
      <c r="B18" s="8" t="s">
        <v>28</v>
      </c>
      <c r="C18" s="8" t="s">
        <v>29</v>
      </c>
      <c r="D18" s="8" t="s">
        <v>29</v>
      </c>
      <c r="E18" s="8" t="s">
        <v>43</v>
      </c>
      <c r="F18" s="8" t="s">
        <v>43</v>
      </c>
      <c r="G18" s="8">
        <v>2017</v>
      </c>
      <c r="H18" s="8" t="str">
        <f>CONCATENATE("34270351157")</f>
        <v>34270351157</v>
      </c>
      <c r="I18" s="8" t="s">
        <v>32</v>
      </c>
      <c r="J18" s="8" t="s">
        <v>33</v>
      </c>
      <c r="K18" s="8" t="str">
        <f t="shared" si="0"/>
        <v/>
      </c>
      <c r="L18" s="8" t="str">
        <f>CONCATENATE("19 19.2 6b")</f>
        <v>19 19.2 6b</v>
      </c>
      <c r="M18" s="8" t="str">
        <f>CONCATENATE("00279310429")</f>
        <v>00279310429</v>
      </c>
      <c r="N18" s="8" t="s">
        <v>78</v>
      </c>
      <c r="O18" s="8" t="s">
        <v>77</v>
      </c>
      <c r="P18" s="9">
        <v>45226</v>
      </c>
      <c r="Q18" s="8" t="s">
        <v>36</v>
      </c>
      <c r="R18" s="8" t="s">
        <v>37</v>
      </c>
      <c r="S18" s="8" t="s">
        <v>38</v>
      </c>
      <c r="T18" s="8"/>
      <c r="U18" s="8" t="s">
        <v>39</v>
      </c>
      <c r="V18" s="10">
        <v>5998.49</v>
      </c>
      <c r="W18" s="10">
        <v>2586.5500000000002</v>
      </c>
      <c r="X18" s="10">
        <v>2388.6</v>
      </c>
      <c r="Y18" s="8">
        <v>0</v>
      </c>
      <c r="Z18" s="10">
        <v>1023.34</v>
      </c>
    </row>
    <row r="19" spans="1:26" ht="41.5" x14ac:dyDescent="0.35">
      <c r="A19" s="8" t="s">
        <v>27</v>
      </c>
      <c r="B19" s="8" t="s">
        <v>28</v>
      </c>
      <c r="C19" s="8" t="s">
        <v>29</v>
      </c>
      <c r="D19" s="8" t="s">
        <v>42</v>
      </c>
      <c r="E19" s="8" t="s">
        <v>43</v>
      </c>
      <c r="F19" s="8" t="s">
        <v>43</v>
      </c>
      <c r="G19" s="8">
        <v>2017</v>
      </c>
      <c r="H19" s="8" t="str">
        <f>CONCATENATE("34270343345")</f>
        <v>34270343345</v>
      </c>
      <c r="I19" s="8" t="s">
        <v>32</v>
      </c>
      <c r="J19" s="8" t="s">
        <v>33</v>
      </c>
      <c r="K19" s="8" t="str">
        <f t="shared" si="0"/>
        <v/>
      </c>
      <c r="L19" s="8" t="str">
        <f>CONCATENATE("6 6.1 2b")</f>
        <v>6 6.1 2b</v>
      </c>
      <c r="M19" s="8" t="str">
        <f>CONCATENATE("CRDVNT76M18L191O")</f>
        <v>CRDVNT76M18L191O</v>
      </c>
      <c r="N19" s="8" t="s">
        <v>79</v>
      </c>
      <c r="O19" s="8" t="s">
        <v>80</v>
      </c>
      <c r="P19" s="9">
        <v>45226</v>
      </c>
      <c r="Q19" s="8" t="s">
        <v>36</v>
      </c>
      <c r="R19" s="8" t="s">
        <v>37</v>
      </c>
      <c r="S19" s="8" t="s">
        <v>38</v>
      </c>
      <c r="T19" s="8"/>
      <c r="U19" s="8" t="s">
        <v>39</v>
      </c>
      <c r="V19" s="10">
        <v>10185</v>
      </c>
      <c r="W19" s="10">
        <v>4391.7700000000004</v>
      </c>
      <c r="X19" s="10">
        <v>4055.67</v>
      </c>
      <c r="Y19" s="8">
        <v>0</v>
      </c>
      <c r="Z19" s="10">
        <v>1737.56</v>
      </c>
    </row>
    <row r="20" spans="1:26" ht="41.5" x14ac:dyDescent="0.35">
      <c r="A20" s="8" t="s">
        <v>27</v>
      </c>
      <c r="B20" s="8" t="s">
        <v>28</v>
      </c>
      <c r="C20" s="8" t="s">
        <v>29</v>
      </c>
      <c r="D20" s="8" t="s">
        <v>42</v>
      </c>
      <c r="E20" s="8" t="s">
        <v>43</v>
      </c>
      <c r="F20" s="8" t="s">
        <v>43</v>
      </c>
      <c r="G20" s="8">
        <v>2017</v>
      </c>
      <c r="H20" s="8" t="str">
        <f>CONCATENATE("24270241540")</f>
        <v>24270241540</v>
      </c>
      <c r="I20" s="8" t="s">
        <v>32</v>
      </c>
      <c r="J20" s="8" t="s">
        <v>33</v>
      </c>
      <c r="K20" s="8" t="str">
        <f t="shared" si="0"/>
        <v/>
      </c>
      <c r="L20" s="8" t="str">
        <f>CONCATENATE("6 6.1 2b")</f>
        <v>6 6.1 2b</v>
      </c>
      <c r="M20" s="8" t="str">
        <f>CONCATENATE("CVLLSN95C02E783I")</f>
        <v>CVLLSN95C02E783I</v>
      </c>
      <c r="N20" s="8" t="s">
        <v>81</v>
      </c>
      <c r="O20" s="8" t="s">
        <v>80</v>
      </c>
      <c r="P20" s="9">
        <v>45226</v>
      </c>
      <c r="Q20" s="8" t="s">
        <v>36</v>
      </c>
      <c r="R20" s="8" t="s">
        <v>37</v>
      </c>
      <c r="S20" s="8" t="s">
        <v>38</v>
      </c>
      <c r="T20" s="8"/>
      <c r="U20" s="8" t="s">
        <v>39</v>
      </c>
      <c r="V20" s="10">
        <v>10185</v>
      </c>
      <c r="W20" s="10">
        <v>4391.7700000000004</v>
      </c>
      <c r="X20" s="10">
        <v>4055.67</v>
      </c>
      <c r="Y20" s="8">
        <v>0</v>
      </c>
      <c r="Z20" s="10">
        <v>1737.56</v>
      </c>
    </row>
    <row r="21" spans="1:26" ht="41.5" x14ac:dyDescent="0.35">
      <c r="A21" s="8" t="s">
        <v>27</v>
      </c>
      <c r="B21" s="8" t="s">
        <v>28</v>
      </c>
      <c r="C21" s="8" t="s">
        <v>29</v>
      </c>
      <c r="D21" s="8" t="s">
        <v>54</v>
      </c>
      <c r="E21" s="8" t="s">
        <v>55</v>
      </c>
      <c r="F21" s="8" t="s">
        <v>56</v>
      </c>
      <c r="G21" s="8">
        <v>2017</v>
      </c>
      <c r="H21" s="8" t="str">
        <f>CONCATENATE("34270356131")</f>
        <v>34270356131</v>
      </c>
      <c r="I21" s="8" t="s">
        <v>32</v>
      </c>
      <c r="J21" s="8" t="s">
        <v>33</v>
      </c>
      <c r="K21" s="8" t="str">
        <f t="shared" si="0"/>
        <v/>
      </c>
      <c r="L21" s="8" t="str">
        <f>CONCATENATE("4 4.1 2a")</f>
        <v>4 4.1 2a</v>
      </c>
      <c r="M21" s="8" t="str">
        <f>CONCATENATE("MLNGPP49H52C877H")</f>
        <v>MLNGPP49H52C877H</v>
      </c>
      <c r="N21" s="8" t="s">
        <v>82</v>
      </c>
      <c r="O21" s="8" t="s">
        <v>83</v>
      </c>
      <c r="P21" s="9">
        <v>45226</v>
      </c>
      <c r="Q21" s="8" t="s">
        <v>36</v>
      </c>
      <c r="R21" s="8" t="s">
        <v>37</v>
      </c>
      <c r="S21" s="8" t="s">
        <v>38</v>
      </c>
      <c r="T21" s="8"/>
      <c r="U21" s="8" t="s">
        <v>39</v>
      </c>
      <c r="V21" s="10">
        <v>82819.839999999997</v>
      </c>
      <c r="W21" s="10">
        <v>35711.919999999998</v>
      </c>
      <c r="X21" s="10">
        <v>32978.86</v>
      </c>
      <c r="Y21" s="8">
        <v>0</v>
      </c>
      <c r="Z21" s="10">
        <v>14129.06</v>
      </c>
    </row>
    <row r="22" spans="1:26" ht="25.5" x14ac:dyDescent="0.35">
      <c r="A22" s="8" t="s">
        <v>27</v>
      </c>
      <c r="B22" s="8" t="s">
        <v>28</v>
      </c>
      <c r="C22" s="8" t="s">
        <v>29</v>
      </c>
      <c r="D22" s="8" t="s">
        <v>29</v>
      </c>
      <c r="E22" s="8" t="s">
        <v>43</v>
      </c>
      <c r="F22" s="8" t="s">
        <v>43</v>
      </c>
      <c r="G22" s="8">
        <v>2017</v>
      </c>
      <c r="H22" s="8" t="str">
        <f>CONCATENATE("34270351173")</f>
        <v>34270351173</v>
      </c>
      <c r="I22" s="8" t="s">
        <v>32</v>
      </c>
      <c r="J22" s="8" t="s">
        <v>33</v>
      </c>
      <c r="K22" s="8" t="str">
        <f t="shared" si="0"/>
        <v/>
      </c>
      <c r="L22" s="8" t="str">
        <f>CONCATENATE("19 19.2 6b")</f>
        <v>19 19.2 6b</v>
      </c>
      <c r="M22" s="8" t="str">
        <f>CONCATENATE("82002250429")</f>
        <v>82002250429</v>
      </c>
      <c r="N22" s="8" t="s">
        <v>84</v>
      </c>
      <c r="O22" s="8" t="s">
        <v>85</v>
      </c>
      <c r="P22" s="9">
        <v>45226</v>
      </c>
      <c r="Q22" s="8" t="s">
        <v>36</v>
      </c>
      <c r="R22" s="8" t="s">
        <v>37</v>
      </c>
      <c r="S22" s="8" t="s">
        <v>38</v>
      </c>
      <c r="T22" s="8"/>
      <c r="U22" s="8" t="s">
        <v>39</v>
      </c>
      <c r="V22" s="10">
        <v>69619.710000000006</v>
      </c>
      <c r="W22" s="10">
        <v>30020.02</v>
      </c>
      <c r="X22" s="10">
        <v>27722.57</v>
      </c>
      <c r="Y22" s="8">
        <v>0</v>
      </c>
      <c r="Z22" s="10">
        <v>11877.12</v>
      </c>
    </row>
    <row r="23" spans="1:26" ht="25.5" x14ac:dyDescent="0.35">
      <c r="A23" s="8" t="s">
        <v>27</v>
      </c>
      <c r="B23" s="8" t="s">
        <v>28</v>
      </c>
      <c r="C23" s="8" t="s">
        <v>29</v>
      </c>
      <c r="D23" s="8" t="s">
        <v>29</v>
      </c>
      <c r="E23" s="8" t="s">
        <v>43</v>
      </c>
      <c r="F23" s="8" t="s">
        <v>43</v>
      </c>
      <c r="G23" s="8">
        <v>2017</v>
      </c>
      <c r="H23" s="8" t="str">
        <f>CONCATENATE("34270353617")</f>
        <v>34270353617</v>
      </c>
      <c r="I23" s="8" t="s">
        <v>32</v>
      </c>
      <c r="J23" s="8" t="s">
        <v>33</v>
      </c>
      <c r="K23" s="8" t="str">
        <f t="shared" si="0"/>
        <v/>
      </c>
      <c r="L23" s="8" t="str">
        <f>CONCATENATE("19 19.2 6b")</f>
        <v>19 19.2 6b</v>
      </c>
      <c r="M23" s="8" t="str">
        <f>CONCATENATE("00389190422")</f>
        <v>00389190422</v>
      </c>
      <c r="N23" s="8" t="s">
        <v>86</v>
      </c>
      <c r="O23" s="8" t="s">
        <v>87</v>
      </c>
      <c r="P23" s="9">
        <v>45226</v>
      </c>
      <c r="Q23" s="8" t="s">
        <v>36</v>
      </c>
      <c r="R23" s="8" t="s">
        <v>37</v>
      </c>
      <c r="S23" s="8" t="s">
        <v>38</v>
      </c>
      <c r="T23" s="8"/>
      <c r="U23" s="8" t="s">
        <v>39</v>
      </c>
      <c r="V23" s="10">
        <v>8443.19</v>
      </c>
      <c r="W23" s="10">
        <v>3640.7</v>
      </c>
      <c r="X23" s="10">
        <v>3362.08</v>
      </c>
      <c r="Y23" s="8">
        <v>0</v>
      </c>
      <c r="Z23" s="10">
        <v>1440.41</v>
      </c>
    </row>
    <row r="24" spans="1:26" ht="25.5" x14ac:dyDescent="0.35">
      <c r="A24" s="8" t="s">
        <v>27</v>
      </c>
      <c r="B24" s="8" t="s">
        <v>28</v>
      </c>
      <c r="C24" s="8" t="s">
        <v>29</v>
      </c>
      <c r="D24" s="8" t="s">
        <v>54</v>
      </c>
      <c r="E24" s="8" t="s">
        <v>43</v>
      </c>
      <c r="F24" s="8" t="s">
        <v>43</v>
      </c>
      <c r="G24" s="8">
        <v>2017</v>
      </c>
      <c r="H24" s="8" t="str">
        <f>CONCATENATE("34270356149")</f>
        <v>34270356149</v>
      </c>
      <c r="I24" s="8" t="s">
        <v>32</v>
      </c>
      <c r="J24" s="8" t="s">
        <v>33</v>
      </c>
      <c r="K24" s="8" t="str">
        <f t="shared" si="0"/>
        <v/>
      </c>
      <c r="L24" s="8" t="str">
        <f>CONCATENATE("4 4.1 2a")</f>
        <v>4 4.1 2a</v>
      </c>
      <c r="M24" s="8" t="str">
        <f>CONCATENATE("01034240448")</f>
        <v>01034240448</v>
      </c>
      <c r="N24" s="8" t="s">
        <v>88</v>
      </c>
      <c r="O24" s="8" t="s">
        <v>89</v>
      </c>
      <c r="P24" s="9">
        <v>45226</v>
      </c>
      <c r="Q24" s="8" t="s">
        <v>36</v>
      </c>
      <c r="R24" s="8" t="s">
        <v>37</v>
      </c>
      <c r="S24" s="8" t="s">
        <v>38</v>
      </c>
      <c r="T24" s="8"/>
      <c r="U24" s="8" t="s">
        <v>39</v>
      </c>
      <c r="V24" s="10">
        <v>45958.78</v>
      </c>
      <c r="W24" s="10">
        <v>19817.43</v>
      </c>
      <c r="X24" s="10">
        <v>18300.79</v>
      </c>
      <c r="Y24" s="8">
        <v>0</v>
      </c>
      <c r="Z24" s="10">
        <v>7840.56</v>
      </c>
    </row>
    <row r="25" spans="1:26" ht="25.5" x14ac:dyDescent="0.35">
      <c r="A25" s="8" t="s">
        <v>27</v>
      </c>
      <c r="B25" s="8" t="s">
        <v>28</v>
      </c>
      <c r="C25" s="8" t="s">
        <v>29</v>
      </c>
      <c r="D25" s="8" t="s">
        <v>90</v>
      </c>
      <c r="E25" s="8" t="s">
        <v>43</v>
      </c>
      <c r="F25" s="8" t="s">
        <v>43</v>
      </c>
      <c r="G25" s="8">
        <v>2017</v>
      </c>
      <c r="H25" s="8" t="str">
        <f>CONCATENATE("34270355695")</f>
        <v>34270355695</v>
      </c>
      <c r="I25" s="8" t="s">
        <v>32</v>
      </c>
      <c r="J25" s="8" t="s">
        <v>33</v>
      </c>
      <c r="K25" s="8" t="str">
        <f t="shared" si="0"/>
        <v/>
      </c>
      <c r="L25" s="8" t="str">
        <f>CONCATENATE("3 3.2 3a")</f>
        <v>3 3.2 3a</v>
      </c>
      <c r="M25" s="8" t="str">
        <f>CONCATENATE("01584420424")</f>
        <v>01584420424</v>
      </c>
      <c r="N25" s="8" t="s">
        <v>91</v>
      </c>
      <c r="O25" s="8" t="s">
        <v>92</v>
      </c>
      <c r="P25" s="9">
        <v>45226</v>
      </c>
      <c r="Q25" s="8" t="s">
        <v>36</v>
      </c>
      <c r="R25" s="8" t="s">
        <v>64</v>
      </c>
      <c r="S25" s="8" t="s">
        <v>38</v>
      </c>
      <c r="T25" s="8"/>
      <c r="U25" s="8" t="s">
        <v>39</v>
      </c>
      <c r="V25" s="10">
        <v>367102.2</v>
      </c>
      <c r="W25" s="10">
        <v>158294.47</v>
      </c>
      <c r="X25" s="10">
        <v>146180.1</v>
      </c>
      <c r="Y25" s="8">
        <v>0</v>
      </c>
      <c r="Z25" s="10">
        <v>62627.63</v>
      </c>
    </row>
    <row r="26" spans="1:26" ht="25.5" x14ac:dyDescent="0.35">
      <c r="A26" s="8" t="s">
        <v>27</v>
      </c>
      <c r="B26" s="8" t="s">
        <v>28</v>
      </c>
      <c r="C26" s="8" t="s">
        <v>29</v>
      </c>
      <c r="D26" s="8" t="s">
        <v>42</v>
      </c>
      <c r="E26" s="8" t="s">
        <v>43</v>
      </c>
      <c r="F26" s="8" t="s">
        <v>43</v>
      </c>
      <c r="G26" s="8">
        <v>2017</v>
      </c>
      <c r="H26" s="8" t="str">
        <f>CONCATENATE("34270351082")</f>
        <v>34270351082</v>
      </c>
      <c r="I26" s="8" t="s">
        <v>32</v>
      </c>
      <c r="J26" s="8" t="s">
        <v>33</v>
      </c>
      <c r="K26" s="8" t="str">
        <f t="shared" si="0"/>
        <v/>
      </c>
      <c r="L26" s="8" t="str">
        <f>CONCATENATE("1 1.1 2a")</f>
        <v>1 1.1 2a</v>
      </c>
      <c r="M26" s="8" t="str">
        <f>CONCATENATE("02051370423")</f>
        <v>02051370423</v>
      </c>
      <c r="N26" s="8" t="s">
        <v>93</v>
      </c>
      <c r="O26" s="8" t="s">
        <v>94</v>
      </c>
      <c r="P26" s="9">
        <v>45226</v>
      </c>
      <c r="Q26" s="8" t="s">
        <v>36</v>
      </c>
      <c r="R26" s="8" t="s">
        <v>37</v>
      </c>
      <c r="S26" s="8" t="s">
        <v>38</v>
      </c>
      <c r="T26" s="8"/>
      <c r="U26" s="8" t="s">
        <v>39</v>
      </c>
      <c r="V26" s="10">
        <v>1760</v>
      </c>
      <c r="W26" s="8">
        <v>758.91</v>
      </c>
      <c r="X26" s="8">
        <v>700.83</v>
      </c>
      <c r="Y26" s="8">
        <v>0</v>
      </c>
      <c r="Z26" s="8">
        <v>300.26</v>
      </c>
    </row>
    <row r="27" spans="1:26" ht="25.5" x14ac:dyDescent="0.35">
      <c r="A27" s="8" t="s">
        <v>27</v>
      </c>
      <c r="B27" s="8" t="s">
        <v>28</v>
      </c>
      <c r="C27" s="8" t="s">
        <v>29</v>
      </c>
      <c r="D27" s="8" t="s">
        <v>42</v>
      </c>
      <c r="E27" s="8" t="s">
        <v>43</v>
      </c>
      <c r="F27" s="8" t="s">
        <v>43</v>
      </c>
      <c r="G27" s="8">
        <v>2017</v>
      </c>
      <c r="H27" s="8" t="str">
        <f>CONCATENATE("34270351090")</f>
        <v>34270351090</v>
      </c>
      <c r="I27" s="8" t="s">
        <v>32</v>
      </c>
      <c r="J27" s="8" t="s">
        <v>33</v>
      </c>
      <c r="K27" s="8" t="str">
        <f t="shared" si="0"/>
        <v/>
      </c>
      <c r="L27" s="8" t="str">
        <f>CONCATENATE("1 1.1 2a")</f>
        <v>1 1.1 2a</v>
      </c>
      <c r="M27" s="8" t="str">
        <f>CONCATENATE("02051370423")</f>
        <v>02051370423</v>
      </c>
      <c r="N27" s="8" t="s">
        <v>93</v>
      </c>
      <c r="O27" s="8" t="s">
        <v>94</v>
      </c>
      <c r="P27" s="9">
        <v>45226</v>
      </c>
      <c r="Q27" s="8" t="s">
        <v>36</v>
      </c>
      <c r="R27" s="8" t="s">
        <v>37</v>
      </c>
      <c r="S27" s="8" t="s">
        <v>38</v>
      </c>
      <c r="T27" s="8"/>
      <c r="U27" s="8" t="s">
        <v>39</v>
      </c>
      <c r="V27" s="10">
        <v>1683</v>
      </c>
      <c r="W27" s="8">
        <v>725.71</v>
      </c>
      <c r="X27" s="8">
        <v>670.17</v>
      </c>
      <c r="Y27" s="8">
        <v>0</v>
      </c>
      <c r="Z27" s="8">
        <v>287.12</v>
      </c>
    </row>
    <row r="28" spans="1:26" ht="25.5" x14ac:dyDescent="0.35">
      <c r="A28" s="8" t="s">
        <v>27</v>
      </c>
      <c r="B28" s="8" t="s">
        <v>28</v>
      </c>
      <c r="C28" s="8" t="s">
        <v>29</v>
      </c>
      <c r="D28" s="8" t="s">
        <v>29</v>
      </c>
      <c r="E28" s="8" t="s">
        <v>43</v>
      </c>
      <c r="F28" s="8" t="s">
        <v>43</v>
      </c>
      <c r="G28" s="8">
        <v>2017</v>
      </c>
      <c r="H28" s="8" t="str">
        <f>CONCATENATE("34270351116")</f>
        <v>34270351116</v>
      </c>
      <c r="I28" s="8" t="s">
        <v>32</v>
      </c>
      <c r="J28" s="8" t="s">
        <v>33</v>
      </c>
      <c r="K28" s="8" t="str">
        <f t="shared" si="0"/>
        <v/>
      </c>
      <c r="L28" s="8" t="str">
        <f>CONCATENATE("19 19.2 6b")</f>
        <v>19 19.2 6b</v>
      </c>
      <c r="M28" s="8" t="str">
        <f>CONCATENATE("00176190429")</f>
        <v>00176190429</v>
      </c>
      <c r="N28" s="8" t="s">
        <v>95</v>
      </c>
      <c r="O28" s="8" t="s">
        <v>96</v>
      </c>
      <c r="P28" s="9">
        <v>45226</v>
      </c>
      <c r="Q28" s="8" t="s">
        <v>36</v>
      </c>
      <c r="R28" s="8" t="s">
        <v>70</v>
      </c>
      <c r="S28" s="8" t="s">
        <v>38</v>
      </c>
      <c r="T28" s="8"/>
      <c r="U28" s="8" t="s">
        <v>39</v>
      </c>
      <c r="V28" s="10">
        <v>76972.460000000006</v>
      </c>
      <c r="W28" s="10">
        <v>33190.519999999997</v>
      </c>
      <c r="X28" s="10">
        <v>30650.43</v>
      </c>
      <c r="Y28" s="8">
        <v>0</v>
      </c>
      <c r="Z28" s="10">
        <v>13131.51</v>
      </c>
    </row>
    <row r="29" spans="1:26" ht="25.5" x14ac:dyDescent="0.35">
      <c r="A29" s="8" t="s">
        <v>27</v>
      </c>
      <c r="B29" s="8" t="s">
        <v>28</v>
      </c>
      <c r="C29" s="8" t="s">
        <v>29</v>
      </c>
      <c r="D29" s="8" t="s">
        <v>29</v>
      </c>
      <c r="E29" s="8" t="s">
        <v>43</v>
      </c>
      <c r="F29" s="8" t="s">
        <v>43</v>
      </c>
      <c r="G29" s="8">
        <v>2017</v>
      </c>
      <c r="H29" s="8" t="str">
        <f>CONCATENATE("34270351108")</f>
        <v>34270351108</v>
      </c>
      <c r="I29" s="8" t="s">
        <v>32</v>
      </c>
      <c r="J29" s="8" t="s">
        <v>33</v>
      </c>
      <c r="K29" s="8" t="str">
        <f t="shared" si="0"/>
        <v/>
      </c>
      <c r="L29" s="8" t="str">
        <f>CONCATENATE("19 19.2 6b")</f>
        <v>19 19.2 6b</v>
      </c>
      <c r="M29" s="8" t="str">
        <f>CONCATENATE("00172960429")</f>
        <v>00172960429</v>
      </c>
      <c r="N29" s="8" t="s">
        <v>97</v>
      </c>
      <c r="O29" s="8" t="s">
        <v>96</v>
      </c>
      <c r="P29" s="9">
        <v>45226</v>
      </c>
      <c r="Q29" s="8" t="s">
        <v>36</v>
      </c>
      <c r="R29" s="8" t="s">
        <v>70</v>
      </c>
      <c r="S29" s="8" t="s">
        <v>38</v>
      </c>
      <c r="T29" s="8"/>
      <c r="U29" s="8" t="s">
        <v>39</v>
      </c>
      <c r="V29" s="10">
        <v>107989.2</v>
      </c>
      <c r="W29" s="10">
        <v>46564.94</v>
      </c>
      <c r="X29" s="10">
        <v>43001.3</v>
      </c>
      <c r="Y29" s="8">
        <v>0</v>
      </c>
      <c r="Z29" s="10">
        <v>18422.96</v>
      </c>
    </row>
    <row r="30" spans="1:26" ht="25.5" x14ac:dyDescent="0.35">
      <c r="A30" s="8" t="s">
        <v>27</v>
      </c>
      <c r="B30" s="8" t="s">
        <v>28</v>
      </c>
      <c r="C30" s="8" t="s">
        <v>29</v>
      </c>
      <c r="D30" s="8" t="s">
        <v>54</v>
      </c>
      <c r="E30" s="8" t="s">
        <v>43</v>
      </c>
      <c r="F30" s="8" t="s">
        <v>43</v>
      </c>
      <c r="G30" s="8">
        <v>2017</v>
      </c>
      <c r="H30" s="8" t="str">
        <f>CONCATENATE("34270350985")</f>
        <v>34270350985</v>
      </c>
      <c r="I30" s="8" t="s">
        <v>32</v>
      </c>
      <c r="J30" s="8" t="s">
        <v>33</v>
      </c>
      <c r="K30" s="8" t="str">
        <f t="shared" si="0"/>
        <v/>
      </c>
      <c r="L30" s="8" t="str">
        <f>CONCATENATE("1 1.2 2a")</f>
        <v>1 1.2 2a</v>
      </c>
      <c r="M30" s="8" t="str">
        <f>CONCATENATE("02051370423")</f>
        <v>02051370423</v>
      </c>
      <c r="N30" s="8" t="s">
        <v>93</v>
      </c>
      <c r="O30" s="8" t="s">
        <v>98</v>
      </c>
      <c r="P30" s="9">
        <v>45226</v>
      </c>
      <c r="Q30" s="8" t="s">
        <v>36</v>
      </c>
      <c r="R30" s="8" t="s">
        <v>37</v>
      </c>
      <c r="S30" s="8" t="s">
        <v>38</v>
      </c>
      <c r="T30" s="8"/>
      <c r="U30" s="8" t="s">
        <v>39</v>
      </c>
      <c r="V30" s="10">
        <v>80000</v>
      </c>
      <c r="W30" s="10">
        <v>34496</v>
      </c>
      <c r="X30" s="10">
        <v>31856</v>
      </c>
      <c r="Y30" s="8">
        <v>0</v>
      </c>
      <c r="Z30" s="10">
        <v>13648</v>
      </c>
    </row>
    <row r="31" spans="1:26" ht="41.5" x14ac:dyDescent="0.35">
      <c r="A31" s="8" t="s">
        <v>27</v>
      </c>
      <c r="B31" s="8" t="s">
        <v>28</v>
      </c>
      <c r="C31" s="8" t="s">
        <v>29</v>
      </c>
      <c r="D31" s="8" t="s">
        <v>42</v>
      </c>
      <c r="E31" s="8" t="s">
        <v>43</v>
      </c>
      <c r="F31" s="8" t="s">
        <v>43</v>
      </c>
      <c r="G31" s="8">
        <v>2017</v>
      </c>
      <c r="H31" s="8" t="str">
        <f>CONCATENATE("34270351041")</f>
        <v>34270351041</v>
      </c>
      <c r="I31" s="8" t="s">
        <v>32</v>
      </c>
      <c r="J31" s="8" t="s">
        <v>33</v>
      </c>
      <c r="K31" s="8" t="str">
        <f t="shared" si="0"/>
        <v/>
      </c>
      <c r="L31" s="8" t="str">
        <f>CONCATENATE("6 6.1 2b")</f>
        <v>6 6.1 2b</v>
      </c>
      <c r="M31" s="8" t="str">
        <f>CONCATENATE("RZOLRD83H02E783Q")</f>
        <v>RZOLRD83H02E783Q</v>
      </c>
      <c r="N31" s="8" t="s">
        <v>99</v>
      </c>
      <c r="O31" s="8" t="s">
        <v>100</v>
      </c>
      <c r="P31" s="9">
        <v>45226</v>
      </c>
      <c r="Q31" s="8" t="s">
        <v>36</v>
      </c>
      <c r="R31" s="8" t="s">
        <v>37</v>
      </c>
      <c r="S31" s="8" t="s">
        <v>38</v>
      </c>
      <c r="T31" s="8"/>
      <c r="U31" s="8" t="s">
        <v>39</v>
      </c>
      <c r="V31" s="10">
        <v>12000</v>
      </c>
      <c r="W31" s="10">
        <v>5174.3999999999996</v>
      </c>
      <c r="X31" s="10">
        <v>4778.3999999999996</v>
      </c>
      <c r="Y31" s="8">
        <v>0</v>
      </c>
      <c r="Z31" s="10">
        <v>2047.2</v>
      </c>
    </row>
    <row r="32" spans="1:26" ht="41.5" x14ac:dyDescent="0.35">
      <c r="A32" s="8" t="s">
        <v>27</v>
      </c>
      <c r="B32" s="8" t="s">
        <v>28</v>
      </c>
      <c r="C32" s="8" t="s">
        <v>29</v>
      </c>
      <c r="D32" s="8" t="s">
        <v>54</v>
      </c>
      <c r="E32" s="8" t="s">
        <v>50</v>
      </c>
      <c r="F32" s="8" t="s">
        <v>51</v>
      </c>
      <c r="G32" s="8">
        <v>2017</v>
      </c>
      <c r="H32" s="8" t="str">
        <f>CONCATENATE("34270351058")</f>
        <v>34270351058</v>
      </c>
      <c r="I32" s="8" t="s">
        <v>32</v>
      </c>
      <c r="J32" s="8" t="s">
        <v>33</v>
      </c>
      <c r="K32" s="8" t="str">
        <f t="shared" si="0"/>
        <v/>
      </c>
      <c r="L32" s="8" t="str">
        <f>CONCATENATE("6 6.1 2b")</f>
        <v>6 6.1 2b</v>
      </c>
      <c r="M32" s="8" t="str">
        <f>CONCATENATE("SLVLCU88H23B474S")</f>
        <v>SLVLCU88H23B474S</v>
      </c>
      <c r="N32" s="8" t="s">
        <v>101</v>
      </c>
      <c r="O32" s="8" t="s">
        <v>100</v>
      </c>
      <c r="P32" s="9">
        <v>45226</v>
      </c>
      <c r="Q32" s="8" t="s">
        <v>36</v>
      </c>
      <c r="R32" s="8" t="s">
        <v>37</v>
      </c>
      <c r="S32" s="8" t="s">
        <v>38</v>
      </c>
      <c r="T32" s="8"/>
      <c r="U32" s="8" t="s">
        <v>39</v>
      </c>
      <c r="V32" s="10">
        <v>18000</v>
      </c>
      <c r="W32" s="10">
        <v>7761.6</v>
      </c>
      <c r="X32" s="10">
        <v>7167.6</v>
      </c>
      <c r="Y32" s="8">
        <v>0</v>
      </c>
      <c r="Z32" s="10">
        <v>3070.8</v>
      </c>
    </row>
    <row r="33" spans="1:26" ht="25.5" x14ac:dyDescent="0.35">
      <c r="A33" s="8" t="s">
        <v>27</v>
      </c>
      <c r="B33" s="8" t="s">
        <v>28</v>
      </c>
      <c r="C33" s="8" t="s">
        <v>29</v>
      </c>
      <c r="D33" s="8" t="s">
        <v>54</v>
      </c>
      <c r="E33" s="8" t="s">
        <v>50</v>
      </c>
      <c r="F33" s="8" t="s">
        <v>102</v>
      </c>
      <c r="G33" s="8">
        <v>2017</v>
      </c>
      <c r="H33" s="8" t="str">
        <f>CONCATENATE("34270351066")</f>
        <v>34270351066</v>
      </c>
      <c r="I33" s="8" t="s">
        <v>32</v>
      </c>
      <c r="J33" s="8" t="s">
        <v>33</v>
      </c>
      <c r="K33" s="8" t="str">
        <f t="shared" si="0"/>
        <v/>
      </c>
      <c r="L33" s="8" t="str">
        <f>CONCATENATE("6 6.1 2b")</f>
        <v>6 6.1 2b</v>
      </c>
      <c r="M33" s="8" t="str">
        <f>CONCATENATE("02367360449")</f>
        <v>02367360449</v>
      </c>
      <c r="N33" s="8" t="s">
        <v>103</v>
      </c>
      <c r="O33" s="8" t="s">
        <v>100</v>
      </c>
      <c r="P33" s="9">
        <v>45226</v>
      </c>
      <c r="Q33" s="8" t="s">
        <v>36</v>
      </c>
      <c r="R33" s="8" t="s">
        <v>37</v>
      </c>
      <c r="S33" s="8" t="s">
        <v>38</v>
      </c>
      <c r="T33" s="8"/>
      <c r="U33" s="8" t="s">
        <v>39</v>
      </c>
      <c r="V33" s="10">
        <v>40000</v>
      </c>
      <c r="W33" s="10">
        <v>17248</v>
      </c>
      <c r="X33" s="10">
        <v>15928</v>
      </c>
      <c r="Y33" s="8">
        <v>0</v>
      </c>
      <c r="Z33" s="10">
        <v>6824</v>
      </c>
    </row>
    <row r="34" spans="1:26" ht="41.5" x14ac:dyDescent="0.35">
      <c r="A34" s="8" t="s">
        <v>27</v>
      </c>
      <c r="B34" s="8" t="s">
        <v>28</v>
      </c>
      <c r="C34" s="8" t="s">
        <v>29</v>
      </c>
      <c r="D34" s="8" t="s">
        <v>42</v>
      </c>
      <c r="E34" s="8" t="s">
        <v>43</v>
      </c>
      <c r="F34" s="8" t="s">
        <v>43</v>
      </c>
      <c r="G34" s="8">
        <v>2017</v>
      </c>
      <c r="H34" s="8" t="str">
        <f>CONCATENATE("34270351009")</f>
        <v>34270351009</v>
      </c>
      <c r="I34" s="8" t="s">
        <v>32</v>
      </c>
      <c r="J34" s="8" t="s">
        <v>33</v>
      </c>
      <c r="K34" s="8" t="str">
        <f t="shared" si="0"/>
        <v/>
      </c>
      <c r="L34" s="8" t="str">
        <f>CONCATENATE("4 4.1 2a")</f>
        <v>4 4.1 2a</v>
      </c>
      <c r="M34" s="8" t="str">
        <f>CONCATENATE("RZOLRD83H02E783Q")</f>
        <v>RZOLRD83H02E783Q</v>
      </c>
      <c r="N34" s="8" t="s">
        <v>99</v>
      </c>
      <c r="O34" s="8" t="s">
        <v>104</v>
      </c>
      <c r="P34" s="9">
        <v>45226</v>
      </c>
      <c r="Q34" s="8" t="s">
        <v>36</v>
      </c>
      <c r="R34" s="8" t="s">
        <v>37</v>
      </c>
      <c r="S34" s="8" t="s">
        <v>38</v>
      </c>
      <c r="T34" s="8"/>
      <c r="U34" s="8" t="s">
        <v>39</v>
      </c>
      <c r="V34" s="10">
        <v>13990.56</v>
      </c>
      <c r="W34" s="10">
        <v>6032.73</v>
      </c>
      <c r="X34" s="10">
        <v>5571.04</v>
      </c>
      <c r="Y34" s="8">
        <v>0</v>
      </c>
      <c r="Z34" s="10">
        <v>2386.79</v>
      </c>
    </row>
    <row r="35" spans="1:26" ht="41.5" x14ac:dyDescent="0.35">
      <c r="A35" s="8" t="s">
        <v>27</v>
      </c>
      <c r="B35" s="8" t="s">
        <v>28</v>
      </c>
      <c r="C35" s="8" t="s">
        <v>29</v>
      </c>
      <c r="D35" s="8" t="s">
        <v>54</v>
      </c>
      <c r="E35" s="8" t="s">
        <v>50</v>
      </c>
      <c r="F35" s="8" t="s">
        <v>51</v>
      </c>
      <c r="G35" s="8">
        <v>2017</v>
      </c>
      <c r="H35" s="8" t="str">
        <f>CONCATENATE("34270351017")</f>
        <v>34270351017</v>
      </c>
      <c r="I35" s="8" t="s">
        <v>32</v>
      </c>
      <c r="J35" s="8" t="s">
        <v>33</v>
      </c>
      <c r="K35" s="8" t="str">
        <f t="shared" si="0"/>
        <v/>
      </c>
      <c r="L35" s="8" t="str">
        <f>CONCATENATE("4 4.1 2a")</f>
        <v>4 4.1 2a</v>
      </c>
      <c r="M35" s="8" t="str">
        <f>CONCATENATE("SLVLCU88H23B474S")</f>
        <v>SLVLCU88H23B474S</v>
      </c>
      <c r="N35" s="8" t="s">
        <v>101</v>
      </c>
      <c r="O35" s="8" t="s">
        <v>104</v>
      </c>
      <c r="P35" s="9">
        <v>45226</v>
      </c>
      <c r="Q35" s="8" t="s">
        <v>36</v>
      </c>
      <c r="R35" s="8" t="s">
        <v>37</v>
      </c>
      <c r="S35" s="8" t="s">
        <v>38</v>
      </c>
      <c r="T35" s="8"/>
      <c r="U35" s="8" t="s">
        <v>39</v>
      </c>
      <c r="V35" s="10">
        <v>95340.53</v>
      </c>
      <c r="W35" s="10">
        <v>41110.839999999997</v>
      </c>
      <c r="X35" s="10">
        <v>37964.6</v>
      </c>
      <c r="Y35" s="8">
        <v>0</v>
      </c>
      <c r="Z35" s="10">
        <v>16265.09</v>
      </c>
    </row>
    <row r="36" spans="1:26" ht="25.5" x14ac:dyDescent="0.35">
      <c r="A36" s="8" t="s">
        <v>27</v>
      </c>
      <c r="B36" s="8" t="s">
        <v>28</v>
      </c>
      <c r="C36" s="8" t="s">
        <v>29</v>
      </c>
      <c r="D36" s="8" t="s">
        <v>54</v>
      </c>
      <c r="E36" s="8" t="s">
        <v>50</v>
      </c>
      <c r="F36" s="8" t="s">
        <v>102</v>
      </c>
      <c r="G36" s="8">
        <v>2017</v>
      </c>
      <c r="H36" s="8" t="str">
        <f>CONCATENATE("34270350993")</f>
        <v>34270350993</v>
      </c>
      <c r="I36" s="8" t="s">
        <v>32</v>
      </c>
      <c r="J36" s="8" t="s">
        <v>33</v>
      </c>
      <c r="K36" s="8" t="str">
        <f t="shared" si="0"/>
        <v/>
      </c>
      <c r="L36" s="8" t="str">
        <f>CONCATENATE("4 4.1 2a")</f>
        <v>4 4.1 2a</v>
      </c>
      <c r="M36" s="8" t="str">
        <f>CONCATENATE("02367360449")</f>
        <v>02367360449</v>
      </c>
      <c r="N36" s="8" t="s">
        <v>103</v>
      </c>
      <c r="O36" s="8" t="s">
        <v>104</v>
      </c>
      <c r="P36" s="9">
        <v>45226</v>
      </c>
      <c r="Q36" s="8" t="s">
        <v>36</v>
      </c>
      <c r="R36" s="8" t="s">
        <v>37</v>
      </c>
      <c r="S36" s="8" t="s">
        <v>38</v>
      </c>
      <c r="T36" s="8"/>
      <c r="U36" s="8" t="s">
        <v>39</v>
      </c>
      <c r="V36" s="10">
        <v>97780</v>
      </c>
      <c r="W36" s="10">
        <v>42162.74</v>
      </c>
      <c r="X36" s="10">
        <v>38936</v>
      </c>
      <c r="Y36" s="8">
        <v>0</v>
      </c>
      <c r="Z36" s="10">
        <v>16681.259999999998</v>
      </c>
    </row>
    <row r="37" spans="1:26" ht="41.5" x14ac:dyDescent="0.35">
      <c r="A37" s="8" t="s">
        <v>27</v>
      </c>
      <c r="B37" s="8" t="s">
        <v>28</v>
      </c>
      <c r="C37" s="8" t="s">
        <v>29</v>
      </c>
      <c r="D37" s="8" t="s">
        <v>90</v>
      </c>
      <c r="E37" s="8" t="s">
        <v>43</v>
      </c>
      <c r="F37" s="8" t="s">
        <v>43</v>
      </c>
      <c r="G37" s="8">
        <v>2017</v>
      </c>
      <c r="H37" s="8" t="str">
        <f>CONCATENATE("24270242720")</f>
        <v>24270242720</v>
      </c>
      <c r="I37" s="8" t="s">
        <v>32</v>
      </c>
      <c r="J37" s="8" t="s">
        <v>33</v>
      </c>
      <c r="K37" s="8" t="str">
        <f t="shared" si="0"/>
        <v/>
      </c>
      <c r="L37" s="8" t="str">
        <f>CONCATENATE("16 16.1 2a")</f>
        <v>16 16.1 2a</v>
      </c>
      <c r="M37" s="8" t="str">
        <f>CONCATENATE("PLZSFN80D45C615Z")</f>
        <v>PLZSFN80D45C615Z</v>
      </c>
      <c r="N37" s="8" t="s">
        <v>105</v>
      </c>
      <c r="O37" s="8" t="s">
        <v>106</v>
      </c>
      <c r="P37" s="9">
        <v>45226</v>
      </c>
      <c r="Q37" s="8" t="s">
        <v>36</v>
      </c>
      <c r="R37" s="8" t="s">
        <v>37</v>
      </c>
      <c r="S37" s="8" t="s">
        <v>38</v>
      </c>
      <c r="T37" s="8"/>
      <c r="U37" s="8" t="s">
        <v>39</v>
      </c>
      <c r="V37" s="10">
        <v>98939.58</v>
      </c>
      <c r="W37" s="10">
        <v>42662.75</v>
      </c>
      <c r="X37" s="10">
        <v>39397.74</v>
      </c>
      <c r="Y37" s="8">
        <v>0</v>
      </c>
      <c r="Z37" s="10">
        <v>16879.09</v>
      </c>
    </row>
    <row r="38" spans="1:26" ht="25.5" x14ac:dyDescent="0.35">
      <c r="A38" s="8" t="s">
        <v>27</v>
      </c>
      <c r="B38" s="8" t="s">
        <v>28</v>
      </c>
      <c r="C38" s="8" t="s">
        <v>29</v>
      </c>
      <c r="D38" s="8" t="s">
        <v>46</v>
      </c>
      <c r="E38" s="8" t="s">
        <v>30</v>
      </c>
      <c r="F38" s="8" t="s">
        <v>107</v>
      </c>
      <c r="G38" s="8">
        <v>2017</v>
      </c>
      <c r="H38" s="8" t="str">
        <f>CONCATENATE("34270353724")</f>
        <v>34270353724</v>
      </c>
      <c r="I38" s="8" t="s">
        <v>32</v>
      </c>
      <c r="J38" s="8" t="s">
        <v>33</v>
      </c>
      <c r="K38" s="8" t="str">
        <f t="shared" si="0"/>
        <v/>
      </c>
      <c r="L38" s="8" t="str">
        <f>CONCATENATE("1 1.2 2a")</f>
        <v>1 1.2 2a</v>
      </c>
      <c r="M38" s="8" t="str">
        <f>CONCATENATE("02007880418")</f>
        <v>02007880418</v>
      </c>
      <c r="N38" s="8" t="s">
        <v>108</v>
      </c>
      <c r="O38" s="8" t="s">
        <v>109</v>
      </c>
      <c r="P38" s="9">
        <v>45226</v>
      </c>
      <c r="Q38" s="8" t="s">
        <v>36</v>
      </c>
      <c r="R38" s="8" t="s">
        <v>37</v>
      </c>
      <c r="S38" s="8" t="s">
        <v>38</v>
      </c>
      <c r="T38" s="8"/>
      <c r="U38" s="8" t="s">
        <v>39</v>
      </c>
      <c r="V38" s="10">
        <v>43281</v>
      </c>
      <c r="W38" s="10">
        <v>18662.77</v>
      </c>
      <c r="X38" s="10">
        <v>17234.490000000002</v>
      </c>
      <c r="Y38" s="8">
        <v>0</v>
      </c>
      <c r="Z38" s="10">
        <v>7383.74</v>
      </c>
    </row>
  </sheetData>
  <mergeCells count="1">
    <mergeCell ref="A2:Z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 Giancarlo</dc:creator>
  <cp:lastModifiedBy>Greco Giancarlo</cp:lastModifiedBy>
  <dcterms:created xsi:type="dcterms:W3CDTF">2023-11-03T13:55:16Z</dcterms:created>
  <dcterms:modified xsi:type="dcterms:W3CDTF">2023-11-03T13:55:17Z</dcterms:modified>
</cp:coreProperties>
</file>