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michele_ferrazzano_it_ey_com/Documents/Desktop/LAVORO/Invio decreti/Decreto n. 543/"/>
    </mc:Choice>
  </mc:AlternateContent>
  <xr:revisionPtr revIDLastSave="0" documentId="8_{A87BFA20-CD56-4F6E-9A3D-5BC6C068ADE4}" xr6:coauthVersionLast="46" xr6:coauthVersionMax="46" xr10:uidLastSave="{00000000-0000-0000-0000-000000000000}"/>
  <bookViews>
    <workbookView xWindow="-110" yWindow="-110" windowWidth="19420" windowHeight="10420" xr2:uid="{C39D6302-F6A9-4058-9357-CC7CA960BB94}"/>
  </bookViews>
  <sheets>
    <sheet name="Dettaglio_Domande_Pagabili_AG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8" i="1" l="1"/>
  <c r="L128" i="1"/>
  <c r="K128" i="1"/>
  <c r="H128" i="1"/>
  <c r="M127" i="1"/>
  <c r="L127" i="1"/>
  <c r="K127" i="1"/>
  <c r="H127" i="1"/>
  <c r="M126" i="1"/>
  <c r="L126" i="1"/>
  <c r="K126" i="1"/>
  <c r="H126" i="1"/>
  <c r="M125" i="1"/>
  <c r="L125" i="1"/>
  <c r="K125" i="1"/>
  <c r="H125" i="1"/>
  <c r="M124" i="1"/>
  <c r="L124" i="1"/>
  <c r="K124" i="1"/>
  <c r="H124" i="1"/>
  <c r="M123" i="1"/>
  <c r="L123" i="1"/>
  <c r="K123" i="1"/>
  <c r="H123" i="1"/>
  <c r="M122" i="1"/>
  <c r="L122" i="1"/>
  <c r="K122" i="1"/>
  <c r="H122" i="1"/>
  <c r="M121" i="1"/>
  <c r="L121" i="1"/>
  <c r="K121" i="1"/>
  <c r="H121" i="1"/>
  <c r="M120" i="1"/>
  <c r="L120" i="1"/>
  <c r="K120" i="1"/>
  <c r="H120" i="1"/>
  <c r="M119" i="1"/>
  <c r="L119" i="1"/>
  <c r="K119" i="1"/>
  <c r="H119" i="1"/>
  <c r="M118" i="1"/>
  <c r="L118" i="1"/>
  <c r="K118" i="1"/>
  <c r="H118" i="1"/>
  <c r="M117" i="1"/>
  <c r="L117" i="1"/>
  <c r="K117" i="1"/>
  <c r="H117" i="1"/>
  <c r="M116" i="1"/>
  <c r="L116" i="1"/>
  <c r="K116" i="1"/>
  <c r="H116" i="1"/>
  <c r="M115" i="1"/>
  <c r="L115" i="1"/>
  <c r="K115" i="1"/>
  <c r="H115" i="1"/>
  <c r="M114" i="1"/>
  <c r="L114" i="1"/>
  <c r="K114" i="1"/>
  <c r="H114" i="1"/>
  <c r="M113" i="1"/>
  <c r="L113" i="1"/>
  <c r="K113" i="1"/>
  <c r="H113" i="1"/>
  <c r="M112" i="1"/>
  <c r="L112" i="1"/>
  <c r="K112" i="1"/>
  <c r="H112" i="1"/>
  <c r="M111" i="1"/>
  <c r="L111" i="1"/>
  <c r="K111" i="1"/>
  <c r="H111" i="1"/>
  <c r="M110" i="1"/>
  <c r="L110" i="1"/>
  <c r="K110" i="1"/>
  <c r="H110" i="1"/>
  <c r="M109" i="1"/>
  <c r="L109" i="1"/>
  <c r="K109" i="1"/>
  <c r="H109" i="1"/>
  <c r="M108" i="1"/>
  <c r="L108" i="1"/>
  <c r="K108" i="1"/>
  <c r="H108" i="1"/>
  <c r="M107" i="1"/>
  <c r="L107" i="1"/>
  <c r="K107" i="1"/>
  <c r="H107" i="1"/>
  <c r="M106" i="1"/>
  <c r="L106" i="1"/>
  <c r="K106" i="1"/>
  <c r="H106" i="1"/>
  <c r="M105" i="1"/>
  <c r="L105" i="1"/>
  <c r="K105" i="1"/>
  <c r="H105" i="1"/>
  <c r="M104" i="1"/>
  <c r="L104" i="1"/>
  <c r="K104" i="1"/>
  <c r="H104" i="1"/>
  <c r="M103" i="1"/>
  <c r="L103" i="1"/>
  <c r="K103" i="1"/>
  <c r="H103" i="1"/>
  <c r="M102" i="1"/>
  <c r="L102" i="1"/>
  <c r="K102" i="1"/>
  <c r="H102" i="1"/>
  <c r="M101" i="1"/>
  <c r="L101" i="1"/>
  <c r="K101" i="1"/>
  <c r="H101" i="1"/>
  <c r="M100" i="1"/>
  <c r="L100" i="1"/>
  <c r="K100" i="1"/>
  <c r="H100" i="1"/>
  <c r="M99" i="1"/>
  <c r="L99" i="1"/>
  <c r="K99" i="1"/>
  <c r="H99" i="1"/>
  <c r="M98" i="1"/>
  <c r="L98" i="1"/>
  <c r="K98" i="1"/>
  <c r="H98" i="1"/>
  <c r="M97" i="1"/>
  <c r="L97" i="1"/>
  <c r="K97" i="1"/>
  <c r="H97" i="1"/>
  <c r="M96" i="1"/>
  <c r="L96" i="1"/>
  <c r="K96" i="1"/>
  <c r="H96" i="1"/>
  <c r="M95" i="1"/>
  <c r="L95" i="1"/>
  <c r="K95" i="1"/>
  <c r="H95" i="1"/>
  <c r="M94" i="1"/>
  <c r="L94" i="1"/>
  <c r="K94" i="1"/>
  <c r="H94" i="1"/>
  <c r="M93" i="1"/>
  <c r="L93" i="1"/>
  <c r="K93" i="1"/>
  <c r="H93" i="1"/>
  <c r="M92" i="1"/>
  <c r="L92" i="1"/>
  <c r="K92" i="1"/>
  <c r="H92" i="1"/>
  <c r="M91" i="1"/>
  <c r="L91" i="1"/>
  <c r="K91" i="1"/>
  <c r="H91" i="1"/>
  <c r="M90" i="1"/>
  <c r="L90" i="1"/>
  <c r="K90" i="1"/>
  <c r="H90" i="1"/>
  <c r="M89" i="1"/>
  <c r="L89" i="1"/>
  <c r="K89" i="1"/>
  <c r="H89" i="1"/>
  <c r="M88" i="1"/>
  <c r="L88" i="1"/>
  <c r="K88" i="1"/>
  <c r="H88" i="1"/>
  <c r="M87" i="1"/>
  <c r="L87" i="1"/>
  <c r="K87" i="1"/>
  <c r="H87" i="1"/>
  <c r="M86" i="1"/>
  <c r="L86" i="1"/>
  <c r="K86" i="1"/>
  <c r="H86" i="1"/>
  <c r="M85" i="1"/>
  <c r="L85" i="1"/>
  <c r="K85" i="1"/>
  <c r="H85" i="1"/>
  <c r="M84" i="1"/>
  <c r="L84" i="1"/>
  <c r="K84" i="1"/>
  <c r="H84" i="1"/>
  <c r="M83" i="1"/>
  <c r="L83" i="1"/>
  <c r="K83" i="1"/>
  <c r="H83" i="1"/>
  <c r="M82" i="1"/>
  <c r="L82" i="1"/>
  <c r="K82" i="1"/>
  <c r="H82" i="1"/>
  <c r="M81" i="1"/>
  <c r="L81" i="1"/>
  <c r="K81" i="1"/>
  <c r="H81" i="1"/>
  <c r="M80" i="1"/>
  <c r="L80" i="1"/>
  <c r="K80" i="1"/>
  <c r="H80" i="1"/>
  <c r="M79" i="1"/>
  <c r="L79" i="1"/>
  <c r="K79" i="1"/>
  <c r="H79" i="1"/>
  <c r="M78" i="1"/>
  <c r="L78" i="1"/>
  <c r="K78" i="1"/>
  <c r="H78" i="1"/>
  <c r="M77" i="1"/>
  <c r="L77" i="1"/>
  <c r="K77" i="1"/>
  <c r="H77" i="1"/>
  <c r="M76" i="1"/>
  <c r="L76" i="1"/>
  <c r="K76" i="1"/>
  <c r="H76" i="1"/>
  <c r="M75" i="1"/>
  <c r="L75" i="1"/>
  <c r="K75" i="1"/>
  <c r="H75" i="1"/>
  <c r="M74" i="1"/>
  <c r="L74" i="1"/>
  <c r="K74" i="1"/>
  <c r="H74" i="1"/>
  <c r="M73" i="1"/>
  <c r="L73" i="1"/>
  <c r="K73" i="1"/>
  <c r="H73" i="1"/>
  <c r="M72" i="1"/>
  <c r="L72" i="1"/>
  <c r="K72" i="1"/>
  <c r="H72" i="1"/>
  <c r="M71" i="1"/>
  <c r="L71" i="1"/>
  <c r="K71" i="1"/>
  <c r="H71" i="1"/>
  <c r="M70" i="1"/>
  <c r="L70" i="1"/>
  <c r="K70" i="1"/>
  <c r="H70" i="1"/>
  <c r="M69" i="1"/>
  <c r="L69" i="1"/>
  <c r="K69" i="1"/>
  <c r="H69" i="1"/>
  <c r="M68" i="1"/>
  <c r="L68" i="1"/>
  <c r="K68" i="1"/>
  <c r="H68" i="1"/>
  <c r="M67" i="1"/>
  <c r="L67" i="1"/>
  <c r="K67" i="1"/>
  <c r="H67" i="1"/>
  <c r="M66" i="1"/>
  <c r="L66" i="1"/>
  <c r="K66" i="1"/>
  <c r="H66" i="1"/>
  <c r="M65" i="1"/>
  <c r="L65" i="1"/>
  <c r="K65" i="1"/>
  <c r="H65" i="1"/>
  <c r="M64" i="1"/>
  <c r="L64" i="1"/>
  <c r="K64" i="1"/>
  <c r="H64" i="1"/>
  <c r="M63" i="1"/>
  <c r="L63" i="1"/>
  <c r="K63" i="1"/>
  <c r="H63" i="1"/>
  <c r="M62" i="1"/>
  <c r="L62" i="1"/>
  <c r="K62" i="1"/>
  <c r="H62" i="1"/>
  <c r="M61" i="1"/>
  <c r="L61" i="1"/>
  <c r="K61" i="1"/>
  <c r="H61" i="1"/>
  <c r="M60" i="1"/>
  <c r="L60" i="1"/>
  <c r="K60" i="1"/>
  <c r="H60" i="1"/>
  <c r="M59" i="1"/>
  <c r="L59" i="1"/>
  <c r="K59" i="1"/>
  <c r="H59" i="1"/>
  <c r="M58" i="1"/>
  <c r="L58" i="1"/>
  <c r="K58" i="1"/>
  <c r="H58" i="1"/>
  <c r="M57" i="1"/>
  <c r="L57" i="1"/>
  <c r="K57" i="1"/>
  <c r="H57" i="1"/>
  <c r="M56" i="1"/>
  <c r="L56" i="1"/>
  <c r="K56" i="1"/>
  <c r="H56" i="1"/>
  <c r="M55" i="1"/>
  <c r="L55" i="1"/>
  <c r="K55" i="1"/>
  <c r="H55" i="1"/>
  <c r="M54" i="1"/>
  <c r="L54" i="1"/>
  <c r="K54" i="1"/>
  <c r="H54" i="1"/>
  <c r="M53" i="1"/>
  <c r="L53" i="1"/>
  <c r="K53" i="1"/>
  <c r="H53" i="1"/>
  <c r="M52" i="1"/>
  <c r="L52" i="1"/>
  <c r="K52" i="1"/>
  <c r="H52" i="1"/>
  <c r="M51" i="1"/>
  <c r="L51" i="1"/>
  <c r="K51" i="1"/>
  <c r="H51" i="1"/>
  <c r="M50" i="1"/>
  <c r="L50" i="1"/>
  <c r="K50" i="1"/>
  <c r="H50" i="1"/>
  <c r="M49" i="1"/>
  <c r="L49" i="1"/>
  <c r="K49" i="1"/>
  <c r="H49" i="1"/>
  <c r="M48" i="1"/>
  <c r="L48" i="1"/>
  <c r="K48" i="1"/>
  <c r="H48" i="1"/>
  <c r="M47" i="1"/>
  <c r="L47" i="1"/>
  <c r="K47" i="1"/>
  <c r="H47" i="1"/>
  <c r="M46" i="1"/>
  <c r="L46" i="1"/>
  <c r="K46" i="1"/>
  <c r="H46" i="1"/>
  <c r="M45" i="1"/>
  <c r="L45" i="1"/>
  <c r="K45" i="1"/>
  <c r="H45" i="1"/>
  <c r="M44" i="1"/>
  <c r="L44" i="1"/>
  <c r="K44" i="1"/>
  <c r="H44" i="1"/>
  <c r="M43" i="1"/>
  <c r="L43" i="1"/>
  <c r="K43" i="1"/>
  <c r="H43" i="1"/>
  <c r="M42" i="1"/>
  <c r="L42" i="1"/>
  <c r="K42" i="1"/>
  <c r="H42" i="1"/>
  <c r="M41" i="1"/>
  <c r="L41" i="1"/>
  <c r="K41" i="1"/>
  <c r="H41" i="1"/>
  <c r="M40" i="1"/>
  <c r="L40" i="1"/>
  <c r="K40" i="1"/>
  <c r="H40" i="1"/>
  <c r="M39" i="1"/>
  <c r="L39" i="1"/>
  <c r="K39" i="1"/>
  <c r="H39" i="1"/>
  <c r="M38" i="1"/>
  <c r="L38" i="1"/>
  <c r="K38" i="1"/>
  <c r="H38" i="1"/>
  <c r="M37" i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<sst xmlns="http://schemas.openxmlformats.org/spreadsheetml/2006/main" count="1777" uniqueCount="217">
  <si>
    <t>Dettaglio Domande Pagabili Decreto 543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</si>
  <si>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</si>
  <si>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</si>
  <si>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</si>
  <si>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</si>
  <si>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</si>
  <si>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</si>
  <si>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</si>
  <si>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</si>
  <si>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</si>
  <si>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</si>
  <si>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</si>
  <si>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</si>
  <si>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</si>
  <si>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</si>
  <si>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</si>
  <si>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</si>
  <si>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</si>
  <si>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</si>
  <si>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</si>
  <si>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</si>
  <si>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</si>
  <si>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</si>
  <si>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</si>
  <si>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</si>
  <si>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</si>
  <si>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</si>
  <si>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</si>
  <si>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Strutturali</t>
  </si>
  <si>
    <t>IN PROPRIO</t>
  </si>
  <si>
    <t>SI</t>
  </si>
  <si>
    <t>Nuova Programmazione</t>
  </si>
  <si>
    <t>In Liquidazione</t>
  </si>
  <si>
    <t>Saldo</t>
  </si>
  <si>
    <t>Co-Finanziato</t>
  </si>
  <si>
    <t>Ordinario</t>
  </si>
  <si>
    <t>NO</t>
  </si>
  <si>
    <t>Anticipo</t>
  </si>
  <si>
    <t>CAA CIA srl</t>
  </si>
  <si>
    <t>CAA Confagricoltura srl</t>
  </si>
  <si>
    <t>SAL</t>
  </si>
  <si>
    <t>Misure a Superficie</t>
  </si>
  <si>
    <t>CAA Coldiretti srl</t>
  </si>
  <si>
    <t>CAA-CAF AGRI S.R.L.</t>
  </si>
  <si>
    <t>CAA LiberiAgricoltori srl già CAA AGCI srl</t>
  </si>
  <si>
    <t>CAA UNICAA srl</t>
  </si>
  <si>
    <t>CAA C.A.N.A.P.A. srl</t>
  </si>
  <si>
    <t>MARCHE</t>
  </si>
  <si>
    <t>COMUNE DI MONTE CERIGNONE</t>
  </si>
  <si>
    <t>AGEA.ASR.2022.0550932</t>
  </si>
  <si>
    <t>COMUNE DI GROTTAZZOLINA</t>
  </si>
  <si>
    <t>AGEA.ASR.2022.0551017</t>
  </si>
  <si>
    <t>SERV. DEC. AGRICOLTURA E ALIMENTAZIONE - ANCONA</t>
  </si>
  <si>
    <t>CANESTRARI VALERIO</t>
  </si>
  <si>
    <t>AGEA.ASR.2022.0564345</t>
  </si>
  <si>
    <t>SERV. DEC. AGRICOLTURA E ALIMENTAZIONE - PESARO</t>
  </si>
  <si>
    <t>CAA Coldiretti - PESARO E URBINO - 001</t>
  </si>
  <si>
    <t>ROMITELLI GIACOMO</t>
  </si>
  <si>
    <t>AGEA.ASR.2022.0538093</t>
  </si>
  <si>
    <t>CAA CIA - ANCONA - 006</t>
  </si>
  <si>
    <t>UNIONE DEI COMUNI DELLA MEDIA VALLESINA</t>
  </si>
  <si>
    <t>AGEA.ASR.2022.0559157</t>
  </si>
  <si>
    <t>SERV. DEC. AGRICOLTURA E ALIM. - MACERATA</t>
  </si>
  <si>
    <t>CAA Coldiretti - MACERATA - 017</t>
  </si>
  <si>
    <t>RICCI ANNA LUISA</t>
  </si>
  <si>
    <t>AGEA.ASR.2022.0560072</t>
  </si>
  <si>
    <t>CAMPETELLA ILARIA</t>
  </si>
  <si>
    <t>CAA LiberiAgricoltori - MACERATA - 001</t>
  </si>
  <si>
    <t>IMPECORA ALESSANDRO</t>
  </si>
  <si>
    <t>CAA Coldiretti - MACERATA - 007</t>
  </si>
  <si>
    <t>SOCIETA' AGRICOLA MAURIZI FERNANDO E ELIO S.S.</t>
  </si>
  <si>
    <t>CAA CIA - ANCONA - 005</t>
  </si>
  <si>
    <t>BIDUCCI BRUNO</t>
  </si>
  <si>
    <t>ANGELUCCI ROBERTO</t>
  </si>
  <si>
    <t>SERV. DEC. AGRICOLTURA E ALIM. -ASCOLI PICENO</t>
  </si>
  <si>
    <t>CAA UNICAA - ASCOLI PICENO - 003</t>
  </si>
  <si>
    <t>PERONI ELEONORA</t>
  </si>
  <si>
    <t>CAA CIA - PERUGIA - 007</t>
  </si>
  <si>
    <t>SANTONI ITALO</t>
  </si>
  <si>
    <t>CAA LiberiAgricoltori - MACERATA - 002</t>
  </si>
  <si>
    <t>SOCIETA'AGRICOLA GIOIELLI DELLA TERRA S.S.</t>
  </si>
  <si>
    <t>MAURIZI LUIGINO</t>
  </si>
  <si>
    <t>SOCIETA' AGRICOLA GIROLAMI STEFANIA E SONIA S.S.</t>
  </si>
  <si>
    <t>MAGGI FEDERICA</t>
  </si>
  <si>
    <t>SCOLASTICI ROBERTO</t>
  </si>
  <si>
    <t>LE COLLINE DI RUSTANO SOC. AGRIC. SEMPL.</t>
  </si>
  <si>
    <t>CAA Confagricoltura - MACERATA - 001</t>
  </si>
  <si>
    <t>PONTANI SANTE DAMIANO</t>
  </si>
  <si>
    <t>SCOLASTICI MARCO</t>
  </si>
  <si>
    <t>SANTONI FELICIANO</t>
  </si>
  <si>
    <t>SBARDELLATI LAMBERTO</t>
  </si>
  <si>
    <t>NITISOR DUMITRU</t>
  </si>
  <si>
    <t>CAA CAF AGRI - MACERATA - 224</t>
  </si>
  <si>
    <t>AZIENDA AGRICOLA CAMPOGIANO S.A.S. DI RICOTTA LORENZO E C.</t>
  </si>
  <si>
    <t>BARTOCCI GUIDO</t>
  </si>
  <si>
    <t>MAGGI NAZZARENO</t>
  </si>
  <si>
    <t>CAA Coldiretti - ANCONA - 005</t>
  </si>
  <si>
    <t>BLASI ORIANO</t>
  </si>
  <si>
    <t>CECCUCCI MARIA-GRAZIA</t>
  </si>
  <si>
    <t>SOCIETA' AGRICOLA PONTANI ROMOLO E EZIO S.S.</t>
  </si>
  <si>
    <t>SOCIETA' AGRICOLA IL MONTANARO SOCIETA' SEMPLICE</t>
  </si>
  <si>
    <t>SOCIETA' AGRICOLA MICOZZI FRANCESCO E C. S.S.</t>
  </si>
  <si>
    <t>SOCIETA' AGRICOLA CENCI GIORGIO ROLANDO EMANUELE S.S.</t>
  </si>
  <si>
    <t>PACIFICI GOFFREDO</t>
  </si>
  <si>
    <t>CAA C.A.N.A.P.A. - MACERATA - 001</t>
  </si>
  <si>
    <t>APOSTOLI AGOSTINA</t>
  </si>
  <si>
    <t>CAA CAF AGRI - ANCONA - 225</t>
  </si>
  <si>
    <t>BARTOCCETTI LUCA</t>
  </si>
  <si>
    <t>COPPONI LORENZO</t>
  </si>
  <si>
    <t>AGOSTINELLI ROBERTO</t>
  </si>
  <si>
    <t>CAA LiberiAgricoltori - MACERATA - 003</t>
  </si>
  <si>
    <t>ALESSANDRI DOMENICO</t>
  </si>
  <si>
    <t>CAA Coldiretti - MACERATA - 009</t>
  </si>
  <si>
    <t>LORENZETTI VERALILIA</t>
  </si>
  <si>
    <t>FIECCHI LUDOVICO</t>
  </si>
  <si>
    <t>MANCINELLI FABIO</t>
  </si>
  <si>
    <t>RINOZZI AURELIO</t>
  </si>
  <si>
    <t>SOCIETA' AGRICOLA CASALE DI CIOTTO PASQUALE E C. S.S.</t>
  </si>
  <si>
    <t>SANTONI ANGELA</t>
  </si>
  <si>
    <t>ANSOVINI LUCA</t>
  </si>
  <si>
    <t>FEDELI AMINA</t>
  </si>
  <si>
    <t>FEDELI GIANDOMENICO</t>
  </si>
  <si>
    <t>SOCIETA' AGRICOLA MAGGI GILBERTO, MASSIMO E STEFANO S.S.</t>
  </si>
  <si>
    <t>CAA Coldiretti - ANCONA - 002</t>
  </si>
  <si>
    <t>BULDRINI SIMONE</t>
  </si>
  <si>
    <t>PELUCCHINI FRANCESCO</t>
  </si>
  <si>
    <t>PIACENTINI RITA MARIA</t>
  </si>
  <si>
    <t>MOCCI MARCO</t>
  </si>
  <si>
    <t>PISELLI ELISA</t>
  </si>
  <si>
    <t>SABBATINI LUCIA</t>
  </si>
  <si>
    <t>BACCANARI LUCA</t>
  </si>
  <si>
    <t>COPPACCHIOLI GINEVRA</t>
  </si>
  <si>
    <t>ALESSANDRI GIUSEPPE</t>
  </si>
  <si>
    <t>SABBATINI MATTEO</t>
  </si>
  <si>
    <t>SOCIETA' AGRICOLA BORDINI ADOLFO E ANTONIO S.S.</t>
  </si>
  <si>
    <t>CRONOS SOCIETA' COOPERATIVA AGRICOLA ONLUS A RL</t>
  </si>
  <si>
    <t>SOCIETA' AGRICOLA TERRADIMUCCIA SOCIETA'A RESPONSABILITA' LIMITATA SEM</t>
  </si>
  <si>
    <t>CAA Coldiretti - PERUGIA - 006</t>
  </si>
  <si>
    <t>AMBROGI FRANCESCA</t>
  </si>
  <si>
    <t>FEDELI FIORELLA</t>
  </si>
  <si>
    <t>SOCIETA' AGRICOLA COLLE NARA DI CAGNUCCI DIEGO S.S.</t>
  </si>
  <si>
    <t>CONVERSINI LUCIANO</t>
  </si>
  <si>
    <t>CICOLA MARIO</t>
  </si>
  <si>
    <t>PELUCCHINI MARCO</t>
  </si>
  <si>
    <t>BURZICHELLI MAURIZIO</t>
  </si>
  <si>
    <t>NARDI EMILIANO</t>
  </si>
  <si>
    <t>ANGELI GIOVANNI</t>
  </si>
  <si>
    <t>FEDELI GIUSEPPE</t>
  </si>
  <si>
    <t>NISI CERIONI IOLANDA</t>
  </si>
  <si>
    <t>ORSINI UMBERTO</t>
  </si>
  <si>
    <t>PASQUINI VINCENZO</t>
  </si>
  <si>
    <t>PALOMBI TONINO</t>
  </si>
  <si>
    <t>SOCIETA' AGRICOLA PALANCA IVANO E LORENZOTTI TIZIANA &amp; C. S.S.</t>
  </si>
  <si>
    <t>CANCELLIERI GIOVANNI</t>
  </si>
  <si>
    <t>FEDELI EMANUELA</t>
  </si>
  <si>
    <t>MESSEDAGLIA ROSANNA</t>
  </si>
  <si>
    <t>CONTI FELICE</t>
  </si>
  <si>
    <t>CASOLI FRANCESCO</t>
  </si>
  <si>
    <t>CAA Coldiretti - ASCOLI PICENO - 010</t>
  </si>
  <si>
    <t>MONTI GIUSEPPE</t>
  </si>
  <si>
    <t>MOSCETTI NULLI EMILIANO</t>
  </si>
  <si>
    <t>RICOTTINI GIAN CARLO</t>
  </si>
  <si>
    <t>ALBANI ALBERTO</t>
  </si>
  <si>
    <t>MADRESELVI SERGIO</t>
  </si>
  <si>
    <t>FEDELI CLAUDIO</t>
  </si>
  <si>
    <t>BENEDETTI LEONARDO</t>
  </si>
  <si>
    <t>SEBASTIANI MARCO</t>
  </si>
  <si>
    <t>BRIZI GIOVANNI</t>
  </si>
  <si>
    <t>VENANZANGELI LUIGI</t>
  </si>
  <si>
    <t>ALBANI PATRIZIO</t>
  </si>
  <si>
    <t>SEPI EMANUELE</t>
  </si>
  <si>
    <t>SOCIETA' AGRICOLA LUCARINI AUGUSTO E C.S.S.</t>
  </si>
  <si>
    <t>CAPITANI GIORGIO</t>
  </si>
  <si>
    <t>AGEA.ASR.2022.0564427</t>
  </si>
  <si>
    <t>CAMAIANI PIETRO PAOLO</t>
  </si>
  <si>
    <t>AGEA.ASR.2022.0563797</t>
  </si>
  <si>
    <t>CAA Coldiretti - ASCOLI PICENO - 030</t>
  </si>
  <si>
    <t>D'ANGELO LIANA</t>
  </si>
  <si>
    <t>FONTE MOSCO' SOCIETA' AGRICOLA SEMPLICE</t>
  </si>
  <si>
    <t>AGEA.ASR.2022.0550907</t>
  </si>
  <si>
    <t>SOC.AGR.FOR.DI GESTIONE DIE BENI AGRO SILVO PASTORALI MARCHE</t>
  </si>
  <si>
    <t>AGEA.ASR.2022.0412204</t>
  </si>
  <si>
    <t>COMUNE DI AMANDOLA</t>
  </si>
  <si>
    <t>AGEA.ASR.2022.0550935</t>
  </si>
  <si>
    <t>AGEA.ASR.2022.0564445</t>
  </si>
  <si>
    <t>CAA Coldiretti - ASCOLI PICENO - 040</t>
  </si>
  <si>
    <t>BALESTRA AL.-A. E FERRACUTI G.</t>
  </si>
  <si>
    <t>AGEA.ASR.2022.0438087</t>
  </si>
  <si>
    <t>CAA Coldiretti - ANCONA - 003</t>
  </si>
  <si>
    <t>SOCIETA' AGRICOLA ZANNINI CLAUDIO E ZANNINI DANIELE S.S.</t>
  </si>
  <si>
    <t>CAA CIA - ASCOLI PICENO - 004</t>
  </si>
  <si>
    <t>STECA ROSSANA</t>
  </si>
  <si>
    <t>CONSORZIO FORMACOOP MARCHE - SOCIETA' COOPERATIVA</t>
  </si>
  <si>
    <t>AGEA.ASR.2022.0564143</t>
  </si>
  <si>
    <t>CARDONA FEDERICO</t>
  </si>
  <si>
    <t>AGEA.ASR.2022.0564124</t>
  </si>
  <si>
    <t>CAA Coldiretti - PESARO E URBINO - 010</t>
  </si>
  <si>
    <t>SILVESTRINI ISABELLA</t>
  </si>
  <si>
    <t>AGEA.ASR.2022.0472405</t>
  </si>
  <si>
    <t>CAA UNICAA - ASCOLI PICENO - 004</t>
  </si>
  <si>
    <t>ISTITUTO MARCHIGIANO DI TUTELA VINI - I.M.T.</t>
  </si>
  <si>
    <t>AGEA.ASR.2022.0564912</t>
  </si>
  <si>
    <t>FEDERAZIONE PROVINCIALE COLDIRETTI ANCONA</t>
  </si>
  <si>
    <t>AGEA.ASR.2022.0564340</t>
  </si>
  <si>
    <t>FEDERAZIONE REGIONALE COLDIRETTI MARCHE</t>
  </si>
  <si>
    <t>IMPRESA VERDE MARCHE S.R.L.</t>
  </si>
  <si>
    <t>AZIENDA AGRICOLA ROVEGLIANO SOCIETA' SEMPLICE AGRICOLA DI MARASCA LUCA</t>
  </si>
  <si>
    <t>CAA Copagri srl</t>
  </si>
  <si>
    <t>CAA Copagri - ANCONA - 502</t>
  </si>
  <si>
    <t>SASSAROLI MARIA ZENOBIA</t>
  </si>
  <si>
    <t>OUTDOOR MARCHE LIFE SRL</t>
  </si>
  <si>
    <t>AGEA.ASR.2022.0564135</t>
  </si>
  <si>
    <t>ROSSI KATIA</t>
  </si>
  <si>
    <t>AGEA.ASR.2022.0534039</t>
  </si>
  <si>
    <t>PANTALONI FEDERICA</t>
  </si>
  <si>
    <t>AGEA.ASR.2022.0563507</t>
  </si>
  <si>
    <t>GAGLIARDI RENZO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</si>
</sst>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7468C-4A64-4CB9-8850-F50B96BFE271}">
  <dimension ref="A1:Z128"/>
  <sheetViews>
    <sheetView showGridLines="0" tabSelected="1" workbookViewId="0">
      <selection activeCell="F134" sqref="F134"/>
    </sheetView>
  </sheetViews>
  <sheetFormatPr defaultRowHeight="14.5" x14ac:dyDescent="0.35"/>
  <cols>
    <col min="1" max="1" width="9.81640625" bestFit="1" customWidth="1"/>
    <col min="2" max="2" width="10.26953125" bestFit="1" customWidth="1"/>
    <col min="3" max="3" width="11.54296875" bestFit="1" customWidth="1"/>
    <col min="4" max="4" width="27.81640625" bestFit="1" customWidth="1"/>
    <col min="5" max="5" width="20.36328125" bestFit="1" customWidth="1"/>
    <col min="6" max="6" width="26.08984375" bestFit="1" customWidth="1"/>
    <col min="7" max="7" width="5.36328125" bestFit="1" customWidth="1"/>
    <col min="8" max="8" width="8.08984375" bestFit="1" customWidth="1"/>
    <col min="9" max="9" width="13.36328125" bestFit="1" customWidth="1"/>
    <col min="10" max="10" width="12.7265625" bestFit="1" customWidth="1"/>
    <col min="11" max="12" width="10.7265625" bestFit="1" customWidth="1"/>
    <col min="13" max="13" width="11" customWidth="1"/>
    <col min="14" max="14" width="34.90625" bestFit="1" customWidth="1"/>
    <col min="15" max="15" width="11.81640625" bestFit="1" customWidth="1"/>
    <col min="16" max="16" width="14.453125" bestFit="1" customWidth="1"/>
    <col min="17" max="17" width="10.26953125" bestFit="1" customWidth="1"/>
    <col min="18" max="18" width="11.1796875" bestFit="1" customWidth="1"/>
    <col min="19" max="19" width="12.81640625" bestFit="1" customWidth="1"/>
    <col min="20" max="20" width="3.08984375" bestFit="1" customWidth="1"/>
    <col min="21" max="21" width="16.08984375" bestFit="1" customWidth="1"/>
    <col min="22" max="22" width="11.54296875" bestFit="1" customWidth="1"/>
    <col min="23" max="23" width="15.453125" bestFit="1" customWidth="1"/>
    <col min="24" max="25" width="17.08984375" bestFit="1" customWidth="1"/>
    <col min="26" max="26" width="21.26953125" bestFit="1" customWidth="1"/>
  </cols>
  <sheetData>
    <row r="1" spans="1:26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/>
    </row>
    <row r="2" spans="1:26" x14ac:dyDescent="0.3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5"/>
    </row>
    <row r="3" spans="1:26" x14ac:dyDescent="0.3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</row>
    <row r="4" spans="1:26" x14ac:dyDescent="0.35">
      <c r="A4" s="7" t="s">
        <v>27</v>
      </c>
      <c r="B4" s="7" t="s">
        <v>28</v>
      </c>
      <c r="C4" s="7" t="s">
        <v>47</v>
      </c>
      <c r="D4" s="7" t="s">
        <v>47</v>
      </c>
      <c r="E4" s="7" t="s">
        <v>29</v>
      </c>
      <c r="F4" s="7" t="s">
        <v>29</v>
      </c>
      <c r="G4" s="7">
        <v>2017</v>
      </c>
      <c r="H4" s="7" t="str">
        <f>CONCATENATE("14270364061")</f>
        <v>14270364061</v>
      </c>
      <c r="I4" s="7" t="s">
        <v>36</v>
      </c>
      <c r="J4" s="7" t="s">
        <v>31</v>
      </c>
      <c r="K4" s="7" t="str">
        <f>CONCATENATE("")</f>
        <v/>
      </c>
      <c r="L4" s="7" t="str">
        <f>CONCATENATE("19 19.2 6b")</f>
        <v>19 19.2 6b</v>
      </c>
      <c r="M4" s="7" t="str">
        <f>CONCATENATE("82002090411")</f>
        <v>82002090411</v>
      </c>
      <c r="N4" s="7" t="s">
        <v>48</v>
      </c>
      <c r="O4" s="7" t="s">
        <v>49</v>
      </c>
      <c r="P4" s="8">
        <v>44698</v>
      </c>
      <c r="Q4" s="7" t="s">
        <v>32</v>
      </c>
      <c r="R4" s="7" t="s">
        <v>33</v>
      </c>
      <c r="S4" s="7" t="s">
        <v>34</v>
      </c>
      <c r="T4" s="7"/>
      <c r="U4" s="7" t="s">
        <v>35</v>
      </c>
      <c r="V4" s="9">
        <v>54365.05</v>
      </c>
      <c r="W4" s="9">
        <v>23442.21</v>
      </c>
      <c r="X4" s="9">
        <v>21648.16</v>
      </c>
      <c r="Y4" s="7">
        <v>0</v>
      </c>
      <c r="Z4" s="9">
        <v>9274.68</v>
      </c>
    </row>
    <row r="5" spans="1:26" x14ac:dyDescent="0.35">
      <c r="A5" s="7" t="s">
        <v>27</v>
      </c>
      <c r="B5" s="7" t="s">
        <v>28</v>
      </c>
      <c r="C5" s="7" t="s">
        <v>47</v>
      </c>
      <c r="D5" s="7" t="s">
        <v>47</v>
      </c>
      <c r="E5" s="7" t="s">
        <v>29</v>
      </c>
      <c r="F5" s="7" t="s">
        <v>29</v>
      </c>
      <c r="G5" s="7">
        <v>2017</v>
      </c>
      <c r="H5" s="7" t="str">
        <f>CONCATENATE("14270364087")</f>
        <v>14270364087</v>
      </c>
      <c r="I5" s="7" t="s">
        <v>36</v>
      </c>
      <c r="J5" s="7" t="s">
        <v>31</v>
      </c>
      <c r="K5" s="7" t="str">
        <f>CONCATENATE("")</f>
        <v/>
      </c>
      <c r="L5" s="7" t="str">
        <f>CONCATENATE("19 19.2 6b")</f>
        <v>19 19.2 6b</v>
      </c>
      <c r="M5" s="7" t="str">
        <f>CONCATENATE("81001170448")</f>
        <v>81001170448</v>
      </c>
      <c r="N5" s="7" t="s">
        <v>50</v>
      </c>
      <c r="O5" s="7" t="s">
        <v>51</v>
      </c>
      <c r="P5" s="8">
        <v>44698</v>
      </c>
      <c r="Q5" s="7" t="s">
        <v>32</v>
      </c>
      <c r="R5" s="7" t="s">
        <v>33</v>
      </c>
      <c r="S5" s="7" t="s">
        <v>34</v>
      </c>
      <c r="T5" s="7"/>
      <c r="U5" s="7" t="s">
        <v>35</v>
      </c>
      <c r="V5" s="9">
        <v>53154.09</v>
      </c>
      <c r="W5" s="9">
        <v>22920.04</v>
      </c>
      <c r="X5" s="9">
        <v>21165.96</v>
      </c>
      <c r="Y5" s="7">
        <v>0</v>
      </c>
      <c r="Z5" s="9">
        <v>9068.09</v>
      </c>
    </row>
    <row r="6" spans="1:26" x14ac:dyDescent="0.35">
      <c r="A6" s="7" t="s">
        <v>27</v>
      </c>
      <c r="B6" s="7" t="s">
        <v>28</v>
      </c>
      <c r="C6" s="7" t="s">
        <v>47</v>
      </c>
      <c r="D6" s="7" t="s">
        <v>52</v>
      </c>
      <c r="E6" s="7" t="s">
        <v>29</v>
      </c>
      <c r="F6" s="7" t="s">
        <v>29</v>
      </c>
      <c r="G6" s="7">
        <v>2017</v>
      </c>
      <c r="H6" s="7" t="str">
        <f>CONCATENATE("14270364186")</f>
        <v>14270364186</v>
      </c>
      <c r="I6" s="7" t="s">
        <v>36</v>
      </c>
      <c r="J6" s="7" t="s">
        <v>31</v>
      </c>
      <c r="K6" s="7" t="str">
        <f>CONCATENATE("")</f>
        <v/>
      </c>
      <c r="L6" s="7" t="str">
        <f>CONCATENATE("6 6.1 2b")</f>
        <v>6 6.1 2b</v>
      </c>
      <c r="M6" s="7" t="str">
        <f>CONCATENATE("CNSVLR85P09E388C")</f>
        <v>CNSVLR85P09E388C</v>
      </c>
      <c r="N6" s="7" t="s">
        <v>53</v>
      </c>
      <c r="O6" s="7" t="s">
        <v>54</v>
      </c>
      <c r="P6" s="8">
        <v>44699</v>
      </c>
      <c r="Q6" s="7" t="s">
        <v>32</v>
      </c>
      <c r="R6" s="7" t="s">
        <v>33</v>
      </c>
      <c r="S6" s="7" t="s">
        <v>34</v>
      </c>
      <c r="T6" s="7"/>
      <c r="U6" s="7" t="s">
        <v>35</v>
      </c>
      <c r="V6" s="9">
        <v>10185</v>
      </c>
      <c r="W6" s="9">
        <v>4391.7700000000004</v>
      </c>
      <c r="X6" s="9">
        <v>4055.67</v>
      </c>
      <c r="Y6" s="7">
        <v>0</v>
      </c>
      <c r="Z6" s="9">
        <v>1737.56</v>
      </c>
    </row>
    <row r="7" spans="1:26" x14ac:dyDescent="0.35">
      <c r="A7" s="7" t="s">
        <v>27</v>
      </c>
      <c r="B7" s="7" t="s">
        <v>41</v>
      </c>
      <c r="C7" s="7" t="s">
        <v>47</v>
      </c>
      <c r="D7" s="7" t="s">
        <v>55</v>
      </c>
      <c r="E7" s="7" t="s">
        <v>42</v>
      </c>
      <c r="F7" s="7" t="s">
        <v>56</v>
      </c>
      <c r="G7" s="7">
        <v>2021</v>
      </c>
      <c r="H7" s="7" t="str">
        <f>CONCATENATE("14241399030")</f>
        <v>14241399030</v>
      </c>
      <c r="I7" s="7" t="s">
        <v>36</v>
      </c>
      <c r="J7" s="7" t="s">
        <v>31</v>
      </c>
      <c r="K7" s="7" t="str">
        <f>CONCATENATE("")</f>
        <v/>
      </c>
      <c r="L7" s="7" t="str">
        <f>CONCATENATE("10 10.1 4a")</f>
        <v>10 10.1 4a</v>
      </c>
      <c r="M7" s="7" t="str">
        <f>CONCATENATE("RMTGCM91B05G535X")</f>
        <v>RMTGCM91B05G535X</v>
      </c>
      <c r="N7" s="7" t="s">
        <v>57</v>
      </c>
      <c r="O7" s="7" t="s">
        <v>58</v>
      </c>
      <c r="P7" s="8">
        <v>44698</v>
      </c>
      <c r="Q7" s="7" t="s">
        <v>32</v>
      </c>
      <c r="R7" s="7" t="s">
        <v>33</v>
      </c>
      <c r="S7" s="7" t="s">
        <v>34</v>
      </c>
      <c r="T7" s="7"/>
      <c r="U7" s="7" t="s">
        <v>35</v>
      </c>
      <c r="V7" s="9">
        <v>32411.41</v>
      </c>
      <c r="W7" s="9">
        <v>13975.8</v>
      </c>
      <c r="X7" s="9">
        <v>12906.22</v>
      </c>
      <c r="Y7" s="7">
        <v>0</v>
      </c>
      <c r="Z7" s="9">
        <v>5529.39</v>
      </c>
    </row>
    <row r="8" spans="1:26" x14ac:dyDescent="0.35">
      <c r="A8" s="7" t="s">
        <v>27</v>
      </c>
      <c r="B8" s="7" t="s">
        <v>28</v>
      </c>
      <c r="C8" s="7" t="s">
        <v>47</v>
      </c>
      <c r="D8" s="7" t="s">
        <v>52</v>
      </c>
      <c r="E8" s="7" t="s">
        <v>38</v>
      </c>
      <c r="F8" s="7" t="s">
        <v>59</v>
      </c>
      <c r="G8" s="7">
        <v>2017</v>
      </c>
      <c r="H8" s="7" t="str">
        <f>CONCATENATE("24270070253")</f>
        <v>24270070253</v>
      </c>
      <c r="I8" s="7" t="s">
        <v>36</v>
      </c>
      <c r="J8" s="7" t="s">
        <v>31</v>
      </c>
      <c r="K8" s="7" t="str">
        <f>CONCATENATE("")</f>
        <v/>
      </c>
      <c r="L8" s="7" t="str">
        <f>CONCATENATE("16 16.5 4c")</f>
        <v>16 16.5 4c</v>
      </c>
      <c r="M8" s="7" t="str">
        <f>CONCATENATE("02168320428")</f>
        <v>02168320428</v>
      </c>
      <c r="N8" s="7" t="s">
        <v>60</v>
      </c>
      <c r="O8" s="7" t="s">
        <v>61</v>
      </c>
      <c r="P8" s="8">
        <v>44698</v>
      </c>
      <c r="Q8" s="7" t="s">
        <v>32</v>
      </c>
      <c r="R8" s="7" t="s">
        <v>40</v>
      </c>
      <c r="S8" s="7" t="s">
        <v>34</v>
      </c>
      <c r="T8" s="7"/>
      <c r="U8" s="7" t="s">
        <v>35</v>
      </c>
      <c r="V8" s="9">
        <v>29116.27</v>
      </c>
      <c r="W8" s="9">
        <v>12554.94</v>
      </c>
      <c r="X8" s="9">
        <v>11594.1</v>
      </c>
      <c r="Y8" s="7">
        <v>0</v>
      </c>
      <c r="Z8" s="9">
        <v>4967.2299999999996</v>
      </c>
    </row>
    <row r="9" spans="1:26" x14ac:dyDescent="0.35">
      <c r="A9" s="7" t="s">
        <v>27</v>
      </c>
      <c r="B9" s="7" t="s">
        <v>41</v>
      </c>
      <c r="C9" s="7" t="s">
        <v>47</v>
      </c>
      <c r="D9" s="7" t="s">
        <v>62</v>
      </c>
      <c r="E9" s="7" t="s">
        <v>42</v>
      </c>
      <c r="F9" s="7" t="s">
        <v>63</v>
      </c>
      <c r="G9" s="7">
        <v>2021</v>
      </c>
      <c r="H9" s="7" t="str">
        <f>CONCATENATE("14211138400")</f>
        <v>14211138400</v>
      </c>
      <c r="I9" s="7" t="s">
        <v>30</v>
      </c>
      <c r="J9" s="7" t="s">
        <v>31</v>
      </c>
      <c r="K9" s="7" t="str">
        <f>CONCATENATE("")</f>
        <v/>
      </c>
      <c r="L9" s="7" t="str">
        <f>CONCATENATE("13 13.1 4a")</f>
        <v>13 13.1 4a</v>
      </c>
      <c r="M9" s="7" t="str">
        <f>CONCATENATE("RCCNLS55P67D564V")</f>
        <v>RCCNLS55P67D564V</v>
      </c>
      <c r="N9" s="7" t="s">
        <v>64</v>
      </c>
      <c r="O9" s="7" t="s">
        <v>65</v>
      </c>
      <c r="P9" s="8">
        <v>44699</v>
      </c>
      <c r="Q9" s="7" t="s">
        <v>32</v>
      </c>
      <c r="R9" s="7" t="s">
        <v>33</v>
      </c>
      <c r="S9" s="7" t="s">
        <v>34</v>
      </c>
      <c r="T9" s="7"/>
      <c r="U9" s="7" t="s">
        <v>35</v>
      </c>
      <c r="V9" s="9">
        <v>4752.5200000000004</v>
      </c>
      <c r="W9" s="9">
        <v>2049.29</v>
      </c>
      <c r="X9" s="9">
        <v>1892.45</v>
      </c>
      <c r="Y9" s="7">
        <v>0</v>
      </c>
      <c r="Z9" s="7">
        <v>810.78</v>
      </c>
    </row>
    <row r="10" spans="1:26" x14ac:dyDescent="0.35">
      <c r="A10" s="7" t="s">
        <v>27</v>
      </c>
      <c r="B10" s="7" t="s">
        <v>41</v>
      </c>
      <c r="C10" s="7" t="s">
        <v>47</v>
      </c>
      <c r="D10" s="7" t="s">
        <v>62</v>
      </c>
      <c r="E10" s="7" t="s">
        <v>42</v>
      </c>
      <c r="F10" s="7" t="s">
        <v>63</v>
      </c>
      <c r="G10" s="7">
        <v>2021</v>
      </c>
      <c r="H10" s="7" t="str">
        <f>CONCATENATE("14210293115")</f>
        <v>14210293115</v>
      </c>
      <c r="I10" s="7" t="s">
        <v>36</v>
      </c>
      <c r="J10" s="7" t="s">
        <v>31</v>
      </c>
      <c r="K10" s="7" t="str">
        <f>CONCATENATE("")</f>
        <v/>
      </c>
      <c r="L10" s="7" t="str">
        <f>CONCATENATE("13 13.1 4a")</f>
        <v>13 13.1 4a</v>
      </c>
      <c r="M10" s="7" t="str">
        <f>CONCATENATE("CMPLRI86A52I156H")</f>
        <v>CMPLRI86A52I156H</v>
      </c>
      <c r="N10" s="7" t="s">
        <v>66</v>
      </c>
      <c r="O10" s="7" t="s">
        <v>65</v>
      </c>
      <c r="P10" s="8">
        <v>44699</v>
      </c>
      <c r="Q10" s="7" t="s">
        <v>32</v>
      </c>
      <c r="R10" s="7" t="s">
        <v>33</v>
      </c>
      <c r="S10" s="7" t="s">
        <v>34</v>
      </c>
      <c r="T10" s="7"/>
      <c r="U10" s="7" t="s">
        <v>35</v>
      </c>
      <c r="V10" s="9">
        <v>6348.63</v>
      </c>
      <c r="W10" s="9">
        <v>2737.53</v>
      </c>
      <c r="X10" s="9">
        <v>2528.02</v>
      </c>
      <c r="Y10" s="7">
        <v>0</v>
      </c>
      <c r="Z10" s="9">
        <v>1083.08</v>
      </c>
    </row>
    <row r="11" spans="1:26" x14ac:dyDescent="0.35">
      <c r="A11" s="7" t="s">
        <v>27</v>
      </c>
      <c r="B11" s="7" t="s">
        <v>41</v>
      </c>
      <c r="C11" s="7" t="s">
        <v>47</v>
      </c>
      <c r="D11" s="7" t="s">
        <v>62</v>
      </c>
      <c r="E11" s="7" t="s">
        <v>44</v>
      </c>
      <c r="F11" s="7" t="s">
        <v>67</v>
      </c>
      <c r="G11" s="7">
        <v>2021</v>
      </c>
      <c r="H11" s="7" t="str">
        <f>CONCATENATE("14211305447")</f>
        <v>14211305447</v>
      </c>
      <c r="I11" s="7" t="s">
        <v>36</v>
      </c>
      <c r="J11" s="7" t="s">
        <v>31</v>
      </c>
      <c r="K11" s="7" t="str">
        <f>CONCATENATE("")</f>
        <v/>
      </c>
      <c r="L11" s="7" t="str">
        <f>CONCATENATE("13 13.1 4a")</f>
        <v>13 13.1 4a</v>
      </c>
      <c r="M11" s="7" t="str">
        <f>CONCATENATE("MPCLSN97R22E783X")</f>
        <v>MPCLSN97R22E783X</v>
      </c>
      <c r="N11" s="7" t="s">
        <v>68</v>
      </c>
      <c r="O11" s="7" t="s">
        <v>65</v>
      </c>
      <c r="P11" s="8">
        <v>44699</v>
      </c>
      <c r="Q11" s="7" t="s">
        <v>32</v>
      </c>
      <c r="R11" s="7" t="s">
        <v>33</v>
      </c>
      <c r="S11" s="7" t="s">
        <v>34</v>
      </c>
      <c r="T11" s="7"/>
      <c r="U11" s="7" t="s">
        <v>35</v>
      </c>
      <c r="V11" s="9">
        <v>4263.0200000000004</v>
      </c>
      <c r="W11" s="9">
        <v>1838.21</v>
      </c>
      <c r="X11" s="9">
        <v>1697.53</v>
      </c>
      <c r="Y11" s="7">
        <v>0</v>
      </c>
      <c r="Z11" s="7">
        <v>727.28</v>
      </c>
    </row>
    <row r="12" spans="1:26" x14ac:dyDescent="0.35">
      <c r="A12" s="7" t="s">
        <v>27</v>
      </c>
      <c r="B12" s="7" t="s">
        <v>41</v>
      </c>
      <c r="C12" s="7" t="s">
        <v>47</v>
      </c>
      <c r="D12" s="7" t="s">
        <v>62</v>
      </c>
      <c r="E12" s="7" t="s">
        <v>42</v>
      </c>
      <c r="F12" s="7" t="s">
        <v>69</v>
      </c>
      <c r="G12" s="7">
        <v>2021</v>
      </c>
      <c r="H12" s="7" t="str">
        <f>CONCATENATE("14210663416")</f>
        <v>14210663416</v>
      </c>
      <c r="I12" s="7" t="s">
        <v>36</v>
      </c>
      <c r="J12" s="7" t="s">
        <v>31</v>
      </c>
      <c r="K12" s="7" t="str">
        <f>CONCATENATE("")</f>
        <v/>
      </c>
      <c r="L12" s="7" t="str">
        <f>CONCATENATE("13 13.1 4a")</f>
        <v>13 13.1 4a</v>
      </c>
      <c r="M12" s="7" t="str">
        <f>CONCATENATE("00734090434")</f>
        <v>00734090434</v>
      </c>
      <c r="N12" s="7" t="s">
        <v>70</v>
      </c>
      <c r="O12" s="7" t="s">
        <v>65</v>
      </c>
      <c r="P12" s="8">
        <v>44699</v>
      </c>
      <c r="Q12" s="7" t="s">
        <v>32</v>
      </c>
      <c r="R12" s="7" t="s">
        <v>33</v>
      </c>
      <c r="S12" s="7" t="s">
        <v>34</v>
      </c>
      <c r="T12" s="7"/>
      <c r="U12" s="7" t="s">
        <v>35</v>
      </c>
      <c r="V12" s="7">
        <v>890.44</v>
      </c>
      <c r="W12" s="7">
        <v>383.96</v>
      </c>
      <c r="X12" s="7">
        <v>354.57</v>
      </c>
      <c r="Y12" s="7">
        <v>0</v>
      </c>
      <c r="Z12" s="7">
        <v>151.91</v>
      </c>
    </row>
    <row r="13" spans="1:26" x14ac:dyDescent="0.35">
      <c r="A13" s="7" t="s">
        <v>27</v>
      </c>
      <c r="B13" s="7" t="s">
        <v>41</v>
      </c>
      <c r="C13" s="7" t="s">
        <v>47</v>
      </c>
      <c r="D13" s="7" t="s">
        <v>52</v>
      </c>
      <c r="E13" s="7" t="s">
        <v>38</v>
      </c>
      <c r="F13" s="7" t="s">
        <v>71</v>
      </c>
      <c r="G13" s="7">
        <v>2021</v>
      </c>
      <c r="H13" s="7" t="str">
        <f>CONCATENATE("14211297669")</f>
        <v>14211297669</v>
      </c>
      <c r="I13" s="7" t="s">
        <v>36</v>
      </c>
      <c r="J13" s="7" t="s">
        <v>31</v>
      </c>
      <c r="K13" s="7" t="str">
        <f>CONCATENATE("")</f>
        <v/>
      </c>
      <c r="L13" s="7" t="str">
        <f>CONCATENATE("13 13.1 4a")</f>
        <v>13 13.1 4a</v>
      </c>
      <c r="M13" s="7" t="str">
        <f>CONCATENATE("BDCBRN48H10I461L")</f>
        <v>BDCBRN48H10I461L</v>
      </c>
      <c r="N13" s="7" t="s">
        <v>72</v>
      </c>
      <c r="O13" s="7" t="s">
        <v>65</v>
      </c>
      <c r="P13" s="8">
        <v>44699</v>
      </c>
      <c r="Q13" s="7" t="s">
        <v>32</v>
      </c>
      <c r="R13" s="7" t="s">
        <v>33</v>
      </c>
      <c r="S13" s="7" t="s">
        <v>34</v>
      </c>
      <c r="T13" s="7"/>
      <c r="U13" s="7" t="s">
        <v>35</v>
      </c>
      <c r="V13" s="9">
        <v>3371.96</v>
      </c>
      <c r="W13" s="9">
        <v>1453.99</v>
      </c>
      <c r="X13" s="9">
        <v>1342.71</v>
      </c>
      <c r="Y13" s="7">
        <v>0</v>
      </c>
      <c r="Z13" s="7">
        <v>575.26</v>
      </c>
    </row>
    <row r="14" spans="1:26" x14ac:dyDescent="0.35">
      <c r="A14" s="7" t="s">
        <v>27</v>
      </c>
      <c r="B14" s="7" t="s">
        <v>41</v>
      </c>
      <c r="C14" s="7" t="s">
        <v>47</v>
      </c>
      <c r="D14" s="7" t="s">
        <v>62</v>
      </c>
      <c r="E14" s="7" t="s">
        <v>42</v>
      </c>
      <c r="F14" s="7" t="s">
        <v>63</v>
      </c>
      <c r="G14" s="7">
        <v>2021</v>
      </c>
      <c r="H14" s="7" t="str">
        <f>CONCATENATE("14210290160")</f>
        <v>14210290160</v>
      </c>
      <c r="I14" s="7" t="s">
        <v>36</v>
      </c>
      <c r="J14" s="7" t="s">
        <v>31</v>
      </c>
      <c r="K14" s="7" t="str">
        <f>CONCATENATE("")</f>
        <v/>
      </c>
      <c r="L14" s="7" t="str">
        <f>CONCATENATE("13 13.1 4a")</f>
        <v>13 13.1 4a</v>
      </c>
      <c r="M14" s="7" t="str">
        <f>CONCATENATE("NGLRRT54H07H501P")</f>
        <v>NGLRRT54H07H501P</v>
      </c>
      <c r="N14" s="7" t="s">
        <v>73</v>
      </c>
      <c r="O14" s="7" t="s">
        <v>65</v>
      </c>
      <c r="P14" s="8">
        <v>44699</v>
      </c>
      <c r="Q14" s="7" t="s">
        <v>32</v>
      </c>
      <c r="R14" s="7" t="s">
        <v>33</v>
      </c>
      <c r="S14" s="7" t="s">
        <v>34</v>
      </c>
      <c r="T14" s="7"/>
      <c r="U14" s="7" t="s">
        <v>35</v>
      </c>
      <c r="V14" s="9">
        <v>8594.01</v>
      </c>
      <c r="W14" s="9">
        <v>3705.74</v>
      </c>
      <c r="X14" s="9">
        <v>3422.13</v>
      </c>
      <c r="Y14" s="7">
        <v>0</v>
      </c>
      <c r="Z14" s="9">
        <v>1466.14</v>
      </c>
    </row>
    <row r="15" spans="1:26" x14ac:dyDescent="0.35">
      <c r="A15" s="7" t="s">
        <v>27</v>
      </c>
      <c r="B15" s="7" t="s">
        <v>41</v>
      </c>
      <c r="C15" s="7" t="s">
        <v>47</v>
      </c>
      <c r="D15" s="7" t="s">
        <v>74</v>
      </c>
      <c r="E15" s="7" t="s">
        <v>45</v>
      </c>
      <c r="F15" s="7" t="s">
        <v>75</v>
      </c>
      <c r="G15" s="7">
        <v>2021</v>
      </c>
      <c r="H15" s="7" t="str">
        <f>CONCATENATE("14211130217")</f>
        <v>14211130217</v>
      </c>
      <c r="I15" s="7" t="s">
        <v>36</v>
      </c>
      <c r="J15" s="7" t="s">
        <v>31</v>
      </c>
      <c r="K15" s="7" t="str">
        <f>CONCATENATE("")</f>
        <v/>
      </c>
      <c r="L15" s="7" t="str">
        <f>CONCATENATE("13 13.1 4a")</f>
        <v>13 13.1 4a</v>
      </c>
      <c r="M15" s="7" t="str">
        <f>CONCATENATE("PRNLNR90B56F522Y")</f>
        <v>PRNLNR90B56F522Y</v>
      </c>
      <c r="N15" s="7" t="s">
        <v>76</v>
      </c>
      <c r="O15" s="7" t="s">
        <v>65</v>
      </c>
      <c r="P15" s="8">
        <v>44699</v>
      </c>
      <c r="Q15" s="7" t="s">
        <v>32</v>
      </c>
      <c r="R15" s="7" t="s">
        <v>33</v>
      </c>
      <c r="S15" s="7" t="s">
        <v>34</v>
      </c>
      <c r="T15" s="7"/>
      <c r="U15" s="7" t="s">
        <v>35</v>
      </c>
      <c r="V15" s="9">
        <v>6096.47</v>
      </c>
      <c r="W15" s="9">
        <v>2628.8</v>
      </c>
      <c r="X15" s="9">
        <v>2427.61</v>
      </c>
      <c r="Y15" s="7">
        <v>0</v>
      </c>
      <c r="Z15" s="9">
        <v>1040.06</v>
      </c>
    </row>
    <row r="16" spans="1:26" x14ac:dyDescent="0.35">
      <c r="A16" s="7" t="s">
        <v>27</v>
      </c>
      <c r="B16" s="7" t="s">
        <v>41</v>
      </c>
      <c r="C16" s="7" t="s">
        <v>47</v>
      </c>
      <c r="D16" s="7" t="s">
        <v>62</v>
      </c>
      <c r="E16" s="7" t="s">
        <v>38</v>
      </c>
      <c r="F16" s="7" t="s">
        <v>77</v>
      </c>
      <c r="G16" s="7">
        <v>2021</v>
      </c>
      <c r="H16" s="7" t="str">
        <f>CONCATENATE("14210977246")</f>
        <v>14210977246</v>
      </c>
      <c r="I16" s="7" t="s">
        <v>30</v>
      </c>
      <c r="J16" s="7" t="s">
        <v>31</v>
      </c>
      <c r="K16" s="7" t="str">
        <f>CONCATENATE("")</f>
        <v/>
      </c>
      <c r="L16" s="7" t="str">
        <f>CONCATENATE("13 13.1 4a")</f>
        <v>13 13.1 4a</v>
      </c>
      <c r="M16" s="7" t="str">
        <f>CONCATENATE("SNTTLI63L18D653M")</f>
        <v>SNTTLI63L18D653M</v>
      </c>
      <c r="N16" s="7" t="s">
        <v>78</v>
      </c>
      <c r="O16" s="7" t="s">
        <v>65</v>
      </c>
      <c r="P16" s="8">
        <v>44699</v>
      </c>
      <c r="Q16" s="7" t="s">
        <v>32</v>
      </c>
      <c r="R16" s="7" t="s">
        <v>33</v>
      </c>
      <c r="S16" s="7" t="s">
        <v>34</v>
      </c>
      <c r="T16" s="7"/>
      <c r="U16" s="7" t="s">
        <v>35</v>
      </c>
      <c r="V16" s="7">
        <v>665.26</v>
      </c>
      <c r="W16" s="7">
        <v>286.86</v>
      </c>
      <c r="X16" s="7">
        <v>264.91000000000003</v>
      </c>
      <c r="Y16" s="7">
        <v>0</v>
      </c>
      <c r="Z16" s="7">
        <v>113.49</v>
      </c>
    </row>
    <row r="17" spans="1:26" x14ac:dyDescent="0.35">
      <c r="A17" s="7" t="s">
        <v>27</v>
      </c>
      <c r="B17" s="7" t="s">
        <v>41</v>
      </c>
      <c r="C17" s="7" t="s">
        <v>47</v>
      </c>
      <c r="D17" s="7" t="s">
        <v>62</v>
      </c>
      <c r="E17" s="7" t="s">
        <v>44</v>
      </c>
      <c r="F17" s="7" t="s">
        <v>79</v>
      </c>
      <c r="G17" s="7">
        <v>2021</v>
      </c>
      <c r="H17" s="7" t="str">
        <f>CONCATENATE("14210402369")</f>
        <v>14210402369</v>
      </c>
      <c r="I17" s="7" t="s">
        <v>36</v>
      </c>
      <c r="J17" s="7" t="s">
        <v>31</v>
      </c>
      <c r="K17" s="7" t="str">
        <f>CONCATENATE("")</f>
        <v/>
      </c>
      <c r="L17" s="7" t="str">
        <f>CONCATENATE("13 13.1 4a")</f>
        <v>13 13.1 4a</v>
      </c>
      <c r="M17" s="7" t="str">
        <f>CONCATENATE("02850780426")</f>
        <v>02850780426</v>
      </c>
      <c r="N17" s="7" t="s">
        <v>80</v>
      </c>
      <c r="O17" s="7" t="s">
        <v>65</v>
      </c>
      <c r="P17" s="8">
        <v>44699</v>
      </c>
      <c r="Q17" s="7" t="s">
        <v>32</v>
      </c>
      <c r="R17" s="7" t="s">
        <v>33</v>
      </c>
      <c r="S17" s="7" t="s">
        <v>34</v>
      </c>
      <c r="T17" s="7"/>
      <c r="U17" s="7" t="s">
        <v>35</v>
      </c>
      <c r="V17" s="7">
        <v>935.84</v>
      </c>
      <c r="W17" s="7">
        <v>403.53</v>
      </c>
      <c r="X17" s="7">
        <v>372.65</v>
      </c>
      <c r="Y17" s="7">
        <v>0</v>
      </c>
      <c r="Z17" s="7">
        <v>159.66</v>
      </c>
    </row>
    <row r="18" spans="1:26" x14ac:dyDescent="0.35">
      <c r="A18" s="7" t="s">
        <v>27</v>
      </c>
      <c r="B18" s="7" t="s">
        <v>41</v>
      </c>
      <c r="C18" s="7" t="s">
        <v>47</v>
      </c>
      <c r="D18" s="7" t="s">
        <v>62</v>
      </c>
      <c r="E18" s="7" t="s">
        <v>42</v>
      </c>
      <c r="F18" s="7" t="s">
        <v>69</v>
      </c>
      <c r="G18" s="7">
        <v>2021</v>
      </c>
      <c r="H18" s="7" t="str">
        <f>CONCATENATE("14210856168")</f>
        <v>14210856168</v>
      </c>
      <c r="I18" s="7" t="s">
        <v>36</v>
      </c>
      <c r="J18" s="7" t="s">
        <v>31</v>
      </c>
      <c r="K18" s="7" t="str">
        <f>CONCATENATE("")</f>
        <v/>
      </c>
      <c r="L18" s="7" t="str">
        <f>CONCATENATE("13 13.1 4a")</f>
        <v>13 13.1 4a</v>
      </c>
      <c r="M18" s="7" t="str">
        <f>CONCATENATE("MRZLGN75A18L191E")</f>
        <v>MRZLGN75A18L191E</v>
      </c>
      <c r="N18" s="7" t="s">
        <v>81</v>
      </c>
      <c r="O18" s="7" t="s">
        <v>65</v>
      </c>
      <c r="P18" s="8">
        <v>44699</v>
      </c>
      <c r="Q18" s="7" t="s">
        <v>32</v>
      </c>
      <c r="R18" s="7" t="s">
        <v>33</v>
      </c>
      <c r="S18" s="7" t="s">
        <v>34</v>
      </c>
      <c r="T18" s="7"/>
      <c r="U18" s="7" t="s">
        <v>35</v>
      </c>
      <c r="V18" s="9">
        <v>7489.58</v>
      </c>
      <c r="W18" s="9">
        <v>3229.51</v>
      </c>
      <c r="X18" s="9">
        <v>2982.35</v>
      </c>
      <c r="Y18" s="7">
        <v>0</v>
      </c>
      <c r="Z18" s="9">
        <v>1277.72</v>
      </c>
    </row>
    <row r="19" spans="1:26" x14ac:dyDescent="0.35">
      <c r="A19" s="7" t="s">
        <v>27</v>
      </c>
      <c r="B19" s="7" t="s">
        <v>41</v>
      </c>
      <c r="C19" s="7" t="s">
        <v>47</v>
      </c>
      <c r="D19" s="7" t="s">
        <v>62</v>
      </c>
      <c r="E19" s="7" t="s">
        <v>42</v>
      </c>
      <c r="F19" s="7" t="s">
        <v>63</v>
      </c>
      <c r="G19" s="7">
        <v>2021</v>
      </c>
      <c r="H19" s="7" t="str">
        <f>CONCATENATE("14210801008")</f>
        <v>14210801008</v>
      </c>
      <c r="I19" s="7" t="s">
        <v>30</v>
      </c>
      <c r="J19" s="7" t="s">
        <v>31</v>
      </c>
      <c r="K19" s="7" t="str">
        <f>CONCATENATE("")</f>
        <v/>
      </c>
      <c r="L19" s="7" t="str">
        <f>CONCATENATE("13 13.1 4a")</f>
        <v>13 13.1 4a</v>
      </c>
      <c r="M19" s="7" t="str">
        <f>CONCATENATE("01297880435")</f>
        <v>01297880435</v>
      </c>
      <c r="N19" s="7" t="s">
        <v>82</v>
      </c>
      <c r="O19" s="7" t="s">
        <v>65</v>
      </c>
      <c r="P19" s="8">
        <v>44699</v>
      </c>
      <c r="Q19" s="7" t="s">
        <v>32</v>
      </c>
      <c r="R19" s="7" t="s">
        <v>33</v>
      </c>
      <c r="S19" s="7" t="s">
        <v>34</v>
      </c>
      <c r="T19" s="7"/>
      <c r="U19" s="7" t="s">
        <v>35</v>
      </c>
      <c r="V19" s="9">
        <v>1350</v>
      </c>
      <c r="W19" s="7">
        <v>582.12</v>
      </c>
      <c r="X19" s="7">
        <v>537.57000000000005</v>
      </c>
      <c r="Y19" s="7">
        <v>0</v>
      </c>
      <c r="Z19" s="7">
        <v>230.31</v>
      </c>
    </row>
    <row r="20" spans="1:26" x14ac:dyDescent="0.35">
      <c r="A20" s="7" t="s">
        <v>27</v>
      </c>
      <c r="B20" s="7" t="s">
        <v>41</v>
      </c>
      <c r="C20" s="7" t="s">
        <v>47</v>
      </c>
      <c r="D20" s="7" t="s">
        <v>62</v>
      </c>
      <c r="E20" s="7" t="s">
        <v>44</v>
      </c>
      <c r="F20" s="7" t="s">
        <v>79</v>
      </c>
      <c r="G20" s="7">
        <v>2021</v>
      </c>
      <c r="H20" s="7" t="str">
        <f>CONCATENATE("14210383940")</f>
        <v>14210383940</v>
      </c>
      <c r="I20" s="7" t="s">
        <v>30</v>
      </c>
      <c r="J20" s="7" t="s">
        <v>31</v>
      </c>
      <c r="K20" s="7" t="str">
        <f>CONCATENATE("")</f>
        <v/>
      </c>
      <c r="L20" s="7" t="str">
        <f>CONCATENATE("13 13.1 4a")</f>
        <v>13 13.1 4a</v>
      </c>
      <c r="M20" s="7" t="str">
        <f>CONCATENATE("MGGFRC81M58B474M")</f>
        <v>MGGFRC81M58B474M</v>
      </c>
      <c r="N20" s="7" t="s">
        <v>83</v>
      </c>
      <c r="O20" s="7" t="s">
        <v>65</v>
      </c>
      <c r="P20" s="8">
        <v>44699</v>
      </c>
      <c r="Q20" s="7" t="s">
        <v>32</v>
      </c>
      <c r="R20" s="7" t="s">
        <v>33</v>
      </c>
      <c r="S20" s="7" t="s">
        <v>34</v>
      </c>
      <c r="T20" s="7"/>
      <c r="U20" s="7" t="s">
        <v>35</v>
      </c>
      <c r="V20" s="9">
        <v>7120.42</v>
      </c>
      <c r="W20" s="9">
        <v>3070.33</v>
      </c>
      <c r="X20" s="9">
        <v>2835.35</v>
      </c>
      <c r="Y20" s="7">
        <v>0</v>
      </c>
      <c r="Z20" s="9">
        <v>1214.74</v>
      </c>
    </row>
    <row r="21" spans="1:26" x14ac:dyDescent="0.35">
      <c r="A21" s="7" t="s">
        <v>27</v>
      </c>
      <c r="B21" s="7" t="s">
        <v>41</v>
      </c>
      <c r="C21" s="7" t="s">
        <v>47</v>
      </c>
      <c r="D21" s="7" t="s">
        <v>62</v>
      </c>
      <c r="E21" s="7" t="s">
        <v>29</v>
      </c>
      <c r="F21" s="7" t="s">
        <v>29</v>
      </c>
      <c r="G21" s="7">
        <v>2021</v>
      </c>
      <c r="H21" s="7" t="str">
        <f>CONCATENATE("14210440138")</f>
        <v>14210440138</v>
      </c>
      <c r="I21" s="7" t="s">
        <v>30</v>
      </c>
      <c r="J21" s="7" t="s">
        <v>31</v>
      </c>
      <c r="K21" s="7" t="str">
        <f>CONCATENATE("")</f>
        <v/>
      </c>
      <c r="L21" s="7" t="str">
        <f>CONCATENATE("13 13.1 4a")</f>
        <v>13 13.1 4a</v>
      </c>
      <c r="M21" s="7" t="str">
        <f>CONCATENATE("SCLRRT58P14D024H")</f>
        <v>SCLRRT58P14D024H</v>
      </c>
      <c r="N21" s="7" t="s">
        <v>84</v>
      </c>
      <c r="O21" s="7" t="s">
        <v>65</v>
      </c>
      <c r="P21" s="8">
        <v>44699</v>
      </c>
      <c r="Q21" s="7" t="s">
        <v>32</v>
      </c>
      <c r="R21" s="7" t="s">
        <v>33</v>
      </c>
      <c r="S21" s="7" t="s">
        <v>34</v>
      </c>
      <c r="T21" s="7"/>
      <c r="U21" s="7" t="s">
        <v>35</v>
      </c>
      <c r="V21" s="9">
        <v>1697.18</v>
      </c>
      <c r="W21" s="7">
        <v>731.82</v>
      </c>
      <c r="X21" s="7">
        <v>675.82</v>
      </c>
      <c r="Y21" s="7">
        <v>0</v>
      </c>
      <c r="Z21" s="7">
        <v>289.54000000000002</v>
      </c>
    </row>
    <row r="22" spans="1:26" x14ac:dyDescent="0.35">
      <c r="A22" s="7" t="s">
        <v>27</v>
      </c>
      <c r="B22" s="7" t="s">
        <v>41</v>
      </c>
      <c r="C22" s="7" t="s">
        <v>47</v>
      </c>
      <c r="D22" s="7" t="s">
        <v>62</v>
      </c>
      <c r="E22" s="7" t="s">
        <v>42</v>
      </c>
      <c r="F22" s="7" t="s">
        <v>63</v>
      </c>
      <c r="G22" s="7">
        <v>2021</v>
      </c>
      <c r="H22" s="7" t="str">
        <f>CONCATENATE("14210868155")</f>
        <v>14210868155</v>
      </c>
      <c r="I22" s="7" t="s">
        <v>36</v>
      </c>
      <c r="J22" s="7" t="s">
        <v>31</v>
      </c>
      <c r="K22" s="7" t="str">
        <f>CONCATENATE("")</f>
        <v/>
      </c>
      <c r="L22" s="7" t="str">
        <f>CONCATENATE("13 13.1 4a")</f>
        <v>13 13.1 4a</v>
      </c>
      <c r="M22" s="7" t="str">
        <f>CONCATENATE("01710780436")</f>
        <v>01710780436</v>
      </c>
      <c r="N22" s="7" t="s">
        <v>85</v>
      </c>
      <c r="O22" s="7" t="s">
        <v>65</v>
      </c>
      <c r="P22" s="8">
        <v>44699</v>
      </c>
      <c r="Q22" s="7" t="s">
        <v>32</v>
      </c>
      <c r="R22" s="7" t="s">
        <v>33</v>
      </c>
      <c r="S22" s="7" t="s">
        <v>34</v>
      </c>
      <c r="T22" s="7"/>
      <c r="U22" s="7" t="s">
        <v>35</v>
      </c>
      <c r="V22" s="7">
        <v>583.36</v>
      </c>
      <c r="W22" s="7">
        <v>251.54</v>
      </c>
      <c r="X22" s="7">
        <v>232.29</v>
      </c>
      <c r="Y22" s="7">
        <v>0</v>
      </c>
      <c r="Z22" s="7">
        <v>99.53</v>
      </c>
    </row>
    <row r="23" spans="1:26" x14ac:dyDescent="0.35">
      <c r="A23" s="7" t="s">
        <v>27</v>
      </c>
      <c r="B23" s="7" t="s">
        <v>41</v>
      </c>
      <c r="C23" s="7" t="s">
        <v>47</v>
      </c>
      <c r="D23" s="7" t="s">
        <v>62</v>
      </c>
      <c r="E23" s="7" t="s">
        <v>39</v>
      </c>
      <c r="F23" s="7" t="s">
        <v>86</v>
      </c>
      <c r="G23" s="7">
        <v>2021</v>
      </c>
      <c r="H23" s="7" t="str">
        <f>CONCATENATE("14210412855")</f>
        <v>14210412855</v>
      </c>
      <c r="I23" s="7" t="s">
        <v>30</v>
      </c>
      <c r="J23" s="7" t="s">
        <v>31</v>
      </c>
      <c r="K23" s="7" t="str">
        <f>CONCATENATE("")</f>
        <v/>
      </c>
      <c r="L23" s="7" t="str">
        <f>CONCATENATE("13 13.1 4a")</f>
        <v>13 13.1 4a</v>
      </c>
      <c r="M23" s="7" t="str">
        <f>CONCATENATE("PNTSTD94A05B474A")</f>
        <v>PNTSTD94A05B474A</v>
      </c>
      <c r="N23" s="7" t="s">
        <v>87</v>
      </c>
      <c r="O23" s="7" t="s">
        <v>65</v>
      </c>
      <c r="P23" s="8">
        <v>44699</v>
      </c>
      <c r="Q23" s="7" t="s">
        <v>32</v>
      </c>
      <c r="R23" s="7" t="s">
        <v>33</v>
      </c>
      <c r="S23" s="7" t="s">
        <v>34</v>
      </c>
      <c r="T23" s="7"/>
      <c r="U23" s="7" t="s">
        <v>35</v>
      </c>
      <c r="V23" s="9">
        <v>1280.6099999999999</v>
      </c>
      <c r="W23" s="7">
        <v>552.20000000000005</v>
      </c>
      <c r="X23" s="7">
        <v>509.94</v>
      </c>
      <c r="Y23" s="7">
        <v>0</v>
      </c>
      <c r="Z23" s="7">
        <v>218.47</v>
      </c>
    </row>
    <row r="24" spans="1:26" x14ac:dyDescent="0.35">
      <c r="A24" s="7" t="s">
        <v>27</v>
      </c>
      <c r="B24" s="7" t="s">
        <v>41</v>
      </c>
      <c r="C24" s="7" t="s">
        <v>47</v>
      </c>
      <c r="D24" s="7" t="s">
        <v>62</v>
      </c>
      <c r="E24" s="7" t="s">
        <v>29</v>
      </c>
      <c r="F24" s="7" t="s">
        <v>29</v>
      </c>
      <c r="G24" s="7">
        <v>2021</v>
      </c>
      <c r="H24" s="7" t="str">
        <f>CONCATENATE("14210825874")</f>
        <v>14210825874</v>
      </c>
      <c r="I24" s="7" t="s">
        <v>30</v>
      </c>
      <c r="J24" s="7" t="s">
        <v>31</v>
      </c>
      <c r="K24" s="7" t="str">
        <f>CONCATENATE("")</f>
        <v/>
      </c>
      <c r="L24" s="7" t="str">
        <f>CONCATENATE("13 13.1 4a")</f>
        <v>13 13.1 4a</v>
      </c>
      <c r="M24" s="7" t="str">
        <f>CONCATENATE("SCLMRC88D03D024S")</f>
        <v>SCLMRC88D03D024S</v>
      </c>
      <c r="N24" s="7" t="s">
        <v>88</v>
      </c>
      <c r="O24" s="7" t="s">
        <v>65</v>
      </c>
      <c r="P24" s="8">
        <v>44699</v>
      </c>
      <c r="Q24" s="7" t="s">
        <v>32</v>
      </c>
      <c r="R24" s="7" t="s">
        <v>33</v>
      </c>
      <c r="S24" s="7" t="s">
        <v>34</v>
      </c>
      <c r="T24" s="7"/>
      <c r="U24" s="7" t="s">
        <v>35</v>
      </c>
      <c r="V24" s="9">
        <v>1350</v>
      </c>
      <c r="W24" s="7">
        <v>582.12</v>
      </c>
      <c r="X24" s="7">
        <v>537.57000000000005</v>
      </c>
      <c r="Y24" s="7">
        <v>0</v>
      </c>
      <c r="Z24" s="7">
        <v>230.31</v>
      </c>
    </row>
    <row r="25" spans="1:26" x14ac:dyDescent="0.35">
      <c r="A25" s="7" t="s">
        <v>27</v>
      </c>
      <c r="B25" s="7" t="s">
        <v>41</v>
      </c>
      <c r="C25" s="7" t="s">
        <v>47</v>
      </c>
      <c r="D25" s="7" t="s">
        <v>62</v>
      </c>
      <c r="E25" s="7" t="s">
        <v>38</v>
      </c>
      <c r="F25" s="7" t="s">
        <v>77</v>
      </c>
      <c r="G25" s="7">
        <v>2021</v>
      </c>
      <c r="H25" s="7" t="str">
        <f>CONCATENATE("14211031472")</f>
        <v>14211031472</v>
      </c>
      <c r="I25" s="7" t="s">
        <v>30</v>
      </c>
      <c r="J25" s="7" t="s">
        <v>31</v>
      </c>
      <c r="K25" s="7" t="str">
        <f>CONCATENATE("")</f>
        <v/>
      </c>
      <c r="L25" s="7" t="str">
        <f>CONCATENATE("13 13.1 4a")</f>
        <v>13 13.1 4a</v>
      </c>
      <c r="M25" s="7" t="str">
        <f>CONCATENATE("SNTFCN75S07D653N")</f>
        <v>SNTFCN75S07D653N</v>
      </c>
      <c r="N25" s="7" t="s">
        <v>89</v>
      </c>
      <c r="O25" s="7" t="s">
        <v>65</v>
      </c>
      <c r="P25" s="8">
        <v>44699</v>
      </c>
      <c r="Q25" s="7" t="s">
        <v>32</v>
      </c>
      <c r="R25" s="7" t="s">
        <v>33</v>
      </c>
      <c r="S25" s="7" t="s">
        <v>34</v>
      </c>
      <c r="T25" s="7"/>
      <c r="U25" s="7" t="s">
        <v>35</v>
      </c>
      <c r="V25" s="9">
        <v>2390.98</v>
      </c>
      <c r="W25" s="9">
        <v>1030.99</v>
      </c>
      <c r="X25" s="7">
        <v>952.09</v>
      </c>
      <c r="Y25" s="7">
        <v>0</v>
      </c>
      <c r="Z25" s="7">
        <v>407.9</v>
      </c>
    </row>
    <row r="26" spans="1:26" x14ac:dyDescent="0.35">
      <c r="A26" s="7" t="s">
        <v>27</v>
      </c>
      <c r="B26" s="7" t="s">
        <v>41</v>
      </c>
      <c r="C26" s="7" t="s">
        <v>47</v>
      </c>
      <c r="D26" s="7" t="s">
        <v>62</v>
      </c>
      <c r="E26" s="7" t="s">
        <v>42</v>
      </c>
      <c r="F26" s="7" t="s">
        <v>63</v>
      </c>
      <c r="G26" s="7">
        <v>2021</v>
      </c>
      <c r="H26" s="7" t="str">
        <f>CONCATENATE("14210523008")</f>
        <v>14210523008</v>
      </c>
      <c r="I26" s="7" t="s">
        <v>30</v>
      </c>
      <c r="J26" s="7" t="s">
        <v>31</v>
      </c>
      <c r="K26" s="7" t="str">
        <f>CONCATENATE("")</f>
        <v/>
      </c>
      <c r="L26" s="7" t="str">
        <f>CONCATENATE("13 13.1 4a")</f>
        <v>13 13.1 4a</v>
      </c>
      <c r="M26" s="7" t="str">
        <f>CONCATENATE("SBRLBR49L31B474W")</f>
        <v>SBRLBR49L31B474W</v>
      </c>
      <c r="N26" s="7" t="s">
        <v>90</v>
      </c>
      <c r="O26" s="7" t="s">
        <v>65</v>
      </c>
      <c r="P26" s="8">
        <v>44699</v>
      </c>
      <c r="Q26" s="7" t="s">
        <v>32</v>
      </c>
      <c r="R26" s="7" t="s">
        <v>33</v>
      </c>
      <c r="S26" s="7" t="s">
        <v>34</v>
      </c>
      <c r="T26" s="7"/>
      <c r="U26" s="7" t="s">
        <v>35</v>
      </c>
      <c r="V26" s="9">
        <v>1384.2</v>
      </c>
      <c r="W26" s="7">
        <v>596.87</v>
      </c>
      <c r="X26" s="7">
        <v>551.19000000000005</v>
      </c>
      <c r="Y26" s="7">
        <v>0</v>
      </c>
      <c r="Z26" s="7">
        <v>236.14</v>
      </c>
    </row>
    <row r="27" spans="1:26" x14ac:dyDescent="0.35">
      <c r="A27" s="7" t="s">
        <v>27</v>
      </c>
      <c r="B27" s="7" t="s">
        <v>41</v>
      </c>
      <c r="C27" s="7" t="s">
        <v>47</v>
      </c>
      <c r="D27" s="7" t="s">
        <v>62</v>
      </c>
      <c r="E27" s="7" t="s">
        <v>42</v>
      </c>
      <c r="F27" s="7" t="s">
        <v>63</v>
      </c>
      <c r="G27" s="7">
        <v>2021</v>
      </c>
      <c r="H27" s="7" t="str">
        <f>CONCATENATE("14210313640")</f>
        <v>14210313640</v>
      </c>
      <c r="I27" s="7" t="s">
        <v>30</v>
      </c>
      <c r="J27" s="7" t="s">
        <v>31</v>
      </c>
      <c r="K27" s="7" t="str">
        <f>CONCATENATE("")</f>
        <v/>
      </c>
      <c r="L27" s="7" t="str">
        <f>CONCATENATE("13 13.1 4a")</f>
        <v>13 13.1 4a</v>
      </c>
      <c r="M27" s="7" t="str">
        <f>CONCATENATE("NTSDTR78R26Z129B")</f>
        <v>NTSDTR78R26Z129B</v>
      </c>
      <c r="N27" s="7" t="s">
        <v>91</v>
      </c>
      <c r="O27" s="7" t="s">
        <v>65</v>
      </c>
      <c r="P27" s="8">
        <v>44699</v>
      </c>
      <c r="Q27" s="7" t="s">
        <v>32</v>
      </c>
      <c r="R27" s="7" t="s">
        <v>33</v>
      </c>
      <c r="S27" s="7" t="s">
        <v>34</v>
      </c>
      <c r="T27" s="7"/>
      <c r="U27" s="7" t="s">
        <v>35</v>
      </c>
      <c r="V27" s="9">
        <v>7813.73</v>
      </c>
      <c r="W27" s="9">
        <v>3369.28</v>
      </c>
      <c r="X27" s="9">
        <v>3111.43</v>
      </c>
      <c r="Y27" s="7">
        <v>0</v>
      </c>
      <c r="Z27" s="9">
        <v>1333.02</v>
      </c>
    </row>
    <row r="28" spans="1:26" x14ac:dyDescent="0.35">
      <c r="A28" s="7" t="s">
        <v>27</v>
      </c>
      <c r="B28" s="7" t="s">
        <v>41</v>
      </c>
      <c r="C28" s="7" t="s">
        <v>47</v>
      </c>
      <c r="D28" s="7" t="s">
        <v>62</v>
      </c>
      <c r="E28" s="7" t="s">
        <v>43</v>
      </c>
      <c r="F28" s="7" t="s">
        <v>92</v>
      </c>
      <c r="G28" s="7">
        <v>2021</v>
      </c>
      <c r="H28" s="7" t="str">
        <f>CONCATENATE("14211327201")</f>
        <v>14211327201</v>
      </c>
      <c r="I28" s="7" t="s">
        <v>30</v>
      </c>
      <c r="J28" s="7" t="s">
        <v>31</v>
      </c>
      <c r="K28" s="7" t="str">
        <f>CONCATENATE("")</f>
        <v/>
      </c>
      <c r="L28" s="7" t="str">
        <f>CONCATENATE("13 13.1 4a")</f>
        <v>13 13.1 4a</v>
      </c>
      <c r="M28" s="7" t="str">
        <f>CONCATENATE("01815530439")</f>
        <v>01815530439</v>
      </c>
      <c r="N28" s="7" t="s">
        <v>93</v>
      </c>
      <c r="O28" s="7" t="s">
        <v>65</v>
      </c>
      <c r="P28" s="8">
        <v>44699</v>
      </c>
      <c r="Q28" s="7" t="s">
        <v>32</v>
      </c>
      <c r="R28" s="7" t="s">
        <v>33</v>
      </c>
      <c r="S28" s="7" t="s">
        <v>34</v>
      </c>
      <c r="T28" s="7"/>
      <c r="U28" s="7" t="s">
        <v>35</v>
      </c>
      <c r="V28" s="9">
        <v>6363.72</v>
      </c>
      <c r="W28" s="9">
        <v>2744.04</v>
      </c>
      <c r="X28" s="9">
        <v>2534.0300000000002</v>
      </c>
      <c r="Y28" s="7">
        <v>0</v>
      </c>
      <c r="Z28" s="9">
        <v>1085.6500000000001</v>
      </c>
    </row>
    <row r="29" spans="1:26" x14ac:dyDescent="0.35">
      <c r="A29" s="7" t="s">
        <v>27</v>
      </c>
      <c r="B29" s="7" t="s">
        <v>41</v>
      </c>
      <c r="C29" s="7" t="s">
        <v>47</v>
      </c>
      <c r="D29" s="7" t="s">
        <v>62</v>
      </c>
      <c r="E29" s="7" t="s">
        <v>44</v>
      </c>
      <c r="F29" s="7" t="s">
        <v>67</v>
      </c>
      <c r="G29" s="7">
        <v>2021</v>
      </c>
      <c r="H29" s="7" t="str">
        <f>CONCATENATE("14210972759")</f>
        <v>14210972759</v>
      </c>
      <c r="I29" s="7" t="s">
        <v>30</v>
      </c>
      <c r="J29" s="7" t="s">
        <v>31</v>
      </c>
      <c r="K29" s="7" t="str">
        <f>CONCATENATE("")</f>
        <v/>
      </c>
      <c r="L29" s="7" t="str">
        <f>CONCATENATE("13 13.1 4a")</f>
        <v>13 13.1 4a</v>
      </c>
      <c r="M29" s="7" t="str">
        <f>CONCATENATE("BRTGDU85T19B474U")</f>
        <v>BRTGDU85T19B474U</v>
      </c>
      <c r="N29" s="7" t="s">
        <v>94</v>
      </c>
      <c r="O29" s="7" t="s">
        <v>65</v>
      </c>
      <c r="P29" s="8">
        <v>44699</v>
      </c>
      <c r="Q29" s="7" t="s">
        <v>32</v>
      </c>
      <c r="R29" s="7" t="s">
        <v>33</v>
      </c>
      <c r="S29" s="7" t="s">
        <v>34</v>
      </c>
      <c r="T29" s="7"/>
      <c r="U29" s="7" t="s">
        <v>35</v>
      </c>
      <c r="V29" s="9">
        <v>1350</v>
      </c>
      <c r="W29" s="7">
        <v>582.12</v>
      </c>
      <c r="X29" s="7">
        <v>537.57000000000005</v>
      </c>
      <c r="Y29" s="7">
        <v>0</v>
      </c>
      <c r="Z29" s="7">
        <v>230.31</v>
      </c>
    </row>
    <row r="30" spans="1:26" x14ac:dyDescent="0.35">
      <c r="A30" s="7" t="s">
        <v>27</v>
      </c>
      <c r="B30" s="7" t="s">
        <v>41</v>
      </c>
      <c r="C30" s="7" t="s">
        <v>47</v>
      </c>
      <c r="D30" s="7" t="s">
        <v>62</v>
      </c>
      <c r="E30" s="7" t="s">
        <v>44</v>
      </c>
      <c r="F30" s="7" t="s">
        <v>79</v>
      </c>
      <c r="G30" s="7">
        <v>2021</v>
      </c>
      <c r="H30" s="7" t="str">
        <f>CONCATENATE("14210384054")</f>
        <v>14210384054</v>
      </c>
      <c r="I30" s="7" t="s">
        <v>30</v>
      </c>
      <c r="J30" s="7" t="s">
        <v>31</v>
      </c>
      <c r="K30" s="7" t="str">
        <f>CONCATENATE("")</f>
        <v/>
      </c>
      <c r="L30" s="7" t="str">
        <f>CONCATENATE("13 13.1 4a")</f>
        <v>13 13.1 4a</v>
      </c>
      <c r="M30" s="7" t="str">
        <f>CONCATENATE("MGGNZR49E24I661D")</f>
        <v>MGGNZR49E24I661D</v>
      </c>
      <c r="N30" s="7" t="s">
        <v>95</v>
      </c>
      <c r="O30" s="7" t="s">
        <v>65</v>
      </c>
      <c r="P30" s="8">
        <v>44699</v>
      </c>
      <c r="Q30" s="7" t="s">
        <v>32</v>
      </c>
      <c r="R30" s="7" t="s">
        <v>33</v>
      </c>
      <c r="S30" s="7" t="s">
        <v>34</v>
      </c>
      <c r="T30" s="7"/>
      <c r="U30" s="7" t="s">
        <v>35</v>
      </c>
      <c r="V30" s="9">
        <v>1350</v>
      </c>
      <c r="W30" s="7">
        <v>582.12</v>
      </c>
      <c r="X30" s="7">
        <v>537.57000000000005</v>
      </c>
      <c r="Y30" s="7">
        <v>0</v>
      </c>
      <c r="Z30" s="7">
        <v>230.31</v>
      </c>
    </row>
    <row r="31" spans="1:26" x14ac:dyDescent="0.35">
      <c r="A31" s="7" t="s">
        <v>27</v>
      </c>
      <c r="B31" s="7" t="s">
        <v>41</v>
      </c>
      <c r="C31" s="7" t="s">
        <v>47</v>
      </c>
      <c r="D31" s="7" t="s">
        <v>52</v>
      </c>
      <c r="E31" s="7" t="s">
        <v>42</v>
      </c>
      <c r="F31" s="7" t="s">
        <v>96</v>
      </c>
      <c r="G31" s="7">
        <v>2021</v>
      </c>
      <c r="H31" s="7" t="str">
        <f>CONCATENATE("14210829843")</f>
        <v>14210829843</v>
      </c>
      <c r="I31" s="7" t="s">
        <v>36</v>
      </c>
      <c r="J31" s="7" t="s">
        <v>31</v>
      </c>
      <c r="K31" s="7" t="str">
        <f>CONCATENATE("")</f>
        <v/>
      </c>
      <c r="L31" s="7" t="str">
        <f>CONCATENATE("13 13.1 4a")</f>
        <v>13 13.1 4a</v>
      </c>
      <c r="M31" s="7" t="str">
        <f>CONCATENATE("BLSRNO63E19I461Q")</f>
        <v>BLSRNO63E19I461Q</v>
      </c>
      <c r="N31" s="7" t="s">
        <v>97</v>
      </c>
      <c r="O31" s="7" t="s">
        <v>65</v>
      </c>
      <c r="P31" s="8">
        <v>44699</v>
      </c>
      <c r="Q31" s="7" t="s">
        <v>32</v>
      </c>
      <c r="R31" s="7" t="s">
        <v>33</v>
      </c>
      <c r="S31" s="7" t="s">
        <v>34</v>
      </c>
      <c r="T31" s="7"/>
      <c r="U31" s="7" t="s">
        <v>35</v>
      </c>
      <c r="V31" s="9">
        <v>4452.4399999999996</v>
      </c>
      <c r="W31" s="9">
        <v>1919.89</v>
      </c>
      <c r="X31" s="9">
        <v>1772.96</v>
      </c>
      <c r="Y31" s="7">
        <v>0</v>
      </c>
      <c r="Z31" s="7">
        <v>759.59</v>
      </c>
    </row>
    <row r="32" spans="1:26" x14ac:dyDescent="0.35">
      <c r="A32" s="7" t="s">
        <v>27</v>
      </c>
      <c r="B32" s="7" t="s">
        <v>41</v>
      </c>
      <c r="C32" s="7" t="s">
        <v>47</v>
      </c>
      <c r="D32" s="7" t="s">
        <v>52</v>
      </c>
      <c r="E32" s="7" t="s">
        <v>42</v>
      </c>
      <c r="F32" s="7" t="s">
        <v>96</v>
      </c>
      <c r="G32" s="7">
        <v>2021</v>
      </c>
      <c r="H32" s="7" t="str">
        <f>CONCATENATE("14210468055")</f>
        <v>14210468055</v>
      </c>
      <c r="I32" s="7" t="s">
        <v>36</v>
      </c>
      <c r="J32" s="7" t="s">
        <v>31</v>
      </c>
      <c r="K32" s="7" t="str">
        <f>CONCATENATE("")</f>
        <v/>
      </c>
      <c r="L32" s="7" t="str">
        <f>CONCATENATE("13 13.1 4a")</f>
        <v>13 13.1 4a</v>
      </c>
      <c r="M32" s="7" t="str">
        <f>CONCATENATE("CCCMGR61A62A366I")</f>
        <v>CCCMGR61A62A366I</v>
      </c>
      <c r="N32" s="7" t="s">
        <v>98</v>
      </c>
      <c r="O32" s="7" t="s">
        <v>65</v>
      </c>
      <c r="P32" s="8">
        <v>44699</v>
      </c>
      <c r="Q32" s="7" t="s">
        <v>32</v>
      </c>
      <c r="R32" s="7" t="s">
        <v>33</v>
      </c>
      <c r="S32" s="7" t="s">
        <v>34</v>
      </c>
      <c r="T32" s="7"/>
      <c r="U32" s="7" t="s">
        <v>35</v>
      </c>
      <c r="V32" s="9">
        <v>5125.3500000000004</v>
      </c>
      <c r="W32" s="9">
        <v>2210.0500000000002</v>
      </c>
      <c r="X32" s="9">
        <v>2040.91</v>
      </c>
      <c r="Y32" s="7">
        <v>0</v>
      </c>
      <c r="Z32" s="7">
        <v>874.39</v>
      </c>
    </row>
    <row r="33" spans="1:26" x14ac:dyDescent="0.35">
      <c r="A33" s="7" t="s">
        <v>27</v>
      </c>
      <c r="B33" s="7" t="s">
        <v>41</v>
      </c>
      <c r="C33" s="7" t="s">
        <v>47</v>
      </c>
      <c r="D33" s="7" t="s">
        <v>62</v>
      </c>
      <c r="E33" s="7" t="s">
        <v>42</v>
      </c>
      <c r="F33" s="7" t="s">
        <v>63</v>
      </c>
      <c r="G33" s="7">
        <v>2021</v>
      </c>
      <c r="H33" s="7" t="str">
        <f>CONCATENATE("14210258928")</f>
        <v>14210258928</v>
      </c>
      <c r="I33" s="7" t="s">
        <v>36</v>
      </c>
      <c r="J33" s="7" t="s">
        <v>31</v>
      </c>
      <c r="K33" s="7" t="str">
        <f>CONCATENATE("")</f>
        <v/>
      </c>
      <c r="L33" s="7" t="str">
        <f>CONCATENATE("13 13.1 4a")</f>
        <v>13 13.1 4a</v>
      </c>
      <c r="M33" s="7" t="str">
        <f>CONCATENATE("00395920432")</f>
        <v>00395920432</v>
      </c>
      <c r="N33" s="7" t="s">
        <v>99</v>
      </c>
      <c r="O33" s="7" t="s">
        <v>65</v>
      </c>
      <c r="P33" s="8">
        <v>44699</v>
      </c>
      <c r="Q33" s="7" t="s">
        <v>32</v>
      </c>
      <c r="R33" s="7" t="s">
        <v>33</v>
      </c>
      <c r="S33" s="7" t="s">
        <v>34</v>
      </c>
      <c r="T33" s="7"/>
      <c r="U33" s="7" t="s">
        <v>35</v>
      </c>
      <c r="V33" s="7">
        <v>39.83</v>
      </c>
      <c r="W33" s="7">
        <v>17.170000000000002</v>
      </c>
      <c r="X33" s="7">
        <v>15.86</v>
      </c>
      <c r="Y33" s="7">
        <v>0</v>
      </c>
      <c r="Z33" s="7">
        <v>6.8</v>
      </c>
    </row>
    <row r="34" spans="1:26" x14ac:dyDescent="0.35">
      <c r="A34" s="7" t="s">
        <v>27</v>
      </c>
      <c r="B34" s="7" t="s">
        <v>41</v>
      </c>
      <c r="C34" s="7" t="s">
        <v>47</v>
      </c>
      <c r="D34" s="7" t="s">
        <v>62</v>
      </c>
      <c r="E34" s="7" t="s">
        <v>44</v>
      </c>
      <c r="F34" s="7" t="s">
        <v>67</v>
      </c>
      <c r="G34" s="7">
        <v>2021</v>
      </c>
      <c r="H34" s="7" t="str">
        <f>CONCATENATE("14210732120")</f>
        <v>14210732120</v>
      </c>
      <c r="I34" s="7" t="s">
        <v>36</v>
      </c>
      <c r="J34" s="7" t="s">
        <v>31</v>
      </c>
      <c r="K34" s="7" t="str">
        <f>CONCATENATE("")</f>
        <v/>
      </c>
      <c r="L34" s="7" t="str">
        <f>CONCATENATE("13 13.1 4a")</f>
        <v>13 13.1 4a</v>
      </c>
      <c r="M34" s="7" t="str">
        <f>CONCATENATE("01626490435")</f>
        <v>01626490435</v>
      </c>
      <c r="N34" s="7" t="s">
        <v>100</v>
      </c>
      <c r="O34" s="7" t="s">
        <v>65</v>
      </c>
      <c r="P34" s="8">
        <v>44699</v>
      </c>
      <c r="Q34" s="7" t="s">
        <v>32</v>
      </c>
      <c r="R34" s="7" t="s">
        <v>33</v>
      </c>
      <c r="S34" s="7" t="s">
        <v>34</v>
      </c>
      <c r="T34" s="7"/>
      <c r="U34" s="7" t="s">
        <v>35</v>
      </c>
      <c r="V34" s="9">
        <v>1350</v>
      </c>
      <c r="W34" s="7">
        <v>582.12</v>
      </c>
      <c r="X34" s="7">
        <v>537.57000000000005</v>
      </c>
      <c r="Y34" s="7">
        <v>0</v>
      </c>
      <c r="Z34" s="7">
        <v>230.31</v>
      </c>
    </row>
    <row r="35" spans="1:26" x14ac:dyDescent="0.35">
      <c r="A35" s="7" t="s">
        <v>27</v>
      </c>
      <c r="B35" s="7" t="s">
        <v>41</v>
      </c>
      <c r="C35" s="7" t="s">
        <v>47</v>
      </c>
      <c r="D35" s="7" t="s">
        <v>62</v>
      </c>
      <c r="E35" s="7" t="s">
        <v>44</v>
      </c>
      <c r="F35" s="7" t="s">
        <v>67</v>
      </c>
      <c r="G35" s="7">
        <v>2021</v>
      </c>
      <c r="H35" s="7" t="str">
        <f>CONCATENATE("14211558136")</f>
        <v>14211558136</v>
      </c>
      <c r="I35" s="7" t="s">
        <v>36</v>
      </c>
      <c r="J35" s="7" t="s">
        <v>31</v>
      </c>
      <c r="K35" s="7" t="str">
        <f>CONCATENATE("")</f>
        <v/>
      </c>
      <c r="L35" s="7" t="str">
        <f>CONCATENATE("13 13.1 4a")</f>
        <v>13 13.1 4a</v>
      </c>
      <c r="M35" s="7" t="str">
        <f>CONCATENATE("01540890439")</f>
        <v>01540890439</v>
      </c>
      <c r="N35" s="7" t="s">
        <v>101</v>
      </c>
      <c r="O35" s="7" t="s">
        <v>65</v>
      </c>
      <c r="P35" s="8">
        <v>44699</v>
      </c>
      <c r="Q35" s="7" t="s">
        <v>32</v>
      </c>
      <c r="R35" s="7" t="s">
        <v>33</v>
      </c>
      <c r="S35" s="7" t="s">
        <v>34</v>
      </c>
      <c r="T35" s="7"/>
      <c r="U35" s="7" t="s">
        <v>35</v>
      </c>
      <c r="V35" s="9">
        <v>7200</v>
      </c>
      <c r="W35" s="9">
        <v>3104.64</v>
      </c>
      <c r="X35" s="9">
        <v>2867.04</v>
      </c>
      <c r="Y35" s="7">
        <v>0</v>
      </c>
      <c r="Z35" s="9">
        <v>1228.32</v>
      </c>
    </row>
    <row r="36" spans="1:26" x14ac:dyDescent="0.35">
      <c r="A36" s="7" t="s">
        <v>27</v>
      </c>
      <c r="B36" s="7" t="s">
        <v>41</v>
      </c>
      <c r="C36" s="7" t="s">
        <v>47</v>
      </c>
      <c r="D36" s="7" t="s">
        <v>52</v>
      </c>
      <c r="E36" s="7" t="s">
        <v>38</v>
      </c>
      <c r="F36" s="7" t="s">
        <v>71</v>
      </c>
      <c r="G36" s="7">
        <v>2021</v>
      </c>
      <c r="H36" s="7" t="str">
        <f>CONCATENATE("14210985389")</f>
        <v>14210985389</v>
      </c>
      <c r="I36" s="7" t="s">
        <v>36</v>
      </c>
      <c r="J36" s="7" t="s">
        <v>31</v>
      </c>
      <c r="K36" s="7" t="str">
        <f>CONCATENATE("")</f>
        <v/>
      </c>
      <c r="L36" s="7" t="str">
        <f>CONCATENATE("13 13.1 4a")</f>
        <v>13 13.1 4a</v>
      </c>
      <c r="M36" s="7" t="str">
        <f>CONCATENATE("01087020424")</f>
        <v>01087020424</v>
      </c>
      <c r="N36" s="7" t="s">
        <v>102</v>
      </c>
      <c r="O36" s="7" t="s">
        <v>65</v>
      </c>
      <c r="P36" s="8">
        <v>44699</v>
      </c>
      <c r="Q36" s="7" t="s">
        <v>32</v>
      </c>
      <c r="R36" s="7" t="s">
        <v>33</v>
      </c>
      <c r="S36" s="7" t="s">
        <v>34</v>
      </c>
      <c r="T36" s="7"/>
      <c r="U36" s="7" t="s">
        <v>35</v>
      </c>
      <c r="V36" s="9">
        <v>1814.66</v>
      </c>
      <c r="W36" s="7">
        <v>782.48</v>
      </c>
      <c r="X36" s="7">
        <v>722.6</v>
      </c>
      <c r="Y36" s="7">
        <v>0</v>
      </c>
      <c r="Z36" s="7">
        <v>309.58</v>
      </c>
    </row>
    <row r="37" spans="1:26" x14ac:dyDescent="0.35">
      <c r="A37" s="7" t="s">
        <v>27</v>
      </c>
      <c r="B37" s="7" t="s">
        <v>41</v>
      </c>
      <c r="C37" s="7" t="s">
        <v>47</v>
      </c>
      <c r="D37" s="7" t="s">
        <v>62</v>
      </c>
      <c r="E37" s="7" t="s">
        <v>42</v>
      </c>
      <c r="F37" s="7" t="s">
        <v>63</v>
      </c>
      <c r="G37" s="7">
        <v>2021</v>
      </c>
      <c r="H37" s="7" t="str">
        <f>CONCATENATE("14210591567")</f>
        <v>14210591567</v>
      </c>
      <c r="I37" s="7" t="s">
        <v>30</v>
      </c>
      <c r="J37" s="7" t="s">
        <v>31</v>
      </c>
      <c r="K37" s="7" t="str">
        <f>CONCATENATE("")</f>
        <v/>
      </c>
      <c r="L37" s="7" t="str">
        <f>CONCATENATE("13 13.1 4a")</f>
        <v>13 13.1 4a</v>
      </c>
      <c r="M37" s="7" t="str">
        <f>CONCATENATE("PCFGFR33E31M078L")</f>
        <v>PCFGFR33E31M078L</v>
      </c>
      <c r="N37" s="7" t="s">
        <v>103</v>
      </c>
      <c r="O37" s="7" t="s">
        <v>65</v>
      </c>
      <c r="P37" s="8">
        <v>44699</v>
      </c>
      <c r="Q37" s="7" t="s">
        <v>32</v>
      </c>
      <c r="R37" s="7" t="s">
        <v>33</v>
      </c>
      <c r="S37" s="7" t="s">
        <v>34</v>
      </c>
      <c r="T37" s="7"/>
      <c r="U37" s="7" t="s">
        <v>35</v>
      </c>
      <c r="V37" s="7">
        <v>359.6</v>
      </c>
      <c r="W37" s="7">
        <v>155.06</v>
      </c>
      <c r="X37" s="7">
        <v>143.19</v>
      </c>
      <c r="Y37" s="7">
        <v>0</v>
      </c>
      <c r="Z37" s="7">
        <v>61.35</v>
      </c>
    </row>
    <row r="38" spans="1:26" x14ac:dyDescent="0.35">
      <c r="A38" s="7" t="s">
        <v>27</v>
      </c>
      <c r="B38" s="7" t="s">
        <v>41</v>
      </c>
      <c r="C38" s="7" t="s">
        <v>47</v>
      </c>
      <c r="D38" s="7" t="s">
        <v>74</v>
      </c>
      <c r="E38" s="7" t="s">
        <v>46</v>
      </c>
      <c r="F38" s="7" t="s">
        <v>104</v>
      </c>
      <c r="G38" s="7">
        <v>2021</v>
      </c>
      <c r="H38" s="7" t="str">
        <f>CONCATENATE("14211040549")</f>
        <v>14211040549</v>
      </c>
      <c r="I38" s="7" t="s">
        <v>36</v>
      </c>
      <c r="J38" s="7" t="s">
        <v>31</v>
      </c>
      <c r="K38" s="7" t="str">
        <f>CONCATENATE("")</f>
        <v/>
      </c>
      <c r="L38" s="7" t="str">
        <f>CONCATENATE("13 13.1 4a")</f>
        <v>13 13.1 4a</v>
      </c>
      <c r="M38" s="7" t="str">
        <f>CONCATENATE("PSTGTN85M44A462N")</f>
        <v>PSTGTN85M44A462N</v>
      </c>
      <c r="N38" s="7" t="s">
        <v>105</v>
      </c>
      <c r="O38" s="7" t="s">
        <v>65</v>
      </c>
      <c r="P38" s="8">
        <v>44699</v>
      </c>
      <c r="Q38" s="7" t="s">
        <v>32</v>
      </c>
      <c r="R38" s="7" t="s">
        <v>33</v>
      </c>
      <c r="S38" s="7" t="s">
        <v>34</v>
      </c>
      <c r="T38" s="7"/>
      <c r="U38" s="7" t="s">
        <v>35</v>
      </c>
      <c r="V38" s="9">
        <v>1944.81</v>
      </c>
      <c r="W38" s="7">
        <v>838.6</v>
      </c>
      <c r="X38" s="7">
        <v>774.42</v>
      </c>
      <c r="Y38" s="7">
        <v>0</v>
      </c>
      <c r="Z38" s="7">
        <v>331.79</v>
      </c>
    </row>
    <row r="39" spans="1:26" x14ac:dyDescent="0.35">
      <c r="A39" s="7" t="s">
        <v>27</v>
      </c>
      <c r="B39" s="7" t="s">
        <v>41</v>
      </c>
      <c r="C39" s="7" t="s">
        <v>47</v>
      </c>
      <c r="D39" s="7" t="s">
        <v>52</v>
      </c>
      <c r="E39" s="7" t="s">
        <v>43</v>
      </c>
      <c r="F39" s="7" t="s">
        <v>106</v>
      </c>
      <c r="G39" s="7">
        <v>2021</v>
      </c>
      <c r="H39" s="7" t="str">
        <f>CONCATENATE("14210941796")</f>
        <v>14210941796</v>
      </c>
      <c r="I39" s="7" t="s">
        <v>36</v>
      </c>
      <c r="J39" s="7" t="s">
        <v>31</v>
      </c>
      <c r="K39" s="7" t="str">
        <f>CONCATENATE("")</f>
        <v/>
      </c>
      <c r="L39" s="7" t="str">
        <f>CONCATENATE("13 13.1 4a")</f>
        <v>13 13.1 4a</v>
      </c>
      <c r="M39" s="7" t="str">
        <f>CONCATENATE("BRTLCU68E16D451C")</f>
        <v>BRTLCU68E16D451C</v>
      </c>
      <c r="N39" s="7" t="s">
        <v>107</v>
      </c>
      <c r="O39" s="7" t="s">
        <v>65</v>
      </c>
      <c r="P39" s="8">
        <v>44699</v>
      </c>
      <c r="Q39" s="7" t="s">
        <v>32</v>
      </c>
      <c r="R39" s="7" t="s">
        <v>33</v>
      </c>
      <c r="S39" s="7" t="s">
        <v>34</v>
      </c>
      <c r="T39" s="7"/>
      <c r="U39" s="7" t="s">
        <v>35</v>
      </c>
      <c r="V39" s="7">
        <v>907.48</v>
      </c>
      <c r="W39" s="7">
        <v>391.31</v>
      </c>
      <c r="X39" s="7">
        <v>361.36</v>
      </c>
      <c r="Y39" s="7">
        <v>0</v>
      </c>
      <c r="Z39" s="7">
        <v>154.81</v>
      </c>
    </row>
    <row r="40" spans="1:26" x14ac:dyDescent="0.35">
      <c r="A40" s="7" t="s">
        <v>27</v>
      </c>
      <c r="B40" s="7" t="s">
        <v>41</v>
      </c>
      <c r="C40" s="7" t="s">
        <v>47</v>
      </c>
      <c r="D40" s="7" t="s">
        <v>52</v>
      </c>
      <c r="E40" s="7" t="s">
        <v>42</v>
      </c>
      <c r="F40" s="7" t="s">
        <v>63</v>
      </c>
      <c r="G40" s="7">
        <v>2021</v>
      </c>
      <c r="H40" s="7" t="str">
        <f>CONCATENATE("14210691094")</f>
        <v>14210691094</v>
      </c>
      <c r="I40" s="7" t="s">
        <v>36</v>
      </c>
      <c r="J40" s="7" t="s">
        <v>31</v>
      </c>
      <c r="K40" s="7" t="str">
        <f>CONCATENATE("")</f>
        <v/>
      </c>
      <c r="L40" s="7" t="str">
        <f>CONCATENATE("13 13.1 4a")</f>
        <v>13 13.1 4a</v>
      </c>
      <c r="M40" s="7" t="str">
        <f>CONCATENATE("CPPLNZ48L08B474P")</f>
        <v>CPPLNZ48L08B474P</v>
      </c>
      <c r="N40" s="7" t="s">
        <v>108</v>
      </c>
      <c r="O40" s="7" t="s">
        <v>65</v>
      </c>
      <c r="P40" s="8">
        <v>44699</v>
      </c>
      <c r="Q40" s="7" t="s">
        <v>32</v>
      </c>
      <c r="R40" s="7" t="s">
        <v>33</v>
      </c>
      <c r="S40" s="7" t="s">
        <v>34</v>
      </c>
      <c r="T40" s="7"/>
      <c r="U40" s="7" t="s">
        <v>35</v>
      </c>
      <c r="V40" s="7">
        <v>556.98</v>
      </c>
      <c r="W40" s="7">
        <v>240.17</v>
      </c>
      <c r="X40" s="7">
        <v>221.79</v>
      </c>
      <c r="Y40" s="7">
        <v>0</v>
      </c>
      <c r="Z40" s="7">
        <v>95.02</v>
      </c>
    </row>
    <row r="41" spans="1:26" x14ac:dyDescent="0.35">
      <c r="A41" s="7" t="s">
        <v>27</v>
      </c>
      <c r="B41" s="7" t="s">
        <v>41</v>
      </c>
      <c r="C41" s="7" t="s">
        <v>47</v>
      </c>
      <c r="D41" s="7" t="s">
        <v>52</v>
      </c>
      <c r="E41" s="7" t="s">
        <v>42</v>
      </c>
      <c r="F41" s="7" t="s">
        <v>96</v>
      </c>
      <c r="G41" s="7">
        <v>2021</v>
      </c>
      <c r="H41" s="7" t="str">
        <f>CONCATENATE("14210372810")</f>
        <v>14210372810</v>
      </c>
      <c r="I41" s="7" t="s">
        <v>36</v>
      </c>
      <c r="J41" s="7" t="s">
        <v>31</v>
      </c>
      <c r="K41" s="7" t="str">
        <f>CONCATENATE("")</f>
        <v/>
      </c>
      <c r="L41" s="7" t="str">
        <f>CONCATENATE("13 13.1 4a")</f>
        <v>13 13.1 4a</v>
      </c>
      <c r="M41" s="7" t="str">
        <f>CONCATENATE("GSTRRT44H07A366K")</f>
        <v>GSTRRT44H07A366K</v>
      </c>
      <c r="N41" s="7" t="s">
        <v>109</v>
      </c>
      <c r="O41" s="7" t="s">
        <v>65</v>
      </c>
      <c r="P41" s="8">
        <v>44699</v>
      </c>
      <c r="Q41" s="7" t="s">
        <v>32</v>
      </c>
      <c r="R41" s="7" t="s">
        <v>33</v>
      </c>
      <c r="S41" s="7" t="s">
        <v>34</v>
      </c>
      <c r="T41" s="7"/>
      <c r="U41" s="7" t="s">
        <v>35</v>
      </c>
      <c r="V41" s="9">
        <v>2229.14</v>
      </c>
      <c r="W41" s="7">
        <v>961.21</v>
      </c>
      <c r="X41" s="7">
        <v>887.64</v>
      </c>
      <c r="Y41" s="7">
        <v>0</v>
      </c>
      <c r="Z41" s="7">
        <v>380.29</v>
      </c>
    </row>
    <row r="42" spans="1:26" x14ac:dyDescent="0.35">
      <c r="A42" s="7" t="s">
        <v>27</v>
      </c>
      <c r="B42" s="7" t="s">
        <v>41</v>
      </c>
      <c r="C42" s="7" t="s">
        <v>47</v>
      </c>
      <c r="D42" s="7" t="s">
        <v>62</v>
      </c>
      <c r="E42" s="7" t="s">
        <v>44</v>
      </c>
      <c r="F42" s="7" t="s">
        <v>110</v>
      </c>
      <c r="G42" s="7">
        <v>2021</v>
      </c>
      <c r="H42" s="7" t="str">
        <f>CONCATENATE("14210667011")</f>
        <v>14210667011</v>
      </c>
      <c r="I42" s="7" t="s">
        <v>30</v>
      </c>
      <c r="J42" s="7" t="s">
        <v>31</v>
      </c>
      <c r="K42" s="7" t="str">
        <f>CONCATENATE("")</f>
        <v/>
      </c>
      <c r="L42" s="7" t="str">
        <f>CONCATENATE("13 13.1 4a")</f>
        <v>13 13.1 4a</v>
      </c>
      <c r="M42" s="7" t="str">
        <f>CONCATENATE("LSSDNC80P19D653D")</f>
        <v>LSSDNC80P19D653D</v>
      </c>
      <c r="N42" s="7" t="s">
        <v>111</v>
      </c>
      <c r="O42" s="7" t="s">
        <v>65</v>
      </c>
      <c r="P42" s="8">
        <v>44699</v>
      </c>
      <c r="Q42" s="7" t="s">
        <v>32</v>
      </c>
      <c r="R42" s="7" t="s">
        <v>33</v>
      </c>
      <c r="S42" s="7" t="s">
        <v>34</v>
      </c>
      <c r="T42" s="7"/>
      <c r="U42" s="7" t="s">
        <v>35</v>
      </c>
      <c r="V42" s="9">
        <v>6703.07</v>
      </c>
      <c r="W42" s="9">
        <v>2890.36</v>
      </c>
      <c r="X42" s="9">
        <v>2669.16</v>
      </c>
      <c r="Y42" s="7">
        <v>0</v>
      </c>
      <c r="Z42" s="9">
        <v>1143.55</v>
      </c>
    </row>
    <row r="43" spans="1:26" x14ac:dyDescent="0.35">
      <c r="A43" s="7" t="s">
        <v>27</v>
      </c>
      <c r="B43" s="7" t="s">
        <v>41</v>
      </c>
      <c r="C43" s="7" t="s">
        <v>47</v>
      </c>
      <c r="D43" s="7" t="s">
        <v>62</v>
      </c>
      <c r="E43" s="7" t="s">
        <v>42</v>
      </c>
      <c r="F43" s="7" t="s">
        <v>112</v>
      </c>
      <c r="G43" s="7">
        <v>2021</v>
      </c>
      <c r="H43" s="7" t="str">
        <f>CONCATENATE("14210031713")</f>
        <v>14210031713</v>
      </c>
      <c r="I43" s="7" t="s">
        <v>30</v>
      </c>
      <c r="J43" s="7" t="s">
        <v>31</v>
      </c>
      <c r="K43" s="7" t="str">
        <f>CONCATENATE("")</f>
        <v/>
      </c>
      <c r="L43" s="7" t="str">
        <f>CONCATENATE("13 13.1 4a")</f>
        <v>13 13.1 4a</v>
      </c>
      <c r="M43" s="7" t="str">
        <f>CONCATENATE("LRNVLL52D47C248U")</f>
        <v>LRNVLL52D47C248U</v>
      </c>
      <c r="N43" s="7" t="s">
        <v>113</v>
      </c>
      <c r="O43" s="7" t="s">
        <v>65</v>
      </c>
      <c r="P43" s="8">
        <v>44699</v>
      </c>
      <c r="Q43" s="7" t="s">
        <v>32</v>
      </c>
      <c r="R43" s="7" t="s">
        <v>33</v>
      </c>
      <c r="S43" s="7" t="s">
        <v>34</v>
      </c>
      <c r="T43" s="7"/>
      <c r="U43" s="7" t="s">
        <v>35</v>
      </c>
      <c r="V43" s="9">
        <v>3378.02</v>
      </c>
      <c r="W43" s="9">
        <v>1456.6</v>
      </c>
      <c r="X43" s="9">
        <v>1345.13</v>
      </c>
      <c r="Y43" s="7">
        <v>0</v>
      </c>
      <c r="Z43" s="7">
        <v>576.29</v>
      </c>
    </row>
    <row r="44" spans="1:26" x14ac:dyDescent="0.35">
      <c r="A44" s="7" t="s">
        <v>27</v>
      </c>
      <c r="B44" s="7" t="s">
        <v>41</v>
      </c>
      <c r="C44" s="7" t="s">
        <v>47</v>
      </c>
      <c r="D44" s="7" t="s">
        <v>62</v>
      </c>
      <c r="E44" s="7" t="s">
        <v>42</v>
      </c>
      <c r="F44" s="7" t="s">
        <v>63</v>
      </c>
      <c r="G44" s="7">
        <v>2021</v>
      </c>
      <c r="H44" s="7" t="str">
        <f>CONCATENATE("14210932563")</f>
        <v>14210932563</v>
      </c>
      <c r="I44" s="7" t="s">
        <v>36</v>
      </c>
      <c r="J44" s="7" t="s">
        <v>31</v>
      </c>
      <c r="K44" s="7" t="str">
        <f>CONCATENATE("")</f>
        <v/>
      </c>
      <c r="L44" s="7" t="str">
        <f>CONCATENATE("13 13.1 4a")</f>
        <v>13 13.1 4a</v>
      </c>
      <c r="M44" s="7" t="str">
        <f>CONCATENATE("FCCLVC66M27F460S")</f>
        <v>FCCLVC66M27F460S</v>
      </c>
      <c r="N44" s="7" t="s">
        <v>114</v>
      </c>
      <c r="O44" s="7" t="s">
        <v>65</v>
      </c>
      <c r="P44" s="8">
        <v>44699</v>
      </c>
      <c r="Q44" s="7" t="s">
        <v>32</v>
      </c>
      <c r="R44" s="7" t="s">
        <v>33</v>
      </c>
      <c r="S44" s="7" t="s">
        <v>34</v>
      </c>
      <c r="T44" s="7"/>
      <c r="U44" s="7" t="s">
        <v>35</v>
      </c>
      <c r="V44" s="9">
        <v>2356</v>
      </c>
      <c r="W44" s="9">
        <v>1015.91</v>
      </c>
      <c r="X44" s="7">
        <v>938.16</v>
      </c>
      <c r="Y44" s="7">
        <v>0</v>
      </c>
      <c r="Z44" s="7">
        <v>401.93</v>
      </c>
    </row>
    <row r="45" spans="1:26" x14ac:dyDescent="0.35">
      <c r="A45" s="7" t="s">
        <v>27</v>
      </c>
      <c r="B45" s="7" t="s">
        <v>41</v>
      </c>
      <c r="C45" s="7" t="s">
        <v>47</v>
      </c>
      <c r="D45" s="7" t="s">
        <v>62</v>
      </c>
      <c r="E45" s="7" t="s">
        <v>44</v>
      </c>
      <c r="F45" s="7" t="s">
        <v>79</v>
      </c>
      <c r="G45" s="7">
        <v>2021</v>
      </c>
      <c r="H45" s="7" t="str">
        <f>CONCATENATE("14210566387")</f>
        <v>14210566387</v>
      </c>
      <c r="I45" s="7" t="s">
        <v>36</v>
      </c>
      <c r="J45" s="7" t="s">
        <v>31</v>
      </c>
      <c r="K45" s="7" t="str">
        <f>CONCATENATE("")</f>
        <v/>
      </c>
      <c r="L45" s="7" t="str">
        <f>CONCATENATE("13 13.1 4a")</f>
        <v>13 13.1 4a</v>
      </c>
      <c r="M45" s="7" t="str">
        <f>CONCATENATE("MNCFBA89A04I156D")</f>
        <v>MNCFBA89A04I156D</v>
      </c>
      <c r="N45" s="7" t="s">
        <v>115</v>
      </c>
      <c r="O45" s="7" t="s">
        <v>65</v>
      </c>
      <c r="P45" s="8">
        <v>44699</v>
      </c>
      <c r="Q45" s="7" t="s">
        <v>32</v>
      </c>
      <c r="R45" s="7" t="s">
        <v>33</v>
      </c>
      <c r="S45" s="7" t="s">
        <v>34</v>
      </c>
      <c r="T45" s="7"/>
      <c r="U45" s="7" t="s">
        <v>35</v>
      </c>
      <c r="V45" s="7">
        <v>370.72</v>
      </c>
      <c r="W45" s="7">
        <v>159.85</v>
      </c>
      <c r="X45" s="7">
        <v>147.62</v>
      </c>
      <c r="Y45" s="7">
        <v>0</v>
      </c>
      <c r="Z45" s="7">
        <v>63.25</v>
      </c>
    </row>
    <row r="46" spans="1:26" x14ac:dyDescent="0.35">
      <c r="A46" s="7" t="s">
        <v>27</v>
      </c>
      <c r="B46" s="7" t="s">
        <v>41</v>
      </c>
      <c r="C46" s="7" t="s">
        <v>47</v>
      </c>
      <c r="D46" s="7" t="s">
        <v>62</v>
      </c>
      <c r="E46" s="7" t="s">
        <v>44</v>
      </c>
      <c r="F46" s="7" t="s">
        <v>67</v>
      </c>
      <c r="G46" s="7">
        <v>2021</v>
      </c>
      <c r="H46" s="7" t="str">
        <f>CONCATENATE("14210574266")</f>
        <v>14210574266</v>
      </c>
      <c r="I46" s="7" t="s">
        <v>30</v>
      </c>
      <c r="J46" s="7" t="s">
        <v>31</v>
      </c>
      <c r="K46" s="7" t="str">
        <f>CONCATENATE("")</f>
        <v/>
      </c>
      <c r="L46" s="7" t="str">
        <f>CONCATENATE("13 13.1 4a")</f>
        <v>13 13.1 4a</v>
      </c>
      <c r="M46" s="7" t="str">
        <f>CONCATENATE("RNZRLA65D09B474J")</f>
        <v>RNZRLA65D09B474J</v>
      </c>
      <c r="N46" s="7" t="s">
        <v>116</v>
      </c>
      <c r="O46" s="7" t="s">
        <v>65</v>
      </c>
      <c r="P46" s="8">
        <v>44699</v>
      </c>
      <c r="Q46" s="7" t="s">
        <v>32</v>
      </c>
      <c r="R46" s="7" t="s">
        <v>33</v>
      </c>
      <c r="S46" s="7" t="s">
        <v>34</v>
      </c>
      <c r="T46" s="7"/>
      <c r="U46" s="7" t="s">
        <v>35</v>
      </c>
      <c r="V46" s="7">
        <v>389.48</v>
      </c>
      <c r="W46" s="7">
        <v>167.94</v>
      </c>
      <c r="X46" s="7">
        <v>155.09</v>
      </c>
      <c r="Y46" s="7">
        <v>0</v>
      </c>
      <c r="Z46" s="7">
        <v>66.45</v>
      </c>
    </row>
    <row r="47" spans="1:26" x14ac:dyDescent="0.35">
      <c r="A47" s="7" t="s">
        <v>27</v>
      </c>
      <c r="B47" s="7" t="s">
        <v>41</v>
      </c>
      <c r="C47" s="7" t="s">
        <v>47</v>
      </c>
      <c r="D47" s="7" t="s">
        <v>62</v>
      </c>
      <c r="E47" s="7" t="s">
        <v>42</v>
      </c>
      <c r="F47" s="7" t="s">
        <v>63</v>
      </c>
      <c r="G47" s="7">
        <v>2021</v>
      </c>
      <c r="H47" s="7" t="str">
        <f>CONCATENATE("14210331188")</f>
        <v>14210331188</v>
      </c>
      <c r="I47" s="7" t="s">
        <v>36</v>
      </c>
      <c r="J47" s="7" t="s">
        <v>31</v>
      </c>
      <c r="K47" s="7" t="str">
        <f>CONCATENATE("")</f>
        <v/>
      </c>
      <c r="L47" s="7" t="str">
        <f>CONCATENATE("13 13.1 4a")</f>
        <v>13 13.1 4a</v>
      </c>
      <c r="M47" s="7" t="str">
        <f>CONCATENATE("02005160433")</f>
        <v>02005160433</v>
      </c>
      <c r="N47" s="7" t="s">
        <v>117</v>
      </c>
      <c r="O47" s="7" t="s">
        <v>65</v>
      </c>
      <c r="P47" s="8">
        <v>44699</v>
      </c>
      <c r="Q47" s="7" t="s">
        <v>32</v>
      </c>
      <c r="R47" s="7" t="s">
        <v>33</v>
      </c>
      <c r="S47" s="7" t="s">
        <v>34</v>
      </c>
      <c r="T47" s="7"/>
      <c r="U47" s="7" t="s">
        <v>35</v>
      </c>
      <c r="V47" s="9">
        <v>3861.65</v>
      </c>
      <c r="W47" s="9">
        <v>1665.14</v>
      </c>
      <c r="X47" s="9">
        <v>1537.71</v>
      </c>
      <c r="Y47" s="7">
        <v>0</v>
      </c>
      <c r="Z47" s="7">
        <v>658.8</v>
      </c>
    </row>
    <row r="48" spans="1:26" x14ac:dyDescent="0.35">
      <c r="A48" s="7" t="s">
        <v>27</v>
      </c>
      <c r="B48" s="7" t="s">
        <v>41</v>
      </c>
      <c r="C48" s="7" t="s">
        <v>47</v>
      </c>
      <c r="D48" s="7" t="s">
        <v>62</v>
      </c>
      <c r="E48" s="7" t="s">
        <v>42</v>
      </c>
      <c r="F48" s="7" t="s">
        <v>63</v>
      </c>
      <c r="G48" s="7">
        <v>2021</v>
      </c>
      <c r="H48" s="7" t="str">
        <f>CONCATENATE("14210245867")</f>
        <v>14210245867</v>
      </c>
      <c r="I48" s="7" t="s">
        <v>30</v>
      </c>
      <c r="J48" s="7" t="s">
        <v>31</v>
      </c>
      <c r="K48" s="7" t="str">
        <f>CONCATENATE("")</f>
        <v/>
      </c>
      <c r="L48" s="7" t="str">
        <f>CONCATENATE("13 13.1 4a")</f>
        <v>13 13.1 4a</v>
      </c>
      <c r="M48" s="7" t="str">
        <f>CONCATENATE("SNTNGL66D56B474W")</f>
        <v>SNTNGL66D56B474W</v>
      </c>
      <c r="N48" s="7" t="s">
        <v>118</v>
      </c>
      <c r="O48" s="7" t="s">
        <v>65</v>
      </c>
      <c r="P48" s="8">
        <v>44699</v>
      </c>
      <c r="Q48" s="7" t="s">
        <v>32</v>
      </c>
      <c r="R48" s="7" t="s">
        <v>33</v>
      </c>
      <c r="S48" s="7" t="s">
        <v>34</v>
      </c>
      <c r="T48" s="7"/>
      <c r="U48" s="7" t="s">
        <v>35</v>
      </c>
      <c r="V48" s="7">
        <v>315.73</v>
      </c>
      <c r="W48" s="7">
        <v>136.13999999999999</v>
      </c>
      <c r="X48" s="7">
        <v>125.72</v>
      </c>
      <c r="Y48" s="7">
        <v>0</v>
      </c>
      <c r="Z48" s="7">
        <v>53.87</v>
      </c>
    </row>
    <row r="49" spans="1:26" x14ac:dyDescent="0.35">
      <c r="A49" s="7" t="s">
        <v>27</v>
      </c>
      <c r="B49" s="7" t="s">
        <v>41</v>
      </c>
      <c r="C49" s="7" t="s">
        <v>47</v>
      </c>
      <c r="D49" s="7" t="s">
        <v>62</v>
      </c>
      <c r="E49" s="7" t="s">
        <v>42</v>
      </c>
      <c r="F49" s="7" t="s">
        <v>69</v>
      </c>
      <c r="G49" s="7">
        <v>2021</v>
      </c>
      <c r="H49" s="7" t="str">
        <f>CONCATENATE("14210507597")</f>
        <v>14210507597</v>
      </c>
      <c r="I49" s="7" t="s">
        <v>36</v>
      </c>
      <c r="J49" s="7" t="s">
        <v>31</v>
      </c>
      <c r="K49" s="7" t="str">
        <f>CONCATENATE("")</f>
        <v/>
      </c>
      <c r="L49" s="7" t="str">
        <f>CONCATENATE("13 13.1 4a")</f>
        <v>13 13.1 4a</v>
      </c>
      <c r="M49" s="7" t="str">
        <f>CONCATENATE("NSVLCU73D11B474I")</f>
        <v>NSVLCU73D11B474I</v>
      </c>
      <c r="N49" s="7" t="s">
        <v>119</v>
      </c>
      <c r="O49" s="7" t="s">
        <v>65</v>
      </c>
      <c r="P49" s="8">
        <v>44699</v>
      </c>
      <c r="Q49" s="7" t="s">
        <v>32</v>
      </c>
      <c r="R49" s="7" t="s">
        <v>33</v>
      </c>
      <c r="S49" s="7" t="s">
        <v>34</v>
      </c>
      <c r="T49" s="7"/>
      <c r="U49" s="7" t="s">
        <v>35</v>
      </c>
      <c r="V49" s="9">
        <v>1631.52</v>
      </c>
      <c r="W49" s="7">
        <v>703.51</v>
      </c>
      <c r="X49" s="7">
        <v>649.66999999999996</v>
      </c>
      <c r="Y49" s="7">
        <v>0</v>
      </c>
      <c r="Z49" s="7">
        <v>278.33999999999997</v>
      </c>
    </row>
    <row r="50" spans="1:26" x14ac:dyDescent="0.35">
      <c r="A50" s="7" t="s">
        <v>27</v>
      </c>
      <c r="B50" s="7" t="s">
        <v>41</v>
      </c>
      <c r="C50" s="7" t="s">
        <v>47</v>
      </c>
      <c r="D50" s="7" t="s">
        <v>62</v>
      </c>
      <c r="E50" s="7" t="s">
        <v>44</v>
      </c>
      <c r="F50" s="7" t="s">
        <v>79</v>
      </c>
      <c r="G50" s="7">
        <v>2021</v>
      </c>
      <c r="H50" s="7" t="str">
        <f>CONCATENATE("14210380813")</f>
        <v>14210380813</v>
      </c>
      <c r="I50" s="7" t="s">
        <v>30</v>
      </c>
      <c r="J50" s="7" t="s">
        <v>31</v>
      </c>
      <c r="K50" s="7" t="str">
        <f>CONCATENATE("")</f>
        <v/>
      </c>
      <c r="L50" s="7" t="str">
        <f>CONCATENATE("13 13.1 4a")</f>
        <v>13 13.1 4a</v>
      </c>
      <c r="M50" s="7" t="str">
        <f>CONCATENATE("FDLMNA60M41I661O")</f>
        <v>FDLMNA60M41I661O</v>
      </c>
      <c r="N50" s="7" t="s">
        <v>120</v>
      </c>
      <c r="O50" s="7" t="s">
        <v>65</v>
      </c>
      <c r="P50" s="8">
        <v>44699</v>
      </c>
      <c r="Q50" s="7" t="s">
        <v>32</v>
      </c>
      <c r="R50" s="7" t="s">
        <v>33</v>
      </c>
      <c r="S50" s="7" t="s">
        <v>34</v>
      </c>
      <c r="T50" s="7"/>
      <c r="U50" s="7" t="s">
        <v>35</v>
      </c>
      <c r="V50" s="9">
        <v>1350</v>
      </c>
      <c r="W50" s="7">
        <v>582.12</v>
      </c>
      <c r="X50" s="7">
        <v>537.57000000000005</v>
      </c>
      <c r="Y50" s="7">
        <v>0</v>
      </c>
      <c r="Z50" s="7">
        <v>230.31</v>
      </c>
    </row>
    <row r="51" spans="1:26" x14ac:dyDescent="0.35">
      <c r="A51" s="7" t="s">
        <v>27</v>
      </c>
      <c r="B51" s="7" t="s">
        <v>41</v>
      </c>
      <c r="C51" s="7" t="s">
        <v>47</v>
      </c>
      <c r="D51" s="7" t="s">
        <v>62</v>
      </c>
      <c r="E51" s="7" t="s">
        <v>44</v>
      </c>
      <c r="F51" s="7" t="s">
        <v>79</v>
      </c>
      <c r="G51" s="7">
        <v>2021</v>
      </c>
      <c r="H51" s="7" t="str">
        <f>CONCATENATE("14210381134")</f>
        <v>14210381134</v>
      </c>
      <c r="I51" s="7" t="s">
        <v>30</v>
      </c>
      <c r="J51" s="7" t="s">
        <v>31</v>
      </c>
      <c r="K51" s="7" t="str">
        <f>CONCATENATE("")</f>
        <v/>
      </c>
      <c r="L51" s="7" t="str">
        <f>CONCATENATE("13 13.1 4a")</f>
        <v>13 13.1 4a</v>
      </c>
      <c r="M51" s="7" t="str">
        <f>CONCATENATE("FDLGDM58C26D653O")</f>
        <v>FDLGDM58C26D653O</v>
      </c>
      <c r="N51" s="7" t="s">
        <v>121</v>
      </c>
      <c r="O51" s="7" t="s">
        <v>65</v>
      </c>
      <c r="P51" s="8">
        <v>44699</v>
      </c>
      <c r="Q51" s="7" t="s">
        <v>32</v>
      </c>
      <c r="R51" s="7" t="s">
        <v>33</v>
      </c>
      <c r="S51" s="7" t="s">
        <v>34</v>
      </c>
      <c r="T51" s="7"/>
      <c r="U51" s="7" t="s">
        <v>35</v>
      </c>
      <c r="V51" s="7">
        <v>640.03</v>
      </c>
      <c r="W51" s="7">
        <v>275.98</v>
      </c>
      <c r="X51" s="7">
        <v>254.86</v>
      </c>
      <c r="Y51" s="7">
        <v>0</v>
      </c>
      <c r="Z51" s="7">
        <v>109.19</v>
      </c>
    </row>
    <row r="52" spans="1:26" x14ac:dyDescent="0.35">
      <c r="A52" s="7" t="s">
        <v>27</v>
      </c>
      <c r="B52" s="7" t="s">
        <v>41</v>
      </c>
      <c r="C52" s="7" t="s">
        <v>47</v>
      </c>
      <c r="D52" s="7" t="s">
        <v>62</v>
      </c>
      <c r="E52" s="7" t="s">
        <v>44</v>
      </c>
      <c r="F52" s="7" t="s">
        <v>79</v>
      </c>
      <c r="G52" s="7">
        <v>2021</v>
      </c>
      <c r="H52" s="7" t="str">
        <f>CONCATENATE("14210403334")</f>
        <v>14210403334</v>
      </c>
      <c r="I52" s="7" t="s">
        <v>30</v>
      </c>
      <c r="J52" s="7" t="s">
        <v>31</v>
      </c>
      <c r="K52" s="7" t="str">
        <f>CONCATENATE("")</f>
        <v/>
      </c>
      <c r="L52" s="7" t="str">
        <f>CONCATENATE("13 13.1 4a")</f>
        <v>13 13.1 4a</v>
      </c>
      <c r="M52" s="7" t="str">
        <f>CONCATENATE("01094640438")</f>
        <v>01094640438</v>
      </c>
      <c r="N52" s="7" t="s">
        <v>122</v>
      </c>
      <c r="O52" s="7" t="s">
        <v>65</v>
      </c>
      <c r="P52" s="8">
        <v>44699</v>
      </c>
      <c r="Q52" s="7" t="s">
        <v>32</v>
      </c>
      <c r="R52" s="7" t="s">
        <v>33</v>
      </c>
      <c r="S52" s="7" t="s">
        <v>34</v>
      </c>
      <c r="T52" s="7"/>
      <c r="U52" s="7" t="s">
        <v>35</v>
      </c>
      <c r="V52" s="9">
        <v>2217.08</v>
      </c>
      <c r="W52" s="7">
        <v>956</v>
      </c>
      <c r="X52" s="7">
        <v>882.84</v>
      </c>
      <c r="Y52" s="7">
        <v>0</v>
      </c>
      <c r="Z52" s="7">
        <v>378.24</v>
      </c>
    </row>
    <row r="53" spans="1:26" x14ac:dyDescent="0.35">
      <c r="A53" s="7" t="s">
        <v>27</v>
      </c>
      <c r="B53" s="7" t="s">
        <v>41</v>
      </c>
      <c r="C53" s="7" t="s">
        <v>47</v>
      </c>
      <c r="D53" s="7" t="s">
        <v>52</v>
      </c>
      <c r="E53" s="7" t="s">
        <v>42</v>
      </c>
      <c r="F53" s="7" t="s">
        <v>123</v>
      </c>
      <c r="G53" s="7">
        <v>2021</v>
      </c>
      <c r="H53" s="7" t="str">
        <f>CONCATENATE("14210503729")</f>
        <v>14210503729</v>
      </c>
      <c r="I53" s="7" t="s">
        <v>36</v>
      </c>
      <c r="J53" s="7" t="s">
        <v>31</v>
      </c>
      <c r="K53" s="7" t="str">
        <f>CONCATENATE("")</f>
        <v/>
      </c>
      <c r="L53" s="7" t="str">
        <f>CONCATENATE("13 13.1 4a")</f>
        <v>13 13.1 4a</v>
      </c>
      <c r="M53" s="7" t="str">
        <f>CONCATENATE("BLDSMN88L09D451G")</f>
        <v>BLDSMN88L09D451G</v>
      </c>
      <c r="N53" s="7" t="s">
        <v>124</v>
      </c>
      <c r="O53" s="7" t="s">
        <v>65</v>
      </c>
      <c r="P53" s="8">
        <v>44699</v>
      </c>
      <c r="Q53" s="7" t="s">
        <v>32</v>
      </c>
      <c r="R53" s="7" t="s">
        <v>33</v>
      </c>
      <c r="S53" s="7" t="s">
        <v>34</v>
      </c>
      <c r="T53" s="7"/>
      <c r="U53" s="7" t="s">
        <v>35</v>
      </c>
      <c r="V53" s="9">
        <v>3061.79</v>
      </c>
      <c r="W53" s="9">
        <v>1320.24</v>
      </c>
      <c r="X53" s="9">
        <v>1219.2</v>
      </c>
      <c r="Y53" s="7">
        <v>0</v>
      </c>
      <c r="Z53" s="7">
        <v>522.35</v>
      </c>
    </row>
    <row r="54" spans="1:26" x14ac:dyDescent="0.35">
      <c r="A54" s="7" t="s">
        <v>27</v>
      </c>
      <c r="B54" s="7" t="s">
        <v>41</v>
      </c>
      <c r="C54" s="7" t="s">
        <v>47</v>
      </c>
      <c r="D54" s="7" t="s">
        <v>52</v>
      </c>
      <c r="E54" s="7" t="s">
        <v>42</v>
      </c>
      <c r="F54" s="7" t="s">
        <v>123</v>
      </c>
      <c r="G54" s="7">
        <v>2021</v>
      </c>
      <c r="H54" s="7" t="str">
        <f>CONCATENATE("14210978962")</f>
        <v>14210978962</v>
      </c>
      <c r="I54" s="7" t="s">
        <v>36</v>
      </c>
      <c r="J54" s="7" t="s">
        <v>31</v>
      </c>
      <c r="K54" s="7" t="str">
        <f>CONCATENATE("")</f>
        <v/>
      </c>
      <c r="L54" s="7" t="str">
        <f>CONCATENATE("13 13.1 4a")</f>
        <v>13 13.1 4a</v>
      </c>
      <c r="M54" s="7" t="str">
        <f>CONCATENATE("PLCFNC67M25C524X")</f>
        <v>PLCFNC67M25C524X</v>
      </c>
      <c r="N54" s="7" t="s">
        <v>125</v>
      </c>
      <c r="O54" s="7" t="s">
        <v>65</v>
      </c>
      <c r="P54" s="8">
        <v>44699</v>
      </c>
      <c r="Q54" s="7" t="s">
        <v>32</v>
      </c>
      <c r="R54" s="7" t="s">
        <v>33</v>
      </c>
      <c r="S54" s="7" t="s">
        <v>34</v>
      </c>
      <c r="T54" s="7"/>
      <c r="U54" s="7" t="s">
        <v>35</v>
      </c>
      <c r="V54" s="7">
        <v>641.91999999999996</v>
      </c>
      <c r="W54" s="7">
        <v>276.8</v>
      </c>
      <c r="X54" s="7">
        <v>255.61</v>
      </c>
      <c r="Y54" s="7">
        <v>0</v>
      </c>
      <c r="Z54" s="7">
        <v>109.51</v>
      </c>
    </row>
    <row r="55" spans="1:26" x14ac:dyDescent="0.35">
      <c r="A55" s="7" t="s">
        <v>27</v>
      </c>
      <c r="B55" s="7" t="s">
        <v>41</v>
      </c>
      <c r="C55" s="7" t="s">
        <v>47</v>
      </c>
      <c r="D55" s="7" t="s">
        <v>62</v>
      </c>
      <c r="E55" s="7" t="s">
        <v>42</v>
      </c>
      <c r="F55" s="7" t="s">
        <v>63</v>
      </c>
      <c r="G55" s="7">
        <v>2021</v>
      </c>
      <c r="H55" s="7" t="str">
        <f>CONCATENATE("14210213717")</f>
        <v>14210213717</v>
      </c>
      <c r="I55" s="7" t="s">
        <v>30</v>
      </c>
      <c r="J55" s="7" t="s">
        <v>31</v>
      </c>
      <c r="K55" s="7" t="str">
        <f>CONCATENATE("")</f>
        <v/>
      </c>
      <c r="L55" s="7" t="str">
        <f>CONCATENATE("13 13.1 4a")</f>
        <v>13 13.1 4a</v>
      </c>
      <c r="M55" s="7" t="str">
        <f>CONCATENATE("PCNRMR47L53F205C")</f>
        <v>PCNRMR47L53F205C</v>
      </c>
      <c r="N55" s="7" t="s">
        <v>126</v>
      </c>
      <c r="O55" s="7" t="s">
        <v>65</v>
      </c>
      <c r="P55" s="8">
        <v>44699</v>
      </c>
      <c r="Q55" s="7" t="s">
        <v>32</v>
      </c>
      <c r="R55" s="7" t="s">
        <v>33</v>
      </c>
      <c r="S55" s="7" t="s">
        <v>34</v>
      </c>
      <c r="T55" s="7"/>
      <c r="U55" s="7" t="s">
        <v>35</v>
      </c>
      <c r="V55" s="9">
        <v>5262.82</v>
      </c>
      <c r="W55" s="9">
        <v>2269.33</v>
      </c>
      <c r="X55" s="9">
        <v>2095.65</v>
      </c>
      <c r="Y55" s="7">
        <v>0</v>
      </c>
      <c r="Z55" s="7">
        <v>897.84</v>
      </c>
    </row>
    <row r="56" spans="1:26" x14ac:dyDescent="0.35">
      <c r="A56" s="7" t="s">
        <v>27</v>
      </c>
      <c r="B56" s="7" t="s">
        <v>41</v>
      </c>
      <c r="C56" s="7" t="s">
        <v>47</v>
      </c>
      <c r="D56" s="7" t="s">
        <v>62</v>
      </c>
      <c r="E56" s="7" t="s">
        <v>42</v>
      </c>
      <c r="F56" s="7" t="s">
        <v>63</v>
      </c>
      <c r="G56" s="7">
        <v>2021</v>
      </c>
      <c r="H56" s="7" t="str">
        <f>CONCATENATE("14211086732")</f>
        <v>14211086732</v>
      </c>
      <c r="I56" s="7" t="s">
        <v>30</v>
      </c>
      <c r="J56" s="7" t="s">
        <v>31</v>
      </c>
      <c r="K56" s="7" t="str">
        <f>CONCATENATE("")</f>
        <v/>
      </c>
      <c r="L56" s="7" t="str">
        <f>CONCATENATE("13 13.1 4a")</f>
        <v>13 13.1 4a</v>
      </c>
      <c r="M56" s="7" t="str">
        <f>CONCATENATE("MCCMRC92C06D653Q")</f>
        <v>MCCMRC92C06D653Q</v>
      </c>
      <c r="N56" s="7" t="s">
        <v>127</v>
      </c>
      <c r="O56" s="7" t="s">
        <v>65</v>
      </c>
      <c r="P56" s="8">
        <v>44699</v>
      </c>
      <c r="Q56" s="7" t="s">
        <v>32</v>
      </c>
      <c r="R56" s="7" t="s">
        <v>33</v>
      </c>
      <c r="S56" s="7" t="s">
        <v>34</v>
      </c>
      <c r="T56" s="7"/>
      <c r="U56" s="7" t="s">
        <v>35</v>
      </c>
      <c r="V56" s="9">
        <v>1271.8499999999999</v>
      </c>
      <c r="W56" s="7">
        <v>548.41999999999996</v>
      </c>
      <c r="X56" s="7">
        <v>506.45</v>
      </c>
      <c r="Y56" s="7">
        <v>0</v>
      </c>
      <c r="Z56" s="7">
        <v>216.98</v>
      </c>
    </row>
    <row r="57" spans="1:26" x14ac:dyDescent="0.35">
      <c r="A57" s="7" t="s">
        <v>27</v>
      </c>
      <c r="B57" s="7" t="s">
        <v>41</v>
      </c>
      <c r="C57" s="7" t="s">
        <v>47</v>
      </c>
      <c r="D57" s="7" t="s">
        <v>62</v>
      </c>
      <c r="E57" s="7" t="s">
        <v>42</v>
      </c>
      <c r="F57" s="7" t="s">
        <v>63</v>
      </c>
      <c r="G57" s="7">
        <v>2021</v>
      </c>
      <c r="H57" s="7" t="str">
        <f>CONCATENATE("14210320413")</f>
        <v>14210320413</v>
      </c>
      <c r="I57" s="7" t="s">
        <v>30</v>
      </c>
      <c r="J57" s="7" t="s">
        <v>31</v>
      </c>
      <c r="K57" s="7" t="str">
        <f>CONCATENATE("")</f>
        <v/>
      </c>
      <c r="L57" s="7" t="str">
        <f>CONCATENATE("13 13.1 4a")</f>
        <v>13 13.1 4a</v>
      </c>
      <c r="M57" s="7" t="str">
        <f>CONCATENATE("PSLLSE01S52I156A")</f>
        <v>PSLLSE01S52I156A</v>
      </c>
      <c r="N57" s="7" t="s">
        <v>128</v>
      </c>
      <c r="O57" s="7" t="s">
        <v>65</v>
      </c>
      <c r="P57" s="8">
        <v>44699</v>
      </c>
      <c r="Q57" s="7" t="s">
        <v>32</v>
      </c>
      <c r="R57" s="7" t="s">
        <v>33</v>
      </c>
      <c r="S57" s="7" t="s">
        <v>34</v>
      </c>
      <c r="T57" s="7"/>
      <c r="U57" s="7" t="s">
        <v>35</v>
      </c>
      <c r="V57" s="9">
        <v>1350</v>
      </c>
      <c r="W57" s="7">
        <v>582.12</v>
      </c>
      <c r="X57" s="7">
        <v>537.57000000000005</v>
      </c>
      <c r="Y57" s="7">
        <v>0</v>
      </c>
      <c r="Z57" s="7">
        <v>230.31</v>
      </c>
    </row>
    <row r="58" spans="1:26" x14ac:dyDescent="0.35">
      <c r="A58" s="7" t="s">
        <v>27</v>
      </c>
      <c r="B58" s="7" t="s">
        <v>41</v>
      </c>
      <c r="C58" s="7" t="s">
        <v>47</v>
      </c>
      <c r="D58" s="7" t="s">
        <v>62</v>
      </c>
      <c r="E58" s="7" t="s">
        <v>42</v>
      </c>
      <c r="F58" s="7" t="s">
        <v>63</v>
      </c>
      <c r="G58" s="7">
        <v>2021</v>
      </c>
      <c r="H58" s="7" t="str">
        <f>CONCATENATE("14210320892")</f>
        <v>14210320892</v>
      </c>
      <c r="I58" s="7" t="s">
        <v>30</v>
      </c>
      <c r="J58" s="7" t="s">
        <v>31</v>
      </c>
      <c r="K58" s="7" t="str">
        <f>CONCATENATE("")</f>
        <v/>
      </c>
      <c r="L58" s="7" t="str">
        <f>CONCATENATE("13 13.1 4a")</f>
        <v>13 13.1 4a</v>
      </c>
      <c r="M58" s="7" t="str">
        <f>CONCATENATE("SBBLCU94S41B474M")</f>
        <v>SBBLCU94S41B474M</v>
      </c>
      <c r="N58" s="7" t="s">
        <v>129</v>
      </c>
      <c r="O58" s="7" t="s">
        <v>65</v>
      </c>
      <c r="P58" s="8">
        <v>44699</v>
      </c>
      <c r="Q58" s="7" t="s">
        <v>32</v>
      </c>
      <c r="R58" s="7" t="s">
        <v>33</v>
      </c>
      <c r="S58" s="7" t="s">
        <v>34</v>
      </c>
      <c r="T58" s="7"/>
      <c r="U58" s="7" t="s">
        <v>35</v>
      </c>
      <c r="V58" s="9">
        <v>1350</v>
      </c>
      <c r="W58" s="7">
        <v>582.12</v>
      </c>
      <c r="X58" s="7">
        <v>537.57000000000005</v>
      </c>
      <c r="Y58" s="7">
        <v>0</v>
      </c>
      <c r="Z58" s="7">
        <v>230.31</v>
      </c>
    </row>
    <row r="59" spans="1:26" x14ac:dyDescent="0.35">
      <c r="A59" s="7" t="s">
        <v>27</v>
      </c>
      <c r="B59" s="7" t="s">
        <v>41</v>
      </c>
      <c r="C59" s="7" t="s">
        <v>47</v>
      </c>
      <c r="D59" s="7" t="s">
        <v>62</v>
      </c>
      <c r="E59" s="7" t="s">
        <v>39</v>
      </c>
      <c r="F59" s="7" t="s">
        <v>86</v>
      </c>
      <c r="G59" s="7">
        <v>2021</v>
      </c>
      <c r="H59" s="7" t="str">
        <f>CONCATENATE("14210331907")</f>
        <v>14210331907</v>
      </c>
      <c r="I59" s="7" t="s">
        <v>30</v>
      </c>
      <c r="J59" s="7" t="s">
        <v>31</v>
      </c>
      <c r="K59" s="7" t="str">
        <f>CONCATENATE("")</f>
        <v/>
      </c>
      <c r="L59" s="7" t="str">
        <f>CONCATENATE("13 13.1 4a")</f>
        <v>13 13.1 4a</v>
      </c>
      <c r="M59" s="7" t="str">
        <f>CONCATENATE("BCCLCU96H09B474E")</f>
        <v>BCCLCU96H09B474E</v>
      </c>
      <c r="N59" s="7" t="s">
        <v>130</v>
      </c>
      <c r="O59" s="7" t="s">
        <v>65</v>
      </c>
      <c r="P59" s="8">
        <v>44699</v>
      </c>
      <c r="Q59" s="7" t="s">
        <v>32</v>
      </c>
      <c r="R59" s="7" t="s">
        <v>33</v>
      </c>
      <c r="S59" s="7" t="s">
        <v>34</v>
      </c>
      <c r="T59" s="7"/>
      <c r="U59" s="7" t="s">
        <v>35</v>
      </c>
      <c r="V59" s="7">
        <v>569.96</v>
      </c>
      <c r="W59" s="7">
        <v>245.77</v>
      </c>
      <c r="X59" s="7">
        <v>226.96</v>
      </c>
      <c r="Y59" s="7">
        <v>0</v>
      </c>
      <c r="Z59" s="7">
        <v>97.23</v>
      </c>
    </row>
    <row r="60" spans="1:26" x14ac:dyDescent="0.35">
      <c r="A60" s="7" t="s">
        <v>27</v>
      </c>
      <c r="B60" s="7" t="s">
        <v>41</v>
      </c>
      <c r="C60" s="7" t="s">
        <v>47</v>
      </c>
      <c r="D60" s="7" t="s">
        <v>62</v>
      </c>
      <c r="E60" s="7" t="s">
        <v>44</v>
      </c>
      <c r="F60" s="7" t="s">
        <v>79</v>
      </c>
      <c r="G60" s="7">
        <v>2021</v>
      </c>
      <c r="H60" s="7" t="str">
        <f>CONCATENATE("14210366242")</f>
        <v>14210366242</v>
      </c>
      <c r="I60" s="7" t="s">
        <v>30</v>
      </c>
      <c r="J60" s="7" t="s">
        <v>31</v>
      </c>
      <c r="K60" s="7" t="str">
        <f>CONCATENATE("")</f>
        <v/>
      </c>
      <c r="L60" s="7" t="str">
        <f>CONCATENATE("13 13.1 4a")</f>
        <v>13 13.1 4a</v>
      </c>
      <c r="M60" s="7" t="str">
        <f>CONCATENATE("CPPGVR96A48E648T")</f>
        <v>CPPGVR96A48E648T</v>
      </c>
      <c r="N60" s="7" t="s">
        <v>131</v>
      </c>
      <c r="O60" s="7" t="s">
        <v>65</v>
      </c>
      <c r="P60" s="8">
        <v>44699</v>
      </c>
      <c r="Q60" s="7" t="s">
        <v>32</v>
      </c>
      <c r="R60" s="7" t="s">
        <v>33</v>
      </c>
      <c r="S60" s="7" t="s">
        <v>34</v>
      </c>
      <c r="T60" s="7"/>
      <c r="U60" s="7" t="s">
        <v>35</v>
      </c>
      <c r="V60" s="7">
        <v>189.08</v>
      </c>
      <c r="W60" s="7">
        <v>81.53</v>
      </c>
      <c r="X60" s="7">
        <v>75.290000000000006</v>
      </c>
      <c r="Y60" s="7">
        <v>0</v>
      </c>
      <c r="Z60" s="7">
        <v>32.26</v>
      </c>
    </row>
    <row r="61" spans="1:26" x14ac:dyDescent="0.35">
      <c r="A61" s="7" t="s">
        <v>27</v>
      </c>
      <c r="B61" s="7" t="s">
        <v>41</v>
      </c>
      <c r="C61" s="7" t="s">
        <v>47</v>
      </c>
      <c r="D61" s="7" t="s">
        <v>62</v>
      </c>
      <c r="E61" s="7" t="s">
        <v>42</v>
      </c>
      <c r="F61" s="7" t="s">
        <v>63</v>
      </c>
      <c r="G61" s="7">
        <v>2021</v>
      </c>
      <c r="H61" s="7" t="str">
        <f>CONCATENATE("14210408788")</f>
        <v>14210408788</v>
      </c>
      <c r="I61" s="7" t="s">
        <v>30</v>
      </c>
      <c r="J61" s="7" t="s">
        <v>31</v>
      </c>
      <c r="K61" s="7" t="str">
        <f>CONCATENATE("")</f>
        <v/>
      </c>
      <c r="L61" s="7" t="str">
        <f>CONCATENATE("13 13.1 4a")</f>
        <v>13 13.1 4a</v>
      </c>
      <c r="M61" s="7" t="str">
        <f>CONCATENATE("LSSGPP52D07D653X")</f>
        <v>LSSGPP52D07D653X</v>
      </c>
      <c r="N61" s="7" t="s">
        <v>132</v>
      </c>
      <c r="O61" s="7" t="s">
        <v>65</v>
      </c>
      <c r="P61" s="8">
        <v>44699</v>
      </c>
      <c r="Q61" s="7" t="s">
        <v>32</v>
      </c>
      <c r="R61" s="7" t="s">
        <v>33</v>
      </c>
      <c r="S61" s="7" t="s">
        <v>34</v>
      </c>
      <c r="T61" s="7"/>
      <c r="U61" s="7" t="s">
        <v>35</v>
      </c>
      <c r="V61" s="9">
        <v>1073.1600000000001</v>
      </c>
      <c r="W61" s="7">
        <v>462.75</v>
      </c>
      <c r="X61" s="7">
        <v>427.33</v>
      </c>
      <c r="Y61" s="7">
        <v>0</v>
      </c>
      <c r="Z61" s="7">
        <v>183.08</v>
      </c>
    </row>
    <row r="62" spans="1:26" x14ac:dyDescent="0.35">
      <c r="A62" s="7" t="s">
        <v>27</v>
      </c>
      <c r="B62" s="7" t="s">
        <v>41</v>
      </c>
      <c r="C62" s="7" t="s">
        <v>47</v>
      </c>
      <c r="D62" s="7" t="s">
        <v>62</v>
      </c>
      <c r="E62" s="7" t="s">
        <v>43</v>
      </c>
      <c r="F62" s="7" t="s">
        <v>92</v>
      </c>
      <c r="G62" s="7">
        <v>2021</v>
      </c>
      <c r="H62" s="7" t="str">
        <f>CONCATENATE("14210817970")</f>
        <v>14210817970</v>
      </c>
      <c r="I62" s="7" t="s">
        <v>30</v>
      </c>
      <c r="J62" s="7" t="s">
        <v>31</v>
      </c>
      <c r="K62" s="7" t="str">
        <f>CONCATENATE("")</f>
        <v/>
      </c>
      <c r="L62" s="7" t="str">
        <f>CONCATENATE("13 13.1 4a")</f>
        <v>13 13.1 4a</v>
      </c>
      <c r="M62" s="7" t="str">
        <f>CONCATENATE("SBBMTT98H09G478K")</f>
        <v>SBBMTT98H09G478K</v>
      </c>
      <c r="N62" s="7" t="s">
        <v>133</v>
      </c>
      <c r="O62" s="7" t="s">
        <v>65</v>
      </c>
      <c r="P62" s="8">
        <v>44699</v>
      </c>
      <c r="Q62" s="7" t="s">
        <v>32</v>
      </c>
      <c r="R62" s="7" t="s">
        <v>33</v>
      </c>
      <c r="S62" s="7" t="s">
        <v>34</v>
      </c>
      <c r="T62" s="7"/>
      <c r="U62" s="7" t="s">
        <v>35</v>
      </c>
      <c r="V62" s="9">
        <v>1350</v>
      </c>
      <c r="W62" s="7">
        <v>582.12</v>
      </c>
      <c r="X62" s="7">
        <v>537.57000000000005</v>
      </c>
      <c r="Y62" s="7">
        <v>0</v>
      </c>
      <c r="Z62" s="7">
        <v>230.31</v>
      </c>
    </row>
    <row r="63" spans="1:26" x14ac:dyDescent="0.35">
      <c r="A63" s="7" t="s">
        <v>27</v>
      </c>
      <c r="B63" s="7" t="s">
        <v>41</v>
      </c>
      <c r="C63" s="7" t="s">
        <v>47</v>
      </c>
      <c r="D63" s="7" t="s">
        <v>62</v>
      </c>
      <c r="E63" s="7" t="s">
        <v>44</v>
      </c>
      <c r="F63" s="7" t="s">
        <v>79</v>
      </c>
      <c r="G63" s="7">
        <v>2021</v>
      </c>
      <c r="H63" s="7" t="str">
        <f>CONCATENATE("14210397494")</f>
        <v>14210397494</v>
      </c>
      <c r="I63" s="7" t="s">
        <v>30</v>
      </c>
      <c r="J63" s="7" t="s">
        <v>31</v>
      </c>
      <c r="K63" s="7" t="str">
        <f>CONCATENATE("")</f>
        <v/>
      </c>
      <c r="L63" s="7" t="str">
        <f>CONCATENATE("13 13.1 4a")</f>
        <v>13 13.1 4a</v>
      </c>
      <c r="M63" s="7" t="str">
        <f>CONCATENATE("01158080430")</f>
        <v>01158080430</v>
      </c>
      <c r="N63" s="7" t="s">
        <v>134</v>
      </c>
      <c r="O63" s="7" t="s">
        <v>65</v>
      </c>
      <c r="P63" s="8">
        <v>44699</v>
      </c>
      <c r="Q63" s="7" t="s">
        <v>32</v>
      </c>
      <c r="R63" s="7" t="s">
        <v>33</v>
      </c>
      <c r="S63" s="7" t="s">
        <v>34</v>
      </c>
      <c r="T63" s="7"/>
      <c r="U63" s="7" t="s">
        <v>35</v>
      </c>
      <c r="V63" s="9">
        <v>1350</v>
      </c>
      <c r="W63" s="7">
        <v>582.12</v>
      </c>
      <c r="X63" s="7">
        <v>537.57000000000005</v>
      </c>
      <c r="Y63" s="7">
        <v>0</v>
      </c>
      <c r="Z63" s="7">
        <v>230.31</v>
      </c>
    </row>
    <row r="64" spans="1:26" x14ac:dyDescent="0.35">
      <c r="A64" s="7" t="s">
        <v>27</v>
      </c>
      <c r="B64" s="7" t="s">
        <v>41</v>
      </c>
      <c r="C64" s="7" t="s">
        <v>47</v>
      </c>
      <c r="D64" s="7" t="s">
        <v>52</v>
      </c>
      <c r="E64" s="7" t="s">
        <v>46</v>
      </c>
      <c r="F64" s="7" t="s">
        <v>104</v>
      </c>
      <c r="G64" s="7">
        <v>2021</v>
      </c>
      <c r="H64" s="7" t="str">
        <f>CONCATENATE("14210967361")</f>
        <v>14210967361</v>
      </c>
      <c r="I64" s="7" t="s">
        <v>36</v>
      </c>
      <c r="J64" s="7" t="s">
        <v>31</v>
      </c>
      <c r="K64" s="7" t="str">
        <f>CONCATENATE("")</f>
        <v/>
      </c>
      <c r="L64" s="7" t="str">
        <f>CONCATENATE("13 13.1 4a")</f>
        <v>13 13.1 4a</v>
      </c>
      <c r="M64" s="7" t="str">
        <f>CONCATENATE("02846110423")</f>
        <v>02846110423</v>
      </c>
      <c r="N64" s="7" t="s">
        <v>135</v>
      </c>
      <c r="O64" s="7" t="s">
        <v>65</v>
      </c>
      <c r="P64" s="8">
        <v>44699</v>
      </c>
      <c r="Q64" s="7" t="s">
        <v>32</v>
      </c>
      <c r="R64" s="7" t="s">
        <v>33</v>
      </c>
      <c r="S64" s="7" t="s">
        <v>34</v>
      </c>
      <c r="T64" s="7"/>
      <c r="U64" s="7" t="s">
        <v>35</v>
      </c>
      <c r="V64" s="9">
        <v>4309.18</v>
      </c>
      <c r="W64" s="9">
        <v>1858.12</v>
      </c>
      <c r="X64" s="9">
        <v>1715.92</v>
      </c>
      <c r="Y64" s="7">
        <v>0</v>
      </c>
      <c r="Z64" s="7">
        <v>735.14</v>
      </c>
    </row>
    <row r="65" spans="1:26" ht="17.5" x14ac:dyDescent="0.35">
      <c r="A65" s="7" t="s">
        <v>27</v>
      </c>
      <c r="B65" s="7" t="s">
        <v>41</v>
      </c>
      <c r="C65" s="7" t="s">
        <v>47</v>
      </c>
      <c r="D65" s="7" t="s">
        <v>62</v>
      </c>
      <c r="E65" s="7" t="s">
        <v>42</v>
      </c>
      <c r="F65" s="7" t="s">
        <v>63</v>
      </c>
      <c r="G65" s="7">
        <v>2021</v>
      </c>
      <c r="H65" s="7" t="str">
        <f>CONCATENATE("14211093498")</f>
        <v>14211093498</v>
      </c>
      <c r="I65" s="7" t="s">
        <v>30</v>
      </c>
      <c r="J65" s="7" t="s">
        <v>31</v>
      </c>
      <c r="K65" s="7" t="str">
        <f>CONCATENATE("")</f>
        <v/>
      </c>
      <c r="L65" s="7" t="str">
        <f>CONCATENATE("13 13.1 4a")</f>
        <v>13 13.1 4a</v>
      </c>
      <c r="M65" s="7" t="str">
        <f>CONCATENATE("01931040438")</f>
        <v>01931040438</v>
      </c>
      <c r="N65" s="7" t="s">
        <v>136</v>
      </c>
      <c r="O65" s="7" t="s">
        <v>65</v>
      </c>
      <c r="P65" s="8">
        <v>44699</v>
      </c>
      <c r="Q65" s="7" t="s">
        <v>32</v>
      </c>
      <c r="R65" s="7" t="s">
        <v>33</v>
      </c>
      <c r="S65" s="7" t="s">
        <v>34</v>
      </c>
      <c r="T65" s="7"/>
      <c r="U65" s="7" t="s">
        <v>35</v>
      </c>
      <c r="V65" s="7">
        <v>654.92999999999995</v>
      </c>
      <c r="W65" s="7">
        <v>282.41000000000003</v>
      </c>
      <c r="X65" s="7">
        <v>260.79000000000002</v>
      </c>
      <c r="Y65" s="7">
        <v>0</v>
      </c>
      <c r="Z65" s="7">
        <v>111.73</v>
      </c>
    </row>
    <row r="66" spans="1:26" x14ac:dyDescent="0.35">
      <c r="A66" s="7" t="s">
        <v>27</v>
      </c>
      <c r="B66" s="7" t="s">
        <v>41</v>
      </c>
      <c r="C66" s="7" t="s">
        <v>47</v>
      </c>
      <c r="D66" s="7" t="s">
        <v>62</v>
      </c>
      <c r="E66" s="7" t="s">
        <v>42</v>
      </c>
      <c r="F66" s="7" t="s">
        <v>137</v>
      </c>
      <c r="G66" s="7">
        <v>2021</v>
      </c>
      <c r="H66" s="7" t="str">
        <f>CONCATENATE("14210844750")</f>
        <v>14210844750</v>
      </c>
      <c r="I66" s="7" t="s">
        <v>30</v>
      </c>
      <c r="J66" s="7" t="s">
        <v>31</v>
      </c>
      <c r="K66" s="7" t="str">
        <f>CONCATENATE("")</f>
        <v/>
      </c>
      <c r="L66" s="7" t="str">
        <f>CONCATENATE("13 13.1 4a")</f>
        <v>13 13.1 4a</v>
      </c>
      <c r="M66" s="7" t="str">
        <f>CONCATENATE("MBRFNC75L46M082V")</f>
        <v>MBRFNC75L46M082V</v>
      </c>
      <c r="N66" s="7" t="s">
        <v>138</v>
      </c>
      <c r="O66" s="7" t="s">
        <v>65</v>
      </c>
      <c r="P66" s="8">
        <v>44699</v>
      </c>
      <c r="Q66" s="7" t="s">
        <v>32</v>
      </c>
      <c r="R66" s="7" t="s">
        <v>33</v>
      </c>
      <c r="S66" s="7" t="s">
        <v>34</v>
      </c>
      <c r="T66" s="7"/>
      <c r="U66" s="7" t="s">
        <v>35</v>
      </c>
      <c r="V66" s="7">
        <v>481.46</v>
      </c>
      <c r="W66" s="7">
        <v>207.61</v>
      </c>
      <c r="X66" s="7">
        <v>191.72</v>
      </c>
      <c r="Y66" s="7">
        <v>0</v>
      </c>
      <c r="Z66" s="7">
        <v>82.13</v>
      </c>
    </row>
    <row r="67" spans="1:26" x14ac:dyDescent="0.35">
      <c r="A67" s="7" t="s">
        <v>27</v>
      </c>
      <c r="B67" s="7" t="s">
        <v>41</v>
      </c>
      <c r="C67" s="7" t="s">
        <v>47</v>
      </c>
      <c r="D67" s="7" t="s">
        <v>62</v>
      </c>
      <c r="E67" s="7" t="s">
        <v>42</v>
      </c>
      <c r="F67" s="7" t="s">
        <v>63</v>
      </c>
      <c r="G67" s="7">
        <v>2021</v>
      </c>
      <c r="H67" s="7" t="str">
        <f>CONCATENATE("14210262839")</f>
        <v>14210262839</v>
      </c>
      <c r="I67" s="7" t="s">
        <v>30</v>
      </c>
      <c r="J67" s="7" t="s">
        <v>31</v>
      </c>
      <c r="K67" s="7" t="str">
        <f>CONCATENATE("")</f>
        <v/>
      </c>
      <c r="L67" s="7" t="str">
        <f>CONCATENATE("13 13.1 4a")</f>
        <v>13 13.1 4a</v>
      </c>
      <c r="M67" s="7" t="str">
        <f>CONCATENATE("FDLFLL55T55B504J")</f>
        <v>FDLFLL55T55B504J</v>
      </c>
      <c r="N67" s="7" t="s">
        <v>139</v>
      </c>
      <c r="O67" s="7" t="s">
        <v>65</v>
      </c>
      <c r="P67" s="8">
        <v>44699</v>
      </c>
      <c r="Q67" s="7" t="s">
        <v>32</v>
      </c>
      <c r="R67" s="7" t="s">
        <v>33</v>
      </c>
      <c r="S67" s="7" t="s">
        <v>34</v>
      </c>
      <c r="T67" s="7"/>
      <c r="U67" s="7" t="s">
        <v>35</v>
      </c>
      <c r="V67" s="7">
        <v>248.64</v>
      </c>
      <c r="W67" s="7">
        <v>107.21</v>
      </c>
      <c r="X67" s="7">
        <v>99.01</v>
      </c>
      <c r="Y67" s="7">
        <v>0</v>
      </c>
      <c r="Z67" s="7">
        <v>42.42</v>
      </c>
    </row>
    <row r="68" spans="1:26" x14ac:dyDescent="0.35">
      <c r="A68" s="7" t="s">
        <v>27</v>
      </c>
      <c r="B68" s="7" t="s">
        <v>41</v>
      </c>
      <c r="C68" s="7" t="s">
        <v>47</v>
      </c>
      <c r="D68" s="7" t="s">
        <v>62</v>
      </c>
      <c r="E68" s="7" t="s">
        <v>42</v>
      </c>
      <c r="F68" s="7" t="s">
        <v>63</v>
      </c>
      <c r="G68" s="7">
        <v>2021</v>
      </c>
      <c r="H68" s="7" t="str">
        <f>CONCATENATE("14210025962")</f>
        <v>14210025962</v>
      </c>
      <c r="I68" s="7" t="s">
        <v>36</v>
      </c>
      <c r="J68" s="7" t="s">
        <v>31</v>
      </c>
      <c r="K68" s="7" t="str">
        <f>CONCATENATE("")</f>
        <v/>
      </c>
      <c r="L68" s="7" t="str">
        <f>CONCATENATE("13 13.1 4a")</f>
        <v>13 13.1 4a</v>
      </c>
      <c r="M68" s="7" t="str">
        <f>CONCATENATE("00608910436")</f>
        <v>00608910436</v>
      </c>
      <c r="N68" s="7" t="s">
        <v>140</v>
      </c>
      <c r="O68" s="7" t="s">
        <v>65</v>
      </c>
      <c r="P68" s="8">
        <v>44699</v>
      </c>
      <c r="Q68" s="7" t="s">
        <v>32</v>
      </c>
      <c r="R68" s="7" t="s">
        <v>33</v>
      </c>
      <c r="S68" s="7" t="s">
        <v>34</v>
      </c>
      <c r="T68" s="7"/>
      <c r="U68" s="7" t="s">
        <v>35</v>
      </c>
      <c r="V68" s="9">
        <v>1350</v>
      </c>
      <c r="W68" s="7">
        <v>582.12</v>
      </c>
      <c r="X68" s="7">
        <v>537.57000000000005</v>
      </c>
      <c r="Y68" s="7">
        <v>0</v>
      </c>
      <c r="Z68" s="7">
        <v>230.31</v>
      </c>
    </row>
    <row r="69" spans="1:26" x14ac:dyDescent="0.35">
      <c r="A69" s="7" t="s">
        <v>27</v>
      </c>
      <c r="B69" s="7" t="s">
        <v>41</v>
      </c>
      <c r="C69" s="7" t="s">
        <v>47</v>
      </c>
      <c r="D69" s="7" t="s">
        <v>62</v>
      </c>
      <c r="E69" s="7" t="s">
        <v>44</v>
      </c>
      <c r="F69" s="7" t="s">
        <v>79</v>
      </c>
      <c r="G69" s="7">
        <v>2021</v>
      </c>
      <c r="H69" s="7" t="str">
        <f>CONCATENATE("14210366101")</f>
        <v>14210366101</v>
      </c>
      <c r="I69" s="7" t="s">
        <v>36</v>
      </c>
      <c r="J69" s="7" t="s">
        <v>31</v>
      </c>
      <c r="K69" s="7" t="str">
        <f>CONCATENATE("")</f>
        <v/>
      </c>
      <c r="L69" s="7" t="str">
        <f>CONCATENATE("13 13.1 4a")</f>
        <v>13 13.1 4a</v>
      </c>
      <c r="M69" s="7" t="str">
        <f>CONCATENATE("CNVLCN66T09B474J")</f>
        <v>CNVLCN66T09B474J</v>
      </c>
      <c r="N69" s="7" t="s">
        <v>141</v>
      </c>
      <c r="O69" s="7" t="s">
        <v>65</v>
      </c>
      <c r="P69" s="8">
        <v>44699</v>
      </c>
      <c r="Q69" s="7" t="s">
        <v>32</v>
      </c>
      <c r="R69" s="7" t="s">
        <v>33</v>
      </c>
      <c r="S69" s="7" t="s">
        <v>34</v>
      </c>
      <c r="T69" s="7"/>
      <c r="U69" s="7" t="s">
        <v>35</v>
      </c>
      <c r="V69" s="9">
        <v>8727.7999999999993</v>
      </c>
      <c r="W69" s="9">
        <v>3763.43</v>
      </c>
      <c r="X69" s="9">
        <v>3475.41</v>
      </c>
      <c r="Y69" s="7">
        <v>0</v>
      </c>
      <c r="Z69" s="9">
        <v>1488.96</v>
      </c>
    </row>
    <row r="70" spans="1:26" x14ac:dyDescent="0.35">
      <c r="A70" s="7" t="s">
        <v>27</v>
      </c>
      <c r="B70" s="7" t="s">
        <v>41</v>
      </c>
      <c r="C70" s="7" t="s">
        <v>47</v>
      </c>
      <c r="D70" s="7" t="s">
        <v>62</v>
      </c>
      <c r="E70" s="7" t="s">
        <v>42</v>
      </c>
      <c r="F70" s="7" t="s">
        <v>63</v>
      </c>
      <c r="G70" s="7">
        <v>2021</v>
      </c>
      <c r="H70" s="7" t="str">
        <f>CONCATENATE("14210303294")</f>
        <v>14210303294</v>
      </c>
      <c r="I70" s="7" t="s">
        <v>36</v>
      </c>
      <c r="J70" s="7" t="s">
        <v>31</v>
      </c>
      <c r="K70" s="7" t="str">
        <f>CONCATENATE("")</f>
        <v/>
      </c>
      <c r="L70" s="7" t="str">
        <f>CONCATENATE("13 13.1 4a")</f>
        <v>13 13.1 4a</v>
      </c>
      <c r="M70" s="7" t="str">
        <f>CONCATENATE("CCLMRA44R01D564F")</f>
        <v>CCLMRA44R01D564F</v>
      </c>
      <c r="N70" s="7" t="s">
        <v>142</v>
      </c>
      <c r="O70" s="7" t="s">
        <v>65</v>
      </c>
      <c r="P70" s="8">
        <v>44699</v>
      </c>
      <c r="Q70" s="7" t="s">
        <v>32</v>
      </c>
      <c r="R70" s="7" t="s">
        <v>33</v>
      </c>
      <c r="S70" s="7" t="s">
        <v>34</v>
      </c>
      <c r="T70" s="7"/>
      <c r="U70" s="7" t="s">
        <v>35</v>
      </c>
      <c r="V70" s="7">
        <v>572.46</v>
      </c>
      <c r="W70" s="7">
        <v>246.84</v>
      </c>
      <c r="X70" s="7">
        <v>227.95</v>
      </c>
      <c r="Y70" s="7">
        <v>0</v>
      </c>
      <c r="Z70" s="7">
        <v>97.67</v>
      </c>
    </row>
    <row r="71" spans="1:26" x14ac:dyDescent="0.35">
      <c r="A71" s="7" t="s">
        <v>27</v>
      </c>
      <c r="B71" s="7" t="s">
        <v>41</v>
      </c>
      <c r="C71" s="7" t="s">
        <v>47</v>
      </c>
      <c r="D71" s="7" t="s">
        <v>52</v>
      </c>
      <c r="E71" s="7" t="s">
        <v>42</v>
      </c>
      <c r="F71" s="7" t="s">
        <v>123</v>
      </c>
      <c r="G71" s="7">
        <v>2021</v>
      </c>
      <c r="H71" s="7" t="str">
        <f>CONCATENATE("14210979184")</f>
        <v>14210979184</v>
      </c>
      <c r="I71" s="7" t="s">
        <v>36</v>
      </c>
      <c r="J71" s="7" t="s">
        <v>31</v>
      </c>
      <c r="K71" s="7" t="str">
        <f>CONCATENATE("")</f>
        <v/>
      </c>
      <c r="L71" s="7" t="str">
        <f>CONCATENATE("13 13.1 4a")</f>
        <v>13 13.1 4a</v>
      </c>
      <c r="M71" s="7" t="str">
        <f>CONCATENATE("PLCMRC94E03D451V")</f>
        <v>PLCMRC94E03D451V</v>
      </c>
      <c r="N71" s="7" t="s">
        <v>143</v>
      </c>
      <c r="O71" s="7" t="s">
        <v>65</v>
      </c>
      <c r="P71" s="8">
        <v>44699</v>
      </c>
      <c r="Q71" s="7" t="s">
        <v>32</v>
      </c>
      <c r="R71" s="7" t="s">
        <v>33</v>
      </c>
      <c r="S71" s="7" t="s">
        <v>34</v>
      </c>
      <c r="T71" s="7"/>
      <c r="U71" s="7" t="s">
        <v>35</v>
      </c>
      <c r="V71" s="9">
        <v>2535.8200000000002</v>
      </c>
      <c r="W71" s="9">
        <v>1093.45</v>
      </c>
      <c r="X71" s="9">
        <v>1009.76</v>
      </c>
      <c r="Y71" s="7">
        <v>0</v>
      </c>
      <c r="Z71" s="7">
        <v>432.61</v>
      </c>
    </row>
    <row r="72" spans="1:26" x14ac:dyDescent="0.35">
      <c r="A72" s="7" t="s">
        <v>27</v>
      </c>
      <c r="B72" s="7" t="s">
        <v>41</v>
      </c>
      <c r="C72" s="7" t="s">
        <v>47</v>
      </c>
      <c r="D72" s="7" t="s">
        <v>52</v>
      </c>
      <c r="E72" s="7" t="s">
        <v>42</v>
      </c>
      <c r="F72" s="7" t="s">
        <v>96</v>
      </c>
      <c r="G72" s="7">
        <v>2021</v>
      </c>
      <c r="H72" s="7" t="str">
        <f>CONCATENATE("14210467271")</f>
        <v>14210467271</v>
      </c>
      <c r="I72" s="7" t="s">
        <v>36</v>
      </c>
      <c r="J72" s="7" t="s">
        <v>31</v>
      </c>
      <c r="K72" s="7" t="str">
        <f>CONCATENATE("")</f>
        <v/>
      </c>
      <c r="L72" s="7" t="str">
        <f>CONCATENATE("13 13.1 4a")</f>
        <v>13 13.1 4a</v>
      </c>
      <c r="M72" s="7" t="str">
        <f>CONCATENATE("BRZMRZ59C08I461Y")</f>
        <v>BRZMRZ59C08I461Y</v>
      </c>
      <c r="N72" s="7" t="s">
        <v>144</v>
      </c>
      <c r="O72" s="7" t="s">
        <v>65</v>
      </c>
      <c r="P72" s="8">
        <v>44699</v>
      </c>
      <c r="Q72" s="7" t="s">
        <v>32</v>
      </c>
      <c r="R72" s="7" t="s">
        <v>33</v>
      </c>
      <c r="S72" s="7" t="s">
        <v>34</v>
      </c>
      <c r="T72" s="7"/>
      <c r="U72" s="7" t="s">
        <v>35</v>
      </c>
      <c r="V72" s="7">
        <v>132.24</v>
      </c>
      <c r="W72" s="7">
        <v>57.02</v>
      </c>
      <c r="X72" s="7">
        <v>52.66</v>
      </c>
      <c r="Y72" s="7">
        <v>0</v>
      </c>
      <c r="Z72" s="7">
        <v>22.56</v>
      </c>
    </row>
    <row r="73" spans="1:26" x14ac:dyDescent="0.35">
      <c r="A73" s="7" t="s">
        <v>27</v>
      </c>
      <c r="B73" s="7" t="s">
        <v>41</v>
      </c>
      <c r="C73" s="7" t="s">
        <v>47</v>
      </c>
      <c r="D73" s="7" t="s">
        <v>62</v>
      </c>
      <c r="E73" s="7" t="s">
        <v>42</v>
      </c>
      <c r="F73" s="7" t="s">
        <v>63</v>
      </c>
      <c r="G73" s="7">
        <v>2021</v>
      </c>
      <c r="H73" s="7" t="str">
        <f>CONCATENATE("14210560059")</f>
        <v>14210560059</v>
      </c>
      <c r="I73" s="7" t="s">
        <v>30</v>
      </c>
      <c r="J73" s="7" t="s">
        <v>31</v>
      </c>
      <c r="K73" s="7" t="str">
        <f>CONCATENATE("")</f>
        <v/>
      </c>
      <c r="L73" s="7" t="str">
        <f>CONCATENATE("13 13.1 4a")</f>
        <v>13 13.1 4a</v>
      </c>
      <c r="M73" s="7" t="str">
        <f>CONCATENATE("NRDMLN73M30D653P")</f>
        <v>NRDMLN73M30D653P</v>
      </c>
      <c r="N73" s="7" t="s">
        <v>145</v>
      </c>
      <c r="O73" s="7" t="s">
        <v>65</v>
      </c>
      <c r="P73" s="8">
        <v>44699</v>
      </c>
      <c r="Q73" s="7" t="s">
        <v>32</v>
      </c>
      <c r="R73" s="7" t="s">
        <v>33</v>
      </c>
      <c r="S73" s="7" t="s">
        <v>34</v>
      </c>
      <c r="T73" s="7"/>
      <c r="U73" s="7" t="s">
        <v>35</v>
      </c>
      <c r="V73" s="7">
        <v>575.58000000000004</v>
      </c>
      <c r="W73" s="7">
        <v>248.19</v>
      </c>
      <c r="X73" s="7">
        <v>229.2</v>
      </c>
      <c r="Y73" s="7">
        <v>0</v>
      </c>
      <c r="Z73" s="7">
        <v>98.19</v>
      </c>
    </row>
    <row r="74" spans="1:26" x14ac:dyDescent="0.35">
      <c r="A74" s="7" t="s">
        <v>27</v>
      </c>
      <c r="B74" s="7" t="s">
        <v>41</v>
      </c>
      <c r="C74" s="7" t="s">
        <v>47</v>
      </c>
      <c r="D74" s="7" t="s">
        <v>62</v>
      </c>
      <c r="E74" s="7" t="s">
        <v>42</v>
      </c>
      <c r="F74" s="7" t="s">
        <v>63</v>
      </c>
      <c r="G74" s="7">
        <v>2021</v>
      </c>
      <c r="H74" s="7" t="str">
        <f>CONCATENATE("14210960713")</f>
        <v>14210960713</v>
      </c>
      <c r="I74" s="7" t="s">
        <v>30</v>
      </c>
      <c r="J74" s="7" t="s">
        <v>31</v>
      </c>
      <c r="K74" s="7" t="str">
        <f>CONCATENATE("")</f>
        <v/>
      </c>
      <c r="L74" s="7" t="str">
        <f>CONCATENATE("13 13.1 4a")</f>
        <v>13 13.1 4a</v>
      </c>
      <c r="M74" s="7" t="str">
        <f>CONCATENATE("NGLGNN90P20B474S")</f>
        <v>NGLGNN90P20B474S</v>
      </c>
      <c r="N74" s="7" t="s">
        <v>146</v>
      </c>
      <c r="O74" s="7" t="s">
        <v>65</v>
      </c>
      <c r="P74" s="8">
        <v>44699</v>
      </c>
      <c r="Q74" s="7" t="s">
        <v>32</v>
      </c>
      <c r="R74" s="7" t="s">
        <v>33</v>
      </c>
      <c r="S74" s="7" t="s">
        <v>34</v>
      </c>
      <c r="T74" s="7"/>
      <c r="U74" s="7" t="s">
        <v>35</v>
      </c>
      <c r="V74" s="9">
        <v>2325.66</v>
      </c>
      <c r="W74" s="9">
        <v>1002.82</v>
      </c>
      <c r="X74" s="7">
        <v>926.08</v>
      </c>
      <c r="Y74" s="7">
        <v>0</v>
      </c>
      <c r="Z74" s="7">
        <v>396.76</v>
      </c>
    </row>
    <row r="75" spans="1:26" x14ac:dyDescent="0.35">
      <c r="A75" s="7" t="s">
        <v>27</v>
      </c>
      <c r="B75" s="7" t="s">
        <v>41</v>
      </c>
      <c r="C75" s="7" t="s">
        <v>47</v>
      </c>
      <c r="D75" s="7" t="s">
        <v>62</v>
      </c>
      <c r="E75" s="7" t="s">
        <v>42</v>
      </c>
      <c r="F75" s="7" t="s">
        <v>63</v>
      </c>
      <c r="G75" s="7">
        <v>2021</v>
      </c>
      <c r="H75" s="7" t="str">
        <f>CONCATENATE("14210165826")</f>
        <v>14210165826</v>
      </c>
      <c r="I75" s="7" t="s">
        <v>30</v>
      </c>
      <c r="J75" s="7" t="s">
        <v>31</v>
      </c>
      <c r="K75" s="7" t="str">
        <f>CONCATENATE("")</f>
        <v/>
      </c>
      <c r="L75" s="7" t="str">
        <f>CONCATENATE("13 13.1 4a")</f>
        <v>13 13.1 4a</v>
      </c>
      <c r="M75" s="7" t="str">
        <f>CONCATENATE("FDLGPP58R24I661J")</f>
        <v>FDLGPP58R24I661J</v>
      </c>
      <c r="N75" s="7" t="s">
        <v>147</v>
      </c>
      <c r="O75" s="7" t="s">
        <v>65</v>
      </c>
      <c r="P75" s="8">
        <v>44699</v>
      </c>
      <c r="Q75" s="7" t="s">
        <v>32</v>
      </c>
      <c r="R75" s="7" t="s">
        <v>33</v>
      </c>
      <c r="S75" s="7" t="s">
        <v>34</v>
      </c>
      <c r="T75" s="7"/>
      <c r="U75" s="7" t="s">
        <v>35</v>
      </c>
      <c r="V75" s="9">
        <v>9000</v>
      </c>
      <c r="W75" s="9">
        <v>3880.8</v>
      </c>
      <c r="X75" s="9">
        <v>3583.8</v>
      </c>
      <c r="Y75" s="7">
        <v>0</v>
      </c>
      <c r="Z75" s="9">
        <v>1535.4</v>
      </c>
    </row>
    <row r="76" spans="1:26" x14ac:dyDescent="0.35">
      <c r="A76" s="7" t="s">
        <v>27</v>
      </c>
      <c r="B76" s="7" t="s">
        <v>41</v>
      </c>
      <c r="C76" s="7" t="s">
        <v>47</v>
      </c>
      <c r="D76" s="7" t="s">
        <v>62</v>
      </c>
      <c r="E76" s="7" t="s">
        <v>44</v>
      </c>
      <c r="F76" s="7" t="s">
        <v>110</v>
      </c>
      <c r="G76" s="7">
        <v>2021</v>
      </c>
      <c r="H76" s="7" t="str">
        <f>CONCATENATE("14210367802")</f>
        <v>14210367802</v>
      </c>
      <c r="I76" s="7" t="s">
        <v>30</v>
      </c>
      <c r="J76" s="7" t="s">
        <v>31</v>
      </c>
      <c r="K76" s="7" t="str">
        <f>CONCATENATE("")</f>
        <v/>
      </c>
      <c r="L76" s="7" t="str">
        <f>CONCATENATE("13 13.1 4a")</f>
        <v>13 13.1 4a</v>
      </c>
      <c r="M76" s="7" t="str">
        <f>CONCATENATE("NSCLND67R52A271Z")</f>
        <v>NSCLND67R52A271Z</v>
      </c>
      <c r="N76" s="7" t="s">
        <v>148</v>
      </c>
      <c r="O76" s="7" t="s">
        <v>65</v>
      </c>
      <c r="P76" s="8">
        <v>44699</v>
      </c>
      <c r="Q76" s="7" t="s">
        <v>32</v>
      </c>
      <c r="R76" s="7" t="s">
        <v>33</v>
      </c>
      <c r="S76" s="7" t="s">
        <v>34</v>
      </c>
      <c r="T76" s="7"/>
      <c r="U76" s="7" t="s">
        <v>35</v>
      </c>
      <c r="V76" s="7">
        <v>771.65</v>
      </c>
      <c r="W76" s="7">
        <v>332.74</v>
      </c>
      <c r="X76" s="7">
        <v>307.27</v>
      </c>
      <c r="Y76" s="7">
        <v>0</v>
      </c>
      <c r="Z76" s="7">
        <v>131.63999999999999</v>
      </c>
    </row>
    <row r="77" spans="1:26" x14ac:dyDescent="0.35">
      <c r="A77" s="7" t="s">
        <v>27</v>
      </c>
      <c r="B77" s="7" t="s">
        <v>41</v>
      </c>
      <c r="C77" s="7" t="s">
        <v>47</v>
      </c>
      <c r="D77" s="7" t="s">
        <v>62</v>
      </c>
      <c r="E77" s="7" t="s">
        <v>44</v>
      </c>
      <c r="F77" s="7" t="s">
        <v>79</v>
      </c>
      <c r="G77" s="7">
        <v>2021</v>
      </c>
      <c r="H77" s="7" t="str">
        <f>CONCATENATE("14210384328")</f>
        <v>14210384328</v>
      </c>
      <c r="I77" s="7" t="s">
        <v>30</v>
      </c>
      <c r="J77" s="7" t="s">
        <v>31</v>
      </c>
      <c r="K77" s="7" t="str">
        <f>CONCATENATE("")</f>
        <v/>
      </c>
      <c r="L77" s="7" t="str">
        <f>CONCATENATE("13 13.1 4a")</f>
        <v>13 13.1 4a</v>
      </c>
      <c r="M77" s="7" t="str">
        <f>CONCATENATE("RSNMRT64E16M078M")</f>
        <v>RSNMRT64E16M078M</v>
      </c>
      <c r="N77" s="7" t="s">
        <v>149</v>
      </c>
      <c r="O77" s="7" t="s">
        <v>65</v>
      </c>
      <c r="P77" s="8">
        <v>44699</v>
      </c>
      <c r="Q77" s="7" t="s">
        <v>32</v>
      </c>
      <c r="R77" s="7" t="s">
        <v>33</v>
      </c>
      <c r="S77" s="7" t="s">
        <v>34</v>
      </c>
      <c r="T77" s="7"/>
      <c r="U77" s="7" t="s">
        <v>35</v>
      </c>
      <c r="V77" s="7">
        <v>196.47</v>
      </c>
      <c r="W77" s="7">
        <v>84.72</v>
      </c>
      <c r="X77" s="7">
        <v>78.23</v>
      </c>
      <c r="Y77" s="7">
        <v>0</v>
      </c>
      <c r="Z77" s="7">
        <v>33.520000000000003</v>
      </c>
    </row>
    <row r="78" spans="1:26" x14ac:dyDescent="0.35">
      <c r="A78" s="7" t="s">
        <v>27</v>
      </c>
      <c r="B78" s="7" t="s">
        <v>41</v>
      </c>
      <c r="C78" s="7" t="s">
        <v>47</v>
      </c>
      <c r="D78" s="7" t="s">
        <v>52</v>
      </c>
      <c r="E78" s="7" t="s">
        <v>38</v>
      </c>
      <c r="F78" s="7" t="s">
        <v>71</v>
      </c>
      <c r="G78" s="7">
        <v>2021</v>
      </c>
      <c r="H78" s="7" t="str">
        <f>CONCATENATE("14210489309")</f>
        <v>14210489309</v>
      </c>
      <c r="I78" s="7" t="s">
        <v>36</v>
      </c>
      <c r="J78" s="7" t="s">
        <v>31</v>
      </c>
      <c r="K78" s="7" t="str">
        <f>CONCATENATE("")</f>
        <v/>
      </c>
      <c r="L78" s="7" t="str">
        <f>CONCATENATE("13 13.1 4a")</f>
        <v>13 13.1 4a</v>
      </c>
      <c r="M78" s="7" t="str">
        <f>CONCATENATE("PSQVCN50H02I653G")</f>
        <v>PSQVCN50H02I653G</v>
      </c>
      <c r="N78" s="7" t="s">
        <v>150</v>
      </c>
      <c r="O78" s="7" t="s">
        <v>65</v>
      </c>
      <c r="P78" s="8">
        <v>44699</v>
      </c>
      <c r="Q78" s="7" t="s">
        <v>32</v>
      </c>
      <c r="R78" s="7" t="s">
        <v>33</v>
      </c>
      <c r="S78" s="7" t="s">
        <v>34</v>
      </c>
      <c r="T78" s="7"/>
      <c r="U78" s="7" t="s">
        <v>35</v>
      </c>
      <c r="V78" s="7">
        <v>181.21</v>
      </c>
      <c r="W78" s="7">
        <v>78.14</v>
      </c>
      <c r="X78" s="7">
        <v>72.16</v>
      </c>
      <c r="Y78" s="7">
        <v>0</v>
      </c>
      <c r="Z78" s="7">
        <v>30.91</v>
      </c>
    </row>
    <row r="79" spans="1:26" x14ac:dyDescent="0.35">
      <c r="A79" s="7" t="s">
        <v>27</v>
      </c>
      <c r="B79" s="7" t="s">
        <v>41</v>
      </c>
      <c r="C79" s="7" t="s">
        <v>47</v>
      </c>
      <c r="D79" s="7" t="s">
        <v>62</v>
      </c>
      <c r="E79" s="7" t="s">
        <v>42</v>
      </c>
      <c r="F79" s="7" t="s">
        <v>63</v>
      </c>
      <c r="G79" s="7">
        <v>2021</v>
      </c>
      <c r="H79" s="7" t="str">
        <f>CONCATENATE("14210086964")</f>
        <v>14210086964</v>
      </c>
      <c r="I79" s="7" t="s">
        <v>30</v>
      </c>
      <c r="J79" s="7" t="s">
        <v>31</v>
      </c>
      <c r="K79" s="7" t="str">
        <f>CONCATENATE("")</f>
        <v/>
      </c>
      <c r="L79" s="7" t="str">
        <f>CONCATENATE("13 13.1 4a")</f>
        <v>13 13.1 4a</v>
      </c>
      <c r="M79" s="7" t="str">
        <f>CONCATENATE("PLMTNN63D27G637N")</f>
        <v>PLMTNN63D27G637N</v>
      </c>
      <c r="N79" s="7" t="s">
        <v>151</v>
      </c>
      <c r="O79" s="7" t="s">
        <v>65</v>
      </c>
      <c r="P79" s="8">
        <v>44699</v>
      </c>
      <c r="Q79" s="7" t="s">
        <v>32</v>
      </c>
      <c r="R79" s="7" t="s">
        <v>33</v>
      </c>
      <c r="S79" s="7" t="s">
        <v>34</v>
      </c>
      <c r="T79" s="7"/>
      <c r="U79" s="7" t="s">
        <v>35</v>
      </c>
      <c r="V79" s="9">
        <v>1679.29</v>
      </c>
      <c r="W79" s="7">
        <v>724.11</v>
      </c>
      <c r="X79" s="7">
        <v>668.69</v>
      </c>
      <c r="Y79" s="7">
        <v>0</v>
      </c>
      <c r="Z79" s="7">
        <v>286.49</v>
      </c>
    </row>
    <row r="80" spans="1:26" x14ac:dyDescent="0.35">
      <c r="A80" s="7" t="s">
        <v>27</v>
      </c>
      <c r="B80" s="7" t="s">
        <v>41</v>
      </c>
      <c r="C80" s="7" t="s">
        <v>47</v>
      </c>
      <c r="D80" s="7" t="s">
        <v>62</v>
      </c>
      <c r="E80" s="7" t="s">
        <v>44</v>
      </c>
      <c r="F80" s="7" t="s">
        <v>79</v>
      </c>
      <c r="G80" s="7">
        <v>2021</v>
      </c>
      <c r="H80" s="7" t="str">
        <f>CONCATENATE("14210404035")</f>
        <v>14210404035</v>
      </c>
      <c r="I80" s="7" t="s">
        <v>30</v>
      </c>
      <c r="J80" s="7" t="s">
        <v>31</v>
      </c>
      <c r="K80" s="7" t="str">
        <f>CONCATENATE("")</f>
        <v/>
      </c>
      <c r="L80" s="7" t="str">
        <f>CONCATENATE("13 13.1 4a")</f>
        <v>13 13.1 4a</v>
      </c>
      <c r="M80" s="7" t="str">
        <f>CONCATENATE("01011100433")</f>
        <v>01011100433</v>
      </c>
      <c r="N80" s="7" t="s">
        <v>152</v>
      </c>
      <c r="O80" s="7" t="s">
        <v>65</v>
      </c>
      <c r="P80" s="8">
        <v>44699</v>
      </c>
      <c r="Q80" s="7" t="s">
        <v>32</v>
      </c>
      <c r="R80" s="7" t="s">
        <v>33</v>
      </c>
      <c r="S80" s="7" t="s">
        <v>34</v>
      </c>
      <c r="T80" s="7"/>
      <c r="U80" s="7" t="s">
        <v>35</v>
      </c>
      <c r="V80" s="7">
        <v>498.72</v>
      </c>
      <c r="W80" s="7">
        <v>215.05</v>
      </c>
      <c r="X80" s="7">
        <v>198.59</v>
      </c>
      <c r="Y80" s="7">
        <v>0</v>
      </c>
      <c r="Z80" s="7">
        <v>85.08</v>
      </c>
    </row>
    <row r="81" spans="1:26" x14ac:dyDescent="0.35">
      <c r="A81" s="7" t="s">
        <v>27</v>
      </c>
      <c r="B81" s="7" t="s">
        <v>41</v>
      </c>
      <c r="C81" s="7" t="s">
        <v>47</v>
      </c>
      <c r="D81" s="7" t="s">
        <v>62</v>
      </c>
      <c r="E81" s="7" t="s">
        <v>42</v>
      </c>
      <c r="F81" s="7" t="s">
        <v>63</v>
      </c>
      <c r="G81" s="7">
        <v>2021</v>
      </c>
      <c r="H81" s="7" t="str">
        <f>CONCATENATE("14210293164")</f>
        <v>14210293164</v>
      </c>
      <c r="I81" s="7" t="s">
        <v>30</v>
      </c>
      <c r="J81" s="7" t="s">
        <v>31</v>
      </c>
      <c r="K81" s="7" t="str">
        <f>CONCATENATE("")</f>
        <v/>
      </c>
      <c r="L81" s="7" t="str">
        <f>CONCATENATE("13 13.1 4a")</f>
        <v>13 13.1 4a</v>
      </c>
      <c r="M81" s="7" t="str">
        <f>CONCATENATE("CNCGNN56S16I661I")</f>
        <v>CNCGNN56S16I661I</v>
      </c>
      <c r="N81" s="7" t="s">
        <v>153</v>
      </c>
      <c r="O81" s="7" t="s">
        <v>65</v>
      </c>
      <c r="P81" s="8">
        <v>44699</v>
      </c>
      <c r="Q81" s="7" t="s">
        <v>32</v>
      </c>
      <c r="R81" s="7" t="s">
        <v>33</v>
      </c>
      <c r="S81" s="7" t="s">
        <v>34</v>
      </c>
      <c r="T81" s="7"/>
      <c r="U81" s="7" t="s">
        <v>35</v>
      </c>
      <c r="V81" s="9">
        <v>1245.26</v>
      </c>
      <c r="W81" s="7">
        <v>536.96</v>
      </c>
      <c r="X81" s="7">
        <v>495.86</v>
      </c>
      <c r="Y81" s="7">
        <v>0</v>
      </c>
      <c r="Z81" s="7">
        <v>212.44</v>
      </c>
    </row>
    <row r="82" spans="1:26" x14ac:dyDescent="0.35">
      <c r="A82" s="7" t="s">
        <v>27</v>
      </c>
      <c r="B82" s="7" t="s">
        <v>41</v>
      </c>
      <c r="C82" s="7" t="s">
        <v>47</v>
      </c>
      <c r="D82" s="7" t="s">
        <v>62</v>
      </c>
      <c r="E82" s="7" t="s">
        <v>44</v>
      </c>
      <c r="F82" s="7" t="s">
        <v>79</v>
      </c>
      <c r="G82" s="7">
        <v>2021</v>
      </c>
      <c r="H82" s="7" t="str">
        <f>CONCATENATE("14210381019")</f>
        <v>14210381019</v>
      </c>
      <c r="I82" s="7" t="s">
        <v>30</v>
      </c>
      <c r="J82" s="7" t="s">
        <v>31</v>
      </c>
      <c r="K82" s="7" t="str">
        <f>CONCATENATE("")</f>
        <v/>
      </c>
      <c r="L82" s="7" t="str">
        <f>CONCATENATE("13 13.1 4a")</f>
        <v>13 13.1 4a</v>
      </c>
      <c r="M82" s="7" t="str">
        <f>CONCATENATE("FDLMNL78H57B474X")</f>
        <v>FDLMNL78H57B474X</v>
      </c>
      <c r="N82" s="7" t="s">
        <v>154</v>
      </c>
      <c r="O82" s="7" t="s">
        <v>65</v>
      </c>
      <c r="P82" s="8">
        <v>44699</v>
      </c>
      <c r="Q82" s="7" t="s">
        <v>32</v>
      </c>
      <c r="R82" s="7" t="s">
        <v>33</v>
      </c>
      <c r="S82" s="7" t="s">
        <v>34</v>
      </c>
      <c r="T82" s="7"/>
      <c r="U82" s="7" t="s">
        <v>35</v>
      </c>
      <c r="V82" s="7">
        <v>230.65</v>
      </c>
      <c r="W82" s="7">
        <v>99.46</v>
      </c>
      <c r="X82" s="7">
        <v>91.84</v>
      </c>
      <c r="Y82" s="7">
        <v>0</v>
      </c>
      <c r="Z82" s="7">
        <v>39.35</v>
      </c>
    </row>
    <row r="83" spans="1:26" x14ac:dyDescent="0.35">
      <c r="A83" s="7" t="s">
        <v>27</v>
      </c>
      <c r="B83" s="7" t="s">
        <v>41</v>
      </c>
      <c r="C83" s="7" t="s">
        <v>47</v>
      </c>
      <c r="D83" s="7" t="s">
        <v>62</v>
      </c>
      <c r="E83" s="7" t="s">
        <v>42</v>
      </c>
      <c r="F83" s="7" t="s">
        <v>63</v>
      </c>
      <c r="G83" s="7">
        <v>2021</v>
      </c>
      <c r="H83" s="7" t="str">
        <f>CONCATENATE("14210029428")</f>
        <v>14210029428</v>
      </c>
      <c r="I83" s="7" t="s">
        <v>30</v>
      </c>
      <c r="J83" s="7" t="s">
        <v>31</v>
      </c>
      <c r="K83" s="7" t="str">
        <f>CONCATENATE("")</f>
        <v/>
      </c>
      <c r="L83" s="7" t="str">
        <f>CONCATENATE("13 13.1 4a")</f>
        <v>13 13.1 4a</v>
      </c>
      <c r="M83" s="7" t="str">
        <f>CONCATENATE("MSSRNN58E47H267C")</f>
        <v>MSSRNN58E47H267C</v>
      </c>
      <c r="N83" s="7" t="s">
        <v>155</v>
      </c>
      <c r="O83" s="7" t="s">
        <v>65</v>
      </c>
      <c r="P83" s="8">
        <v>44699</v>
      </c>
      <c r="Q83" s="7" t="s">
        <v>32</v>
      </c>
      <c r="R83" s="7" t="s">
        <v>33</v>
      </c>
      <c r="S83" s="7" t="s">
        <v>34</v>
      </c>
      <c r="T83" s="7"/>
      <c r="U83" s="7" t="s">
        <v>35</v>
      </c>
      <c r="V83" s="7">
        <v>722.63</v>
      </c>
      <c r="W83" s="7">
        <v>311.60000000000002</v>
      </c>
      <c r="X83" s="7">
        <v>287.75</v>
      </c>
      <c r="Y83" s="7">
        <v>0</v>
      </c>
      <c r="Z83" s="7">
        <v>123.28</v>
      </c>
    </row>
    <row r="84" spans="1:26" x14ac:dyDescent="0.35">
      <c r="A84" s="7" t="s">
        <v>27</v>
      </c>
      <c r="B84" s="7" t="s">
        <v>41</v>
      </c>
      <c r="C84" s="7" t="s">
        <v>47</v>
      </c>
      <c r="D84" s="7" t="s">
        <v>62</v>
      </c>
      <c r="E84" s="7" t="s">
        <v>42</v>
      </c>
      <c r="F84" s="7" t="s">
        <v>63</v>
      </c>
      <c r="G84" s="7">
        <v>2021</v>
      </c>
      <c r="H84" s="7" t="str">
        <f>CONCATENATE("14210038171")</f>
        <v>14210038171</v>
      </c>
      <c r="I84" s="7" t="s">
        <v>30</v>
      </c>
      <c r="J84" s="7" t="s">
        <v>31</v>
      </c>
      <c r="K84" s="7" t="str">
        <f>CONCATENATE("")</f>
        <v/>
      </c>
      <c r="L84" s="7" t="str">
        <f>CONCATENATE("13 13.1 4a")</f>
        <v>13 13.1 4a</v>
      </c>
      <c r="M84" s="7" t="str">
        <f>CONCATENATE("CNTFLC31E04D564W")</f>
        <v>CNTFLC31E04D564W</v>
      </c>
      <c r="N84" s="7" t="s">
        <v>156</v>
      </c>
      <c r="O84" s="7" t="s">
        <v>65</v>
      </c>
      <c r="P84" s="8">
        <v>44699</v>
      </c>
      <c r="Q84" s="7" t="s">
        <v>32</v>
      </c>
      <c r="R84" s="7" t="s">
        <v>33</v>
      </c>
      <c r="S84" s="7" t="s">
        <v>34</v>
      </c>
      <c r="T84" s="7"/>
      <c r="U84" s="7" t="s">
        <v>35</v>
      </c>
      <c r="V84" s="7">
        <v>552.91999999999996</v>
      </c>
      <c r="W84" s="7">
        <v>238.42</v>
      </c>
      <c r="X84" s="7">
        <v>220.17</v>
      </c>
      <c r="Y84" s="7">
        <v>0</v>
      </c>
      <c r="Z84" s="7">
        <v>94.33</v>
      </c>
    </row>
    <row r="85" spans="1:26" x14ac:dyDescent="0.35">
      <c r="A85" s="7" t="s">
        <v>27</v>
      </c>
      <c r="B85" s="7" t="s">
        <v>41</v>
      </c>
      <c r="C85" s="7" t="s">
        <v>47</v>
      </c>
      <c r="D85" s="7" t="s">
        <v>52</v>
      </c>
      <c r="E85" s="7" t="s">
        <v>42</v>
      </c>
      <c r="F85" s="7" t="s">
        <v>123</v>
      </c>
      <c r="G85" s="7">
        <v>2021</v>
      </c>
      <c r="H85" s="7" t="str">
        <f>CONCATENATE("14210303997")</f>
        <v>14210303997</v>
      </c>
      <c r="I85" s="7" t="s">
        <v>30</v>
      </c>
      <c r="J85" s="7" t="s">
        <v>31</v>
      </c>
      <c r="K85" s="7" t="str">
        <f>CONCATENATE("")</f>
        <v/>
      </c>
      <c r="L85" s="7" t="str">
        <f>CONCATENATE("13 13.1 4a")</f>
        <v>13 13.1 4a</v>
      </c>
      <c r="M85" s="7" t="str">
        <f>CONCATENATE("CSLFNC61H05I608M")</f>
        <v>CSLFNC61H05I608M</v>
      </c>
      <c r="N85" s="7" t="s">
        <v>157</v>
      </c>
      <c r="O85" s="7" t="s">
        <v>65</v>
      </c>
      <c r="P85" s="8">
        <v>44699</v>
      </c>
      <c r="Q85" s="7" t="s">
        <v>32</v>
      </c>
      <c r="R85" s="7" t="s">
        <v>33</v>
      </c>
      <c r="S85" s="7" t="s">
        <v>34</v>
      </c>
      <c r="T85" s="7"/>
      <c r="U85" s="7" t="s">
        <v>35</v>
      </c>
      <c r="V85" s="7">
        <v>988.33</v>
      </c>
      <c r="W85" s="7">
        <v>426.17</v>
      </c>
      <c r="X85" s="7">
        <v>393.55</v>
      </c>
      <c r="Y85" s="7">
        <v>0</v>
      </c>
      <c r="Z85" s="7">
        <v>168.61</v>
      </c>
    </row>
    <row r="86" spans="1:26" x14ac:dyDescent="0.35">
      <c r="A86" s="7" t="s">
        <v>27</v>
      </c>
      <c r="B86" s="7" t="s">
        <v>41</v>
      </c>
      <c r="C86" s="7" t="s">
        <v>47</v>
      </c>
      <c r="D86" s="7" t="s">
        <v>74</v>
      </c>
      <c r="E86" s="7" t="s">
        <v>42</v>
      </c>
      <c r="F86" s="7" t="s">
        <v>158</v>
      </c>
      <c r="G86" s="7">
        <v>2021</v>
      </c>
      <c r="H86" s="7" t="str">
        <f>CONCATENATE("14210709177")</f>
        <v>14210709177</v>
      </c>
      <c r="I86" s="7" t="s">
        <v>36</v>
      </c>
      <c r="J86" s="7" t="s">
        <v>31</v>
      </c>
      <c r="K86" s="7" t="str">
        <f>CONCATENATE("")</f>
        <v/>
      </c>
      <c r="L86" s="7" t="str">
        <f>CONCATENATE("13 13.1 4a")</f>
        <v>13 13.1 4a</v>
      </c>
      <c r="M86" s="7" t="str">
        <f>CONCATENATE("MNTGPP52E04L597W")</f>
        <v>MNTGPP52E04L597W</v>
      </c>
      <c r="N86" s="7" t="s">
        <v>159</v>
      </c>
      <c r="O86" s="7" t="s">
        <v>65</v>
      </c>
      <c r="P86" s="8">
        <v>44699</v>
      </c>
      <c r="Q86" s="7" t="s">
        <v>32</v>
      </c>
      <c r="R86" s="7" t="s">
        <v>33</v>
      </c>
      <c r="S86" s="7" t="s">
        <v>34</v>
      </c>
      <c r="T86" s="7"/>
      <c r="U86" s="7" t="s">
        <v>35</v>
      </c>
      <c r="V86" s="9">
        <v>1777.48</v>
      </c>
      <c r="W86" s="7">
        <v>766.45</v>
      </c>
      <c r="X86" s="7">
        <v>707.79</v>
      </c>
      <c r="Y86" s="7">
        <v>0</v>
      </c>
      <c r="Z86" s="7">
        <v>303.24</v>
      </c>
    </row>
    <row r="87" spans="1:26" x14ac:dyDescent="0.35">
      <c r="A87" s="7" t="s">
        <v>27</v>
      </c>
      <c r="B87" s="7" t="s">
        <v>41</v>
      </c>
      <c r="C87" s="7" t="s">
        <v>47</v>
      </c>
      <c r="D87" s="7" t="s">
        <v>62</v>
      </c>
      <c r="E87" s="7" t="s">
        <v>44</v>
      </c>
      <c r="F87" s="7" t="s">
        <v>79</v>
      </c>
      <c r="G87" s="7">
        <v>2021</v>
      </c>
      <c r="H87" s="7" t="str">
        <f>CONCATENATE("14210384286")</f>
        <v>14210384286</v>
      </c>
      <c r="I87" s="7" t="s">
        <v>30</v>
      </c>
      <c r="J87" s="7" t="s">
        <v>31</v>
      </c>
      <c r="K87" s="7" t="str">
        <f>CONCATENATE("")</f>
        <v/>
      </c>
      <c r="L87" s="7" t="str">
        <f>CONCATENATE("13 13.1 4a")</f>
        <v>13 13.1 4a</v>
      </c>
      <c r="M87" s="7" t="str">
        <f>CONCATENATE("MSCMLN89C13L117K")</f>
        <v>MSCMLN89C13L117K</v>
      </c>
      <c r="N87" s="7" t="s">
        <v>160</v>
      </c>
      <c r="O87" s="7" t="s">
        <v>65</v>
      </c>
      <c r="P87" s="8">
        <v>44699</v>
      </c>
      <c r="Q87" s="7" t="s">
        <v>32</v>
      </c>
      <c r="R87" s="7" t="s">
        <v>33</v>
      </c>
      <c r="S87" s="7" t="s">
        <v>34</v>
      </c>
      <c r="T87" s="7"/>
      <c r="U87" s="7" t="s">
        <v>35</v>
      </c>
      <c r="V87" s="9">
        <v>1350</v>
      </c>
      <c r="W87" s="7">
        <v>582.12</v>
      </c>
      <c r="X87" s="7">
        <v>537.57000000000005</v>
      </c>
      <c r="Y87" s="7">
        <v>0</v>
      </c>
      <c r="Z87" s="7">
        <v>230.31</v>
      </c>
    </row>
    <row r="88" spans="1:26" x14ac:dyDescent="0.35">
      <c r="A88" s="7" t="s">
        <v>27</v>
      </c>
      <c r="B88" s="7" t="s">
        <v>41</v>
      </c>
      <c r="C88" s="7" t="s">
        <v>47</v>
      </c>
      <c r="D88" s="7" t="s">
        <v>62</v>
      </c>
      <c r="E88" s="7" t="s">
        <v>42</v>
      </c>
      <c r="F88" s="7" t="s">
        <v>63</v>
      </c>
      <c r="G88" s="7">
        <v>2021</v>
      </c>
      <c r="H88" s="7" t="str">
        <f>CONCATENATE("14210018488")</f>
        <v>14210018488</v>
      </c>
      <c r="I88" s="7" t="s">
        <v>30</v>
      </c>
      <c r="J88" s="7" t="s">
        <v>31</v>
      </c>
      <c r="K88" s="7" t="str">
        <f>CONCATENATE("")</f>
        <v/>
      </c>
      <c r="L88" s="7" t="str">
        <f>CONCATENATE("13 13.1 4a")</f>
        <v>13 13.1 4a</v>
      </c>
      <c r="M88" s="7" t="str">
        <f>CONCATENATE("RCTGCR61M28B474D")</f>
        <v>RCTGCR61M28B474D</v>
      </c>
      <c r="N88" s="7" t="s">
        <v>161</v>
      </c>
      <c r="O88" s="7" t="s">
        <v>65</v>
      </c>
      <c r="P88" s="8">
        <v>44699</v>
      </c>
      <c r="Q88" s="7" t="s">
        <v>32</v>
      </c>
      <c r="R88" s="7" t="s">
        <v>33</v>
      </c>
      <c r="S88" s="7" t="s">
        <v>34</v>
      </c>
      <c r="T88" s="7"/>
      <c r="U88" s="7" t="s">
        <v>35</v>
      </c>
      <c r="V88" s="7">
        <v>725.96</v>
      </c>
      <c r="W88" s="7">
        <v>313.02999999999997</v>
      </c>
      <c r="X88" s="7">
        <v>289.08</v>
      </c>
      <c r="Y88" s="7">
        <v>0</v>
      </c>
      <c r="Z88" s="7">
        <v>123.85</v>
      </c>
    </row>
    <row r="89" spans="1:26" x14ac:dyDescent="0.35">
      <c r="A89" s="7" t="s">
        <v>27</v>
      </c>
      <c r="B89" s="7" t="s">
        <v>41</v>
      </c>
      <c r="C89" s="7" t="s">
        <v>47</v>
      </c>
      <c r="D89" s="7" t="s">
        <v>62</v>
      </c>
      <c r="E89" s="7" t="s">
        <v>42</v>
      </c>
      <c r="F89" s="7" t="s">
        <v>63</v>
      </c>
      <c r="G89" s="7">
        <v>2021</v>
      </c>
      <c r="H89" s="7" t="str">
        <f>CONCATENATE("14210151131")</f>
        <v>14210151131</v>
      </c>
      <c r="I89" s="7" t="s">
        <v>30</v>
      </c>
      <c r="J89" s="7" t="s">
        <v>31</v>
      </c>
      <c r="K89" s="7" t="str">
        <f>CONCATENATE("")</f>
        <v/>
      </c>
      <c r="L89" s="7" t="str">
        <f>CONCATENATE("13 13.1 4a")</f>
        <v>13 13.1 4a</v>
      </c>
      <c r="M89" s="7" t="str">
        <f>CONCATENATE("LBNLRT75S26B474K")</f>
        <v>LBNLRT75S26B474K</v>
      </c>
      <c r="N89" s="7" t="s">
        <v>162</v>
      </c>
      <c r="O89" s="7" t="s">
        <v>65</v>
      </c>
      <c r="P89" s="8">
        <v>44699</v>
      </c>
      <c r="Q89" s="7" t="s">
        <v>32</v>
      </c>
      <c r="R89" s="7" t="s">
        <v>33</v>
      </c>
      <c r="S89" s="7" t="s">
        <v>34</v>
      </c>
      <c r="T89" s="7"/>
      <c r="U89" s="7" t="s">
        <v>35</v>
      </c>
      <c r="V89" s="9">
        <v>7273.11</v>
      </c>
      <c r="W89" s="9">
        <v>3136.17</v>
      </c>
      <c r="X89" s="9">
        <v>2896.15</v>
      </c>
      <c r="Y89" s="7">
        <v>0</v>
      </c>
      <c r="Z89" s="9">
        <v>1240.79</v>
      </c>
    </row>
    <row r="90" spans="1:26" x14ac:dyDescent="0.35">
      <c r="A90" s="7" t="s">
        <v>27</v>
      </c>
      <c r="B90" s="7" t="s">
        <v>41</v>
      </c>
      <c r="C90" s="7" t="s">
        <v>47</v>
      </c>
      <c r="D90" s="7" t="s">
        <v>62</v>
      </c>
      <c r="E90" s="7" t="s">
        <v>42</v>
      </c>
      <c r="F90" s="7" t="s">
        <v>63</v>
      </c>
      <c r="G90" s="7">
        <v>2021</v>
      </c>
      <c r="H90" s="7" t="str">
        <f>CONCATENATE("14210035581")</f>
        <v>14210035581</v>
      </c>
      <c r="I90" s="7" t="s">
        <v>30</v>
      </c>
      <c r="J90" s="7" t="s">
        <v>31</v>
      </c>
      <c r="K90" s="7" t="str">
        <f>CONCATENATE("")</f>
        <v/>
      </c>
      <c r="L90" s="7" t="str">
        <f>CONCATENATE("13 13.1 4a")</f>
        <v>13 13.1 4a</v>
      </c>
      <c r="M90" s="7" t="str">
        <f>CONCATENATE("MDRSRG59A03M078A")</f>
        <v>MDRSRG59A03M078A</v>
      </c>
      <c r="N90" s="7" t="s">
        <v>163</v>
      </c>
      <c r="O90" s="7" t="s">
        <v>65</v>
      </c>
      <c r="P90" s="8">
        <v>44699</v>
      </c>
      <c r="Q90" s="7" t="s">
        <v>32</v>
      </c>
      <c r="R90" s="7" t="s">
        <v>33</v>
      </c>
      <c r="S90" s="7" t="s">
        <v>34</v>
      </c>
      <c r="T90" s="7"/>
      <c r="U90" s="7" t="s">
        <v>35</v>
      </c>
      <c r="V90" s="9">
        <v>4779.22</v>
      </c>
      <c r="W90" s="9">
        <v>2060.8000000000002</v>
      </c>
      <c r="X90" s="9">
        <v>1903.09</v>
      </c>
      <c r="Y90" s="7">
        <v>0</v>
      </c>
      <c r="Z90" s="7">
        <v>815.33</v>
      </c>
    </row>
    <row r="91" spans="1:26" x14ac:dyDescent="0.35">
      <c r="A91" s="7" t="s">
        <v>27</v>
      </c>
      <c r="B91" s="7" t="s">
        <v>41</v>
      </c>
      <c r="C91" s="7" t="s">
        <v>47</v>
      </c>
      <c r="D91" s="7" t="s">
        <v>62</v>
      </c>
      <c r="E91" s="7" t="s">
        <v>42</v>
      </c>
      <c r="F91" s="7" t="s">
        <v>63</v>
      </c>
      <c r="G91" s="7">
        <v>2021</v>
      </c>
      <c r="H91" s="7" t="str">
        <f>CONCATENATE("14210170586")</f>
        <v>14210170586</v>
      </c>
      <c r="I91" s="7" t="s">
        <v>30</v>
      </c>
      <c r="J91" s="7" t="s">
        <v>31</v>
      </c>
      <c r="K91" s="7" t="str">
        <f>CONCATENATE("")</f>
        <v/>
      </c>
      <c r="L91" s="7" t="str">
        <f>CONCATENATE("13 13.1 4a")</f>
        <v>13 13.1 4a</v>
      </c>
      <c r="M91" s="7" t="str">
        <f>CONCATENATE("FDLCLD59C04B474N")</f>
        <v>FDLCLD59C04B474N</v>
      </c>
      <c r="N91" s="7" t="s">
        <v>164</v>
      </c>
      <c r="O91" s="7" t="s">
        <v>65</v>
      </c>
      <c r="P91" s="8">
        <v>44699</v>
      </c>
      <c r="Q91" s="7" t="s">
        <v>32</v>
      </c>
      <c r="R91" s="7" t="s">
        <v>33</v>
      </c>
      <c r="S91" s="7" t="s">
        <v>34</v>
      </c>
      <c r="T91" s="7"/>
      <c r="U91" s="7" t="s">
        <v>35</v>
      </c>
      <c r="V91" s="7">
        <v>249.1</v>
      </c>
      <c r="W91" s="7">
        <v>107.41</v>
      </c>
      <c r="X91" s="7">
        <v>99.19</v>
      </c>
      <c r="Y91" s="7">
        <v>0</v>
      </c>
      <c r="Z91" s="7">
        <v>42.5</v>
      </c>
    </row>
    <row r="92" spans="1:26" x14ac:dyDescent="0.35">
      <c r="A92" s="7" t="s">
        <v>27</v>
      </c>
      <c r="B92" s="7" t="s">
        <v>41</v>
      </c>
      <c r="C92" s="7" t="s">
        <v>47</v>
      </c>
      <c r="D92" s="7" t="s">
        <v>62</v>
      </c>
      <c r="E92" s="7" t="s">
        <v>42</v>
      </c>
      <c r="F92" s="7" t="s">
        <v>63</v>
      </c>
      <c r="G92" s="7">
        <v>2021</v>
      </c>
      <c r="H92" s="7" t="str">
        <f>CONCATENATE("14210027893")</f>
        <v>14210027893</v>
      </c>
      <c r="I92" s="7" t="s">
        <v>30</v>
      </c>
      <c r="J92" s="7" t="s">
        <v>31</v>
      </c>
      <c r="K92" s="7" t="str">
        <f>CONCATENATE("")</f>
        <v/>
      </c>
      <c r="L92" s="7" t="str">
        <f>CONCATENATE("13 13.1 4a")</f>
        <v>13 13.1 4a</v>
      </c>
      <c r="M92" s="7" t="str">
        <f>CONCATENATE("BNDLRD95H18B474B")</f>
        <v>BNDLRD95H18B474B</v>
      </c>
      <c r="N92" s="7" t="s">
        <v>165</v>
      </c>
      <c r="O92" s="7" t="s">
        <v>65</v>
      </c>
      <c r="P92" s="8">
        <v>44699</v>
      </c>
      <c r="Q92" s="7" t="s">
        <v>32</v>
      </c>
      <c r="R92" s="7" t="s">
        <v>33</v>
      </c>
      <c r="S92" s="7" t="s">
        <v>34</v>
      </c>
      <c r="T92" s="7"/>
      <c r="U92" s="7" t="s">
        <v>35</v>
      </c>
      <c r="V92" s="9">
        <v>4613.63</v>
      </c>
      <c r="W92" s="9">
        <v>1989.4</v>
      </c>
      <c r="X92" s="9">
        <v>1837.15</v>
      </c>
      <c r="Y92" s="7">
        <v>0</v>
      </c>
      <c r="Z92" s="7">
        <v>787.08</v>
      </c>
    </row>
    <row r="93" spans="1:26" x14ac:dyDescent="0.35">
      <c r="A93" s="7" t="s">
        <v>27</v>
      </c>
      <c r="B93" s="7" t="s">
        <v>41</v>
      </c>
      <c r="C93" s="7" t="s">
        <v>47</v>
      </c>
      <c r="D93" s="7" t="s">
        <v>62</v>
      </c>
      <c r="E93" s="7" t="s">
        <v>44</v>
      </c>
      <c r="F93" s="7" t="s">
        <v>110</v>
      </c>
      <c r="G93" s="7">
        <v>2021</v>
      </c>
      <c r="H93" s="7" t="str">
        <f>CONCATENATE("14210622917")</f>
        <v>14210622917</v>
      </c>
      <c r="I93" s="7" t="s">
        <v>30</v>
      </c>
      <c r="J93" s="7" t="s">
        <v>31</v>
      </c>
      <c r="K93" s="7" t="str">
        <f>CONCATENATE("")</f>
        <v/>
      </c>
      <c r="L93" s="7" t="str">
        <f>CONCATENATE("13 13.1 4a")</f>
        <v>13 13.1 4a</v>
      </c>
      <c r="M93" s="7" t="str">
        <f>CONCATENATE("SBSMRC95P04I156J")</f>
        <v>SBSMRC95P04I156J</v>
      </c>
      <c r="N93" s="7" t="s">
        <v>166</v>
      </c>
      <c r="O93" s="7" t="s">
        <v>65</v>
      </c>
      <c r="P93" s="8">
        <v>44699</v>
      </c>
      <c r="Q93" s="7" t="s">
        <v>32</v>
      </c>
      <c r="R93" s="7" t="s">
        <v>33</v>
      </c>
      <c r="S93" s="7" t="s">
        <v>34</v>
      </c>
      <c r="T93" s="7"/>
      <c r="U93" s="7" t="s">
        <v>35</v>
      </c>
      <c r="V93" s="7">
        <v>210.18</v>
      </c>
      <c r="W93" s="7">
        <v>90.63</v>
      </c>
      <c r="X93" s="7">
        <v>83.69</v>
      </c>
      <c r="Y93" s="7">
        <v>0</v>
      </c>
      <c r="Z93" s="7">
        <v>35.86</v>
      </c>
    </row>
    <row r="94" spans="1:26" x14ac:dyDescent="0.35">
      <c r="A94" s="7" t="s">
        <v>27</v>
      </c>
      <c r="B94" s="7" t="s">
        <v>41</v>
      </c>
      <c r="C94" s="7" t="s">
        <v>47</v>
      </c>
      <c r="D94" s="7" t="s">
        <v>52</v>
      </c>
      <c r="E94" s="7" t="s">
        <v>42</v>
      </c>
      <c r="F94" s="7" t="s">
        <v>123</v>
      </c>
      <c r="G94" s="7">
        <v>2021</v>
      </c>
      <c r="H94" s="7" t="str">
        <f>CONCATENATE("14210659745")</f>
        <v>14210659745</v>
      </c>
      <c r="I94" s="7" t="s">
        <v>30</v>
      </c>
      <c r="J94" s="7" t="s">
        <v>31</v>
      </c>
      <c r="K94" s="7" t="str">
        <f>CONCATENATE("")</f>
        <v/>
      </c>
      <c r="L94" s="7" t="str">
        <f>CONCATENATE("13 13.1 4a")</f>
        <v>13 13.1 4a</v>
      </c>
      <c r="M94" s="7" t="str">
        <f>CONCATENATE("BRZGNN56E03D451B")</f>
        <v>BRZGNN56E03D451B</v>
      </c>
      <c r="N94" s="7" t="s">
        <v>167</v>
      </c>
      <c r="O94" s="7" t="s">
        <v>65</v>
      </c>
      <c r="P94" s="8">
        <v>44699</v>
      </c>
      <c r="Q94" s="7" t="s">
        <v>32</v>
      </c>
      <c r="R94" s="7" t="s">
        <v>33</v>
      </c>
      <c r="S94" s="7" t="s">
        <v>34</v>
      </c>
      <c r="T94" s="7"/>
      <c r="U94" s="7" t="s">
        <v>35</v>
      </c>
      <c r="V94" s="7">
        <v>115.25</v>
      </c>
      <c r="W94" s="7">
        <v>49.7</v>
      </c>
      <c r="X94" s="7">
        <v>45.89</v>
      </c>
      <c r="Y94" s="7">
        <v>0</v>
      </c>
      <c r="Z94" s="7">
        <v>19.66</v>
      </c>
    </row>
    <row r="95" spans="1:26" x14ac:dyDescent="0.35">
      <c r="A95" s="7" t="s">
        <v>27</v>
      </c>
      <c r="B95" s="7" t="s">
        <v>41</v>
      </c>
      <c r="C95" s="7" t="s">
        <v>47</v>
      </c>
      <c r="D95" s="7" t="s">
        <v>62</v>
      </c>
      <c r="E95" s="7" t="s">
        <v>42</v>
      </c>
      <c r="F95" s="7" t="s">
        <v>63</v>
      </c>
      <c r="G95" s="7">
        <v>2021</v>
      </c>
      <c r="H95" s="7" t="str">
        <f>CONCATENATE("14210164514")</f>
        <v>14210164514</v>
      </c>
      <c r="I95" s="7" t="s">
        <v>30</v>
      </c>
      <c r="J95" s="7" t="s">
        <v>31</v>
      </c>
      <c r="K95" s="7" t="str">
        <f>CONCATENATE("")</f>
        <v/>
      </c>
      <c r="L95" s="7" t="str">
        <f>CONCATENATE("13 13.1 4a")</f>
        <v>13 13.1 4a</v>
      </c>
      <c r="M95" s="7" t="str">
        <f>CONCATENATE("VNNLGU41R23M078Z")</f>
        <v>VNNLGU41R23M078Z</v>
      </c>
      <c r="N95" s="7" t="s">
        <v>168</v>
      </c>
      <c r="O95" s="7" t="s">
        <v>65</v>
      </c>
      <c r="P95" s="8">
        <v>44699</v>
      </c>
      <c r="Q95" s="7" t="s">
        <v>32</v>
      </c>
      <c r="R95" s="7" t="s">
        <v>33</v>
      </c>
      <c r="S95" s="7" t="s">
        <v>34</v>
      </c>
      <c r="T95" s="7"/>
      <c r="U95" s="7" t="s">
        <v>35</v>
      </c>
      <c r="V95" s="7">
        <v>93.71</v>
      </c>
      <c r="W95" s="7">
        <v>40.409999999999997</v>
      </c>
      <c r="X95" s="7">
        <v>37.32</v>
      </c>
      <c r="Y95" s="7">
        <v>0</v>
      </c>
      <c r="Z95" s="7">
        <v>15.98</v>
      </c>
    </row>
    <row r="96" spans="1:26" x14ac:dyDescent="0.35">
      <c r="A96" s="7" t="s">
        <v>27</v>
      </c>
      <c r="B96" s="7" t="s">
        <v>41</v>
      </c>
      <c r="C96" s="7" t="s">
        <v>47</v>
      </c>
      <c r="D96" s="7" t="s">
        <v>62</v>
      </c>
      <c r="E96" s="7" t="s">
        <v>42</v>
      </c>
      <c r="F96" s="7" t="s">
        <v>63</v>
      </c>
      <c r="G96" s="7">
        <v>2021</v>
      </c>
      <c r="H96" s="7" t="str">
        <f>CONCATENATE("14210023462")</f>
        <v>14210023462</v>
      </c>
      <c r="I96" s="7" t="s">
        <v>36</v>
      </c>
      <c r="J96" s="7" t="s">
        <v>31</v>
      </c>
      <c r="K96" s="7" t="str">
        <f>CONCATENATE("")</f>
        <v/>
      </c>
      <c r="L96" s="7" t="str">
        <f>CONCATENATE("13 13.1 4a")</f>
        <v>13 13.1 4a</v>
      </c>
      <c r="M96" s="7" t="str">
        <f>CONCATENATE("LBNPRZ65A12B474W")</f>
        <v>LBNPRZ65A12B474W</v>
      </c>
      <c r="N96" s="7" t="s">
        <v>169</v>
      </c>
      <c r="O96" s="7" t="s">
        <v>65</v>
      </c>
      <c r="P96" s="8">
        <v>44699</v>
      </c>
      <c r="Q96" s="7" t="s">
        <v>32</v>
      </c>
      <c r="R96" s="7" t="s">
        <v>33</v>
      </c>
      <c r="S96" s="7" t="s">
        <v>34</v>
      </c>
      <c r="T96" s="7"/>
      <c r="U96" s="7" t="s">
        <v>35</v>
      </c>
      <c r="V96" s="9">
        <v>2586.5</v>
      </c>
      <c r="W96" s="9">
        <v>1115.3</v>
      </c>
      <c r="X96" s="9">
        <v>1029.94</v>
      </c>
      <c r="Y96" s="7">
        <v>0</v>
      </c>
      <c r="Z96" s="7">
        <v>441.26</v>
      </c>
    </row>
    <row r="97" spans="1:26" x14ac:dyDescent="0.35">
      <c r="A97" s="7" t="s">
        <v>27</v>
      </c>
      <c r="B97" s="7" t="s">
        <v>41</v>
      </c>
      <c r="C97" s="7" t="s">
        <v>47</v>
      </c>
      <c r="D97" s="7" t="s">
        <v>62</v>
      </c>
      <c r="E97" s="7" t="s">
        <v>42</v>
      </c>
      <c r="F97" s="7" t="s">
        <v>63</v>
      </c>
      <c r="G97" s="7">
        <v>2021</v>
      </c>
      <c r="H97" s="7" t="str">
        <f>CONCATENATE("14211389714")</f>
        <v>14211389714</v>
      </c>
      <c r="I97" s="7" t="s">
        <v>30</v>
      </c>
      <c r="J97" s="7" t="s">
        <v>31</v>
      </c>
      <c r="K97" s="7" t="str">
        <f>CONCATENATE("")</f>
        <v/>
      </c>
      <c r="L97" s="7" t="str">
        <f>CONCATENATE("13 13.1 4a")</f>
        <v>13 13.1 4a</v>
      </c>
      <c r="M97" s="7" t="str">
        <f>CONCATENATE("SPEMNL95C17B474Y")</f>
        <v>SPEMNL95C17B474Y</v>
      </c>
      <c r="N97" s="7" t="s">
        <v>170</v>
      </c>
      <c r="O97" s="7" t="s">
        <v>65</v>
      </c>
      <c r="P97" s="8">
        <v>44699</v>
      </c>
      <c r="Q97" s="7" t="s">
        <v>32</v>
      </c>
      <c r="R97" s="7" t="s">
        <v>33</v>
      </c>
      <c r="S97" s="7" t="s">
        <v>34</v>
      </c>
      <c r="T97" s="7"/>
      <c r="U97" s="7" t="s">
        <v>35</v>
      </c>
      <c r="V97" s="9">
        <v>1350</v>
      </c>
      <c r="W97" s="7">
        <v>582.12</v>
      </c>
      <c r="X97" s="7">
        <v>537.57000000000005</v>
      </c>
      <c r="Y97" s="7">
        <v>0</v>
      </c>
      <c r="Z97" s="7">
        <v>230.31</v>
      </c>
    </row>
    <row r="98" spans="1:26" x14ac:dyDescent="0.35">
      <c r="A98" s="7" t="s">
        <v>27</v>
      </c>
      <c r="B98" s="7" t="s">
        <v>41</v>
      </c>
      <c r="C98" s="7" t="s">
        <v>47</v>
      </c>
      <c r="D98" s="7" t="s">
        <v>62</v>
      </c>
      <c r="E98" s="7" t="s">
        <v>42</v>
      </c>
      <c r="F98" s="7" t="s">
        <v>63</v>
      </c>
      <c r="G98" s="7">
        <v>2021</v>
      </c>
      <c r="H98" s="7" t="str">
        <f>CONCATENATE("14210076858")</f>
        <v>14210076858</v>
      </c>
      <c r="I98" s="7" t="s">
        <v>30</v>
      </c>
      <c r="J98" s="7" t="s">
        <v>31</v>
      </c>
      <c r="K98" s="7" t="str">
        <f>CONCATENATE("")</f>
        <v/>
      </c>
      <c r="L98" s="7" t="str">
        <f>CONCATENATE("13 13.1 4a")</f>
        <v>13 13.1 4a</v>
      </c>
      <c r="M98" s="7" t="str">
        <f>CONCATENATE("01015260431")</f>
        <v>01015260431</v>
      </c>
      <c r="N98" s="7" t="s">
        <v>171</v>
      </c>
      <c r="O98" s="7" t="s">
        <v>65</v>
      </c>
      <c r="P98" s="8">
        <v>44699</v>
      </c>
      <c r="Q98" s="7" t="s">
        <v>32</v>
      </c>
      <c r="R98" s="7" t="s">
        <v>33</v>
      </c>
      <c r="S98" s="7" t="s">
        <v>34</v>
      </c>
      <c r="T98" s="7"/>
      <c r="U98" s="7" t="s">
        <v>35</v>
      </c>
      <c r="V98" s="9">
        <v>1931.12</v>
      </c>
      <c r="W98" s="7">
        <v>832.7</v>
      </c>
      <c r="X98" s="7">
        <v>768.97</v>
      </c>
      <c r="Y98" s="7">
        <v>0</v>
      </c>
      <c r="Z98" s="7">
        <v>329.45</v>
      </c>
    </row>
    <row r="99" spans="1:26" x14ac:dyDescent="0.35">
      <c r="A99" s="7" t="s">
        <v>27</v>
      </c>
      <c r="B99" s="7" t="s">
        <v>41</v>
      </c>
      <c r="C99" s="7" t="s">
        <v>47</v>
      </c>
      <c r="D99" s="7" t="s">
        <v>62</v>
      </c>
      <c r="E99" s="7" t="s">
        <v>42</v>
      </c>
      <c r="F99" s="7" t="s">
        <v>63</v>
      </c>
      <c r="G99" s="7">
        <v>2021</v>
      </c>
      <c r="H99" s="7" t="str">
        <f>CONCATENATE("14210046018")</f>
        <v>14210046018</v>
      </c>
      <c r="I99" s="7" t="s">
        <v>30</v>
      </c>
      <c r="J99" s="7" t="s">
        <v>31</v>
      </c>
      <c r="K99" s="7" t="str">
        <f>CONCATENATE("")</f>
        <v/>
      </c>
      <c r="L99" s="7" t="str">
        <f>CONCATENATE("13 13.1 4a")</f>
        <v>13 13.1 4a</v>
      </c>
      <c r="M99" s="7" t="str">
        <f>CONCATENATE("CPTGRG77S13B474U")</f>
        <v>CPTGRG77S13B474U</v>
      </c>
      <c r="N99" s="7" t="s">
        <v>172</v>
      </c>
      <c r="O99" s="7" t="s">
        <v>65</v>
      </c>
      <c r="P99" s="8">
        <v>44699</v>
      </c>
      <c r="Q99" s="7" t="s">
        <v>32</v>
      </c>
      <c r="R99" s="7" t="s">
        <v>33</v>
      </c>
      <c r="S99" s="7" t="s">
        <v>34</v>
      </c>
      <c r="T99" s="7"/>
      <c r="U99" s="7" t="s">
        <v>35</v>
      </c>
      <c r="V99" s="9">
        <v>1766.02</v>
      </c>
      <c r="W99" s="7">
        <v>761.51</v>
      </c>
      <c r="X99" s="7">
        <v>703.23</v>
      </c>
      <c r="Y99" s="7">
        <v>0</v>
      </c>
      <c r="Z99" s="7">
        <v>301.27999999999997</v>
      </c>
    </row>
    <row r="100" spans="1:26" x14ac:dyDescent="0.35">
      <c r="A100" s="7" t="s">
        <v>27</v>
      </c>
      <c r="B100" s="7" t="s">
        <v>28</v>
      </c>
      <c r="C100" s="7" t="s">
        <v>47</v>
      </c>
      <c r="D100" s="7" t="s">
        <v>52</v>
      </c>
      <c r="E100" s="7" t="s">
        <v>29</v>
      </c>
      <c r="F100" s="7" t="s">
        <v>29</v>
      </c>
      <c r="G100" s="7">
        <v>2017</v>
      </c>
      <c r="H100" s="7" t="str">
        <f>CONCATENATE("14270364194")</f>
        <v>14270364194</v>
      </c>
      <c r="I100" s="7" t="s">
        <v>36</v>
      </c>
      <c r="J100" s="7" t="s">
        <v>31</v>
      </c>
      <c r="K100" s="7" t="str">
        <f>CONCATENATE("")</f>
        <v/>
      </c>
      <c r="L100" s="7" t="str">
        <f>CONCATENATE("6 6.4 2a")</f>
        <v>6 6.4 2a</v>
      </c>
      <c r="M100" s="7" t="str">
        <f>CONCATENATE("CNSVLR85P09E388C")</f>
        <v>CNSVLR85P09E388C</v>
      </c>
      <c r="N100" s="7" t="s">
        <v>53</v>
      </c>
      <c r="O100" s="7" t="s">
        <v>173</v>
      </c>
      <c r="P100" s="8">
        <v>44699</v>
      </c>
      <c r="Q100" s="7" t="s">
        <v>32</v>
      </c>
      <c r="R100" s="7" t="s">
        <v>33</v>
      </c>
      <c r="S100" s="7" t="s">
        <v>34</v>
      </c>
      <c r="T100" s="7"/>
      <c r="U100" s="7" t="s">
        <v>35</v>
      </c>
      <c r="V100" s="9">
        <v>47360.91</v>
      </c>
      <c r="W100" s="9">
        <v>20422.02</v>
      </c>
      <c r="X100" s="9">
        <v>18859.11</v>
      </c>
      <c r="Y100" s="7">
        <v>0</v>
      </c>
      <c r="Z100" s="9">
        <v>8079.78</v>
      </c>
    </row>
    <row r="101" spans="1:26" x14ac:dyDescent="0.35">
      <c r="A101" s="7" t="s">
        <v>27</v>
      </c>
      <c r="B101" s="7" t="s">
        <v>28</v>
      </c>
      <c r="C101" s="7" t="s">
        <v>47</v>
      </c>
      <c r="D101" s="7" t="s">
        <v>74</v>
      </c>
      <c r="E101" s="7" t="s">
        <v>29</v>
      </c>
      <c r="F101" s="7" t="s">
        <v>29</v>
      </c>
      <c r="G101" s="7">
        <v>2017</v>
      </c>
      <c r="H101" s="7" t="str">
        <f>CONCATENATE("24270072085")</f>
        <v>24270072085</v>
      </c>
      <c r="I101" s="7" t="s">
        <v>36</v>
      </c>
      <c r="J101" s="7" t="s">
        <v>31</v>
      </c>
      <c r="K101" s="7" t="str">
        <f>CONCATENATE("")</f>
        <v/>
      </c>
      <c r="L101" s="7" t="str">
        <f>CONCATENATE("4 4.1 2a")</f>
        <v>4 4.1 2a</v>
      </c>
      <c r="M101" s="7" t="str">
        <f>CONCATENATE("CMNPRP80M24A462N")</f>
        <v>CMNPRP80M24A462N</v>
      </c>
      <c r="N101" s="7" t="s">
        <v>174</v>
      </c>
      <c r="O101" s="7" t="s">
        <v>175</v>
      </c>
      <c r="P101" s="8">
        <v>44699</v>
      </c>
      <c r="Q101" s="7" t="s">
        <v>32</v>
      </c>
      <c r="R101" s="7" t="s">
        <v>33</v>
      </c>
      <c r="S101" s="7" t="s">
        <v>34</v>
      </c>
      <c r="T101" s="7"/>
      <c r="U101" s="7" t="s">
        <v>35</v>
      </c>
      <c r="V101" s="9">
        <v>12719.22</v>
      </c>
      <c r="W101" s="9">
        <v>5484.53</v>
      </c>
      <c r="X101" s="9">
        <v>5064.79</v>
      </c>
      <c r="Y101" s="7">
        <v>0</v>
      </c>
      <c r="Z101" s="9">
        <v>2169.9</v>
      </c>
    </row>
    <row r="102" spans="1:26" x14ac:dyDescent="0.35">
      <c r="A102" s="7" t="s">
        <v>27</v>
      </c>
      <c r="B102" s="7" t="s">
        <v>28</v>
      </c>
      <c r="C102" s="7" t="s">
        <v>47</v>
      </c>
      <c r="D102" s="7" t="s">
        <v>74</v>
      </c>
      <c r="E102" s="7" t="s">
        <v>42</v>
      </c>
      <c r="F102" s="7" t="s">
        <v>176</v>
      </c>
      <c r="G102" s="7">
        <v>2017</v>
      </c>
      <c r="H102" s="7" t="str">
        <f>CONCATENATE("24270072093")</f>
        <v>24270072093</v>
      </c>
      <c r="I102" s="7" t="s">
        <v>36</v>
      </c>
      <c r="J102" s="7" t="s">
        <v>31</v>
      </c>
      <c r="K102" s="7" t="str">
        <f>CONCATENATE("")</f>
        <v/>
      </c>
      <c r="L102" s="7" t="str">
        <f>CONCATENATE("4 4.1 2a")</f>
        <v>4 4.1 2a</v>
      </c>
      <c r="M102" s="7" t="str">
        <f>CONCATENATE("DNGLNI57L41G005S")</f>
        <v>DNGLNI57L41G005S</v>
      </c>
      <c r="N102" s="7" t="s">
        <v>177</v>
      </c>
      <c r="O102" s="7" t="s">
        <v>175</v>
      </c>
      <c r="P102" s="8">
        <v>44699</v>
      </c>
      <c r="Q102" s="7" t="s">
        <v>32</v>
      </c>
      <c r="R102" s="7" t="s">
        <v>33</v>
      </c>
      <c r="S102" s="7" t="s">
        <v>34</v>
      </c>
      <c r="T102" s="7"/>
      <c r="U102" s="7" t="s">
        <v>35</v>
      </c>
      <c r="V102" s="9">
        <v>66183.259999999995</v>
      </c>
      <c r="W102" s="9">
        <v>28538.22</v>
      </c>
      <c r="X102" s="9">
        <v>26354.17</v>
      </c>
      <c r="Y102" s="7">
        <v>0</v>
      </c>
      <c r="Z102" s="9">
        <v>11290.87</v>
      </c>
    </row>
    <row r="103" spans="1:26" x14ac:dyDescent="0.35">
      <c r="A103" s="7" t="s">
        <v>27</v>
      </c>
      <c r="B103" s="7" t="s">
        <v>28</v>
      </c>
      <c r="C103" s="7" t="s">
        <v>47</v>
      </c>
      <c r="D103" s="7" t="s">
        <v>74</v>
      </c>
      <c r="E103" s="7" t="s">
        <v>29</v>
      </c>
      <c r="F103" s="7" t="s">
        <v>29</v>
      </c>
      <c r="G103" s="7">
        <v>2017</v>
      </c>
      <c r="H103" s="7" t="str">
        <f>CONCATENATE("14270364079")</f>
        <v>14270364079</v>
      </c>
      <c r="I103" s="7" t="s">
        <v>36</v>
      </c>
      <c r="J103" s="7" t="s">
        <v>31</v>
      </c>
      <c r="K103" s="7" t="str">
        <f>CONCATENATE("")</f>
        <v/>
      </c>
      <c r="L103" s="7" t="str">
        <f>CONCATENATE("6 6.4 2a")</f>
        <v>6 6.4 2a</v>
      </c>
      <c r="M103" s="7" t="str">
        <f>CONCATENATE("02353760446")</f>
        <v>02353760446</v>
      </c>
      <c r="N103" s="7" t="s">
        <v>178</v>
      </c>
      <c r="O103" s="7" t="s">
        <v>179</v>
      </c>
      <c r="P103" s="8">
        <v>44699</v>
      </c>
      <c r="Q103" s="7" t="s">
        <v>32</v>
      </c>
      <c r="R103" s="7" t="s">
        <v>33</v>
      </c>
      <c r="S103" s="7" t="s">
        <v>34</v>
      </c>
      <c r="T103" s="7"/>
      <c r="U103" s="7" t="s">
        <v>35</v>
      </c>
      <c r="V103" s="9">
        <v>49295.37</v>
      </c>
      <c r="W103" s="9">
        <v>21256.16</v>
      </c>
      <c r="X103" s="9">
        <v>19629.419999999998</v>
      </c>
      <c r="Y103" s="7">
        <v>0</v>
      </c>
      <c r="Z103" s="9">
        <v>8409.7900000000009</v>
      </c>
    </row>
    <row r="104" spans="1:26" x14ac:dyDescent="0.35">
      <c r="A104" s="7" t="s">
        <v>27</v>
      </c>
      <c r="B104" s="7" t="s">
        <v>28</v>
      </c>
      <c r="C104" s="7" t="s">
        <v>47</v>
      </c>
      <c r="D104" s="7" t="s">
        <v>55</v>
      </c>
      <c r="E104" s="7" t="s">
        <v>38</v>
      </c>
      <c r="F104" s="7" t="s">
        <v>59</v>
      </c>
      <c r="G104" s="7">
        <v>2017</v>
      </c>
      <c r="H104" s="7" t="str">
        <f>CONCATENATE("14270363717")</f>
        <v>14270363717</v>
      </c>
      <c r="I104" s="7" t="s">
        <v>36</v>
      </c>
      <c r="J104" s="7" t="s">
        <v>31</v>
      </c>
      <c r="K104" s="7" t="str">
        <f>CONCATENATE("")</f>
        <v/>
      </c>
      <c r="L104" s="7" t="str">
        <f>CONCATENATE("8 8.5 4a")</f>
        <v>8 8.5 4a</v>
      </c>
      <c r="M104" s="7" t="str">
        <f>CONCATENATE("02419450420")</f>
        <v>02419450420</v>
      </c>
      <c r="N104" s="7" t="s">
        <v>180</v>
      </c>
      <c r="O104" s="7" t="s">
        <v>181</v>
      </c>
      <c r="P104" s="8">
        <v>44659</v>
      </c>
      <c r="Q104" s="7" t="s">
        <v>32</v>
      </c>
      <c r="R104" s="7" t="s">
        <v>33</v>
      </c>
      <c r="S104" s="7" t="s">
        <v>34</v>
      </c>
      <c r="T104" s="7"/>
      <c r="U104" s="7" t="s">
        <v>35</v>
      </c>
      <c r="V104" s="9">
        <v>114459.04</v>
      </c>
      <c r="W104" s="9">
        <v>49354.74</v>
      </c>
      <c r="X104" s="9">
        <v>45577.59</v>
      </c>
      <c r="Y104" s="7">
        <v>0</v>
      </c>
      <c r="Z104" s="9">
        <v>19526.71</v>
      </c>
    </row>
    <row r="105" spans="1:26" x14ac:dyDescent="0.35">
      <c r="A105" s="7" t="s">
        <v>27</v>
      </c>
      <c r="B105" s="7" t="s">
        <v>28</v>
      </c>
      <c r="C105" s="7" t="s">
        <v>47</v>
      </c>
      <c r="D105" s="7" t="s">
        <v>47</v>
      </c>
      <c r="E105" s="7" t="s">
        <v>29</v>
      </c>
      <c r="F105" s="7" t="s">
        <v>29</v>
      </c>
      <c r="G105" s="7">
        <v>2017</v>
      </c>
      <c r="H105" s="7" t="str">
        <f>CONCATENATE("24270070196")</f>
        <v>24270070196</v>
      </c>
      <c r="I105" s="7" t="s">
        <v>36</v>
      </c>
      <c r="J105" s="7" t="s">
        <v>31</v>
      </c>
      <c r="K105" s="7" t="str">
        <f>CONCATENATE("")</f>
        <v/>
      </c>
      <c r="L105" s="7" t="str">
        <f>CONCATENATE("19 19.2 6b")</f>
        <v>19 19.2 6b</v>
      </c>
      <c r="M105" s="7" t="str">
        <f>CONCATENATE("80001030446")</f>
        <v>80001030446</v>
      </c>
      <c r="N105" s="7" t="s">
        <v>182</v>
      </c>
      <c r="O105" s="7" t="s">
        <v>183</v>
      </c>
      <c r="P105" s="8">
        <v>44698</v>
      </c>
      <c r="Q105" s="7" t="s">
        <v>32</v>
      </c>
      <c r="R105" s="7" t="s">
        <v>37</v>
      </c>
      <c r="S105" s="7" t="s">
        <v>34</v>
      </c>
      <c r="T105" s="7"/>
      <c r="U105" s="7" t="s">
        <v>35</v>
      </c>
      <c r="V105" s="9">
        <v>58358.23</v>
      </c>
      <c r="W105" s="9">
        <v>25164.07</v>
      </c>
      <c r="X105" s="9">
        <v>23238.25</v>
      </c>
      <c r="Y105" s="7">
        <v>0</v>
      </c>
      <c r="Z105" s="9">
        <v>9955.91</v>
      </c>
    </row>
    <row r="106" spans="1:26" x14ac:dyDescent="0.35">
      <c r="A106" s="7" t="s">
        <v>27</v>
      </c>
      <c r="B106" s="7" t="s">
        <v>28</v>
      </c>
      <c r="C106" s="7" t="s">
        <v>47</v>
      </c>
      <c r="D106" s="7" t="s">
        <v>52</v>
      </c>
      <c r="E106" s="7" t="s">
        <v>29</v>
      </c>
      <c r="F106" s="7" t="s">
        <v>29</v>
      </c>
      <c r="G106" s="7">
        <v>2017</v>
      </c>
      <c r="H106" s="7" t="str">
        <f>CONCATENATE("14270364202")</f>
        <v>14270364202</v>
      </c>
      <c r="I106" s="7" t="s">
        <v>36</v>
      </c>
      <c r="J106" s="7" t="s">
        <v>31</v>
      </c>
      <c r="K106" s="7" t="str">
        <f>CONCATENATE("")</f>
        <v/>
      </c>
      <c r="L106" s="7" t="str">
        <f>CONCATENATE("4 4.1 2a")</f>
        <v>4 4.1 2a</v>
      </c>
      <c r="M106" s="7" t="str">
        <f>CONCATENATE("CNSVLR85P09E388C")</f>
        <v>CNSVLR85P09E388C</v>
      </c>
      <c r="N106" s="7" t="s">
        <v>53</v>
      </c>
      <c r="O106" s="7" t="s">
        <v>184</v>
      </c>
      <c r="P106" s="8">
        <v>44699</v>
      </c>
      <c r="Q106" s="7" t="s">
        <v>32</v>
      </c>
      <c r="R106" s="7" t="s">
        <v>33</v>
      </c>
      <c r="S106" s="7" t="s">
        <v>34</v>
      </c>
      <c r="T106" s="7"/>
      <c r="U106" s="7" t="s">
        <v>35</v>
      </c>
      <c r="V106" s="9">
        <v>176372.31</v>
      </c>
      <c r="W106" s="9">
        <v>76051.740000000005</v>
      </c>
      <c r="X106" s="9">
        <v>70231.45</v>
      </c>
      <c r="Y106" s="7">
        <v>0</v>
      </c>
      <c r="Z106" s="9">
        <v>30089.119999999999</v>
      </c>
    </row>
    <row r="107" spans="1:26" x14ac:dyDescent="0.35">
      <c r="A107" s="7" t="s">
        <v>27</v>
      </c>
      <c r="B107" s="7" t="s">
        <v>28</v>
      </c>
      <c r="C107" s="7" t="s">
        <v>47</v>
      </c>
      <c r="D107" s="7" t="s">
        <v>74</v>
      </c>
      <c r="E107" s="7" t="s">
        <v>42</v>
      </c>
      <c r="F107" s="7" t="s">
        <v>185</v>
      </c>
      <c r="G107" s="7">
        <v>2017</v>
      </c>
      <c r="H107" s="7" t="str">
        <f>CONCATENATE("14270363980")</f>
        <v>14270363980</v>
      </c>
      <c r="I107" s="7" t="s">
        <v>36</v>
      </c>
      <c r="J107" s="7" t="s">
        <v>31</v>
      </c>
      <c r="K107" s="7" t="str">
        <f>CONCATENATE("")</f>
        <v/>
      </c>
      <c r="L107" s="7" t="str">
        <f>CONCATENATE("4 4.1 2a")</f>
        <v>4 4.1 2a</v>
      </c>
      <c r="M107" s="7" t="str">
        <f>CONCATENATE("01472210440")</f>
        <v>01472210440</v>
      </c>
      <c r="N107" s="7" t="s">
        <v>186</v>
      </c>
      <c r="O107" s="7" t="s">
        <v>187</v>
      </c>
      <c r="P107" s="8">
        <v>44684</v>
      </c>
      <c r="Q107" s="7" t="s">
        <v>32</v>
      </c>
      <c r="R107" s="7" t="s">
        <v>33</v>
      </c>
      <c r="S107" s="7" t="s">
        <v>34</v>
      </c>
      <c r="T107" s="7"/>
      <c r="U107" s="7" t="s">
        <v>35</v>
      </c>
      <c r="V107" s="9">
        <v>8518.7999999999993</v>
      </c>
      <c r="W107" s="9">
        <v>3673.31</v>
      </c>
      <c r="X107" s="9">
        <v>3392.19</v>
      </c>
      <c r="Y107" s="7">
        <v>0</v>
      </c>
      <c r="Z107" s="9">
        <v>1453.3</v>
      </c>
    </row>
    <row r="108" spans="1:26" x14ac:dyDescent="0.35">
      <c r="A108" s="7" t="s">
        <v>27</v>
      </c>
      <c r="B108" s="7" t="s">
        <v>28</v>
      </c>
      <c r="C108" s="7" t="s">
        <v>47</v>
      </c>
      <c r="D108" s="7" t="s">
        <v>52</v>
      </c>
      <c r="E108" s="7" t="s">
        <v>42</v>
      </c>
      <c r="F108" s="7" t="s">
        <v>188</v>
      </c>
      <c r="G108" s="7">
        <v>2017</v>
      </c>
      <c r="H108" s="7" t="str">
        <f>CONCATENATE("24270056864")</f>
        <v>24270056864</v>
      </c>
      <c r="I108" s="7" t="s">
        <v>36</v>
      </c>
      <c r="J108" s="7" t="s">
        <v>31</v>
      </c>
      <c r="K108" s="7" t="str">
        <f>CONCATENATE("")</f>
        <v/>
      </c>
      <c r="L108" s="7" t="str">
        <f>CONCATENATE("4 4.1 2a")</f>
        <v>4 4.1 2a</v>
      </c>
      <c r="M108" s="7" t="str">
        <f>CONCATENATE("01073140426")</f>
        <v>01073140426</v>
      </c>
      <c r="N108" s="7" t="s">
        <v>189</v>
      </c>
      <c r="O108" s="7" t="s">
        <v>187</v>
      </c>
      <c r="P108" s="8">
        <v>44684</v>
      </c>
      <c r="Q108" s="7" t="s">
        <v>32</v>
      </c>
      <c r="R108" s="7" t="s">
        <v>33</v>
      </c>
      <c r="S108" s="7" t="s">
        <v>34</v>
      </c>
      <c r="T108" s="7"/>
      <c r="U108" s="7" t="s">
        <v>35</v>
      </c>
      <c r="V108" s="9">
        <v>28096.5</v>
      </c>
      <c r="W108" s="9">
        <v>12115.21</v>
      </c>
      <c r="X108" s="9">
        <v>11188.03</v>
      </c>
      <c r="Y108" s="7">
        <v>0</v>
      </c>
      <c r="Z108" s="9">
        <v>4793.26</v>
      </c>
    </row>
    <row r="109" spans="1:26" x14ac:dyDescent="0.35">
      <c r="A109" s="7" t="s">
        <v>27</v>
      </c>
      <c r="B109" s="7" t="s">
        <v>28</v>
      </c>
      <c r="C109" s="7" t="s">
        <v>47</v>
      </c>
      <c r="D109" s="7" t="s">
        <v>74</v>
      </c>
      <c r="E109" s="7" t="s">
        <v>38</v>
      </c>
      <c r="F109" s="7" t="s">
        <v>190</v>
      </c>
      <c r="G109" s="7">
        <v>2017</v>
      </c>
      <c r="H109" s="7" t="str">
        <f>CONCATENATE("24270056898")</f>
        <v>24270056898</v>
      </c>
      <c r="I109" s="7" t="s">
        <v>36</v>
      </c>
      <c r="J109" s="7" t="s">
        <v>31</v>
      </c>
      <c r="K109" s="7" t="str">
        <f>CONCATENATE("")</f>
        <v/>
      </c>
      <c r="L109" s="7" t="str">
        <f>CONCATENATE("4 4.1 2a")</f>
        <v>4 4.1 2a</v>
      </c>
      <c r="M109" s="7" t="str">
        <f>CONCATENATE("STCRSN62A46F501D")</f>
        <v>STCRSN62A46F501D</v>
      </c>
      <c r="N109" s="7" t="s">
        <v>191</v>
      </c>
      <c r="O109" s="7" t="s">
        <v>187</v>
      </c>
      <c r="P109" s="8">
        <v>44684</v>
      </c>
      <c r="Q109" s="7" t="s">
        <v>32</v>
      </c>
      <c r="R109" s="7" t="s">
        <v>33</v>
      </c>
      <c r="S109" s="7" t="s">
        <v>34</v>
      </c>
      <c r="T109" s="7"/>
      <c r="U109" s="7" t="s">
        <v>35</v>
      </c>
      <c r="V109" s="9">
        <v>32116</v>
      </c>
      <c r="W109" s="9">
        <v>13848.42</v>
      </c>
      <c r="X109" s="9">
        <v>12788.59</v>
      </c>
      <c r="Y109" s="7">
        <v>0</v>
      </c>
      <c r="Z109" s="9">
        <v>5478.99</v>
      </c>
    </row>
    <row r="110" spans="1:26" x14ac:dyDescent="0.35">
      <c r="A110" s="7" t="s">
        <v>27</v>
      </c>
      <c r="B110" s="7" t="s">
        <v>28</v>
      </c>
      <c r="C110" s="7" t="s">
        <v>47</v>
      </c>
      <c r="D110" s="7" t="s">
        <v>52</v>
      </c>
      <c r="E110" s="7" t="s">
        <v>29</v>
      </c>
      <c r="F110" s="7" t="s">
        <v>29</v>
      </c>
      <c r="G110" s="7">
        <v>2017</v>
      </c>
      <c r="H110" s="7" t="str">
        <f>CONCATENATE("14270364269")</f>
        <v>14270364269</v>
      </c>
      <c r="I110" s="7" t="s">
        <v>36</v>
      </c>
      <c r="J110" s="7" t="s">
        <v>31</v>
      </c>
      <c r="K110" s="7" t="str">
        <f>CONCATENATE("")</f>
        <v/>
      </c>
      <c r="L110" s="7" t="str">
        <f>CONCATENATE("1 1.2 2a")</f>
        <v>1 1.2 2a</v>
      </c>
      <c r="M110" s="7" t="str">
        <f>CONCATENATE("01461530436")</f>
        <v>01461530436</v>
      </c>
      <c r="N110" s="7" t="s">
        <v>192</v>
      </c>
      <c r="O110" s="7" t="s">
        <v>193</v>
      </c>
      <c r="P110" s="8">
        <v>44699</v>
      </c>
      <c r="Q110" s="7" t="s">
        <v>32</v>
      </c>
      <c r="R110" s="7" t="s">
        <v>33</v>
      </c>
      <c r="S110" s="7" t="s">
        <v>34</v>
      </c>
      <c r="T110" s="7"/>
      <c r="U110" s="7" t="s">
        <v>35</v>
      </c>
      <c r="V110" s="9">
        <v>22266.91</v>
      </c>
      <c r="W110" s="9">
        <v>9601.49</v>
      </c>
      <c r="X110" s="9">
        <v>8866.68</v>
      </c>
      <c r="Y110" s="7">
        <v>0</v>
      </c>
      <c r="Z110" s="9">
        <v>3798.74</v>
      </c>
    </row>
    <row r="111" spans="1:26" x14ac:dyDescent="0.35">
      <c r="A111" s="7" t="s">
        <v>27</v>
      </c>
      <c r="B111" s="7" t="s">
        <v>28</v>
      </c>
      <c r="C111" s="7" t="s">
        <v>47</v>
      </c>
      <c r="D111" s="7" t="s">
        <v>47</v>
      </c>
      <c r="E111" s="7" t="s">
        <v>42</v>
      </c>
      <c r="F111" s="7" t="s">
        <v>63</v>
      </c>
      <c r="G111" s="7">
        <v>2017</v>
      </c>
      <c r="H111" s="7" t="str">
        <f>CONCATENATE("14270364145")</f>
        <v>14270364145</v>
      </c>
      <c r="I111" s="7" t="s">
        <v>36</v>
      </c>
      <c r="J111" s="7" t="s">
        <v>31</v>
      </c>
      <c r="K111" s="7" t="str">
        <f>CONCATENATE("")</f>
        <v/>
      </c>
      <c r="L111" s="7" t="str">
        <f>CONCATENATE("19 19.2 6b")</f>
        <v>19 19.2 6b</v>
      </c>
      <c r="M111" s="7" t="str">
        <f>CONCATENATE("CRDFRC84P23I156D")</f>
        <v>CRDFRC84P23I156D</v>
      </c>
      <c r="N111" s="7" t="s">
        <v>194</v>
      </c>
      <c r="O111" s="7" t="s">
        <v>195</v>
      </c>
      <c r="P111" s="8">
        <v>44699</v>
      </c>
      <c r="Q111" s="7" t="s">
        <v>32</v>
      </c>
      <c r="R111" s="7" t="s">
        <v>33</v>
      </c>
      <c r="S111" s="7" t="s">
        <v>34</v>
      </c>
      <c r="T111" s="7"/>
      <c r="U111" s="7" t="s">
        <v>35</v>
      </c>
      <c r="V111" s="9">
        <v>38702.699999999997</v>
      </c>
      <c r="W111" s="9">
        <v>16688.599999999999</v>
      </c>
      <c r="X111" s="9">
        <v>15411.42</v>
      </c>
      <c r="Y111" s="7">
        <v>0</v>
      </c>
      <c r="Z111" s="9">
        <v>6602.68</v>
      </c>
    </row>
    <row r="112" spans="1:26" x14ac:dyDescent="0.35">
      <c r="A112" s="7" t="s">
        <v>27</v>
      </c>
      <c r="B112" s="7" t="s">
        <v>41</v>
      </c>
      <c r="C112" s="7" t="s">
        <v>47</v>
      </c>
      <c r="D112" s="7" t="s">
        <v>55</v>
      </c>
      <c r="E112" s="7" t="s">
        <v>42</v>
      </c>
      <c r="F112" s="7" t="s">
        <v>196</v>
      </c>
      <c r="G112" s="7">
        <v>2021</v>
      </c>
      <c r="H112" s="7" t="str">
        <f>CONCATENATE("14210050218")</f>
        <v>14210050218</v>
      </c>
      <c r="I112" s="7" t="s">
        <v>36</v>
      </c>
      <c r="J112" s="7" t="s">
        <v>31</v>
      </c>
      <c r="K112" s="7" t="str">
        <f>CONCATENATE("")</f>
        <v/>
      </c>
      <c r="L112" s="7" t="str">
        <f>CONCATENATE("13 13.1 4a")</f>
        <v>13 13.1 4a</v>
      </c>
      <c r="M112" s="7" t="str">
        <f>CONCATENATE("SLVSLL71H56D488E")</f>
        <v>SLVSLL71H56D488E</v>
      </c>
      <c r="N112" s="7" t="s">
        <v>197</v>
      </c>
      <c r="O112" s="7" t="s">
        <v>198</v>
      </c>
      <c r="P112" s="8">
        <v>44684</v>
      </c>
      <c r="Q112" s="7" t="s">
        <v>32</v>
      </c>
      <c r="R112" s="7" t="s">
        <v>33</v>
      </c>
      <c r="S112" s="7" t="s">
        <v>34</v>
      </c>
      <c r="T112" s="7"/>
      <c r="U112" s="7" t="s">
        <v>35</v>
      </c>
      <c r="V112" s="9">
        <v>3321.54</v>
      </c>
      <c r="W112" s="9">
        <v>1432.25</v>
      </c>
      <c r="X112" s="9">
        <v>1322.64</v>
      </c>
      <c r="Y112" s="7">
        <v>0</v>
      </c>
      <c r="Z112" s="7">
        <v>566.65</v>
      </c>
    </row>
    <row r="113" spans="1:26" x14ac:dyDescent="0.35">
      <c r="A113" s="7" t="s">
        <v>27</v>
      </c>
      <c r="B113" s="7" t="s">
        <v>28</v>
      </c>
      <c r="C113" s="7" t="s">
        <v>47</v>
      </c>
      <c r="D113" s="7" t="s">
        <v>52</v>
      </c>
      <c r="E113" s="7" t="s">
        <v>45</v>
      </c>
      <c r="F113" s="7" t="s">
        <v>199</v>
      </c>
      <c r="G113" s="7">
        <v>2017</v>
      </c>
      <c r="H113" s="7" t="str">
        <f>CONCATENATE("14270364137")</f>
        <v>14270364137</v>
      </c>
      <c r="I113" s="7" t="s">
        <v>36</v>
      </c>
      <c r="J113" s="7" t="s">
        <v>31</v>
      </c>
      <c r="K113" s="7" t="str">
        <f>CONCATENATE("")</f>
        <v/>
      </c>
      <c r="L113" s="7" t="str">
        <f>CONCATENATE("3 3.2 3a")</f>
        <v>3 3.2 3a</v>
      </c>
      <c r="M113" s="7" t="str">
        <f>CONCATENATE("01584420424")</f>
        <v>01584420424</v>
      </c>
      <c r="N113" s="7" t="s">
        <v>200</v>
      </c>
      <c r="O113" s="7" t="s">
        <v>201</v>
      </c>
      <c r="P113" s="8">
        <v>44699</v>
      </c>
      <c r="Q113" s="7" t="s">
        <v>32</v>
      </c>
      <c r="R113" s="7" t="s">
        <v>40</v>
      </c>
      <c r="S113" s="7" t="s">
        <v>34</v>
      </c>
      <c r="T113" s="7"/>
      <c r="U113" s="7" t="s">
        <v>35</v>
      </c>
      <c r="V113" s="9">
        <v>678407.16</v>
      </c>
      <c r="W113" s="9">
        <v>292529.17</v>
      </c>
      <c r="X113" s="9">
        <v>270141.73</v>
      </c>
      <c r="Y113" s="7">
        <v>0</v>
      </c>
      <c r="Z113" s="9">
        <v>115736.26</v>
      </c>
    </row>
    <row r="114" spans="1:26" x14ac:dyDescent="0.35">
      <c r="A114" s="7" t="s">
        <v>27</v>
      </c>
      <c r="B114" s="7" t="s">
        <v>28</v>
      </c>
      <c r="C114" s="7" t="s">
        <v>47</v>
      </c>
      <c r="D114" s="7" t="s">
        <v>52</v>
      </c>
      <c r="E114" s="7" t="s">
        <v>42</v>
      </c>
      <c r="F114" s="7" t="s">
        <v>188</v>
      </c>
      <c r="G114" s="7">
        <v>2017</v>
      </c>
      <c r="H114" s="7" t="str">
        <f>CONCATENATE("14270364244")</f>
        <v>14270364244</v>
      </c>
      <c r="I114" s="7" t="s">
        <v>36</v>
      </c>
      <c r="J114" s="7" t="s">
        <v>31</v>
      </c>
      <c r="K114" s="7" t="str">
        <f>CONCATENATE("")</f>
        <v/>
      </c>
      <c r="L114" s="7" t="str">
        <f>CONCATENATE("1 1.2 2a")</f>
        <v>1 1.2 2a</v>
      </c>
      <c r="M114" s="7" t="str">
        <f>CONCATENATE("80000850422")</f>
        <v>80000850422</v>
      </c>
      <c r="N114" s="7" t="s">
        <v>202</v>
      </c>
      <c r="O114" s="7" t="s">
        <v>203</v>
      </c>
      <c r="P114" s="8">
        <v>44699</v>
      </c>
      <c r="Q114" s="7" t="s">
        <v>32</v>
      </c>
      <c r="R114" s="7" t="s">
        <v>33</v>
      </c>
      <c r="S114" s="7" t="s">
        <v>34</v>
      </c>
      <c r="T114" s="7"/>
      <c r="U114" s="7" t="s">
        <v>35</v>
      </c>
      <c r="V114" s="9">
        <v>47111.44</v>
      </c>
      <c r="W114" s="9">
        <v>20314.45</v>
      </c>
      <c r="X114" s="9">
        <v>18759.78</v>
      </c>
      <c r="Y114" s="7">
        <v>0</v>
      </c>
      <c r="Z114" s="9">
        <v>8037.21</v>
      </c>
    </row>
    <row r="115" spans="1:26" x14ac:dyDescent="0.35">
      <c r="A115" s="7" t="s">
        <v>27</v>
      </c>
      <c r="B115" s="7" t="s">
        <v>28</v>
      </c>
      <c r="C115" s="7" t="s">
        <v>47</v>
      </c>
      <c r="D115" s="7" t="s">
        <v>52</v>
      </c>
      <c r="E115" s="7" t="s">
        <v>42</v>
      </c>
      <c r="F115" s="7" t="s">
        <v>188</v>
      </c>
      <c r="G115" s="7">
        <v>2017</v>
      </c>
      <c r="H115" s="7" t="str">
        <f>CONCATENATE("14270364236")</f>
        <v>14270364236</v>
      </c>
      <c r="I115" s="7" t="s">
        <v>36</v>
      </c>
      <c r="J115" s="7" t="s">
        <v>31</v>
      </c>
      <c r="K115" s="7" t="str">
        <f>CONCATENATE("")</f>
        <v/>
      </c>
      <c r="L115" s="7" t="str">
        <f>CONCATENATE("1 1.2 2a")</f>
        <v>1 1.2 2a</v>
      </c>
      <c r="M115" s="7" t="str">
        <f>CONCATENATE("80000890428")</f>
        <v>80000890428</v>
      </c>
      <c r="N115" s="7" t="s">
        <v>204</v>
      </c>
      <c r="O115" s="7" t="s">
        <v>203</v>
      </c>
      <c r="P115" s="8">
        <v>44699</v>
      </c>
      <c r="Q115" s="7" t="s">
        <v>32</v>
      </c>
      <c r="R115" s="7" t="s">
        <v>33</v>
      </c>
      <c r="S115" s="7" t="s">
        <v>34</v>
      </c>
      <c r="T115" s="7"/>
      <c r="U115" s="7" t="s">
        <v>35</v>
      </c>
      <c r="V115" s="9">
        <v>50058.09</v>
      </c>
      <c r="W115" s="9">
        <v>21585.05</v>
      </c>
      <c r="X115" s="9">
        <v>19933.13</v>
      </c>
      <c r="Y115" s="7">
        <v>0</v>
      </c>
      <c r="Z115" s="9">
        <v>8539.91</v>
      </c>
    </row>
    <row r="116" spans="1:26" x14ac:dyDescent="0.35">
      <c r="A116" s="7" t="s">
        <v>27</v>
      </c>
      <c r="B116" s="7" t="s">
        <v>28</v>
      </c>
      <c r="C116" s="7" t="s">
        <v>47</v>
      </c>
      <c r="D116" s="7" t="s">
        <v>52</v>
      </c>
      <c r="E116" s="7" t="s">
        <v>42</v>
      </c>
      <c r="F116" s="7" t="s">
        <v>188</v>
      </c>
      <c r="G116" s="7">
        <v>2017</v>
      </c>
      <c r="H116" s="7" t="str">
        <f>CONCATENATE("14270364228")</f>
        <v>14270364228</v>
      </c>
      <c r="I116" s="7" t="s">
        <v>36</v>
      </c>
      <c r="J116" s="7" t="s">
        <v>31</v>
      </c>
      <c r="K116" s="7" t="str">
        <f>CONCATENATE("")</f>
        <v/>
      </c>
      <c r="L116" s="7" t="str">
        <f>CONCATENATE("1 1.2 2a")</f>
        <v>1 1.2 2a</v>
      </c>
      <c r="M116" s="7" t="str">
        <f>CONCATENATE("80000890428")</f>
        <v>80000890428</v>
      </c>
      <c r="N116" s="7" t="s">
        <v>204</v>
      </c>
      <c r="O116" s="7" t="s">
        <v>203</v>
      </c>
      <c r="P116" s="8">
        <v>44699</v>
      </c>
      <c r="Q116" s="7" t="s">
        <v>32</v>
      </c>
      <c r="R116" s="7" t="s">
        <v>33</v>
      </c>
      <c r="S116" s="7" t="s">
        <v>34</v>
      </c>
      <c r="T116" s="7"/>
      <c r="U116" s="7" t="s">
        <v>35</v>
      </c>
      <c r="V116" s="9">
        <v>47757.02</v>
      </c>
      <c r="W116" s="9">
        <v>20592.830000000002</v>
      </c>
      <c r="X116" s="9">
        <v>19016.849999999999</v>
      </c>
      <c r="Y116" s="7">
        <v>0</v>
      </c>
      <c r="Z116" s="9">
        <v>8147.34</v>
      </c>
    </row>
    <row r="117" spans="1:26" x14ac:dyDescent="0.35">
      <c r="A117" s="7" t="s">
        <v>27</v>
      </c>
      <c r="B117" s="7" t="s">
        <v>28</v>
      </c>
      <c r="C117" s="7" t="s">
        <v>47</v>
      </c>
      <c r="D117" s="7" t="s">
        <v>52</v>
      </c>
      <c r="E117" s="7" t="s">
        <v>29</v>
      </c>
      <c r="F117" s="7" t="s">
        <v>29</v>
      </c>
      <c r="G117" s="7">
        <v>2017</v>
      </c>
      <c r="H117" s="7" t="str">
        <f>CONCATENATE("14270364251")</f>
        <v>14270364251</v>
      </c>
      <c r="I117" s="7" t="s">
        <v>36</v>
      </c>
      <c r="J117" s="7" t="s">
        <v>31</v>
      </c>
      <c r="K117" s="7" t="str">
        <f>CONCATENATE("")</f>
        <v/>
      </c>
      <c r="L117" s="7" t="str">
        <f>CONCATENATE("1 1.2 2a")</f>
        <v>1 1.2 2a</v>
      </c>
      <c r="M117" s="7" t="str">
        <f>CONCATENATE("02051370423")</f>
        <v>02051370423</v>
      </c>
      <c r="N117" s="7" t="s">
        <v>205</v>
      </c>
      <c r="O117" s="7" t="s">
        <v>203</v>
      </c>
      <c r="P117" s="8">
        <v>44699</v>
      </c>
      <c r="Q117" s="7" t="s">
        <v>32</v>
      </c>
      <c r="R117" s="7" t="s">
        <v>33</v>
      </c>
      <c r="S117" s="7" t="s">
        <v>34</v>
      </c>
      <c r="T117" s="7"/>
      <c r="U117" s="7" t="s">
        <v>35</v>
      </c>
      <c r="V117" s="9">
        <v>47045.19</v>
      </c>
      <c r="W117" s="9">
        <v>20285.89</v>
      </c>
      <c r="X117" s="9">
        <v>18733.39</v>
      </c>
      <c r="Y117" s="7">
        <v>0</v>
      </c>
      <c r="Z117" s="9">
        <v>8025.91</v>
      </c>
    </row>
    <row r="118" spans="1:26" x14ac:dyDescent="0.35">
      <c r="A118" s="7" t="s">
        <v>27</v>
      </c>
      <c r="B118" s="7" t="s">
        <v>28</v>
      </c>
      <c r="C118" s="7" t="s">
        <v>47</v>
      </c>
      <c r="D118" s="7" t="s">
        <v>52</v>
      </c>
      <c r="E118" s="7" t="s">
        <v>29</v>
      </c>
      <c r="F118" s="7" t="s">
        <v>29</v>
      </c>
      <c r="G118" s="7">
        <v>2017</v>
      </c>
      <c r="H118" s="7" t="str">
        <f>CONCATENATE("14270364210")</f>
        <v>14270364210</v>
      </c>
      <c r="I118" s="7" t="s">
        <v>36</v>
      </c>
      <c r="J118" s="7" t="s">
        <v>31</v>
      </c>
      <c r="K118" s="7" t="str">
        <f>CONCATENATE("")</f>
        <v/>
      </c>
      <c r="L118" s="7" t="str">
        <f>CONCATENATE("1 1.2 2a")</f>
        <v>1 1.2 2a</v>
      </c>
      <c r="M118" s="7" t="str">
        <f>CONCATENATE("02051370423")</f>
        <v>02051370423</v>
      </c>
      <c r="N118" s="7" t="s">
        <v>205</v>
      </c>
      <c r="O118" s="7" t="s">
        <v>203</v>
      </c>
      <c r="P118" s="8">
        <v>44699</v>
      </c>
      <c r="Q118" s="7" t="s">
        <v>32</v>
      </c>
      <c r="R118" s="7" t="s">
        <v>33</v>
      </c>
      <c r="S118" s="7" t="s">
        <v>34</v>
      </c>
      <c r="T118" s="7"/>
      <c r="U118" s="7" t="s">
        <v>35</v>
      </c>
      <c r="V118" s="9">
        <v>51031.73</v>
      </c>
      <c r="W118" s="9">
        <v>22004.880000000001</v>
      </c>
      <c r="X118" s="9">
        <v>20320.830000000002</v>
      </c>
      <c r="Y118" s="7">
        <v>0</v>
      </c>
      <c r="Z118" s="9">
        <v>8706.02</v>
      </c>
    </row>
    <row r="119" spans="1:26" ht="17.5" x14ac:dyDescent="0.35">
      <c r="A119" s="7" t="s">
        <v>27</v>
      </c>
      <c r="B119" s="7" t="s">
        <v>28</v>
      </c>
      <c r="C119" s="7" t="s">
        <v>47</v>
      </c>
      <c r="D119" s="7" t="s">
        <v>52</v>
      </c>
      <c r="E119" s="7" t="s">
        <v>38</v>
      </c>
      <c r="F119" s="7" t="s">
        <v>59</v>
      </c>
      <c r="G119" s="7">
        <v>2017</v>
      </c>
      <c r="H119" s="7" t="str">
        <f>CONCATENATE("14270363972")</f>
        <v>14270363972</v>
      </c>
      <c r="I119" s="7" t="s">
        <v>30</v>
      </c>
      <c r="J119" s="7" t="s">
        <v>31</v>
      </c>
      <c r="K119" s="7" t="str">
        <f>CONCATENATE("")</f>
        <v/>
      </c>
      <c r="L119" s="7" t="str">
        <f>CONCATENATE("4 4.1 2a")</f>
        <v>4 4.1 2a</v>
      </c>
      <c r="M119" s="7" t="str">
        <f>CONCATENATE("02707530420")</f>
        <v>02707530420</v>
      </c>
      <c r="N119" s="7" t="s">
        <v>206</v>
      </c>
      <c r="O119" s="7" t="s">
        <v>187</v>
      </c>
      <c r="P119" s="8">
        <v>44684</v>
      </c>
      <c r="Q119" s="7" t="s">
        <v>32</v>
      </c>
      <c r="R119" s="7" t="s">
        <v>33</v>
      </c>
      <c r="S119" s="7" t="s">
        <v>34</v>
      </c>
      <c r="T119" s="7"/>
      <c r="U119" s="7" t="s">
        <v>35</v>
      </c>
      <c r="V119" s="9">
        <v>52987.13</v>
      </c>
      <c r="W119" s="9">
        <v>22848.05</v>
      </c>
      <c r="X119" s="9">
        <v>21099.48</v>
      </c>
      <c r="Y119" s="7">
        <v>0</v>
      </c>
      <c r="Z119" s="9">
        <v>9039.6</v>
      </c>
    </row>
    <row r="120" spans="1:26" x14ac:dyDescent="0.35">
      <c r="A120" s="7" t="s">
        <v>27</v>
      </c>
      <c r="B120" s="7" t="s">
        <v>28</v>
      </c>
      <c r="C120" s="7" t="s">
        <v>47</v>
      </c>
      <c r="D120" s="7" t="s">
        <v>52</v>
      </c>
      <c r="E120" s="7" t="s">
        <v>207</v>
      </c>
      <c r="F120" s="7" t="s">
        <v>208</v>
      </c>
      <c r="G120" s="7">
        <v>2017</v>
      </c>
      <c r="H120" s="7" t="str">
        <f>CONCATENATE("14270363956")</f>
        <v>14270363956</v>
      </c>
      <c r="I120" s="7" t="s">
        <v>36</v>
      </c>
      <c r="J120" s="7" t="s">
        <v>31</v>
      </c>
      <c r="K120" s="7" t="str">
        <f>CONCATENATE("")</f>
        <v/>
      </c>
      <c r="L120" s="7" t="str">
        <f>CONCATENATE("4 4.1 2a")</f>
        <v>4 4.1 2a</v>
      </c>
      <c r="M120" s="7" t="str">
        <f>CONCATENATE("SSSMZN62B62D211X")</f>
        <v>SSSMZN62B62D211X</v>
      </c>
      <c r="N120" s="7" t="s">
        <v>209</v>
      </c>
      <c r="O120" s="7" t="s">
        <v>187</v>
      </c>
      <c r="P120" s="8">
        <v>44684</v>
      </c>
      <c r="Q120" s="7" t="s">
        <v>32</v>
      </c>
      <c r="R120" s="7" t="s">
        <v>33</v>
      </c>
      <c r="S120" s="7" t="s">
        <v>34</v>
      </c>
      <c r="T120" s="7"/>
      <c r="U120" s="7" t="s">
        <v>35</v>
      </c>
      <c r="V120" s="9">
        <v>21131.15</v>
      </c>
      <c r="W120" s="9">
        <v>9111.75</v>
      </c>
      <c r="X120" s="9">
        <v>8414.42</v>
      </c>
      <c r="Y120" s="7">
        <v>0</v>
      </c>
      <c r="Z120" s="9">
        <v>3604.98</v>
      </c>
    </row>
    <row r="121" spans="1:26" x14ac:dyDescent="0.35">
      <c r="A121" s="7" t="s">
        <v>27</v>
      </c>
      <c r="B121" s="7" t="s">
        <v>28</v>
      </c>
      <c r="C121" s="7" t="s">
        <v>47</v>
      </c>
      <c r="D121" s="7" t="s">
        <v>47</v>
      </c>
      <c r="E121" s="7" t="s">
        <v>29</v>
      </c>
      <c r="F121" s="7" t="s">
        <v>29</v>
      </c>
      <c r="G121" s="7">
        <v>2017</v>
      </c>
      <c r="H121" s="7" t="str">
        <f>CONCATENATE("24270072069")</f>
        <v>24270072069</v>
      </c>
      <c r="I121" s="7" t="s">
        <v>36</v>
      </c>
      <c r="J121" s="7" t="s">
        <v>31</v>
      </c>
      <c r="K121" s="7" t="str">
        <f>CONCATENATE("")</f>
        <v/>
      </c>
      <c r="L121" s="7" t="str">
        <f>CONCATENATE("19 19.2 6b")</f>
        <v>19 19.2 6b</v>
      </c>
      <c r="M121" s="7" t="str">
        <f>CONCATENATE("02761370416")</f>
        <v>02761370416</v>
      </c>
      <c r="N121" s="7" t="s">
        <v>210</v>
      </c>
      <c r="O121" s="7" t="s">
        <v>211</v>
      </c>
      <c r="P121" s="8">
        <v>44699</v>
      </c>
      <c r="Q121" s="7" t="s">
        <v>32</v>
      </c>
      <c r="R121" s="7" t="s">
        <v>40</v>
      </c>
      <c r="S121" s="7" t="s">
        <v>34</v>
      </c>
      <c r="T121" s="7"/>
      <c r="U121" s="7" t="s">
        <v>35</v>
      </c>
      <c r="V121" s="9">
        <v>15000</v>
      </c>
      <c r="W121" s="9">
        <v>6468</v>
      </c>
      <c r="X121" s="9">
        <v>5973</v>
      </c>
      <c r="Y121" s="7">
        <v>0</v>
      </c>
      <c r="Z121" s="9">
        <v>2559</v>
      </c>
    </row>
    <row r="122" spans="1:26" x14ac:dyDescent="0.35">
      <c r="A122" s="7" t="s">
        <v>27</v>
      </c>
      <c r="B122" s="7" t="s">
        <v>28</v>
      </c>
      <c r="C122" s="7" t="s">
        <v>47</v>
      </c>
      <c r="D122" s="7" t="s">
        <v>47</v>
      </c>
      <c r="E122" s="7" t="s">
        <v>29</v>
      </c>
      <c r="F122" s="7" t="s">
        <v>29</v>
      </c>
      <c r="G122" s="7">
        <v>2017</v>
      </c>
      <c r="H122" s="7" t="str">
        <f>CONCATENATE("24270072051")</f>
        <v>24270072051</v>
      </c>
      <c r="I122" s="7" t="s">
        <v>36</v>
      </c>
      <c r="J122" s="7" t="s">
        <v>31</v>
      </c>
      <c r="K122" s="7" t="str">
        <f>CONCATENATE("")</f>
        <v/>
      </c>
      <c r="L122" s="7" t="str">
        <f>CONCATENATE("19 19.2 6b")</f>
        <v>19 19.2 6b</v>
      </c>
      <c r="M122" s="7" t="str">
        <f>CONCATENATE("RSSKTA73D48E785Y")</f>
        <v>RSSKTA73D48E785Y</v>
      </c>
      <c r="N122" s="7" t="s">
        <v>212</v>
      </c>
      <c r="O122" s="7" t="s">
        <v>211</v>
      </c>
      <c r="P122" s="8">
        <v>44699</v>
      </c>
      <c r="Q122" s="7" t="s">
        <v>32</v>
      </c>
      <c r="R122" s="7" t="s">
        <v>40</v>
      </c>
      <c r="S122" s="7" t="s">
        <v>34</v>
      </c>
      <c r="T122" s="7"/>
      <c r="U122" s="7" t="s">
        <v>35</v>
      </c>
      <c r="V122" s="9">
        <v>15000</v>
      </c>
      <c r="W122" s="9">
        <v>6468</v>
      </c>
      <c r="X122" s="9">
        <v>5973</v>
      </c>
      <c r="Y122" s="7">
        <v>0</v>
      </c>
      <c r="Z122" s="9">
        <v>2559</v>
      </c>
    </row>
    <row r="123" spans="1:26" x14ac:dyDescent="0.35">
      <c r="A123" s="7" t="s">
        <v>27</v>
      </c>
      <c r="B123" s="7" t="s">
        <v>41</v>
      </c>
      <c r="C123" s="7" t="s">
        <v>47</v>
      </c>
      <c r="D123" s="7" t="s">
        <v>62</v>
      </c>
      <c r="E123" s="7" t="s">
        <v>44</v>
      </c>
      <c r="F123" s="7" t="s">
        <v>79</v>
      </c>
      <c r="G123" s="7">
        <v>2021</v>
      </c>
      <c r="H123" s="7" t="str">
        <f>CONCATENATE("14240481730")</f>
        <v>14240481730</v>
      </c>
      <c r="I123" s="7" t="s">
        <v>36</v>
      </c>
      <c r="J123" s="7" t="s">
        <v>31</v>
      </c>
      <c r="K123" s="7" t="str">
        <f>CONCATENATE("")</f>
        <v/>
      </c>
      <c r="L123" s="7" t="str">
        <f>CONCATENATE("14 14.1 3a")</f>
        <v>14 14.1 3a</v>
      </c>
      <c r="M123" s="7" t="str">
        <f>CONCATENATE("CNVLCN66T09B474J")</f>
        <v>CNVLCN66T09B474J</v>
      </c>
      <c r="N123" s="7" t="s">
        <v>141</v>
      </c>
      <c r="O123" s="7" t="s">
        <v>213</v>
      </c>
      <c r="P123" s="8">
        <v>44693</v>
      </c>
      <c r="Q123" s="7" t="s">
        <v>32</v>
      </c>
      <c r="R123" s="7" t="s">
        <v>33</v>
      </c>
      <c r="S123" s="7" t="s">
        <v>34</v>
      </c>
      <c r="T123" s="7"/>
      <c r="U123" s="7" t="s">
        <v>35</v>
      </c>
      <c r="V123" s="9">
        <v>1102.23</v>
      </c>
      <c r="W123" s="7">
        <v>475.28</v>
      </c>
      <c r="X123" s="7">
        <v>438.91</v>
      </c>
      <c r="Y123" s="7">
        <v>0</v>
      </c>
      <c r="Z123" s="7">
        <v>188.04</v>
      </c>
    </row>
    <row r="124" spans="1:26" x14ac:dyDescent="0.35">
      <c r="A124" s="7" t="s">
        <v>27</v>
      </c>
      <c r="B124" s="7" t="s">
        <v>41</v>
      </c>
      <c r="C124" s="7" t="s">
        <v>47</v>
      </c>
      <c r="D124" s="7" t="s">
        <v>62</v>
      </c>
      <c r="E124" s="7" t="s">
        <v>42</v>
      </c>
      <c r="F124" s="7" t="s">
        <v>63</v>
      </c>
      <c r="G124" s="7">
        <v>2021</v>
      </c>
      <c r="H124" s="7" t="str">
        <f>CONCATENATE("14241233908")</f>
        <v>14241233908</v>
      </c>
      <c r="I124" s="7" t="s">
        <v>36</v>
      </c>
      <c r="J124" s="7" t="s">
        <v>31</v>
      </c>
      <c r="K124" s="7" t="str">
        <f>CONCATENATE("")</f>
        <v/>
      </c>
      <c r="L124" s="7" t="str">
        <f>CONCATENATE("14 14.1 3a")</f>
        <v>14 14.1 3a</v>
      </c>
      <c r="M124" s="7" t="str">
        <f>CONCATENATE("FCCLVC66M27F460S")</f>
        <v>FCCLVC66M27F460S</v>
      </c>
      <c r="N124" s="7" t="s">
        <v>114</v>
      </c>
      <c r="O124" s="7" t="s">
        <v>213</v>
      </c>
      <c r="P124" s="8">
        <v>44693</v>
      </c>
      <c r="Q124" s="7" t="s">
        <v>32</v>
      </c>
      <c r="R124" s="7" t="s">
        <v>33</v>
      </c>
      <c r="S124" s="7" t="s">
        <v>34</v>
      </c>
      <c r="T124" s="7"/>
      <c r="U124" s="7" t="s">
        <v>35</v>
      </c>
      <c r="V124" s="9">
        <v>1635.19</v>
      </c>
      <c r="W124" s="7">
        <v>705.09</v>
      </c>
      <c r="X124" s="7">
        <v>651.13</v>
      </c>
      <c r="Y124" s="7">
        <v>0</v>
      </c>
      <c r="Z124" s="7">
        <v>278.97000000000003</v>
      </c>
    </row>
    <row r="125" spans="1:26" x14ac:dyDescent="0.35">
      <c r="A125" s="7" t="s">
        <v>27</v>
      </c>
      <c r="B125" s="7" t="s">
        <v>41</v>
      </c>
      <c r="C125" s="7" t="s">
        <v>47</v>
      </c>
      <c r="D125" s="7" t="s">
        <v>62</v>
      </c>
      <c r="E125" s="7" t="s">
        <v>42</v>
      </c>
      <c r="F125" s="7" t="s">
        <v>63</v>
      </c>
      <c r="G125" s="7">
        <v>2021</v>
      </c>
      <c r="H125" s="7" t="str">
        <f>CONCATENATE("14240414889")</f>
        <v>14240414889</v>
      </c>
      <c r="I125" s="7" t="s">
        <v>36</v>
      </c>
      <c r="J125" s="7" t="s">
        <v>31</v>
      </c>
      <c r="K125" s="7" t="str">
        <f>CONCATENATE("")</f>
        <v/>
      </c>
      <c r="L125" s="7" t="str">
        <f>CONCATENATE("14 14.1 3a")</f>
        <v>14 14.1 3a</v>
      </c>
      <c r="M125" s="7" t="str">
        <f>CONCATENATE("00608910436")</f>
        <v>00608910436</v>
      </c>
      <c r="N125" s="7" t="s">
        <v>140</v>
      </c>
      <c r="O125" s="7" t="s">
        <v>213</v>
      </c>
      <c r="P125" s="8">
        <v>44693</v>
      </c>
      <c r="Q125" s="7" t="s">
        <v>32</v>
      </c>
      <c r="R125" s="7" t="s">
        <v>33</v>
      </c>
      <c r="S125" s="7" t="s">
        <v>34</v>
      </c>
      <c r="T125" s="7"/>
      <c r="U125" s="7" t="s">
        <v>35</v>
      </c>
      <c r="V125" s="9">
        <v>2596.86</v>
      </c>
      <c r="W125" s="9">
        <v>1119.77</v>
      </c>
      <c r="X125" s="9">
        <v>1034.07</v>
      </c>
      <c r="Y125" s="7">
        <v>0</v>
      </c>
      <c r="Z125" s="7">
        <v>443.02</v>
      </c>
    </row>
    <row r="126" spans="1:26" x14ac:dyDescent="0.35">
      <c r="A126" s="7" t="s">
        <v>27</v>
      </c>
      <c r="B126" s="7" t="s">
        <v>41</v>
      </c>
      <c r="C126" s="7" t="s">
        <v>47</v>
      </c>
      <c r="D126" s="7" t="s">
        <v>62</v>
      </c>
      <c r="E126" s="7" t="s">
        <v>44</v>
      </c>
      <c r="F126" s="7" t="s">
        <v>67</v>
      </c>
      <c r="G126" s="7">
        <v>2021</v>
      </c>
      <c r="H126" s="7" t="str">
        <f>CONCATENATE("14241376673")</f>
        <v>14241376673</v>
      </c>
      <c r="I126" s="7" t="s">
        <v>36</v>
      </c>
      <c r="J126" s="7" t="s">
        <v>31</v>
      </c>
      <c r="K126" s="7" t="str">
        <f>CONCATENATE("")</f>
        <v/>
      </c>
      <c r="L126" s="7" t="str">
        <f>CONCATENATE("14 14.1 3a")</f>
        <v>14 14.1 3a</v>
      </c>
      <c r="M126" s="7" t="str">
        <f>CONCATENATE("01626490435")</f>
        <v>01626490435</v>
      </c>
      <c r="N126" s="7" t="s">
        <v>100</v>
      </c>
      <c r="O126" s="7" t="s">
        <v>213</v>
      </c>
      <c r="P126" s="8">
        <v>44693</v>
      </c>
      <c r="Q126" s="7" t="s">
        <v>32</v>
      </c>
      <c r="R126" s="7" t="s">
        <v>33</v>
      </c>
      <c r="S126" s="7" t="s">
        <v>34</v>
      </c>
      <c r="T126" s="7"/>
      <c r="U126" s="7" t="s">
        <v>35</v>
      </c>
      <c r="V126" s="7">
        <v>810</v>
      </c>
      <c r="W126" s="7">
        <v>349.27</v>
      </c>
      <c r="X126" s="7">
        <v>322.54000000000002</v>
      </c>
      <c r="Y126" s="7">
        <v>0</v>
      </c>
      <c r="Z126" s="7">
        <v>138.19</v>
      </c>
    </row>
    <row r="127" spans="1:26" x14ac:dyDescent="0.35">
      <c r="A127" s="7" t="s">
        <v>27</v>
      </c>
      <c r="B127" s="7" t="s">
        <v>28</v>
      </c>
      <c r="C127" s="7" t="s">
        <v>47</v>
      </c>
      <c r="D127" s="7" t="s">
        <v>74</v>
      </c>
      <c r="E127" s="7" t="s">
        <v>45</v>
      </c>
      <c r="F127" s="7" t="s">
        <v>199</v>
      </c>
      <c r="G127" s="7">
        <v>2017</v>
      </c>
      <c r="H127" s="7" t="str">
        <f>CONCATENATE("14270357909")</f>
        <v>14270357909</v>
      </c>
      <c r="I127" s="7" t="s">
        <v>36</v>
      </c>
      <c r="J127" s="7" t="s">
        <v>31</v>
      </c>
      <c r="K127" s="7" t="str">
        <f>CONCATENATE("")</f>
        <v/>
      </c>
      <c r="L127" s="7" t="str">
        <f>CONCATENATE("4 4.1 2a")</f>
        <v>4 4.1 2a</v>
      </c>
      <c r="M127" s="7" t="str">
        <f>CONCATENATE("PNTFRC83B61A462P")</f>
        <v>PNTFRC83B61A462P</v>
      </c>
      <c r="N127" s="7" t="s">
        <v>214</v>
      </c>
      <c r="O127" s="7" t="s">
        <v>215</v>
      </c>
      <c r="P127" s="8">
        <v>44699</v>
      </c>
      <c r="Q127" s="7" t="s">
        <v>32</v>
      </c>
      <c r="R127" s="7" t="s">
        <v>33</v>
      </c>
      <c r="S127" s="7" t="s">
        <v>34</v>
      </c>
      <c r="T127" s="7"/>
      <c r="U127" s="7" t="s">
        <v>35</v>
      </c>
      <c r="V127" s="9">
        <v>20702.75</v>
      </c>
      <c r="W127" s="9">
        <v>8927.0300000000007</v>
      </c>
      <c r="X127" s="9">
        <v>8243.84</v>
      </c>
      <c r="Y127" s="7">
        <v>0</v>
      </c>
      <c r="Z127" s="9">
        <v>3531.88</v>
      </c>
    </row>
    <row r="128" spans="1:26" x14ac:dyDescent="0.35">
      <c r="A128" s="7" t="s">
        <v>27</v>
      </c>
      <c r="B128" s="7" t="s">
        <v>41</v>
      </c>
      <c r="C128" s="7" t="s">
        <v>47</v>
      </c>
      <c r="D128" s="7" t="s">
        <v>62</v>
      </c>
      <c r="E128" s="7" t="s">
        <v>42</v>
      </c>
      <c r="F128" s="7" t="s">
        <v>63</v>
      </c>
      <c r="G128" s="7">
        <v>2021</v>
      </c>
      <c r="H128" s="7" t="str">
        <f>CONCATENATE("14240408113")</f>
        <v>14240408113</v>
      </c>
      <c r="I128" s="7" t="s">
        <v>36</v>
      </c>
      <c r="J128" s="7" t="s">
        <v>31</v>
      </c>
      <c r="K128" s="7" t="str">
        <f>CONCATENATE("")</f>
        <v/>
      </c>
      <c r="L128" s="7" t="str">
        <f>CONCATENATE("14 14.1 3a")</f>
        <v>14 14.1 3a</v>
      </c>
      <c r="M128" s="7" t="str">
        <f>CONCATENATE("GGLRNZ60L25I661U")</f>
        <v>GGLRNZ60L25I661U</v>
      </c>
      <c r="N128" s="7" t="s">
        <v>216</v>
      </c>
      <c r="O128" s="7" t="s">
        <v>213</v>
      </c>
      <c r="P128" s="8">
        <v>44693</v>
      </c>
      <c r="Q128" s="7" t="s">
        <v>32</v>
      </c>
      <c r="R128" s="7" t="s">
        <v>33</v>
      </c>
      <c r="S128" s="7" t="s">
        <v>34</v>
      </c>
      <c r="T128" s="7"/>
      <c r="U128" s="7" t="s">
        <v>35</v>
      </c>
      <c r="V128" s="9">
        <v>1026</v>
      </c>
      <c r="W128" s="7">
        <v>442.41</v>
      </c>
      <c r="X128" s="7">
        <v>408.55</v>
      </c>
      <c r="Y128" s="7">
        <v>0</v>
      </c>
      <c r="Z128" s="7">
        <v>175.04</v>
      </c>
    </row>
  </sheetData>
  <mergeCells count="2">
    <mergeCell ref="A1:Y1"/>
    <mergeCell ref="A2:Y2"/>
  </mergeCells>
  <pageMargins left="0.75" right="0.75" top="1" bottom="1" header="0.5" footer="0.5"/>
  <pageSetup orientation="portrait" r:id="rId1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35463</vt:lpwstr>
  </property>
  <property fmtid="{D5CDD505-2E9C-101B-9397-08002B2CF9AE}" pid="4" name="OptimizationTime">
    <vt:lpwstr>20220530_1110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Ferrazzano</dc:creator>
  <cp:lastModifiedBy>Michele Ferrazzano</cp:lastModifiedBy>
  <dcterms:created xsi:type="dcterms:W3CDTF">2022-05-30T08:37:11Z</dcterms:created>
  <dcterms:modified xsi:type="dcterms:W3CDTF">2022-05-30T08:38:12Z</dcterms:modified>
</cp:coreProperties>
</file>