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25/"/>
    </mc:Choice>
  </mc:AlternateContent>
  <xr:revisionPtr revIDLastSave="0" documentId="8_{AC682D92-39FE-49A4-AD0E-13378C32170B}" xr6:coauthVersionLast="46" xr6:coauthVersionMax="46" xr10:uidLastSave="{00000000-0000-0000-0000-000000000000}"/>
  <bookViews>
    <workbookView xWindow="-110" yWindow="-110" windowWidth="19420" windowHeight="10420" xr2:uid="{3F26E9A1-FA59-40FA-BE63-D0C11784C4C9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3" i="1" l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<sst xmlns="http://schemas.openxmlformats.org/spreadsheetml/2006/main" count="3527" uniqueCount="348">
  <si>
    <t>Dettaglio Domande Pagabili Decreto 525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</si>
  <si>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</si>
  <si>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</si>
  <si>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</si>
  <si>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</si>
  <si>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</si>
  <si>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</si>
  <si>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</si>
  <si>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</si>
  <si>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</si>
  <si>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</si>
  <si>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</si>
  <si>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</si>
  <si>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</si>
  <si>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</si>
  <si>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</si>
  <si>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</si>
  <si>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</si>
  <si>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</si>
  <si>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</si>
  <si>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</si>
  <si>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</si>
  <si>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</si>
  <si>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</si>
  <si>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</si>
  <si>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</si>
  <si>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</si>
  <si>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</si>
  <si>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</si>
  <si>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</si>
  <si>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</si>
  <si>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</si>
  <si>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</si>
  <si>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</si>
  <si>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</si>
  <si>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</si>
  <si>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</si>
  <si>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Anticipo</t>
  </si>
  <si>
    <t>SAL</t>
  </si>
  <si>
    <t>CAA Confagricoltura srl</t>
  </si>
  <si>
    <t>Misure a Superficie</t>
  </si>
  <si>
    <t>CAA UNICAA srl</t>
  </si>
  <si>
    <t>CAA Coldiretti srl</t>
  </si>
  <si>
    <t>CAA AGRISERVIZI s.r.l.</t>
  </si>
  <si>
    <t>CAA-CAF AGRI S.R.L.</t>
  </si>
  <si>
    <t>SI</t>
  </si>
  <si>
    <t>CAA LiberiAgricoltori srl già CAA AGCI srl</t>
  </si>
  <si>
    <t>CAA Liberi Professionisti srl</t>
  </si>
  <si>
    <t>MARCHE</t>
  </si>
  <si>
    <t>SERV. DEC. AGRICOLTURA E ALIMENTAZIONE - PESARO</t>
  </si>
  <si>
    <t>CAA Coldiretti - PESARO E URBINO - 001</t>
  </si>
  <si>
    <t>LOMBARDI GREGORIO</t>
  </si>
  <si>
    <t>AGEA.ASR.2022.0179889</t>
  </si>
  <si>
    <t>SERV. DEC. AGRICOLTURA E ALIM. -ASCOLI PICENO</t>
  </si>
  <si>
    <t>CAA Coldiretti - ASCOLI PICENO - 035</t>
  </si>
  <si>
    <t>SOCIETA' AGRICOLA F.LLI DE LUCA SOC. SEMPLICE</t>
  </si>
  <si>
    <t>AGEA.ASR.2022.0179858</t>
  </si>
  <si>
    <t>COMUNE DI BELMONTE PICENO</t>
  </si>
  <si>
    <t>AGEA.ASR.2022.0179171</t>
  </si>
  <si>
    <t>SECCHIAROLI MARIA TERESA</t>
  </si>
  <si>
    <t>AGEA.ASR.2022.0179894</t>
  </si>
  <si>
    <t>SERV. DEC. AGRICOLTURA E ALIMENTAZIONE - ANCONA</t>
  </si>
  <si>
    <t>CAA CIA - ANCONA - 002</t>
  </si>
  <si>
    <t>AUSTRALI SOCIETA' SEMPLICE AGRICOLA DI GAGLIARDINI STEFANO E BINI MARC</t>
  </si>
  <si>
    <t>AGEA.ASR.2022.0179880</t>
  </si>
  <si>
    <t>AGEA.ASR.2022.0179874</t>
  </si>
  <si>
    <t>BARRA ANTONIA</t>
  </si>
  <si>
    <t>AGEA.ASR.2022.0141465</t>
  </si>
  <si>
    <t>AMATUCCI ERICA</t>
  </si>
  <si>
    <t>AGEA.ASR.2022.0180600</t>
  </si>
  <si>
    <t>CANNELLA DAVIDE</t>
  </si>
  <si>
    <t>CRUCIANI LUCA</t>
  </si>
  <si>
    <t>M.I.M. COMUNICAZIONE &amp; PR DI MARONI MARIA IDA E C. SNC</t>
  </si>
  <si>
    <t>TRAINI ROMINA</t>
  </si>
  <si>
    <t>SERV. DEC. AGRICOLTURA E ALIM. - MACERATA</t>
  </si>
  <si>
    <t>CAA LiberiAgricoltori - MACERATA - 002</t>
  </si>
  <si>
    <t>SOCIETA' AGRICOLA EREDI GINORETTI VENANZO S.S.</t>
  </si>
  <si>
    <t>AGEA.ASR.2022.0138535</t>
  </si>
  <si>
    <t>CAA Coldiretti - MACERATA - 007</t>
  </si>
  <si>
    <t>MAURIZI LUIGINO</t>
  </si>
  <si>
    <t>CESARI FORTUNATO</t>
  </si>
  <si>
    <t>AGEA.ASR.2022.0168704</t>
  </si>
  <si>
    <t>CAA Coldiretti - MACERATA - 010</t>
  </si>
  <si>
    <t>VIOLA DINO</t>
  </si>
  <si>
    <t>CAA Coldiretti - PESARO E URBINO - 004</t>
  </si>
  <si>
    <t>AZIENDA AGRICOLA CA' PRIMO DI SPADA ANTONIO &amp; C SNC SOCIETA' AGRICOLA</t>
  </si>
  <si>
    <t>CIMINARI MASSIMILIANO</t>
  </si>
  <si>
    <t>AGEA.ASR.2022.0179868</t>
  </si>
  <si>
    <t>COMUNE DI BORGO PACE</t>
  </si>
  <si>
    <t>AGEA.ASR.2022.0180605</t>
  </si>
  <si>
    <t>CAA Coldiretti - ANCONA - 003</t>
  </si>
  <si>
    <t>SOCIETA' AGRICOLA IL CANTO DEL GALLO DI DEMETRIO RUFFINI E C. SOCIETA'</t>
  </si>
  <si>
    <t>AGEA.ASR.2022.0173411</t>
  </si>
  <si>
    <t>TONTI GIORGIO</t>
  </si>
  <si>
    <t>CAA Coldiretti - ANCONA - 002</t>
  </si>
  <si>
    <t>CAMPIONI DANILO</t>
  </si>
  <si>
    <t>SOCIETA' AGRICOLA MOSCI PAOLO-ROBERTO-LORENZO SOCIETA' SEMPLICE</t>
  </si>
  <si>
    <t>CAA UNICAA - ASCOLI PICENO - 004</t>
  </si>
  <si>
    <t>DE ANGELIS SAMUELE</t>
  </si>
  <si>
    <t>CAA CIA - PESARO E URBINO - 002</t>
  </si>
  <si>
    <t>RAGNUCCI ANTINISCA</t>
  </si>
  <si>
    <t>CAA UNICAA - PESARO E URBINO - 003</t>
  </si>
  <si>
    <t>GASPARI LORIS</t>
  </si>
  <si>
    <t>CAA Coldiretti - PESARO E URBINO - 013</t>
  </si>
  <si>
    <t>VERDINI IGINO</t>
  </si>
  <si>
    <t>CAA CIA - ASCOLI PICENO - 002</t>
  </si>
  <si>
    <t>SCIBE' DORIANO</t>
  </si>
  <si>
    <t>CAA LiberiAgricoltori - PESARO E URBINO - 002</t>
  </si>
  <si>
    <t>CONTADINI ANNA MARIA</t>
  </si>
  <si>
    <t>CAA AGRISERVIZI - LATINA - 001</t>
  </si>
  <si>
    <t>FEDELI PAOLA</t>
  </si>
  <si>
    <t>CAA Coldiretti - FERMO - 001</t>
  </si>
  <si>
    <t>BRECCIA MIRELLA</t>
  </si>
  <si>
    <t>CAA LiberiAgricoltori - MACERATA - 001</t>
  </si>
  <si>
    <t>PASSATEMPO GIOVANNA</t>
  </si>
  <si>
    <t>CAA LiberiAgricoltori - MACERATA - 003</t>
  </si>
  <si>
    <t>SOCIETA' AGRICOLA CAPPELLETTI GIULIANO E BERNARDI ROBERTO S.S.</t>
  </si>
  <si>
    <t>IL SENTIERO DI SPACCAPANICCIA FABIO E GUIDO SOCIETA' AGRICOLA SEMPLICE</t>
  </si>
  <si>
    <t>QUITADAMO MATTEO</t>
  </si>
  <si>
    <t>SPADONI MAURIZIO &amp; FLAVIO S.S.</t>
  </si>
  <si>
    <t>VITIVINICOLA COSTADORO SOCIETA' AGRICOLA S.R.L.</t>
  </si>
  <si>
    <t>LARGHETTI ANTONIO</t>
  </si>
  <si>
    <t>CINGOLANI GIORGIO</t>
  </si>
  <si>
    <t>SOCIETA' AGRICOLA NOBILI NEVIO S.S.</t>
  </si>
  <si>
    <t>FASEQ SRL - SOCIETA' AGRICOLA</t>
  </si>
  <si>
    <t>CAA Coldiretti - PESARO E URBINO - 008</t>
  </si>
  <si>
    <t>PIERLEONI MARCO</t>
  </si>
  <si>
    <t>CAROBINI SOCIETA' AGRICOLA S.S.</t>
  </si>
  <si>
    <t>CAA LiberiAgricoltori - MACERATA - 005</t>
  </si>
  <si>
    <t>SOCIETA' COOPERATIVA AGRICOLA CASA AIALE A R.L.</t>
  </si>
  <si>
    <t>IL GENTIL VERDE SOCIETA' AGRICOLA - SOCIETA' SEMPLICE</t>
  </si>
  <si>
    <t>CAA CIA - ANCONA - 001</t>
  </si>
  <si>
    <t>FATTORIA LUCESOLE S.N.C. DI MANINI MASSIMILIANO E MAURO SOCIETA' AGRIC</t>
  </si>
  <si>
    <t>CAA Coldiretti - ANCONA - 001</t>
  </si>
  <si>
    <t>PIRANI ELISABETTA</t>
  </si>
  <si>
    <t>VALLORANI ROSA</t>
  </si>
  <si>
    <t>CAA Confagricoltura - ASCOLI PICENO - 001</t>
  </si>
  <si>
    <t>ACCIARRI ERMINDA</t>
  </si>
  <si>
    <t>RICCI GABRIELA</t>
  </si>
  <si>
    <t>TEODORI FRANCESCO</t>
  </si>
  <si>
    <t>ACCIARRI GIOVANNA</t>
  </si>
  <si>
    <t>CARBONI LUIGINA</t>
  </si>
  <si>
    <t>UBERTINI PIERINO</t>
  </si>
  <si>
    <t>CAA CIA - PESARO E URBINO - 005</t>
  </si>
  <si>
    <t>GUATIERI CHRISTIAN</t>
  </si>
  <si>
    <t>CAA Coldiretti - PESARO E URBINO - 006</t>
  </si>
  <si>
    <t>MAISANO PAOLO</t>
  </si>
  <si>
    <t>SOCIETA' AGRICOLA MASCIOLI MIRCO E ROBERTO S.S.</t>
  </si>
  <si>
    <t>CAA Confagricoltura - MACERATA - 001</t>
  </si>
  <si>
    <t>CERRACCHIO VALERIO</t>
  </si>
  <si>
    <t>CAA LiberiAgricoltori - PESARO E URBINO - 001</t>
  </si>
  <si>
    <t>GAMBINI MAURIZIO</t>
  </si>
  <si>
    <t>RUGOLETTI CARLA</t>
  </si>
  <si>
    <t>SOCIETA' AGRICOLA IL TESORO DEI SIBILLINI DI TIDEI MAURO E MARICA S.S.</t>
  </si>
  <si>
    <t>CAA CIA - PESARO E URBINO - 008</t>
  </si>
  <si>
    <t>PENSERINI PAOLO</t>
  </si>
  <si>
    <t>AMABILI GIANLUCA</t>
  </si>
  <si>
    <t>LUCARELLI ROBERTO</t>
  </si>
  <si>
    <t>GAMBINI GABRIELE</t>
  </si>
  <si>
    <t>BALDISSERRI ANDREA</t>
  </si>
  <si>
    <t>CAA Confagricoltura - PESARO E URBINO - 001</t>
  </si>
  <si>
    <t>SOCIETA' AGRICOLA SABBATINI S.S.</t>
  </si>
  <si>
    <t>CARBONI EUGENIO</t>
  </si>
  <si>
    <t>SOCIETA' AGRICOLA ROSASPINA S.S.</t>
  </si>
  <si>
    <t>FLAMMA LUCIA</t>
  </si>
  <si>
    <t>MARCHETTI ALESSIO</t>
  </si>
  <si>
    <t>SOCIETA' AGRICOLA "LE GENGHE DI NONNO ANGELO" S.S.</t>
  </si>
  <si>
    <t>SOCIETA' AGRICOLA LAZZARINI S.S.</t>
  </si>
  <si>
    <t>BRANCHINI PAOLO</t>
  </si>
  <si>
    <t>MANCINI MAURO</t>
  </si>
  <si>
    <t>LA TANA DELL'ORSO SOCIETA' AGRICOLA SEMPLICE</t>
  </si>
  <si>
    <t>GRAZIOSI GIACOMO</t>
  </si>
  <si>
    <t>VERDUCCI MASSIMO</t>
  </si>
  <si>
    <t>CAA CAF AGRI - ANCONA - 221</t>
  </si>
  <si>
    <t>OPERA SOCIETA' COOPERATIVA SOCIALE ONLUS SOC COOP PA</t>
  </si>
  <si>
    <t>NUCCI PAOLA LUCIANA</t>
  </si>
  <si>
    <t>CAA Coldiretti - PESARO E URBINO - 010</t>
  </si>
  <si>
    <t>SOCIETA' AGRICOLA CASELLA DI GUERRA S. C S.S.</t>
  </si>
  <si>
    <t>TONELLI STEFANO</t>
  </si>
  <si>
    <t>UGOLINI CLAUDIO</t>
  </si>
  <si>
    <t>SOCIETA' AGRICOLA HECTOR DI CALVIGIONI SILVIO &amp; TOMBESI GIORGIA S.S.</t>
  </si>
  <si>
    <t>AGEA.ASR.2022.0179898</t>
  </si>
  <si>
    <t>AGEA.ASR.2022.0141583</t>
  </si>
  <si>
    <t>CAVALLINI FIORENZA</t>
  </si>
  <si>
    <t>AGEA.ASR.2022.0186800</t>
  </si>
  <si>
    <t>AGEA.ASR.2022.0179896</t>
  </si>
  <si>
    <t>POLENTA SAMUELA</t>
  </si>
  <si>
    <t>AGEA.ASR.2022.0138541</t>
  </si>
  <si>
    <t>CAA Coldiretti - MACERATA - 009</t>
  </si>
  <si>
    <t>FUSARI LUCA</t>
  </si>
  <si>
    <t>SOCIETA' AGRICOLA BIO DI NUCCELLI BARBARA E SERENA S.R.L.</t>
  </si>
  <si>
    <t>LOCCI ARTEMIO</t>
  </si>
  <si>
    <t>AGEA.ASR.2022.0173415</t>
  </si>
  <si>
    <t>CAA Confagricoltura - ANCONA - 001</t>
  </si>
  <si>
    <t>PANCOTTI A. E C. - S.S. SOC.AGR.</t>
  </si>
  <si>
    <t>GIORGI STEFANO</t>
  </si>
  <si>
    <t>GAMBETTI ANNA</t>
  </si>
  <si>
    <t>CAA CAF AGRI - ANCONA - 225</t>
  </si>
  <si>
    <t>SOCIETA' AGRICOLA LA STAFFA DI BALDI RICCARDO E C. S.S.</t>
  </si>
  <si>
    <t>DI BITONTO CATERINA</t>
  </si>
  <si>
    <t>SOCIETA' AGRICOLA LE STAGIONI DI BOLOGNINI LORENZO &amp; C. SAS</t>
  </si>
  <si>
    <t>AGEA.ASR.2022.0179871</t>
  </si>
  <si>
    <t>AGEA.ASR.2022.0179899</t>
  </si>
  <si>
    <t>ARCA SOCIETA' A RESPONSABILITA' LIMITATA SOCIETA' BENEFIT</t>
  </si>
  <si>
    <t>AGEA.ASR.2022.0186959</t>
  </si>
  <si>
    <t>SOCIETA' AGRICOLA COLLI DEI VASI SOCIETA' SEMPLICE</t>
  </si>
  <si>
    <t>"LA LEPRE"- S.S. AGRICOLA DI SALVI D.&amp;A.</t>
  </si>
  <si>
    <t>CAA LiberiAgricoltori - MACERATA - 006</t>
  </si>
  <si>
    <t>DOBRE ALINA ANITA</t>
  </si>
  <si>
    <t>CAA Coldiretti - ANCONA - 006</t>
  </si>
  <si>
    <t>CROGNALETTI NATALINO</t>
  </si>
  <si>
    <t>CAA Coldiretti - MACERATA - 018</t>
  </si>
  <si>
    <t>RAMADORI MARIO</t>
  </si>
  <si>
    <t>MARAVIGLIA ALBERTO</t>
  </si>
  <si>
    <t>IMAC SOCIETA' AGRICOLA SRL</t>
  </si>
  <si>
    <t>CAA Coldiretti - MACERATA - 017</t>
  </si>
  <si>
    <t>DOMINICI SAMUELE</t>
  </si>
  <si>
    <t>SOCIETA AGRICOLA BIO SILVI S.S.</t>
  </si>
  <si>
    <t>SOCIETA' AGRICOLA LAGO DI CESARONI ANGELO E C. S.S</t>
  </si>
  <si>
    <t>CAA CAF AGRI - MACERATA - 224</t>
  </si>
  <si>
    <t>STAFFOLANI MARCO</t>
  </si>
  <si>
    <t>SOCIETA AGRICOLA TERRA MADRE S.S.</t>
  </si>
  <si>
    <t>CAA Coldiretti - MACERATA - 008</t>
  </si>
  <si>
    <t>CONFORTI NOVELLO</t>
  </si>
  <si>
    <t>SOCIETA' AGRICOLA - FORESTALE IRCR MACERATA - SOCIETA' A RESPONSA BILI</t>
  </si>
  <si>
    <t>VILLA SAN PELLEGRINO SOCIETA' SEMPLICE</t>
  </si>
  <si>
    <t>CAVALIERI ANDREA</t>
  </si>
  <si>
    <t>AGRIFORAGGI SOC. AGRICOLA DI CARESTIA DANIELE &amp; C. S.S.</t>
  </si>
  <si>
    <t>SOCIETA' AGRICOLA BORGO PAGLIANETTO S.R.L.</t>
  </si>
  <si>
    <t>CAA CIA - MACERATA - 001</t>
  </si>
  <si>
    <t>MASULLO FILOMENA</t>
  </si>
  <si>
    <t>PIANTONI GIANCLAUDIO</t>
  </si>
  <si>
    <t>CAA CIA - ANCONA - 004</t>
  </si>
  <si>
    <t>MEZZANOTTE SANDRINO</t>
  </si>
  <si>
    <t>SOCIETA' AGRICOLA MARI MAURIZIO E C. S.S.</t>
  </si>
  <si>
    <t>CAA CIA - PESARO E URBINO - 007</t>
  </si>
  <si>
    <t>MARIANELLI LUCIO</t>
  </si>
  <si>
    <t>SQUADRONI SOCIETA' AGRICOLA SEMPLICE</t>
  </si>
  <si>
    <t>SALINARI PIETRO</t>
  </si>
  <si>
    <t>SOCIETA' AGRICOLA LA VISCIOLA S.S.</t>
  </si>
  <si>
    <t>AZIENDA AGRARIA BIANCARDA SOCIETA' AGRICOLA</t>
  </si>
  <si>
    <t>GABRIELLI LORENZO</t>
  </si>
  <si>
    <t>CESARETTI GIOVANNI BATISTA</t>
  </si>
  <si>
    <t>DOTTORI ANDREA</t>
  </si>
  <si>
    <t>DOTTORI CORRADO</t>
  </si>
  <si>
    <t>DOTTORI EDOARDO</t>
  </si>
  <si>
    <t>PACENTI CRISTIAN</t>
  </si>
  <si>
    <t>CAA UNICAA - ANCONA - 003</t>
  </si>
  <si>
    <t>PROVENZIANI CRISTIANO</t>
  </si>
  <si>
    <t>CAA CIA - ANCONA - 005</t>
  </si>
  <si>
    <t>ROMAGNOLI MIRELLA</t>
  </si>
  <si>
    <t>PAOLUCCI GABRIELE</t>
  </si>
  <si>
    <t>SOCIETA' AGRICOLA FIORETTI BRERA S.S.</t>
  </si>
  <si>
    <t>SOCIETA' AGRICOLA CASTELROSINO DI PREMARINI E CANTALUPO SOCIETA' SEMPL</t>
  </si>
  <si>
    <t>SOCIETA' AGRICOLA IL PONTE DI GIROTTI MARCO ED ELISA S.S.</t>
  </si>
  <si>
    <t>CAA Liberi Prof.- PESARO E URBINO - 001</t>
  </si>
  <si>
    <t>SOCIETA' AGRICOLA PODERE L'INFINITO SOCIETA' SEMPLICE</t>
  </si>
  <si>
    <t>SOCIETA' AGRICOLA EREDI PANDOLFI DOMENICO S.S.</t>
  </si>
  <si>
    <t>BALDUCCI PATRIZIA</t>
  </si>
  <si>
    <t>CAA Coldiretti - ANCONA - 005</t>
  </si>
  <si>
    <t>NICOLELLI ROBERTO</t>
  </si>
  <si>
    <t>SOCIETA' AGRICOLA SEMPLICE EREDI QUATTRINI GIOVANNI</t>
  </si>
  <si>
    <t>SOCIETA' AGRICOLA SAN BIAGIOLO S.R.L.</t>
  </si>
  <si>
    <t>URBINELLI MARIA LAURA</t>
  </si>
  <si>
    <t>AGEA.ASR.2022.0179891</t>
  </si>
  <si>
    <t>SOCIETA AGRICOLA IL FRUTTETO S.S.</t>
  </si>
  <si>
    <t>VINCENTI EMANUELA</t>
  </si>
  <si>
    <t>SOCIETA AGRICOLA AGRIBAU S.S.</t>
  </si>
  <si>
    <t>SOCIETA' AGRICOLA TERRE VERDI DI ZINGARETTI E SOCI S.S.</t>
  </si>
  <si>
    <t>MANCINI AUGUSTO</t>
  </si>
  <si>
    <t>TENIMENTI GALLO SOC.AGRICOLA SRL</t>
  </si>
  <si>
    <t>AGEA.ASR.2022.0179862</t>
  </si>
  <si>
    <t>AGEA.ASR.2022.0168695</t>
  </si>
  <si>
    <t>AGEA.ASR.2022.0169000</t>
  </si>
  <si>
    <t>GIANNOTTI ORFEO</t>
  </si>
  <si>
    <t>PERUZZINI ANTONIO</t>
  </si>
  <si>
    <t>RENGA RICCARDO</t>
  </si>
  <si>
    <t>CAA CIA - ASCOLI PICENO - 006</t>
  </si>
  <si>
    <t>DEL GOBBO GIOVANNA</t>
  </si>
  <si>
    <t>AGEA.ASR.2022.0175891</t>
  </si>
  <si>
    <t>SARTINI ENRICO</t>
  </si>
  <si>
    <t>PAGNANELLI MAURIZIO</t>
  </si>
  <si>
    <t>COLONNA MARIO</t>
  </si>
  <si>
    <t>GAUDENZI GIORGIO</t>
  </si>
  <si>
    <t>ERCOLANI NAZZARENO</t>
  </si>
  <si>
    <t>BATTAGLIA RICCARDO</t>
  </si>
  <si>
    <t>POLITI MATTEO</t>
  </si>
  <si>
    <t>UGOLINI PAOLO</t>
  </si>
  <si>
    <t>PALA GIUSEPPE</t>
  </si>
  <si>
    <t>PAGANELLI UMBERTO</t>
  </si>
  <si>
    <t>SOCIETA' AGRICOLA CAMPORESI S.S.</t>
  </si>
  <si>
    <t>SOCIETA' AGRICOLA GEMINI SRL</t>
  </si>
  <si>
    <t>MAGNANI MAURO</t>
  </si>
  <si>
    <t>LORI SERGIO</t>
  </si>
  <si>
    <t>LABRACCIOTTI EVARISTO</t>
  </si>
  <si>
    <t>GIACCHINI SOCIETA' AGRICOLA A R.L.</t>
  </si>
  <si>
    <t>BIDUCCI MARCO</t>
  </si>
  <si>
    <t>Centro Assistenza Imprese Coldiretti Toscana Srl</t>
  </si>
  <si>
    <t>CAA Coldiretti - AREZZO - 008</t>
  </si>
  <si>
    <t>MONTINI TIZIANA</t>
  </si>
  <si>
    <t>GIOMMI MATTEO</t>
  </si>
  <si>
    <t>BIGONZI ADAMO</t>
  </si>
  <si>
    <t>MARZIALI PASQUALE</t>
  </si>
  <si>
    <t>CONTI MARCELLO</t>
  </si>
  <si>
    <t>PAOLUCCI SARA</t>
  </si>
  <si>
    <t>CHIATTI MARINA</t>
  </si>
  <si>
    <t>COPPONI STEFANO</t>
  </si>
  <si>
    <t>SEBASTIANI DAMIANO</t>
  </si>
  <si>
    <t>LE COLLINE DEL GIANO DI LORI E COFANI SOCIETA' AGRICOLA S.S. DI COFANI</t>
  </si>
  <si>
    <t>FEDELI BRUNO</t>
  </si>
  <si>
    <t>CAPPELLETTI MICHELE</t>
  </si>
  <si>
    <t>GARGAMELLI CARLA</t>
  </si>
  <si>
    <t>CENTINARI MASSIMO</t>
  </si>
  <si>
    <t>ROMITI GIOVANNI</t>
  </si>
  <si>
    <t>SUIGI DANIELE</t>
  </si>
  <si>
    <t>VEDOVI EMILIO E FIGLI - SOCIETA' AGRICOLA SEMPLICE</t>
  </si>
  <si>
    <t>CANDIRACCI SIMONA</t>
  </si>
  <si>
    <t>PARADISI TERENZIO</t>
  </si>
  <si>
    <t>CECCARINI NAZZARENO</t>
  </si>
  <si>
    <t>SOCIETA' AGRICOLA IL MULINO DI PONTANI GIULIA E C. S.S.</t>
  </si>
  <si>
    <t>CARONI FEDERICO</t>
  </si>
  <si>
    <t>BALDACCIONI GIUSEPPE</t>
  </si>
  <si>
    <t>GRANCI DANIELA</t>
  </si>
  <si>
    <t>GABELLINI REMO</t>
  </si>
  <si>
    <t>TIBERI GIANFRANCO E GALAVOTTI LINA SOCIETA' SEMPLICE</t>
  </si>
  <si>
    <t>MEZZOLANI CLAUDIO</t>
  </si>
  <si>
    <t>SOCIETA' AGRICOLA PAGLIARI CARLO E PAOLO S.S.</t>
  </si>
  <si>
    <t>MALTEMPO GIORGIO</t>
  </si>
  <si>
    <t>MARIANI MARTA</t>
  </si>
  <si>
    <t>CAA Coldiretti - ASCOLI PICENO - 010</t>
  </si>
  <si>
    <t>GALLI STEFANO</t>
  </si>
  <si>
    <t>FEDERONI MARINO</t>
  </si>
  <si>
    <t>SOCIETA' AGRICOLA VAGNI ADOLFO E C. S.S.</t>
  </si>
  <si>
    <t>AMBROSIO ARCANGELO</t>
  </si>
  <si>
    <t>ARPINI MIRKO</t>
  </si>
  <si>
    <t>CARNEVALI BRUNO</t>
  </si>
  <si>
    <t>FERRETTI MIRELLA</t>
  </si>
  <si>
    <t>LUCARINI GIACOMO</t>
  </si>
  <si>
    <t>BONAPOSTA BRUNA</t>
  </si>
  <si>
    <t>PINTUS GRAZIANO</t>
  </si>
  <si>
    <t>RUGGERI STEFANO</t>
  </si>
  <si>
    <t>PARIS GIOVANNI</t>
  </si>
  <si>
    <t>FERRI VITTORIO</t>
  </si>
  <si>
    <t>AGRICOLA F.LLI CASAVECCHIA S.S.DI CASAVECCHIA GABRIELE</t>
  </si>
  <si>
    <t>FRATTINI MATTIA</t>
  </si>
  <si>
    <t>BARBAROSSA FABRIZIO</t>
  </si>
  <si>
    <t>STRACCIO ALESSANDRA</t>
  </si>
  <si>
    <t>AGEA.ASR.2021.1821173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</si>
</sst>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7624-50F9-42A4-BFC0-7F392A9EA3E1}">
  <dimension ref="A1:Z253"/>
  <sheetViews>
    <sheetView showGridLines="0" tabSelected="1" workbookViewId="0">
      <selection activeCell="F260" sqref="F26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2.179687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48</v>
      </c>
      <c r="D4" s="7" t="s">
        <v>49</v>
      </c>
      <c r="E4" s="7" t="s">
        <v>42</v>
      </c>
      <c r="F4" s="7" t="s">
        <v>50</v>
      </c>
      <c r="G4" s="7">
        <v>2017</v>
      </c>
      <c r="H4" s="7" t="str">
        <f>CONCATENATE("14270363295")</f>
        <v>14270363295</v>
      </c>
      <c r="I4" s="7" t="s">
        <v>30</v>
      </c>
      <c r="J4" s="7" t="s">
        <v>31</v>
      </c>
      <c r="K4" s="7" t="str">
        <f>CONCATENATE("")</f>
        <v/>
      </c>
      <c r="L4" s="7" t="str">
        <f>CONCATENATE("6 6.1 2b")</f>
        <v>6 6.1 2b</v>
      </c>
      <c r="M4" s="7" t="str">
        <f>CONCATENATE("LMBGGR88P21D488V")</f>
        <v>LMBGGR88P21D488V</v>
      </c>
      <c r="N4" s="7" t="s">
        <v>51</v>
      </c>
      <c r="O4" s="7" t="s">
        <v>52</v>
      </c>
      <c r="P4" s="8">
        <v>44614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14550</v>
      </c>
      <c r="W4" s="9">
        <v>6273.96</v>
      </c>
      <c r="X4" s="9">
        <v>5793.81</v>
      </c>
      <c r="Y4" s="7">
        <v>0</v>
      </c>
      <c r="Z4" s="9">
        <v>2482.23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53</v>
      </c>
      <c r="E5" s="7" t="s">
        <v>42</v>
      </c>
      <c r="F5" s="7" t="s">
        <v>54</v>
      </c>
      <c r="G5" s="7">
        <v>2017</v>
      </c>
      <c r="H5" s="7" t="str">
        <f>CONCATENATE("14270363246")</f>
        <v>14270363246</v>
      </c>
      <c r="I5" s="7" t="s">
        <v>30</v>
      </c>
      <c r="J5" s="7" t="s">
        <v>31</v>
      </c>
      <c r="K5" s="7" t="str">
        <f>CONCATENATE("")</f>
        <v/>
      </c>
      <c r="L5" s="7" t="str">
        <f>CONCATENATE("6 6.1 2b")</f>
        <v>6 6.1 2b</v>
      </c>
      <c r="M5" s="7" t="str">
        <f>CONCATENATE("02266160445")</f>
        <v>02266160445</v>
      </c>
      <c r="N5" s="7" t="s">
        <v>55</v>
      </c>
      <c r="O5" s="7" t="s">
        <v>56</v>
      </c>
      <c r="P5" s="8">
        <v>44614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10500</v>
      </c>
      <c r="W5" s="9">
        <v>4527.6000000000004</v>
      </c>
      <c r="X5" s="9">
        <v>4181.1000000000004</v>
      </c>
      <c r="Y5" s="7">
        <v>0</v>
      </c>
      <c r="Z5" s="9">
        <v>1791.3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53</v>
      </c>
      <c r="E6" s="7" t="s">
        <v>36</v>
      </c>
      <c r="F6" s="7" t="s">
        <v>36</v>
      </c>
      <c r="G6" s="7">
        <v>2017</v>
      </c>
      <c r="H6" s="7" t="str">
        <f>CONCATENATE("24270022742")</f>
        <v>24270022742</v>
      </c>
      <c r="I6" s="7" t="s">
        <v>30</v>
      </c>
      <c r="J6" s="7" t="s">
        <v>31</v>
      </c>
      <c r="K6" s="7" t="str">
        <f>CONCATENATE("")</f>
        <v/>
      </c>
      <c r="L6" s="7" t="str">
        <f>CONCATENATE("4 4.3 2a")</f>
        <v>4 4.3 2a</v>
      </c>
      <c r="M6" s="7" t="str">
        <f>CONCATENATE("81001490440")</f>
        <v>81001490440</v>
      </c>
      <c r="N6" s="7" t="s">
        <v>57</v>
      </c>
      <c r="O6" s="7" t="s">
        <v>58</v>
      </c>
      <c r="P6" s="8">
        <v>44615</v>
      </c>
      <c r="Q6" s="7" t="s">
        <v>32</v>
      </c>
      <c r="R6" s="7" t="s">
        <v>37</v>
      </c>
      <c r="S6" s="7" t="s">
        <v>34</v>
      </c>
      <c r="T6" s="7"/>
      <c r="U6" s="7" t="s">
        <v>35</v>
      </c>
      <c r="V6" s="9">
        <v>6611.84</v>
      </c>
      <c r="W6" s="9">
        <v>2851.03</v>
      </c>
      <c r="X6" s="9">
        <v>2632.83</v>
      </c>
      <c r="Y6" s="7">
        <v>0</v>
      </c>
      <c r="Z6" s="9">
        <v>1127.98</v>
      </c>
    </row>
    <row r="7" spans="1:26" x14ac:dyDescent="0.35">
      <c r="A7" s="7" t="s">
        <v>27</v>
      </c>
      <c r="B7" s="7" t="s">
        <v>28</v>
      </c>
      <c r="C7" s="7" t="s">
        <v>48</v>
      </c>
      <c r="D7" s="7" t="s">
        <v>49</v>
      </c>
      <c r="E7" s="7" t="s">
        <v>36</v>
      </c>
      <c r="F7" s="7" t="s">
        <v>36</v>
      </c>
      <c r="G7" s="7">
        <v>2017</v>
      </c>
      <c r="H7" s="7" t="str">
        <f>CONCATENATE("14270363337")</f>
        <v>14270363337</v>
      </c>
      <c r="I7" s="7" t="s">
        <v>30</v>
      </c>
      <c r="J7" s="7" t="s">
        <v>31</v>
      </c>
      <c r="K7" s="7" t="str">
        <f>CONCATENATE("")</f>
        <v/>
      </c>
      <c r="L7" s="7" t="str">
        <f>CONCATENATE("6 6.1 2b")</f>
        <v>6 6.1 2b</v>
      </c>
      <c r="M7" s="7" t="str">
        <f>CONCATENATE("SCCMTR96L43L500Z")</f>
        <v>SCCMTR96L43L500Z</v>
      </c>
      <c r="N7" s="7" t="s">
        <v>59</v>
      </c>
      <c r="O7" s="7" t="s">
        <v>60</v>
      </c>
      <c r="P7" s="8">
        <v>44614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10500</v>
      </c>
      <c r="W7" s="9">
        <v>4527.6000000000004</v>
      </c>
      <c r="X7" s="9">
        <v>4181.1000000000004</v>
      </c>
      <c r="Y7" s="7">
        <v>0</v>
      </c>
      <c r="Z7" s="9">
        <v>1791.3</v>
      </c>
    </row>
    <row r="8" spans="1:26" ht="17.5" x14ac:dyDescent="0.35">
      <c r="A8" s="7" t="s">
        <v>27</v>
      </c>
      <c r="B8" s="7" t="s">
        <v>28</v>
      </c>
      <c r="C8" s="7" t="s">
        <v>48</v>
      </c>
      <c r="D8" s="7" t="s">
        <v>61</v>
      </c>
      <c r="E8" s="7" t="s">
        <v>29</v>
      </c>
      <c r="F8" s="7" t="s">
        <v>62</v>
      </c>
      <c r="G8" s="7">
        <v>2017</v>
      </c>
      <c r="H8" s="7" t="str">
        <f>CONCATENATE("14270363329")</f>
        <v>14270363329</v>
      </c>
      <c r="I8" s="7" t="s">
        <v>30</v>
      </c>
      <c r="J8" s="7" t="s">
        <v>31</v>
      </c>
      <c r="K8" s="7" t="str">
        <f>CONCATENATE("")</f>
        <v/>
      </c>
      <c r="L8" s="7" t="str">
        <f>CONCATENATE("4 4.1 2a")</f>
        <v>4 4.1 2a</v>
      </c>
      <c r="M8" s="7" t="str">
        <f>CONCATENATE("02705660427")</f>
        <v>02705660427</v>
      </c>
      <c r="N8" s="7" t="s">
        <v>63</v>
      </c>
      <c r="O8" s="7" t="s">
        <v>64</v>
      </c>
      <c r="P8" s="8">
        <v>44614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13855.7</v>
      </c>
      <c r="W8" s="9">
        <v>5974.58</v>
      </c>
      <c r="X8" s="9">
        <v>5517.34</v>
      </c>
      <c r="Y8" s="7">
        <v>0</v>
      </c>
      <c r="Z8" s="9">
        <v>2363.7800000000002</v>
      </c>
    </row>
    <row r="9" spans="1:26" ht="17.5" x14ac:dyDescent="0.35">
      <c r="A9" s="7" t="s">
        <v>27</v>
      </c>
      <c r="B9" s="7" t="s">
        <v>28</v>
      </c>
      <c r="C9" s="7" t="s">
        <v>48</v>
      </c>
      <c r="D9" s="7" t="s">
        <v>61</v>
      </c>
      <c r="E9" s="7" t="s">
        <v>29</v>
      </c>
      <c r="F9" s="7" t="s">
        <v>62</v>
      </c>
      <c r="G9" s="7">
        <v>2017</v>
      </c>
      <c r="H9" s="7" t="str">
        <f>CONCATENATE("14270363311")</f>
        <v>14270363311</v>
      </c>
      <c r="I9" s="7" t="s">
        <v>30</v>
      </c>
      <c r="J9" s="7" t="s">
        <v>31</v>
      </c>
      <c r="K9" s="7" t="str">
        <f>CONCATENATE("")</f>
        <v/>
      </c>
      <c r="L9" s="7" t="str">
        <f>CONCATENATE("6 6.1 2b")</f>
        <v>6 6.1 2b</v>
      </c>
      <c r="M9" s="7" t="str">
        <f>CONCATENATE("02705660427")</f>
        <v>02705660427</v>
      </c>
      <c r="N9" s="7" t="s">
        <v>63</v>
      </c>
      <c r="O9" s="7" t="s">
        <v>65</v>
      </c>
      <c r="P9" s="8">
        <v>44614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10500</v>
      </c>
      <c r="W9" s="9">
        <v>4527.6000000000004</v>
      </c>
      <c r="X9" s="9">
        <v>4181.1000000000004</v>
      </c>
      <c r="Y9" s="7">
        <v>0</v>
      </c>
      <c r="Z9" s="9">
        <v>1791.3</v>
      </c>
    </row>
    <row r="10" spans="1:26" x14ac:dyDescent="0.35">
      <c r="A10" s="7" t="s">
        <v>27</v>
      </c>
      <c r="B10" s="7" t="s">
        <v>28</v>
      </c>
      <c r="C10" s="7" t="s">
        <v>48</v>
      </c>
      <c r="D10" s="7" t="s">
        <v>53</v>
      </c>
      <c r="E10" s="7" t="s">
        <v>36</v>
      </c>
      <c r="F10" s="7" t="s">
        <v>36</v>
      </c>
      <c r="G10" s="7">
        <v>2017</v>
      </c>
      <c r="H10" s="7" t="str">
        <f>CONCATENATE("14270363220")</f>
        <v>14270363220</v>
      </c>
      <c r="I10" s="7" t="s">
        <v>30</v>
      </c>
      <c r="J10" s="7" t="s">
        <v>31</v>
      </c>
      <c r="K10" s="7" t="str">
        <f>CONCATENATE("")</f>
        <v/>
      </c>
      <c r="L10" s="7" t="str">
        <f>CONCATENATE("6 6.4 2a")</f>
        <v>6 6.4 2a</v>
      </c>
      <c r="M10" s="7" t="str">
        <f>CONCATENATE("BRRNTN96P66H769L")</f>
        <v>BRRNTN96P66H769L</v>
      </c>
      <c r="N10" s="7" t="s">
        <v>66</v>
      </c>
      <c r="O10" s="7" t="s">
        <v>67</v>
      </c>
      <c r="P10" s="8">
        <v>44614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58492.07</v>
      </c>
      <c r="W10" s="9">
        <v>25221.78</v>
      </c>
      <c r="X10" s="9">
        <v>23291.54</v>
      </c>
      <c r="Y10" s="7">
        <v>0</v>
      </c>
      <c r="Z10" s="9">
        <v>9978.75</v>
      </c>
    </row>
    <row r="11" spans="1:26" x14ac:dyDescent="0.35">
      <c r="A11" s="7" t="s">
        <v>27</v>
      </c>
      <c r="B11" s="7" t="s">
        <v>28</v>
      </c>
      <c r="C11" s="7" t="s">
        <v>48</v>
      </c>
      <c r="D11" s="7" t="s">
        <v>48</v>
      </c>
      <c r="E11" s="7" t="s">
        <v>36</v>
      </c>
      <c r="F11" s="7" t="s">
        <v>36</v>
      </c>
      <c r="G11" s="7">
        <v>2017</v>
      </c>
      <c r="H11" s="7" t="str">
        <f>CONCATENATE("14270363113")</f>
        <v>14270363113</v>
      </c>
      <c r="I11" s="7" t="s">
        <v>30</v>
      </c>
      <c r="J11" s="7" t="s">
        <v>31</v>
      </c>
      <c r="K11" s="7" t="str">
        <f>CONCATENATE("")</f>
        <v/>
      </c>
      <c r="L11" s="7" t="str">
        <f>CONCATENATE("19 19.2 6b")</f>
        <v>19 19.2 6b</v>
      </c>
      <c r="M11" s="7" t="str">
        <f>CONCATENATE("MTCRCE82M52H769M")</f>
        <v>MTCRCE82M52H769M</v>
      </c>
      <c r="N11" s="7" t="s">
        <v>68</v>
      </c>
      <c r="O11" s="7" t="s">
        <v>69</v>
      </c>
      <c r="P11" s="8">
        <v>44614</v>
      </c>
      <c r="Q11" s="7" t="s">
        <v>32</v>
      </c>
      <c r="R11" s="7" t="s">
        <v>38</v>
      </c>
      <c r="S11" s="7" t="s">
        <v>34</v>
      </c>
      <c r="T11" s="7"/>
      <c r="U11" s="7" t="s">
        <v>35</v>
      </c>
      <c r="V11" s="9">
        <v>17500</v>
      </c>
      <c r="W11" s="9">
        <v>7546</v>
      </c>
      <c r="X11" s="9">
        <v>6968.5</v>
      </c>
      <c r="Y11" s="7">
        <v>0</v>
      </c>
      <c r="Z11" s="9">
        <v>2985.5</v>
      </c>
    </row>
    <row r="12" spans="1:26" x14ac:dyDescent="0.35">
      <c r="A12" s="7" t="s">
        <v>27</v>
      </c>
      <c r="B12" s="7" t="s">
        <v>28</v>
      </c>
      <c r="C12" s="7" t="s">
        <v>48</v>
      </c>
      <c r="D12" s="7" t="s">
        <v>48</v>
      </c>
      <c r="E12" s="7" t="s">
        <v>36</v>
      </c>
      <c r="F12" s="7" t="s">
        <v>36</v>
      </c>
      <c r="G12" s="7">
        <v>2017</v>
      </c>
      <c r="H12" s="7" t="str">
        <f>CONCATENATE("14270363139")</f>
        <v>14270363139</v>
      </c>
      <c r="I12" s="7" t="s">
        <v>30</v>
      </c>
      <c r="J12" s="7" t="s">
        <v>31</v>
      </c>
      <c r="K12" s="7" t="str">
        <f>CONCATENATE("")</f>
        <v/>
      </c>
      <c r="L12" s="7" t="str">
        <f>CONCATENATE("19 19.2 6b")</f>
        <v>19 19.2 6b</v>
      </c>
      <c r="M12" s="7" t="str">
        <f>CONCATENATE("CNNDVD83T26A462X")</f>
        <v>CNNDVD83T26A462X</v>
      </c>
      <c r="N12" s="7" t="s">
        <v>70</v>
      </c>
      <c r="O12" s="7" t="s">
        <v>69</v>
      </c>
      <c r="P12" s="8">
        <v>44614</v>
      </c>
      <c r="Q12" s="7" t="s">
        <v>32</v>
      </c>
      <c r="R12" s="7" t="s">
        <v>38</v>
      </c>
      <c r="S12" s="7" t="s">
        <v>34</v>
      </c>
      <c r="T12" s="7"/>
      <c r="U12" s="7" t="s">
        <v>35</v>
      </c>
      <c r="V12" s="9">
        <v>20000</v>
      </c>
      <c r="W12" s="9">
        <v>8624</v>
      </c>
      <c r="X12" s="9">
        <v>7964</v>
      </c>
      <c r="Y12" s="7">
        <v>0</v>
      </c>
      <c r="Z12" s="9">
        <v>3412</v>
      </c>
    </row>
    <row r="13" spans="1:26" x14ac:dyDescent="0.35">
      <c r="A13" s="7" t="s">
        <v>27</v>
      </c>
      <c r="B13" s="7" t="s">
        <v>28</v>
      </c>
      <c r="C13" s="7" t="s">
        <v>48</v>
      </c>
      <c r="D13" s="7" t="s">
        <v>48</v>
      </c>
      <c r="E13" s="7" t="s">
        <v>36</v>
      </c>
      <c r="F13" s="7" t="s">
        <v>36</v>
      </c>
      <c r="G13" s="7">
        <v>2017</v>
      </c>
      <c r="H13" s="7" t="str">
        <f>CONCATENATE("14270363121")</f>
        <v>14270363121</v>
      </c>
      <c r="I13" s="7" t="s">
        <v>30</v>
      </c>
      <c r="J13" s="7" t="s">
        <v>31</v>
      </c>
      <c r="K13" s="7" t="str">
        <f>CONCATENATE("")</f>
        <v/>
      </c>
      <c r="L13" s="7" t="str">
        <f>CONCATENATE("19 19.2 6b")</f>
        <v>19 19.2 6b</v>
      </c>
      <c r="M13" s="7" t="str">
        <f>CONCATENATE("CRCLCU82M14A271U")</f>
        <v>CRCLCU82M14A271U</v>
      </c>
      <c r="N13" s="7" t="s">
        <v>71</v>
      </c>
      <c r="O13" s="7" t="s">
        <v>69</v>
      </c>
      <c r="P13" s="8">
        <v>44614</v>
      </c>
      <c r="Q13" s="7" t="s">
        <v>32</v>
      </c>
      <c r="R13" s="7" t="s">
        <v>38</v>
      </c>
      <c r="S13" s="7" t="s">
        <v>34</v>
      </c>
      <c r="T13" s="7"/>
      <c r="U13" s="7" t="s">
        <v>35</v>
      </c>
      <c r="V13" s="9">
        <v>20000</v>
      </c>
      <c r="W13" s="9">
        <v>8624</v>
      </c>
      <c r="X13" s="9">
        <v>7964</v>
      </c>
      <c r="Y13" s="7">
        <v>0</v>
      </c>
      <c r="Z13" s="9">
        <v>3412</v>
      </c>
    </row>
    <row r="14" spans="1:26" x14ac:dyDescent="0.35">
      <c r="A14" s="7" t="s">
        <v>27</v>
      </c>
      <c r="B14" s="7" t="s">
        <v>28</v>
      </c>
      <c r="C14" s="7" t="s">
        <v>48</v>
      </c>
      <c r="D14" s="7" t="s">
        <v>48</v>
      </c>
      <c r="E14" s="7" t="s">
        <v>36</v>
      </c>
      <c r="F14" s="7" t="s">
        <v>36</v>
      </c>
      <c r="G14" s="7">
        <v>2017</v>
      </c>
      <c r="H14" s="7" t="str">
        <f>CONCATENATE("14270363386")</f>
        <v>14270363386</v>
      </c>
      <c r="I14" s="7" t="s">
        <v>30</v>
      </c>
      <c r="J14" s="7" t="s">
        <v>31</v>
      </c>
      <c r="K14" s="7" t="str">
        <f>CONCATENATE("")</f>
        <v/>
      </c>
      <c r="L14" s="7" t="str">
        <f>CONCATENATE("19 19.2 6b")</f>
        <v>19 19.2 6b</v>
      </c>
      <c r="M14" s="7" t="str">
        <f>CONCATENATE("02438340446")</f>
        <v>02438340446</v>
      </c>
      <c r="N14" s="7" t="s">
        <v>72</v>
      </c>
      <c r="O14" s="7" t="s">
        <v>69</v>
      </c>
      <c r="P14" s="8">
        <v>44614</v>
      </c>
      <c r="Q14" s="7" t="s">
        <v>32</v>
      </c>
      <c r="R14" s="7" t="s">
        <v>38</v>
      </c>
      <c r="S14" s="7" t="s">
        <v>34</v>
      </c>
      <c r="T14" s="7"/>
      <c r="U14" s="7" t="s">
        <v>35</v>
      </c>
      <c r="V14" s="9">
        <v>17500</v>
      </c>
      <c r="W14" s="9">
        <v>7546</v>
      </c>
      <c r="X14" s="9">
        <v>6968.5</v>
      </c>
      <c r="Y14" s="7">
        <v>0</v>
      </c>
      <c r="Z14" s="9">
        <v>2985.5</v>
      </c>
    </row>
    <row r="15" spans="1:26" x14ac:dyDescent="0.35">
      <c r="A15" s="7" t="s">
        <v>27</v>
      </c>
      <c r="B15" s="7" t="s">
        <v>28</v>
      </c>
      <c r="C15" s="7" t="s">
        <v>48</v>
      </c>
      <c r="D15" s="7" t="s">
        <v>48</v>
      </c>
      <c r="E15" s="7" t="s">
        <v>36</v>
      </c>
      <c r="F15" s="7" t="s">
        <v>36</v>
      </c>
      <c r="G15" s="7">
        <v>2017</v>
      </c>
      <c r="H15" s="7" t="str">
        <f>CONCATENATE("14270363147")</f>
        <v>14270363147</v>
      </c>
      <c r="I15" s="7" t="s">
        <v>30</v>
      </c>
      <c r="J15" s="7" t="s">
        <v>31</v>
      </c>
      <c r="K15" s="7" t="str">
        <f>CONCATENATE("")</f>
        <v/>
      </c>
      <c r="L15" s="7" t="str">
        <f>CONCATENATE("19 19.2 6b")</f>
        <v>19 19.2 6b</v>
      </c>
      <c r="M15" s="7" t="str">
        <f>CONCATENATE("TRNRMN74C68Z700L")</f>
        <v>TRNRMN74C68Z700L</v>
      </c>
      <c r="N15" s="7" t="s">
        <v>73</v>
      </c>
      <c r="O15" s="7" t="s">
        <v>69</v>
      </c>
      <c r="P15" s="8">
        <v>44614</v>
      </c>
      <c r="Q15" s="7" t="s">
        <v>32</v>
      </c>
      <c r="R15" s="7" t="s">
        <v>38</v>
      </c>
      <c r="S15" s="7" t="s">
        <v>34</v>
      </c>
      <c r="T15" s="7"/>
      <c r="U15" s="7" t="s">
        <v>35</v>
      </c>
      <c r="V15" s="9">
        <v>20000</v>
      </c>
      <c r="W15" s="9">
        <v>8624</v>
      </c>
      <c r="X15" s="9">
        <v>7964</v>
      </c>
      <c r="Y15" s="7">
        <v>0</v>
      </c>
      <c r="Z15" s="9">
        <v>3412</v>
      </c>
    </row>
    <row r="16" spans="1:26" x14ac:dyDescent="0.35">
      <c r="A16" s="7" t="s">
        <v>27</v>
      </c>
      <c r="B16" s="7" t="s">
        <v>40</v>
      </c>
      <c r="C16" s="7" t="s">
        <v>48</v>
      </c>
      <c r="D16" s="7" t="s">
        <v>74</v>
      </c>
      <c r="E16" s="7" t="s">
        <v>46</v>
      </c>
      <c r="F16" s="7" t="s">
        <v>75</v>
      </c>
      <c r="G16" s="7">
        <v>2021</v>
      </c>
      <c r="H16" s="7" t="str">
        <f>CONCATENATE("14240480633")</f>
        <v>14240480633</v>
      </c>
      <c r="I16" s="7" t="s">
        <v>30</v>
      </c>
      <c r="J16" s="7" t="s">
        <v>31</v>
      </c>
      <c r="K16" s="7" t="str">
        <f>CONCATENATE("")</f>
        <v/>
      </c>
      <c r="L16" s="7" t="str">
        <f>CONCATENATE("10 10.1 4a")</f>
        <v>10 10.1 4a</v>
      </c>
      <c r="M16" s="7" t="str">
        <f>CONCATENATE("01781710437")</f>
        <v>01781710437</v>
      </c>
      <c r="N16" s="7" t="s">
        <v>76</v>
      </c>
      <c r="O16" s="7" t="s">
        <v>77</v>
      </c>
      <c r="P16" s="8">
        <v>44610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6461.17</v>
      </c>
      <c r="W16" s="9">
        <v>2786.06</v>
      </c>
      <c r="X16" s="9">
        <v>2572.84</v>
      </c>
      <c r="Y16" s="7">
        <v>0</v>
      </c>
      <c r="Z16" s="9">
        <v>1102.27</v>
      </c>
    </row>
    <row r="17" spans="1:26" x14ac:dyDescent="0.35">
      <c r="A17" s="7" t="s">
        <v>27</v>
      </c>
      <c r="B17" s="7" t="s">
        <v>40</v>
      </c>
      <c r="C17" s="7" t="s">
        <v>48</v>
      </c>
      <c r="D17" s="7" t="s">
        <v>74</v>
      </c>
      <c r="E17" s="7" t="s">
        <v>42</v>
      </c>
      <c r="F17" s="7" t="s">
        <v>78</v>
      </c>
      <c r="G17" s="7">
        <v>2021</v>
      </c>
      <c r="H17" s="7" t="str">
        <f>CONCATENATE("14241348524")</f>
        <v>14241348524</v>
      </c>
      <c r="I17" s="7" t="s">
        <v>30</v>
      </c>
      <c r="J17" s="7" t="s">
        <v>31</v>
      </c>
      <c r="K17" s="7" t="str">
        <f>CONCATENATE("")</f>
        <v/>
      </c>
      <c r="L17" s="7" t="str">
        <f>CONCATENATE("10 10.1 4a")</f>
        <v>10 10.1 4a</v>
      </c>
      <c r="M17" s="7" t="str">
        <f>CONCATENATE("MRZLGN75A18L191E")</f>
        <v>MRZLGN75A18L191E</v>
      </c>
      <c r="N17" s="7" t="s">
        <v>79</v>
      </c>
      <c r="O17" s="7" t="s">
        <v>77</v>
      </c>
      <c r="P17" s="8">
        <v>44610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4673.62</v>
      </c>
      <c r="W17" s="9">
        <v>2015.26</v>
      </c>
      <c r="X17" s="9">
        <v>1861.04</v>
      </c>
      <c r="Y17" s="7">
        <v>0</v>
      </c>
      <c r="Z17" s="7">
        <v>797.32</v>
      </c>
    </row>
    <row r="18" spans="1:26" x14ac:dyDescent="0.35">
      <c r="A18" s="7" t="s">
        <v>27</v>
      </c>
      <c r="B18" s="7" t="s">
        <v>40</v>
      </c>
      <c r="C18" s="7" t="s">
        <v>48</v>
      </c>
      <c r="D18" s="7" t="s">
        <v>74</v>
      </c>
      <c r="E18" s="7" t="s">
        <v>42</v>
      </c>
      <c r="F18" s="7" t="s">
        <v>78</v>
      </c>
      <c r="G18" s="7">
        <v>2021</v>
      </c>
      <c r="H18" s="7" t="str">
        <f>CONCATENATE("14240436114")</f>
        <v>14240436114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CONCATENATE("CSRFTN46C01F509S")</f>
        <v>CSRFTN46C01F509S</v>
      </c>
      <c r="N18" s="7" t="s">
        <v>80</v>
      </c>
      <c r="O18" s="7" t="s">
        <v>81</v>
      </c>
      <c r="P18" s="8">
        <v>44610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15495.25</v>
      </c>
      <c r="W18" s="9">
        <v>6681.55</v>
      </c>
      <c r="X18" s="9">
        <v>6170.21</v>
      </c>
      <c r="Y18" s="7">
        <v>0</v>
      </c>
      <c r="Z18" s="9">
        <v>2643.49</v>
      </c>
    </row>
    <row r="19" spans="1:26" x14ac:dyDescent="0.35">
      <c r="A19" s="7" t="s">
        <v>27</v>
      </c>
      <c r="B19" s="7" t="s">
        <v>40</v>
      </c>
      <c r="C19" s="7" t="s">
        <v>48</v>
      </c>
      <c r="D19" s="7" t="s">
        <v>74</v>
      </c>
      <c r="E19" s="7" t="s">
        <v>42</v>
      </c>
      <c r="F19" s="7" t="s">
        <v>82</v>
      </c>
      <c r="G19" s="7">
        <v>2021</v>
      </c>
      <c r="H19" s="7" t="str">
        <f>CONCATENATE("14240516121")</f>
        <v>14240516121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CONCATENATE("VLIDNI45D19L191E")</f>
        <v>VLIDNI45D19L191E</v>
      </c>
      <c r="N19" s="7" t="s">
        <v>83</v>
      </c>
      <c r="O19" s="7" t="s">
        <v>81</v>
      </c>
      <c r="P19" s="8">
        <v>44610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1535.07</v>
      </c>
      <c r="W19" s="7">
        <v>661.92</v>
      </c>
      <c r="X19" s="7">
        <v>611.26</v>
      </c>
      <c r="Y19" s="7">
        <v>0</v>
      </c>
      <c r="Z19" s="7">
        <v>261.89</v>
      </c>
    </row>
    <row r="20" spans="1:26" ht="17.5" x14ac:dyDescent="0.35">
      <c r="A20" s="7" t="s">
        <v>27</v>
      </c>
      <c r="B20" s="7" t="s">
        <v>40</v>
      </c>
      <c r="C20" s="7" t="s">
        <v>48</v>
      </c>
      <c r="D20" s="7" t="s">
        <v>49</v>
      </c>
      <c r="E20" s="7" t="s">
        <v>42</v>
      </c>
      <c r="F20" s="7" t="s">
        <v>84</v>
      </c>
      <c r="G20" s="7">
        <v>2021</v>
      </c>
      <c r="H20" s="7" t="str">
        <f>CONCATENATE("14240329434")</f>
        <v>14240329434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CONCATENATE("00349040394")</f>
        <v>00349040394</v>
      </c>
      <c r="N20" s="7" t="s">
        <v>85</v>
      </c>
      <c r="O20" s="7" t="s">
        <v>81</v>
      </c>
      <c r="P20" s="8">
        <v>44610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1635.52</v>
      </c>
      <c r="W20" s="7">
        <v>705.24</v>
      </c>
      <c r="X20" s="7">
        <v>651.26</v>
      </c>
      <c r="Y20" s="7">
        <v>0</v>
      </c>
      <c r="Z20" s="7">
        <v>279.02</v>
      </c>
    </row>
    <row r="21" spans="1:26" x14ac:dyDescent="0.35">
      <c r="A21" s="7" t="s">
        <v>27</v>
      </c>
      <c r="B21" s="7" t="s">
        <v>28</v>
      </c>
      <c r="C21" s="7" t="s">
        <v>48</v>
      </c>
      <c r="D21" s="7" t="s">
        <v>74</v>
      </c>
      <c r="E21" s="7" t="s">
        <v>36</v>
      </c>
      <c r="F21" s="7" t="s">
        <v>36</v>
      </c>
      <c r="G21" s="7">
        <v>2017</v>
      </c>
      <c r="H21" s="7" t="str">
        <f>CONCATENATE("14270363279")</f>
        <v>14270363279</v>
      </c>
      <c r="I21" s="7" t="s">
        <v>30</v>
      </c>
      <c r="J21" s="7" t="s">
        <v>31</v>
      </c>
      <c r="K21" s="7" t="str">
        <f>CONCATENATE("")</f>
        <v/>
      </c>
      <c r="L21" s="7" t="str">
        <f>CONCATENATE("6 6.1 2b")</f>
        <v>6 6.1 2b</v>
      </c>
      <c r="M21" s="7" t="str">
        <f>CONCATENATE("CMNMSM84L19H211F")</f>
        <v>CMNMSM84L19H211F</v>
      </c>
      <c r="N21" s="7" t="s">
        <v>86</v>
      </c>
      <c r="O21" s="7" t="s">
        <v>87</v>
      </c>
      <c r="P21" s="8">
        <v>44614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10185</v>
      </c>
      <c r="W21" s="9">
        <v>4391.7700000000004</v>
      </c>
      <c r="X21" s="9">
        <v>4055.67</v>
      </c>
      <c r="Y21" s="7">
        <v>0</v>
      </c>
      <c r="Z21" s="9">
        <v>1737.56</v>
      </c>
    </row>
    <row r="22" spans="1:26" x14ac:dyDescent="0.35">
      <c r="A22" s="7" t="s">
        <v>27</v>
      </c>
      <c r="B22" s="7" t="s">
        <v>28</v>
      </c>
      <c r="C22" s="7" t="s">
        <v>48</v>
      </c>
      <c r="D22" s="7" t="s">
        <v>48</v>
      </c>
      <c r="E22" s="7" t="s">
        <v>36</v>
      </c>
      <c r="F22" s="7" t="s">
        <v>36</v>
      </c>
      <c r="G22" s="7">
        <v>2017</v>
      </c>
      <c r="H22" s="7" t="str">
        <f>CONCATENATE("14270363394")</f>
        <v>14270363394</v>
      </c>
      <c r="I22" s="7" t="s">
        <v>30</v>
      </c>
      <c r="J22" s="7" t="s">
        <v>31</v>
      </c>
      <c r="K22" s="7" t="str">
        <f>CONCATENATE("")</f>
        <v/>
      </c>
      <c r="L22" s="7" t="str">
        <f>CONCATENATE("19 19.2 6b")</f>
        <v>19 19.2 6b</v>
      </c>
      <c r="M22" s="7" t="str">
        <f>CONCATENATE("00360660419")</f>
        <v>00360660419</v>
      </c>
      <c r="N22" s="7" t="s">
        <v>88</v>
      </c>
      <c r="O22" s="7" t="s">
        <v>89</v>
      </c>
      <c r="P22" s="8">
        <v>44614</v>
      </c>
      <c r="Q22" s="7" t="s">
        <v>32</v>
      </c>
      <c r="R22" s="7" t="s">
        <v>37</v>
      </c>
      <c r="S22" s="7" t="s">
        <v>34</v>
      </c>
      <c r="T22" s="7"/>
      <c r="U22" s="7" t="s">
        <v>35</v>
      </c>
      <c r="V22" s="9">
        <v>29130.43</v>
      </c>
      <c r="W22" s="9">
        <v>12561.04</v>
      </c>
      <c r="X22" s="9">
        <v>11599.74</v>
      </c>
      <c r="Y22" s="7">
        <v>0</v>
      </c>
      <c r="Z22" s="9">
        <v>4969.6499999999996</v>
      </c>
    </row>
    <row r="23" spans="1:26" ht="17.5" x14ac:dyDescent="0.35">
      <c r="A23" s="7" t="s">
        <v>27</v>
      </c>
      <c r="B23" s="7" t="s">
        <v>40</v>
      </c>
      <c r="C23" s="7" t="s">
        <v>48</v>
      </c>
      <c r="D23" s="7" t="s">
        <v>61</v>
      </c>
      <c r="E23" s="7" t="s">
        <v>42</v>
      </c>
      <c r="F23" s="7" t="s">
        <v>90</v>
      </c>
      <c r="G23" s="7">
        <v>2021</v>
      </c>
      <c r="H23" s="7" t="str">
        <f>CONCATENATE("14240278078")</f>
        <v>14240278078</v>
      </c>
      <c r="I23" s="7" t="s">
        <v>30</v>
      </c>
      <c r="J23" s="7" t="s">
        <v>31</v>
      </c>
      <c r="K23" s="7" t="str">
        <f>CONCATENATE("")</f>
        <v/>
      </c>
      <c r="L23" s="7" t="str">
        <f>CONCATENATE("10 10.1 4a")</f>
        <v>10 10.1 4a</v>
      </c>
      <c r="M23" s="7" t="str">
        <f>CONCATENATE("02731480428")</f>
        <v>02731480428</v>
      </c>
      <c r="N23" s="7" t="s">
        <v>91</v>
      </c>
      <c r="O23" s="7" t="s">
        <v>92</v>
      </c>
      <c r="P23" s="8">
        <v>44610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7">
        <v>376.32</v>
      </c>
      <c r="W23" s="7">
        <v>162.27000000000001</v>
      </c>
      <c r="X23" s="7">
        <v>149.85</v>
      </c>
      <c r="Y23" s="7">
        <v>0</v>
      </c>
      <c r="Z23" s="7">
        <v>64.2</v>
      </c>
    </row>
    <row r="24" spans="1:26" x14ac:dyDescent="0.35">
      <c r="A24" s="7" t="s">
        <v>27</v>
      </c>
      <c r="B24" s="7" t="s">
        <v>40</v>
      </c>
      <c r="C24" s="7" t="s">
        <v>48</v>
      </c>
      <c r="D24" s="7" t="s">
        <v>61</v>
      </c>
      <c r="E24" s="7" t="s">
        <v>42</v>
      </c>
      <c r="F24" s="7" t="s">
        <v>90</v>
      </c>
      <c r="G24" s="7">
        <v>2021</v>
      </c>
      <c r="H24" s="7" t="str">
        <f>CONCATENATE("14240455387")</f>
        <v>14240455387</v>
      </c>
      <c r="I24" s="7" t="s">
        <v>30</v>
      </c>
      <c r="J24" s="7" t="s">
        <v>31</v>
      </c>
      <c r="K24" s="7" t="str">
        <f>CONCATENATE("")</f>
        <v/>
      </c>
      <c r="L24" s="7" t="str">
        <f>CONCATENATE("10 10.1 4a")</f>
        <v>10 10.1 4a</v>
      </c>
      <c r="M24" s="7" t="str">
        <f>CONCATENATE("TNTGRG75S17E388V")</f>
        <v>TNTGRG75S17E388V</v>
      </c>
      <c r="N24" s="7" t="s">
        <v>93</v>
      </c>
      <c r="O24" s="7" t="s">
        <v>92</v>
      </c>
      <c r="P24" s="8">
        <v>44610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1458.48</v>
      </c>
      <c r="W24" s="7">
        <v>628.9</v>
      </c>
      <c r="X24" s="7">
        <v>580.77</v>
      </c>
      <c r="Y24" s="7">
        <v>0</v>
      </c>
      <c r="Z24" s="7">
        <v>248.81</v>
      </c>
    </row>
    <row r="25" spans="1:26" x14ac:dyDescent="0.35">
      <c r="A25" s="7" t="s">
        <v>27</v>
      </c>
      <c r="B25" s="7" t="s">
        <v>40</v>
      </c>
      <c r="C25" s="7" t="s">
        <v>48</v>
      </c>
      <c r="D25" s="7" t="s">
        <v>61</v>
      </c>
      <c r="E25" s="7" t="s">
        <v>42</v>
      </c>
      <c r="F25" s="7" t="s">
        <v>94</v>
      </c>
      <c r="G25" s="7">
        <v>2021</v>
      </c>
      <c r="H25" s="7" t="str">
        <f>CONCATENATE("14241187583")</f>
        <v>14241187583</v>
      </c>
      <c r="I25" s="7" t="s">
        <v>30</v>
      </c>
      <c r="J25" s="7" t="s">
        <v>31</v>
      </c>
      <c r="K25" s="7" t="str">
        <f>CONCATENATE("")</f>
        <v/>
      </c>
      <c r="L25" s="7" t="str">
        <f>CONCATENATE("10 10.1 4a")</f>
        <v>10 10.1 4a</v>
      </c>
      <c r="M25" s="7" t="str">
        <f>CONCATENATE("CMPDNL97S16D451X")</f>
        <v>CMPDNL97S16D451X</v>
      </c>
      <c r="N25" s="7" t="s">
        <v>95</v>
      </c>
      <c r="O25" s="7" t="s">
        <v>92</v>
      </c>
      <c r="P25" s="8">
        <v>44610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494.35</v>
      </c>
      <c r="W25" s="7">
        <v>213.16</v>
      </c>
      <c r="X25" s="7">
        <v>196.85</v>
      </c>
      <c r="Y25" s="7">
        <v>0</v>
      </c>
      <c r="Z25" s="7">
        <v>84.34</v>
      </c>
    </row>
    <row r="26" spans="1:26" ht="17.5" x14ac:dyDescent="0.35">
      <c r="A26" s="7" t="s">
        <v>27</v>
      </c>
      <c r="B26" s="7" t="s">
        <v>40</v>
      </c>
      <c r="C26" s="7" t="s">
        <v>48</v>
      </c>
      <c r="D26" s="7" t="s">
        <v>61</v>
      </c>
      <c r="E26" s="7" t="s">
        <v>42</v>
      </c>
      <c r="F26" s="7" t="s">
        <v>90</v>
      </c>
      <c r="G26" s="7">
        <v>2021</v>
      </c>
      <c r="H26" s="7" t="str">
        <f>CONCATENATE("14241081992")</f>
        <v>14241081992</v>
      </c>
      <c r="I26" s="7" t="s">
        <v>30</v>
      </c>
      <c r="J26" s="7" t="s">
        <v>31</v>
      </c>
      <c r="K26" s="7" t="str">
        <f>CONCATENATE("")</f>
        <v/>
      </c>
      <c r="L26" s="7" t="str">
        <f>CONCATENATE("10 10.1 4a")</f>
        <v>10 10.1 4a</v>
      </c>
      <c r="M26" s="7" t="str">
        <f>CONCATENATE("01474980420")</f>
        <v>01474980420</v>
      </c>
      <c r="N26" s="7" t="s">
        <v>96</v>
      </c>
      <c r="O26" s="7" t="s">
        <v>92</v>
      </c>
      <c r="P26" s="8">
        <v>44610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1166.3599999999999</v>
      </c>
      <c r="W26" s="7">
        <v>502.93</v>
      </c>
      <c r="X26" s="7">
        <v>464.44</v>
      </c>
      <c r="Y26" s="7">
        <v>0</v>
      </c>
      <c r="Z26" s="7">
        <v>198.99</v>
      </c>
    </row>
    <row r="27" spans="1:26" x14ac:dyDescent="0.35">
      <c r="A27" s="7" t="s">
        <v>27</v>
      </c>
      <c r="B27" s="7" t="s">
        <v>40</v>
      </c>
      <c r="C27" s="7" t="s">
        <v>48</v>
      </c>
      <c r="D27" s="7" t="s">
        <v>53</v>
      </c>
      <c r="E27" s="7" t="s">
        <v>41</v>
      </c>
      <c r="F27" s="7" t="s">
        <v>97</v>
      </c>
      <c r="G27" s="7">
        <v>2021</v>
      </c>
      <c r="H27" s="7" t="str">
        <f>CONCATENATE("14240851932")</f>
        <v>14240851932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CONCATENATE("DNGSML94P23H769O")</f>
        <v>DNGSML94P23H769O</v>
      </c>
      <c r="N27" s="7" t="s">
        <v>98</v>
      </c>
      <c r="O27" s="7" t="s">
        <v>81</v>
      </c>
      <c r="P27" s="8">
        <v>44610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1882.35</v>
      </c>
      <c r="W27" s="7">
        <v>811.67</v>
      </c>
      <c r="X27" s="7">
        <v>749.55</v>
      </c>
      <c r="Y27" s="7">
        <v>0</v>
      </c>
      <c r="Z27" s="7">
        <v>321.13</v>
      </c>
    </row>
    <row r="28" spans="1:26" x14ac:dyDescent="0.35">
      <c r="A28" s="7" t="s">
        <v>27</v>
      </c>
      <c r="B28" s="7" t="s">
        <v>40</v>
      </c>
      <c r="C28" s="7" t="s">
        <v>48</v>
      </c>
      <c r="D28" s="7" t="s">
        <v>49</v>
      </c>
      <c r="E28" s="7" t="s">
        <v>29</v>
      </c>
      <c r="F28" s="7" t="s">
        <v>99</v>
      </c>
      <c r="G28" s="7">
        <v>2021</v>
      </c>
      <c r="H28" s="7" t="str">
        <f>CONCATENATE("14240631169")</f>
        <v>14240631169</v>
      </c>
      <c r="I28" s="7" t="s">
        <v>30</v>
      </c>
      <c r="J28" s="7" t="s">
        <v>31</v>
      </c>
      <c r="K28" s="7" t="str">
        <f>CONCATENATE("")</f>
        <v/>
      </c>
      <c r="L28" s="7" t="str">
        <f>CONCATENATE("11 11.1 4b")</f>
        <v>11 11.1 4b</v>
      </c>
      <c r="M28" s="7" t="str">
        <f>CONCATENATE("RGNNNS78B48L500C")</f>
        <v>RGNNNS78B48L500C</v>
      </c>
      <c r="N28" s="7" t="s">
        <v>100</v>
      </c>
      <c r="O28" s="7" t="s">
        <v>81</v>
      </c>
      <c r="P28" s="8">
        <v>44610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1284.9100000000001</v>
      </c>
      <c r="W28" s="7">
        <v>554.04999999999995</v>
      </c>
      <c r="X28" s="7">
        <v>511.65</v>
      </c>
      <c r="Y28" s="7">
        <v>0</v>
      </c>
      <c r="Z28" s="7">
        <v>219.21</v>
      </c>
    </row>
    <row r="29" spans="1:26" x14ac:dyDescent="0.35">
      <c r="A29" s="7" t="s">
        <v>27</v>
      </c>
      <c r="B29" s="7" t="s">
        <v>40</v>
      </c>
      <c r="C29" s="7" t="s">
        <v>48</v>
      </c>
      <c r="D29" s="7" t="s">
        <v>49</v>
      </c>
      <c r="E29" s="7" t="s">
        <v>41</v>
      </c>
      <c r="F29" s="7" t="s">
        <v>101</v>
      </c>
      <c r="G29" s="7">
        <v>2021</v>
      </c>
      <c r="H29" s="7" t="str">
        <f>CONCATENATE("14241008672")</f>
        <v>14241008672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CONCATENATE("GSPLRS78C27L500R")</f>
        <v>GSPLRS78C27L500R</v>
      </c>
      <c r="N29" s="7" t="s">
        <v>102</v>
      </c>
      <c r="O29" s="7" t="s">
        <v>81</v>
      </c>
      <c r="P29" s="8">
        <v>44610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2896.36</v>
      </c>
      <c r="W29" s="9">
        <v>1248.9100000000001</v>
      </c>
      <c r="X29" s="9">
        <v>1153.33</v>
      </c>
      <c r="Y29" s="7">
        <v>0</v>
      </c>
      <c r="Z29" s="7">
        <v>494.12</v>
      </c>
    </row>
    <row r="30" spans="1:26" x14ac:dyDescent="0.35">
      <c r="A30" s="7" t="s">
        <v>27</v>
      </c>
      <c r="B30" s="7" t="s">
        <v>40</v>
      </c>
      <c r="C30" s="7" t="s">
        <v>48</v>
      </c>
      <c r="D30" s="7" t="s">
        <v>49</v>
      </c>
      <c r="E30" s="7" t="s">
        <v>41</v>
      </c>
      <c r="F30" s="7" t="s">
        <v>101</v>
      </c>
      <c r="G30" s="7">
        <v>2021</v>
      </c>
      <c r="H30" s="7" t="str">
        <f>CONCATENATE("14241008862")</f>
        <v>14241008862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CONCATENATE("GSPLRS78C27L500R")</f>
        <v>GSPLRS78C27L500R</v>
      </c>
      <c r="N30" s="7" t="s">
        <v>102</v>
      </c>
      <c r="O30" s="7" t="s">
        <v>81</v>
      </c>
      <c r="P30" s="8">
        <v>44610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4459.08</v>
      </c>
      <c r="W30" s="9">
        <v>1922.76</v>
      </c>
      <c r="X30" s="9">
        <v>1775.61</v>
      </c>
      <c r="Y30" s="7">
        <v>0</v>
      </c>
      <c r="Z30" s="7">
        <v>760.71</v>
      </c>
    </row>
    <row r="31" spans="1:26" x14ac:dyDescent="0.35">
      <c r="A31" s="7" t="s">
        <v>27</v>
      </c>
      <c r="B31" s="7" t="s">
        <v>40</v>
      </c>
      <c r="C31" s="7" t="s">
        <v>48</v>
      </c>
      <c r="D31" s="7" t="s">
        <v>49</v>
      </c>
      <c r="E31" s="7" t="s">
        <v>42</v>
      </c>
      <c r="F31" s="7" t="s">
        <v>103</v>
      </c>
      <c r="G31" s="7">
        <v>2021</v>
      </c>
      <c r="H31" s="7" t="str">
        <f>CONCATENATE("14240668401")</f>
        <v>14240668401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11.1 4b")</f>
        <v>11 11.1 4b</v>
      </c>
      <c r="M31" s="7" t="str">
        <f>CONCATENATE("VRDGNI67M21D749Z")</f>
        <v>VRDGNI67M21D749Z</v>
      </c>
      <c r="N31" s="7" t="s">
        <v>104</v>
      </c>
      <c r="O31" s="7" t="s">
        <v>81</v>
      </c>
      <c r="P31" s="8">
        <v>44610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7">
        <v>910.61</v>
      </c>
      <c r="W31" s="7">
        <v>392.66</v>
      </c>
      <c r="X31" s="7">
        <v>362.6</v>
      </c>
      <c r="Y31" s="7">
        <v>0</v>
      </c>
      <c r="Z31" s="7">
        <v>155.35</v>
      </c>
    </row>
    <row r="32" spans="1:26" x14ac:dyDescent="0.35">
      <c r="A32" s="7" t="s">
        <v>27</v>
      </c>
      <c r="B32" s="7" t="s">
        <v>40</v>
      </c>
      <c r="C32" s="7" t="s">
        <v>48</v>
      </c>
      <c r="D32" s="7" t="s">
        <v>53</v>
      </c>
      <c r="E32" s="7" t="s">
        <v>29</v>
      </c>
      <c r="F32" s="7" t="s">
        <v>105</v>
      </c>
      <c r="G32" s="7">
        <v>2021</v>
      </c>
      <c r="H32" s="7" t="str">
        <f>CONCATENATE("14240949389")</f>
        <v>14240949389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CONCATENATE("SCBDRN58S27E208O")</f>
        <v>SCBDRN58S27E208O</v>
      </c>
      <c r="N32" s="7" t="s">
        <v>106</v>
      </c>
      <c r="O32" s="7" t="s">
        <v>81</v>
      </c>
      <c r="P32" s="8">
        <v>44610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9693.48</v>
      </c>
      <c r="W32" s="9">
        <v>4179.83</v>
      </c>
      <c r="X32" s="9">
        <v>3859.94</v>
      </c>
      <c r="Y32" s="7">
        <v>0</v>
      </c>
      <c r="Z32" s="9">
        <v>1653.71</v>
      </c>
    </row>
    <row r="33" spans="1:26" x14ac:dyDescent="0.35">
      <c r="A33" s="7" t="s">
        <v>27</v>
      </c>
      <c r="B33" s="7" t="s">
        <v>40</v>
      </c>
      <c r="C33" s="7" t="s">
        <v>48</v>
      </c>
      <c r="D33" s="7" t="s">
        <v>49</v>
      </c>
      <c r="E33" s="7" t="s">
        <v>46</v>
      </c>
      <c r="F33" s="7" t="s">
        <v>107</v>
      </c>
      <c r="G33" s="7">
        <v>2021</v>
      </c>
      <c r="H33" s="7" t="str">
        <f>CONCATENATE("14240280827")</f>
        <v>14240280827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CONCATENATE("CNTNMR52A44F478T")</f>
        <v>CNTNMR52A44F478T</v>
      </c>
      <c r="N33" s="7" t="s">
        <v>108</v>
      </c>
      <c r="O33" s="7" t="s">
        <v>81</v>
      </c>
      <c r="P33" s="8">
        <v>44610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84.17</v>
      </c>
      <c r="W33" s="7">
        <v>36.29</v>
      </c>
      <c r="X33" s="7">
        <v>33.520000000000003</v>
      </c>
      <c r="Y33" s="7">
        <v>0</v>
      </c>
      <c r="Z33" s="7">
        <v>14.36</v>
      </c>
    </row>
    <row r="34" spans="1:26" x14ac:dyDescent="0.35">
      <c r="A34" s="7" t="s">
        <v>27</v>
      </c>
      <c r="B34" s="7" t="s">
        <v>40</v>
      </c>
      <c r="C34" s="7" t="s">
        <v>48</v>
      </c>
      <c r="D34" s="7" t="s">
        <v>53</v>
      </c>
      <c r="E34" s="7" t="s">
        <v>43</v>
      </c>
      <c r="F34" s="7" t="s">
        <v>109</v>
      </c>
      <c r="G34" s="7">
        <v>2021</v>
      </c>
      <c r="H34" s="7" t="str">
        <f>CONCATENATE("14240464942")</f>
        <v>14240464942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CONCATENATE("FDLPLA67T51H769B")</f>
        <v>FDLPLA67T51H769B</v>
      </c>
      <c r="N34" s="7" t="s">
        <v>110</v>
      </c>
      <c r="O34" s="7" t="s">
        <v>81</v>
      </c>
      <c r="P34" s="8">
        <v>44610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1922.9</v>
      </c>
      <c r="W34" s="7">
        <v>829.15</v>
      </c>
      <c r="X34" s="7">
        <v>765.7</v>
      </c>
      <c r="Y34" s="7">
        <v>0</v>
      </c>
      <c r="Z34" s="7">
        <v>328.05</v>
      </c>
    </row>
    <row r="35" spans="1:26" x14ac:dyDescent="0.35">
      <c r="A35" s="7" t="s">
        <v>27</v>
      </c>
      <c r="B35" s="7" t="s">
        <v>40</v>
      </c>
      <c r="C35" s="7" t="s">
        <v>48</v>
      </c>
      <c r="D35" s="7" t="s">
        <v>53</v>
      </c>
      <c r="E35" s="7" t="s">
        <v>42</v>
      </c>
      <c r="F35" s="7" t="s">
        <v>111</v>
      </c>
      <c r="G35" s="7">
        <v>2021</v>
      </c>
      <c r="H35" s="7" t="str">
        <f>CONCATENATE("14240035718")</f>
        <v>14240035718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CONCATENATE("BRCMLL64C54G516S")</f>
        <v>BRCMLL64C54G516S</v>
      </c>
      <c r="N35" s="7" t="s">
        <v>112</v>
      </c>
      <c r="O35" s="7" t="s">
        <v>81</v>
      </c>
      <c r="P35" s="8">
        <v>44610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1637.46</v>
      </c>
      <c r="W35" s="7">
        <v>706.07</v>
      </c>
      <c r="X35" s="7">
        <v>652.04</v>
      </c>
      <c r="Y35" s="7">
        <v>0</v>
      </c>
      <c r="Z35" s="7">
        <v>279.35000000000002</v>
      </c>
    </row>
    <row r="36" spans="1:26" x14ac:dyDescent="0.35">
      <c r="A36" s="7" t="s">
        <v>27</v>
      </c>
      <c r="B36" s="7" t="s">
        <v>40</v>
      </c>
      <c r="C36" s="7" t="s">
        <v>48</v>
      </c>
      <c r="D36" s="7" t="s">
        <v>74</v>
      </c>
      <c r="E36" s="7" t="s">
        <v>46</v>
      </c>
      <c r="F36" s="7" t="s">
        <v>113</v>
      </c>
      <c r="G36" s="7">
        <v>2021</v>
      </c>
      <c r="H36" s="7" t="str">
        <f>CONCATENATE("14240067729")</f>
        <v>14240067729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CONCATENATE("PSSGNN61H64E690T")</f>
        <v>PSSGNN61H64E690T</v>
      </c>
      <c r="N36" s="7" t="s">
        <v>114</v>
      </c>
      <c r="O36" s="7" t="s">
        <v>81</v>
      </c>
      <c r="P36" s="8">
        <v>44610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2060.16</v>
      </c>
      <c r="W36" s="7">
        <v>888.34</v>
      </c>
      <c r="X36" s="7">
        <v>820.36</v>
      </c>
      <c r="Y36" s="7">
        <v>0</v>
      </c>
      <c r="Z36" s="7">
        <v>351.46</v>
      </c>
    </row>
    <row r="37" spans="1:26" x14ac:dyDescent="0.35">
      <c r="A37" s="7" t="s">
        <v>27</v>
      </c>
      <c r="B37" s="7" t="s">
        <v>40</v>
      </c>
      <c r="C37" s="7" t="s">
        <v>48</v>
      </c>
      <c r="D37" s="7" t="s">
        <v>74</v>
      </c>
      <c r="E37" s="7" t="s">
        <v>46</v>
      </c>
      <c r="F37" s="7" t="s">
        <v>115</v>
      </c>
      <c r="G37" s="7">
        <v>2021</v>
      </c>
      <c r="H37" s="7" t="str">
        <f>CONCATENATE("14240495268")</f>
        <v>14240495268</v>
      </c>
      <c r="I37" s="7" t="s">
        <v>30</v>
      </c>
      <c r="J37" s="7" t="s">
        <v>31</v>
      </c>
      <c r="K37" s="7" t="str">
        <f>CONCATENATE("")</f>
        <v/>
      </c>
      <c r="L37" s="7" t="str">
        <f>CONCATENATE("11 11.2 4b")</f>
        <v>11 11.2 4b</v>
      </c>
      <c r="M37" s="7" t="str">
        <f>CONCATENATE("01831500432")</f>
        <v>01831500432</v>
      </c>
      <c r="N37" s="7" t="s">
        <v>116</v>
      </c>
      <c r="O37" s="7" t="s">
        <v>81</v>
      </c>
      <c r="P37" s="8">
        <v>44610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2051.4299999999998</v>
      </c>
      <c r="W37" s="7">
        <v>884.58</v>
      </c>
      <c r="X37" s="7">
        <v>816.88</v>
      </c>
      <c r="Y37" s="7">
        <v>0</v>
      </c>
      <c r="Z37" s="7">
        <v>349.97</v>
      </c>
    </row>
    <row r="38" spans="1:26" ht="17.5" x14ac:dyDescent="0.35">
      <c r="A38" s="7" t="s">
        <v>27</v>
      </c>
      <c r="B38" s="7" t="s">
        <v>40</v>
      </c>
      <c r="C38" s="7" t="s">
        <v>48</v>
      </c>
      <c r="D38" s="7" t="s">
        <v>53</v>
      </c>
      <c r="E38" s="7" t="s">
        <v>42</v>
      </c>
      <c r="F38" s="7" t="s">
        <v>111</v>
      </c>
      <c r="G38" s="7">
        <v>2021</v>
      </c>
      <c r="H38" s="7" t="str">
        <f>CONCATENATE("14240082405")</f>
        <v>14240082405</v>
      </c>
      <c r="I38" s="7" t="s">
        <v>30</v>
      </c>
      <c r="J38" s="7" t="s">
        <v>31</v>
      </c>
      <c r="K38" s="7" t="str">
        <f>CONCATENATE("")</f>
        <v/>
      </c>
      <c r="L38" s="7" t="str">
        <f>CONCATENATE("11 11.2 4b")</f>
        <v>11 11.2 4b</v>
      </c>
      <c r="M38" s="7" t="str">
        <f>CONCATENATE("02366360440")</f>
        <v>02366360440</v>
      </c>
      <c r="N38" s="7" t="s">
        <v>117</v>
      </c>
      <c r="O38" s="7" t="s">
        <v>81</v>
      </c>
      <c r="P38" s="8">
        <v>44610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7177.21</v>
      </c>
      <c r="W38" s="9">
        <v>3094.81</v>
      </c>
      <c r="X38" s="9">
        <v>2857.97</v>
      </c>
      <c r="Y38" s="7">
        <v>0</v>
      </c>
      <c r="Z38" s="9">
        <v>1224.43</v>
      </c>
    </row>
    <row r="39" spans="1:26" x14ac:dyDescent="0.35">
      <c r="A39" s="7" t="s">
        <v>27</v>
      </c>
      <c r="B39" s="7" t="s">
        <v>40</v>
      </c>
      <c r="C39" s="7" t="s">
        <v>48</v>
      </c>
      <c r="D39" s="7" t="s">
        <v>53</v>
      </c>
      <c r="E39" s="7" t="s">
        <v>41</v>
      </c>
      <c r="F39" s="7" t="s">
        <v>97</v>
      </c>
      <c r="G39" s="7">
        <v>2021</v>
      </c>
      <c r="H39" s="7" t="str">
        <f>CONCATENATE("14241092312")</f>
        <v>14241092312</v>
      </c>
      <c r="I39" s="7" t="s">
        <v>30</v>
      </c>
      <c r="J39" s="7" t="s">
        <v>31</v>
      </c>
      <c r="K39" s="7" t="str">
        <f>CONCATENATE("")</f>
        <v/>
      </c>
      <c r="L39" s="7" t="str">
        <f>CONCATENATE("11 11.2 4b")</f>
        <v>11 11.2 4b</v>
      </c>
      <c r="M39" s="7" t="str">
        <f>CONCATENATE("QTDMTT80C01F704C")</f>
        <v>QTDMTT80C01F704C</v>
      </c>
      <c r="N39" s="7" t="s">
        <v>118</v>
      </c>
      <c r="O39" s="7" t="s">
        <v>81</v>
      </c>
      <c r="P39" s="8">
        <v>44610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274.85000000000002</v>
      </c>
      <c r="W39" s="7">
        <v>118.52</v>
      </c>
      <c r="X39" s="7">
        <v>109.45</v>
      </c>
      <c r="Y39" s="7">
        <v>0</v>
      </c>
      <c r="Z39" s="7">
        <v>46.88</v>
      </c>
    </row>
    <row r="40" spans="1:26" x14ac:dyDescent="0.35">
      <c r="A40" s="7" t="s">
        <v>27</v>
      </c>
      <c r="B40" s="7" t="s">
        <v>40</v>
      </c>
      <c r="C40" s="7" t="s">
        <v>48</v>
      </c>
      <c r="D40" s="7" t="s">
        <v>49</v>
      </c>
      <c r="E40" s="7" t="s">
        <v>41</v>
      </c>
      <c r="F40" s="7" t="s">
        <v>101</v>
      </c>
      <c r="G40" s="7">
        <v>2021</v>
      </c>
      <c r="H40" s="7" t="str">
        <f>CONCATENATE("14240984899")</f>
        <v>14240984899</v>
      </c>
      <c r="I40" s="7" t="s">
        <v>30</v>
      </c>
      <c r="J40" s="7" t="s">
        <v>31</v>
      </c>
      <c r="K40" s="7" t="str">
        <f>CONCATENATE("")</f>
        <v/>
      </c>
      <c r="L40" s="7" t="str">
        <f>CONCATENATE("11 11.2 4b")</f>
        <v>11 11.2 4b</v>
      </c>
      <c r="M40" s="7" t="str">
        <f>CONCATENATE("01406820413")</f>
        <v>01406820413</v>
      </c>
      <c r="N40" s="7" t="s">
        <v>119</v>
      </c>
      <c r="O40" s="7" t="s">
        <v>81</v>
      </c>
      <c r="P40" s="8">
        <v>44610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4026.77</v>
      </c>
      <c r="W40" s="9">
        <v>1736.34</v>
      </c>
      <c r="X40" s="9">
        <v>1603.46</v>
      </c>
      <c r="Y40" s="7">
        <v>0</v>
      </c>
      <c r="Z40" s="7">
        <v>686.97</v>
      </c>
    </row>
    <row r="41" spans="1:26" x14ac:dyDescent="0.35">
      <c r="A41" s="7" t="s">
        <v>27</v>
      </c>
      <c r="B41" s="7" t="s">
        <v>40</v>
      </c>
      <c r="C41" s="7" t="s">
        <v>48</v>
      </c>
      <c r="D41" s="7" t="s">
        <v>53</v>
      </c>
      <c r="E41" s="7" t="s">
        <v>41</v>
      </c>
      <c r="F41" s="7" t="s">
        <v>97</v>
      </c>
      <c r="G41" s="7">
        <v>2021</v>
      </c>
      <c r="H41" s="7" t="str">
        <f>CONCATENATE("14240138413")</f>
        <v>14240138413</v>
      </c>
      <c r="I41" s="7" t="s">
        <v>30</v>
      </c>
      <c r="J41" s="7" t="s">
        <v>31</v>
      </c>
      <c r="K41" s="7" t="str">
        <f>CONCATENATE("")</f>
        <v/>
      </c>
      <c r="L41" s="7" t="str">
        <f>CONCATENATE("11 11.2 4b")</f>
        <v>11 11.2 4b</v>
      </c>
      <c r="M41" s="7" t="str">
        <f>CONCATENATE("01814170443")</f>
        <v>01814170443</v>
      </c>
      <c r="N41" s="7" t="s">
        <v>120</v>
      </c>
      <c r="O41" s="7" t="s">
        <v>81</v>
      </c>
      <c r="P41" s="8">
        <v>44610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103503.58</v>
      </c>
      <c r="W41" s="9">
        <v>44630.74</v>
      </c>
      <c r="X41" s="9">
        <v>41215.129999999997</v>
      </c>
      <c r="Y41" s="7">
        <v>0</v>
      </c>
      <c r="Z41" s="9">
        <v>17657.71</v>
      </c>
    </row>
    <row r="42" spans="1:26" x14ac:dyDescent="0.35">
      <c r="A42" s="7" t="s">
        <v>27</v>
      </c>
      <c r="B42" s="7" t="s">
        <v>40</v>
      </c>
      <c r="C42" s="7" t="s">
        <v>48</v>
      </c>
      <c r="D42" s="7" t="s">
        <v>49</v>
      </c>
      <c r="E42" s="7" t="s">
        <v>36</v>
      </c>
      <c r="F42" s="7" t="s">
        <v>36</v>
      </c>
      <c r="G42" s="7">
        <v>2021</v>
      </c>
      <c r="H42" s="7" t="str">
        <f>CONCATENATE("14240676586")</f>
        <v>14240676586</v>
      </c>
      <c r="I42" s="7" t="s">
        <v>30</v>
      </c>
      <c r="J42" s="7" t="s">
        <v>31</v>
      </c>
      <c r="K42" s="7" t="str">
        <f>CONCATENATE("")</f>
        <v/>
      </c>
      <c r="L42" s="7" t="str">
        <f>CONCATENATE("11 11.2 4b")</f>
        <v>11 11.2 4b</v>
      </c>
      <c r="M42" s="7" t="str">
        <f>CONCATENATE("LRGNTN59B23E785T")</f>
        <v>LRGNTN59B23E785T</v>
      </c>
      <c r="N42" s="7" t="s">
        <v>121</v>
      </c>
      <c r="O42" s="7" t="s">
        <v>81</v>
      </c>
      <c r="P42" s="8">
        <v>44610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9177.15</v>
      </c>
      <c r="W42" s="9">
        <v>3957.19</v>
      </c>
      <c r="X42" s="9">
        <v>3654.34</v>
      </c>
      <c r="Y42" s="7">
        <v>0</v>
      </c>
      <c r="Z42" s="9">
        <v>1565.62</v>
      </c>
    </row>
    <row r="43" spans="1:26" x14ac:dyDescent="0.35">
      <c r="A43" s="7" t="s">
        <v>27</v>
      </c>
      <c r="B43" s="7" t="s">
        <v>40</v>
      </c>
      <c r="C43" s="7" t="s">
        <v>48</v>
      </c>
      <c r="D43" s="7" t="s">
        <v>74</v>
      </c>
      <c r="E43" s="7" t="s">
        <v>46</v>
      </c>
      <c r="F43" s="7" t="s">
        <v>113</v>
      </c>
      <c r="G43" s="7">
        <v>2021</v>
      </c>
      <c r="H43" s="7" t="str">
        <f>CONCATENATE("14240396789")</f>
        <v>14240396789</v>
      </c>
      <c r="I43" s="7" t="s">
        <v>30</v>
      </c>
      <c r="J43" s="7" t="s">
        <v>31</v>
      </c>
      <c r="K43" s="7" t="str">
        <f>CONCATENATE("")</f>
        <v/>
      </c>
      <c r="L43" s="7" t="str">
        <f>CONCATENATE("11 11.2 4b")</f>
        <v>11 11.2 4b</v>
      </c>
      <c r="M43" s="7" t="str">
        <f>CONCATENATE("CNGGRG36P24E783M")</f>
        <v>CNGGRG36P24E783M</v>
      </c>
      <c r="N43" s="7" t="s">
        <v>122</v>
      </c>
      <c r="O43" s="7" t="s">
        <v>81</v>
      </c>
      <c r="P43" s="8">
        <v>44610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3371.7</v>
      </c>
      <c r="W43" s="9">
        <v>1453.88</v>
      </c>
      <c r="X43" s="9">
        <v>1342.61</v>
      </c>
      <c r="Y43" s="7">
        <v>0</v>
      </c>
      <c r="Z43" s="7">
        <v>575.21</v>
      </c>
    </row>
    <row r="44" spans="1:26" x14ac:dyDescent="0.35">
      <c r="A44" s="7" t="s">
        <v>27</v>
      </c>
      <c r="B44" s="7" t="s">
        <v>40</v>
      </c>
      <c r="C44" s="7" t="s">
        <v>48</v>
      </c>
      <c r="D44" s="7" t="s">
        <v>49</v>
      </c>
      <c r="E44" s="7" t="s">
        <v>46</v>
      </c>
      <c r="F44" s="7" t="s">
        <v>107</v>
      </c>
      <c r="G44" s="7">
        <v>2021</v>
      </c>
      <c r="H44" s="7" t="str">
        <f>CONCATENATE("14240192659")</f>
        <v>14240192659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CONCATENATE("00456890417")</f>
        <v>00456890417</v>
      </c>
      <c r="N44" s="7" t="s">
        <v>123</v>
      </c>
      <c r="O44" s="7" t="s">
        <v>81</v>
      </c>
      <c r="P44" s="8">
        <v>44610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134.5</v>
      </c>
      <c r="W44" s="7">
        <v>58</v>
      </c>
      <c r="X44" s="7">
        <v>53.56</v>
      </c>
      <c r="Y44" s="7">
        <v>0</v>
      </c>
      <c r="Z44" s="7">
        <v>22.94</v>
      </c>
    </row>
    <row r="45" spans="1:26" x14ac:dyDescent="0.35">
      <c r="A45" s="7" t="s">
        <v>27</v>
      </c>
      <c r="B45" s="7" t="s">
        <v>40</v>
      </c>
      <c r="C45" s="7" t="s">
        <v>48</v>
      </c>
      <c r="D45" s="7" t="s">
        <v>53</v>
      </c>
      <c r="E45" s="7" t="s">
        <v>36</v>
      </c>
      <c r="F45" s="7" t="s">
        <v>36</v>
      </c>
      <c r="G45" s="7">
        <v>2021</v>
      </c>
      <c r="H45" s="7" t="str">
        <f>CONCATENATE("14241280503")</f>
        <v>14241280503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CONCATENATE("02100760442")</f>
        <v>02100760442</v>
      </c>
      <c r="N45" s="7" t="s">
        <v>124</v>
      </c>
      <c r="O45" s="7" t="s">
        <v>81</v>
      </c>
      <c r="P45" s="8">
        <v>44610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7">
        <v>931.14</v>
      </c>
      <c r="W45" s="7">
        <v>401.51</v>
      </c>
      <c r="X45" s="7">
        <v>370.78</v>
      </c>
      <c r="Y45" s="7">
        <v>0</v>
      </c>
      <c r="Z45" s="7">
        <v>158.85</v>
      </c>
    </row>
    <row r="46" spans="1:26" x14ac:dyDescent="0.35">
      <c r="A46" s="7" t="s">
        <v>27</v>
      </c>
      <c r="B46" s="7" t="s">
        <v>40</v>
      </c>
      <c r="C46" s="7" t="s">
        <v>48</v>
      </c>
      <c r="D46" s="7" t="s">
        <v>49</v>
      </c>
      <c r="E46" s="7" t="s">
        <v>42</v>
      </c>
      <c r="F46" s="7" t="s">
        <v>125</v>
      </c>
      <c r="G46" s="7">
        <v>2021</v>
      </c>
      <c r="H46" s="7" t="str">
        <f>CONCATENATE("14240891391")</f>
        <v>14240891391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CONCATENATE("PRLMRC88R13L500K")</f>
        <v>PRLMRC88R13L500K</v>
      </c>
      <c r="N46" s="7" t="s">
        <v>126</v>
      </c>
      <c r="O46" s="7" t="s">
        <v>81</v>
      </c>
      <c r="P46" s="8">
        <v>44610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2498.96</v>
      </c>
      <c r="W46" s="9">
        <v>1077.55</v>
      </c>
      <c r="X46" s="7">
        <v>995.09</v>
      </c>
      <c r="Y46" s="7">
        <v>0</v>
      </c>
      <c r="Z46" s="7">
        <v>426.32</v>
      </c>
    </row>
    <row r="47" spans="1:26" x14ac:dyDescent="0.35">
      <c r="A47" s="7" t="s">
        <v>27</v>
      </c>
      <c r="B47" s="7" t="s">
        <v>40</v>
      </c>
      <c r="C47" s="7" t="s">
        <v>48</v>
      </c>
      <c r="D47" s="7" t="s">
        <v>49</v>
      </c>
      <c r="E47" s="7" t="s">
        <v>42</v>
      </c>
      <c r="F47" s="7" t="s">
        <v>125</v>
      </c>
      <c r="G47" s="7">
        <v>2021</v>
      </c>
      <c r="H47" s="7" t="str">
        <f>CONCATENATE("14240793191")</f>
        <v>14240793191</v>
      </c>
      <c r="I47" s="7" t="s">
        <v>30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CONCATENATE("02611800414")</f>
        <v>02611800414</v>
      </c>
      <c r="N47" s="7" t="s">
        <v>127</v>
      </c>
      <c r="O47" s="7" t="s">
        <v>81</v>
      </c>
      <c r="P47" s="8">
        <v>44610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2915.27</v>
      </c>
      <c r="W47" s="9">
        <v>1257.06</v>
      </c>
      <c r="X47" s="9">
        <v>1160.8599999999999</v>
      </c>
      <c r="Y47" s="7">
        <v>0</v>
      </c>
      <c r="Z47" s="7">
        <v>497.35</v>
      </c>
    </row>
    <row r="48" spans="1:26" x14ac:dyDescent="0.35">
      <c r="A48" s="7" t="s">
        <v>27</v>
      </c>
      <c r="B48" s="7" t="s">
        <v>40</v>
      </c>
      <c r="C48" s="7" t="s">
        <v>48</v>
      </c>
      <c r="D48" s="7" t="s">
        <v>49</v>
      </c>
      <c r="E48" s="7" t="s">
        <v>46</v>
      </c>
      <c r="F48" s="7" t="s">
        <v>128</v>
      </c>
      <c r="G48" s="7">
        <v>2021</v>
      </c>
      <c r="H48" s="7" t="str">
        <f>CONCATENATE("14241334946")</f>
        <v>14241334946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CONCATENATE("02742860428")</f>
        <v>02742860428</v>
      </c>
      <c r="N48" s="7" t="s">
        <v>129</v>
      </c>
      <c r="O48" s="7" t="s">
        <v>81</v>
      </c>
      <c r="P48" s="8">
        <v>44610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4012.76</v>
      </c>
      <c r="W48" s="9">
        <v>1730.3</v>
      </c>
      <c r="X48" s="9">
        <v>1597.88</v>
      </c>
      <c r="Y48" s="7">
        <v>0</v>
      </c>
      <c r="Z48" s="7">
        <v>684.58</v>
      </c>
    </row>
    <row r="49" spans="1:26" x14ac:dyDescent="0.35">
      <c r="A49" s="7" t="s">
        <v>27</v>
      </c>
      <c r="B49" s="7" t="s">
        <v>40</v>
      </c>
      <c r="C49" s="7" t="s">
        <v>48</v>
      </c>
      <c r="D49" s="7" t="s">
        <v>49</v>
      </c>
      <c r="E49" s="7" t="s">
        <v>42</v>
      </c>
      <c r="F49" s="7" t="s">
        <v>125</v>
      </c>
      <c r="G49" s="7">
        <v>2021</v>
      </c>
      <c r="H49" s="7" t="str">
        <f>CONCATENATE("14241368233")</f>
        <v>14241368233</v>
      </c>
      <c r="I49" s="7" t="s">
        <v>30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CONCATENATE("02635080415")</f>
        <v>02635080415</v>
      </c>
      <c r="N49" s="7" t="s">
        <v>130</v>
      </c>
      <c r="O49" s="7" t="s">
        <v>81</v>
      </c>
      <c r="P49" s="8">
        <v>44610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110.34</v>
      </c>
      <c r="W49" s="7">
        <v>47.58</v>
      </c>
      <c r="X49" s="7">
        <v>43.94</v>
      </c>
      <c r="Y49" s="7">
        <v>0</v>
      </c>
      <c r="Z49" s="7">
        <v>18.82</v>
      </c>
    </row>
    <row r="50" spans="1:26" ht="17.5" x14ac:dyDescent="0.35">
      <c r="A50" s="7" t="s">
        <v>27</v>
      </c>
      <c r="B50" s="7" t="s">
        <v>40</v>
      </c>
      <c r="C50" s="7" t="s">
        <v>48</v>
      </c>
      <c r="D50" s="7" t="s">
        <v>61</v>
      </c>
      <c r="E50" s="7" t="s">
        <v>29</v>
      </c>
      <c r="F50" s="7" t="s">
        <v>131</v>
      </c>
      <c r="G50" s="7">
        <v>2021</v>
      </c>
      <c r="H50" s="7" t="str">
        <f>CONCATENATE("14240667643")</f>
        <v>14240667643</v>
      </c>
      <c r="I50" s="7" t="s">
        <v>30</v>
      </c>
      <c r="J50" s="7" t="s">
        <v>31</v>
      </c>
      <c r="K50" s="7" t="str">
        <f>CONCATENATE("")</f>
        <v/>
      </c>
      <c r="L50" s="7" t="str">
        <f>CONCATENATE("10 10.1 4a")</f>
        <v>10 10.1 4a</v>
      </c>
      <c r="M50" s="7" t="str">
        <f>CONCATENATE("02788490429")</f>
        <v>02788490429</v>
      </c>
      <c r="N50" s="7" t="s">
        <v>132</v>
      </c>
      <c r="O50" s="7" t="s">
        <v>92</v>
      </c>
      <c r="P50" s="8">
        <v>44610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1059.04</v>
      </c>
      <c r="W50" s="7">
        <v>456.66</v>
      </c>
      <c r="X50" s="7">
        <v>421.71</v>
      </c>
      <c r="Y50" s="7">
        <v>0</v>
      </c>
      <c r="Z50" s="7">
        <v>180.67</v>
      </c>
    </row>
    <row r="51" spans="1:26" x14ac:dyDescent="0.35">
      <c r="A51" s="7" t="s">
        <v>27</v>
      </c>
      <c r="B51" s="7" t="s">
        <v>40</v>
      </c>
      <c r="C51" s="7" t="s">
        <v>48</v>
      </c>
      <c r="D51" s="7" t="s">
        <v>61</v>
      </c>
      <c r="E51" s="7" t="s">
        <v>42</v>
      </c>
      <c r="F51" s="7" t="s">
        <v>133</v>
      </c>
      <c r="G51" s="7">
        <v>2021</v>
      </c>
      <c r="H51" s="7" t="str">
        <f>CONCATENATE("14240426255")</f>
        <v>14240426255</v>
      </c>
      <c r="I51" s="7" t="s">
        <v>30</v>
      </c>
      <c r="J51" s="7" t="s">
        <v>31</v>
      </c>
      <c r="K51" s="7" t="str">
        <f>CONCATENATE("")</f>
        <v/>
      </c>
      <c r="L51" s="7" t="str">
        <f>CONCATENATE("10 10.1 4a")</f>
        <v>10 10.1 4a</v>
      </c>
      <c r="M51" s="7" t="str">
        <f>CONCATENATE("PRNLBT67T64G157T")</f>
        <v>PRNLBT67T64G157T</v>
      </c>
      <c r="N51" s="7" t="s">
        <v>134</v>
      </c>
      <c r="O51" s="7" t="s">
        <v>92</v>
      </c>
      <c r="P51" s="8">
        <v>44610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7">
        <v>700.48</v>
      </c>
      <c r="W51" s="7">
        <v>302.05</v>
      </c>
      <c r="X51" s="7">
        <v>278.93</v>
      </c>
      <c r="Y51" s="7">
        <v>0</v>
      </c>
      <c r="Z51" s="7">
        <v>119.5</v>
      </c>
    </row>
    <row r="52" spans="1:26" x14ac:dyDescent="0.35">
      <c r="A52" s="7" t="s">
        <v>27</v>
      </c>
      <c r="B52" s="7" t="s">
        <v>40</v>
      </c>
      <c r="C52" s="7" t="s">
        <v>48</v>
      </c>
      <c r="D52" s="7" t="s">
        <v>53</v>
      </c>
      <c r="E52" s="7" t="s">
        <v>42</v>
      </c>
      <c r="F52" s="7" t="s">
        <v>111</v>
      </c>
      <c r="G52" s="7">
        <v>2021</v>
      </c>
      <c r="H52" s="7" t="str">
        <f>CONCATENATE("14240128661")</f>
        <v>14240128661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CONCATENATE("VLLRSO35B43C321Y")</f>
        <v>VLLRSO35B43C321Y</v>
      </c>
      <c r="N52" s="7" t="s">
        <v>135</v>
      </c>
      <c r="O52" s="7" t="s">
        <v>81</v>
      </c>
      <c r="P52" s="8">
        <v>44610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7">
        <v>600.16</v>
      </c>
      <c r="W52" s="7">
        <v>258.79000000000002</v>
      </c>
      <c r="X52" s="7">
        <v>238.98</v>
      </c>
      <c r="Y52" s="7">
        <v>0</v>
      </c>
      <c r="Z52" s="7">
        <v>102.39</v>
      </c>
    </row>
    <row r="53" spans="1:26" x14ac:dyDescent="0.35">
      <c r="A53" s="7" t="s">
        <v>27</v>
      </c>
      <c r="B53" s="7" t="s">
        <v>40</v>
      </c>
      <c r="C53" s="7" t="s">
        <v>48</v>
      </c>
      <c r="D53" s="7" t="s">
        <v>53</v>
      </c>
      <c r="E53" s="7" t="s">
        <v>42</v>
      </c>
      <c r="F53" s="7" t="s">
        <v>111</v>
      </c>
      <c r="G53" s="7">
        <v>2021</v>
      </c>
      <c r="H53" s="7" t="str">
        <f>CONCATENATE("14240129073")</f>
        <v>14240129073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CONCATENATE("VLLRSO35B43C321Y")</f>
        <v>VLLRSO35B43C321Y</v>
      </c>
      <c r="N53" s="7" t="s">
        <v>135</v>
      </c>
      <c r="O53" s="7" t="s">
        <v>81</v>
      </c>
      <c r="P53" s="8">
        <v>44610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1150.24</v>
      </c>
      <c r="W53" s="7">
        <v>495.98</v>
      </c>
      <c r="X53" s="7">
        <v>458.03</v>
      </c>
      <c r="Y53" s="7">
        <v>0</v>
      </c>
      <c r="Z53" s="7">
        <v>196.23</v>
      </c>
    </row>
    <row r="54" spans="1:26" x14ac:dyDescent="0.35">
      <c r="A54" s="7" t="s">
        <v>27</v>
      </c>
      <c r="B54" s="7" t="s">
        <v>40</v>
      </c>
      <c r="C54" s="7" t="s">
        <v>48</v>
      </c>
      <c r="D54" s="7" t="s">
        <v>53</v>
      </c>
      <c r="E54" s="7" t="s">
        <v>39</v>
      </c>
      <c r="F54" s="7" t="s">
        <v>136</v>
      </c>
      <c r="G54" s="7">
        <v>2021</v>
      </c>
      <c r="H54" s="7" t="str">
        <f>CONCATENATE("14240322090")</f>
        <v>14240322090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11.1 4b")</f>
        <v>11 11.1 4b</v>
      </c>
      <c r="M54" s="7" t="str">
        <f>CONCATENATE("CCRRND54T61C321Z")</f>
        <v>CCRRND54T61C321Z</v>
      </c>
      <c r="N54" s="7" t="s">
        <v>137</v>
      </c>
      <c r="O54" s="7" t="s">
        <v>81</v>
      </c>
      <c r="P54" s="8">
        <v>44610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7">
        <v>936.44</v>
      </c>
      <c r="W54" s="7">
        <v>403.79</v>
      </c>
      <c r="X54" s="7">
        <v>372.89</v>
      </c>
      <c r="Y54" s="7">
        <v>0</v>
      </c>
      <c r="Z54" s="7">
        <v>159.76</v>
      </c>
    </row>
    <row r="55" spans="1:26" x14ac:dyDescent="0.35">
      <c r="A55" s="7" t="s">
        <v>27</v>
      </c>
      <c r="B55" s="7" t="s">
        <v>40</v>
      </c>
      <c r="C55" s="7" t="s">
        <v>48</v>
      </c>
      <c r="D55" s="7" t="s">
        <v>53</v>
      </c>
      <c r="E55" s="7" t="s">
        <v>43</v>
      </c>
      <c r="F55" s="7" t="s">
        <v>109</v>
      </c>
      <c r="G55" s="7">
        <v>2021</v>
      </c>
      <c r="H55" s="7" t="str">
        <f>CONCATENATE("14240602301")</f>
        <v>14240602301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CONCATENATE("RCCGRL67R55D096M")</f>
        <v>RCCGRL67R55D096M</v>
      </c>
      <c r="N55" s="7" t="s">
        <v>138</v>
      </c>
      <c r="O55" s="7" t="s">
        <v>81</v>
      </c>
      <c r="P55" s="8">
        <v>44610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1201.7</v>
      </c>
      <c r="W55" s="7">
        <v>518.16999999999996</v>
      </c>
      <c r="X55" s="7">
        <v>478.52</v>
      </c>
      <c r="Y55" s="7">
        <v>0</v>
      </c>
      <c r="Z55" s="7">
        <v>205.01</v>
      </c>
    </row>
    <row r="56" spans="1:26" x14ac:dyDescent="0.35">
      <c r="A56" s="7" t="s">
        <v>27</v>
      </c>
      <c r="B56" s="7" t="s">
        <v>40</v>
      </c>
      <c r="C56" s="7" t="s">
        <v>48</v>
      </c>
      <c r="D56" s="7" t="s">
        <v>61</v>
      </c>
      <c r="E56" s="7" t="s">
        <v>29</v>
      </c>
      <c r="F56" s="7" t="s">
        <v>62</v>
      </c>
      <c r="G56" s="7">
        <v>2021</v>
      </c>
      <c r="H56" s="7" t="str">
        <f>CONCATENATE("14240380916")</f>
        <v>14240380916</v>
      </c>
      <c r="I56" s="7" t="s">
        <v>30</v>
      </c>
      <c r="J56" s="7" t="s">
        <v>31</v>
      </c>
      <c r="K56" s="7" t="str">
        <f>CONCATENATE("")</f>
        <v/>
      </c>
      <c r="L56" s="7" t="str">
        <f>CONCATENATE("10 10.1 4a")</f>
        <v>10 10.1 4a</v>
      </c>
      <c r="M56" s="7" t="str">
        <f>CONCATENATE("TDRFNC80H08E388P")</f>
        <v>TDRFNC80H08E388P</v>
      </c>
      <c r="N56" s="7" t="s">
        <v>139</v>
      </c>
      <c r="O56" s="7" t="s">
        <v>92</v>
      </c>
      <c r="P56" s="8">
        <v>44610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7">
        <v>702.64</v>
      </c>
      <c r="W56" s="7">
        <v>302.98</v>
      </c>
      <c r="X56" s="7">
        <v>279.79000000000002</v>
      </c>
      <c r="Y56" s="7">
        <v>0</v>
      </c>
      <c r="Z56" s="7">
        <v>119.87</v>
      </c>
    </row>
    <row r="57" spans="1:26" x14ac:dyDescent="0.35">
      <c r="A57" s="7" t="s">
        <v>27</v>
      </c>
      <c r="B57" s="7" t="s">
        <v>40</v>
      </c>
      <c r="C57" s="7" t="s">
        <v>48</v>
      </c>
      <c r="D57" s="7" t="s">
        <v>53</v>
      </c>
      <c r="E57" s="7" t="s">
        <v>36</v>
      </c>
      <c r="F57" s="7" t="s">
        <v>36</v>
      </c>
      <c r="G57" s="7">
        <v>2021</v>
      </c>
      <c r="H57" s="7" t="str">
        <f>CONCATENATE("14240518085")</f>
        <v>14240518085</v>
      </c>
      <c r="I57" s="7" t="s">
        <v>30</v>
      </c>
      <c r="J57" s="7" t="s">
        <v>31</v>
      </c>
      <c r="K57" s="7" t="str">
        <f>CONCATENATE("")</f>
        <v/>
      </c>
      <c r="L57" s="7" t="str">
        <f>CONCATENATE("11 11.2 4b")</f>
        <v>11 11.2 4b</v>
      </c>
      <c r="M57" s="7" t="str">
        <f>CONCATENATE("CCRGNN64M55F415H")</f>
        <v>CCRGNN64M55F415H</v>
      </c>
      <c r="N57" s="7" t="s">
        <v>140</v>
      </c>
      <c r="O57" s="7" t="s">
        <v>81</v>
      </c>
      <c r="P57" s="8">
        <v>44610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7">
        <v>318.01</v>
      </c>
      <c r="W57" s="7">
        <v>137.13</v>
      </c>
      <c r="X57" s="7">
        <v>126.63</v>
      </c>
      <c r="Y57" s="7">
        <v>0</v>
      </c>
      <c r="Z57" s="7">
        <v>54.25</v>
      </c>
    </row>
    <row r="58" spans="1:26" x14ac:dyDescent="0.35">
      <c r="A58" s="7" t="s">
        <v>27</v>
      </c>
      <c r="B58" s="7" t="s">
        <v>40</v>
      </c>
      <c r="C58" s="7" t="s">
        <v>48</v>
      </c>
      <c r="D58" s="7" t="s">
        <v>53</v>
      </c>
      <c r="E58" s="7" t="s">
        <v>36</v>
      </c>
      <c r="F58" s="7" t="s">
        <v>36</v>
      </c>
      <c r="G58" s="7">
        <v>2021</v>
      </c>
      <c r="H58" s="7" t="str">
        <f>CONCATENATE("14240799388")</f>
        <v>14240799388</v>
      </c>
      <c r="I58" s="7" t="s">
        <v>45</v>
      </c>
      <c r="J58" s="7" t="s">
        <v>31</v>
      </c>
      <c r="K58" s="7" t="str">
        <f>CONCATENATE("")</f>
        <v/>
      </c>
      <c r="L58" s="7" t="str">
        <f>CONCATENATE("11 11.2 4b")</f>
        <v>11 11.2 4b</v>
      </c>
      <c r="M58" s="7" t="str">
        <f>CONCATENATE("CRBLGN65H61H321Q")</f>
        <v>CRBLGN65H61H321Q</v>
      </c>
      <c r="N58" s="7" t="s">
        <v>141</v>
      </c>
      <c r="O58" s="7" t="s">
        <v>81</v>
      </c>
      <c r="P58" s="8">
        <v>44610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7">
        <v>182.8</v>
      </c>
      <c r="W58" s="7">
        <v>78.819999999999993</v>
      </c>
      <c r="X58" s="7">
        <v>72.790000000000006</v>
      </c>
      <c r="Y58" s="7">
        <v>0</v>
      </c>
      <c r="Z58" s="7">
        <v>31.19</v>
      </c>
    </row>
    <row r="59" spans="1:26" x14ac:dyDescent="0.35">
      <c r="A59" s="7" t="s">
        <v>27</v>
      </c>
      <c r="B59" s="7" t="s">
        <v>40</v>
      </c>
      <c r="C59" s="7" t="s">
        <v>48</v>
      </c>
      <c r="D59" s="7" t="s">
        <v>61</v>
      </c>
      <c r="E59" s="7" t="s">
        <v>42</v>
      </c>
      <c r="F59" s="7" t="s">
        <v>90</v>
      </c>
      <c r="G59" s="7">
        <v>2021</v>
      </c>
      <c r="H59" s="7" t="str">
        <f>CONCATENATE("14240991613")</f>
        <v>14240991613</v>
      </c>
      <c r="I59" s="7" t="s">
        <v>30</v>
      </c>
      <c r="J59" s="7" t="s">
        <v>31</v>
      </c>
      <c r="K59" s="7" t="str">
        <f>CONCATENATE("")</f>
        <v/>
      </c>
      <c r="L59" s="7" t="str">
        <f>CONCATENATE("10 10.1 4a")</f>
        <v>10 10.1 4a</v>
      </c>
      <c r="M59" s="7" t="str">
        <f>CONCATENATE("BRTPRN50M23H979H")</f>
        <v>BRTPRN50M23H979H</v>
      </c>
      <c r="N59" s="7" t="s">
        <v>142</v>
      </c>
      <c r="O59" s="7" t="s">
        <v>92</v>
      </c>
      <c r="P59" s="8">
        <v>44610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7">
        <v>418.36</v>
      </c>
      <c r="W59" s="7">
        <v>180.4</v>
      </c>
      <c r="X59" s="7">
        <v>166.59</v>
      </c>
      <c r="Y59" s="7">
        <v>0</v>
      </c>
      <c r="Z59" s="7">
        <v>71.37</v>
      </c>
    </row>
    <row r="60" spans="1:26" x14ac:dyDescent="0.35">
      <c r="A60" s="7" t="s">
        <v>27</v>
      </c>
      <c r="B60" s="7" t="s">
        <v>40</v>
      </c>
      <c r="C60" s="7" t="s">
        <v>48</v>
      </c>
      <c r="D60" s="7" t="s">
        <v>49</v>
      </c>
      <c r="E60" s="7" t="s">
        <v>29</v>
      </c>
      <c r="F60" s="7" t="s">
        <v>143</v>
      </c>
      <c r="G60" s="7">
        <v>2021</v>
      </c>
      <c r="H60" s="7" t="str">
        <f>CONCATENATE("14241051417")</f>
        <v>14241051417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CONCATENATE("GTRCRS78A24D786U")</f>
        <v>GTRCRS78A24D786U</v>
      </c>
      <c r="N60" s="7" t="s">
        <v>144</v>
      </c>
      <c r="O60" s="7" t="s">
        <v>81</v>
      </c>
      <c r="P60" s="8">
        <v>44610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7">
        <v>299.05</v>
      </c>
      <c r="W60" s="7">
        <v>128.94999999999999</v>
      </c>
      <c r="X60" s="7">
        <v>119.08</v>
      </c>
      <c r="Y60" s="7">
        <v>0</v>
      </c>
      <c r="Z60" s="7">
        <v>51.02</v>
      </c>
    </row>
    <row r="61" spans="1:26" x14ac:dyDescent="0.35">
      <c r="A61" s="7" t="s">
        <v>27</v>
      </c>
      <c r="B61" s="7" t="s">
        <v>40</v>
      </c>
      <c r="C61" s="7" t="s">
        <v>48</v>
      </c>
      <c r="D61" s="7" t="s">
        <v>49</v>
      </c>
      <c r="E61" s="7" t="s">
        <v>42</v>
      </c>
      <c r="F61" s="7" t="s">
        <v>145</v>
      </c>
      <c r="G61" s="7">
        <v>2021</v>
      </c>
      <c r="H61" s="7" t="str">
        <f>CONCATENATE("14240949041")</f>
        <v>14240949041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CONCATENATE("MSNPLA75R18G453W")</f>
        <v>MSNPLA75R18G453W</v>
      </c>
      <c r="N61" s="7" t="s">
        <v>146</v>
      </c>
      <c r="O61" s="7" t="s">
        <v>81</v>
      </c>
      <c r="P61" s="8">
        <v>44610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3562.3</v>
      </c>
      <c r="W61" s="9">
        <v>1536.06</v>
      </c>
      <c r="X61" s="9">
        <v>1418.51</v>
      </c>
      <c r="Y61" s="7">
        <v>0</v>
      </c>
      <c r="Z61" s="7">
        <v>607.73</v>
      </c>
    </row>
    <row r="62" spans="1:26" x14ac:dyDescent="0.35">
      <c r="A62" s="7" t="s">
        <v>27</v>
      </c>
      <c r="B62" s="7" t="s">
        <v>40</v>
      </c>
      <c r="C62" s="7" t="s">
        <v>48</v>
      </c>
      <c r="D62" s="7" t="s">
        <v>49</v>
      </c>
      <c r="E62" s="7" t="s">
        <v>46</v>
      </c>
      <c r="F62" s="7" t="s">
        <v>107</v>
      </c>
      <c r="G62" s="7">
        <v>2021</v>
      </c>
      <c r="H62" s="7" t="str">
        <f>CONCATENATE("14240338500")</f>
        <v>14240338500</v>
      </c>
      <c r="I62" s="7" t="s">
        <v>30</v>
      </c>
      <c r="J62" s="7" t="s">
        <v>31</v>
      </c>
      <c r="K62" s="7" t="str">
        <f>CONCATENATE("")</f>
        <v/>
      </c>
      <c r="L62" s="7" t="str">
        <f>CONCATENATE("11 11.2 4b")</f>
        <v>11 11.2 4b</v>
      </c>
      <c r="M62" s="7" t="str">
        <f>CONCATENATE("01496630417")</f>
        <v>01496630417</v>
      </c>
      <c r="N62" s="7" t="s">
        <v>147</v>
      </c>
      <c r="O62" s="7" t="s">
        <v>81</v>
      </c>
      <c r="P62" s="8">
        <v>44610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6682.07</v>
      </c>
      <c r="W62" s="9">
        <v>2881.31</v>
      </c>
      <c r="X62" s="9">
        <v>2660.8</v>
      </c>
      <c r="Y62" s="7">
        <v>0</v>
      </c>
      <c r="Z62" s="9">
        <v>1139.96</v>
      </c>
    </row>
    <row r="63" spans="1:26" x14ac:dyDescent="0.35">
      <c r="A63" s="7" t="s">
        <v>27</v>
      </c>
      <c r="B63" s="7" t="s">
        <v>40</v>
      </c>
      <c r="C63" s="7" t="s">
        <v>48</v>
      </c>
      <c r="D63" s="7" t="s">
        <v>74</v>
      </c>
      <c r="E63" s="7" t="s">
        <v>39</v>
      </c>
      <c r="F63" s="7" t="s">
        <v>148</v>
      </c>
      <c r="G63" s="7">
        <v>2021</v>
      </c>
      <c r="H63" s="7" t="str">
        <f>CONCATENATE("14240173501")</f>
        <v>14240173501</v>
      </c>
      <c r="I63" s="7" t="s">
        <v>30</v>
      </c>
      <c r="J63" s="7" t="s">
        <v>31</v>
      </c>
      <c r="K63" s="7" t="str">
        <f>CONCATENATE("")</f>
        <v/>
      </c>
      <c r="L63" s="7" t="str">
        <f>CONCATENATE("11 11.1 4b")</f>
        <v>11 11.1 4b</v>
      </c>
      <c r="M63" s="7" t="str">
        <f>CONCATENATE("CRRVLR95T05H501P")</f>
        <v>CRRVLR95T05H501P</v>
      </c>
      <c r="N63" s="7" t="s">
        <v>149</v>
      </c>
      <c r="O63" s="7" t="s">
        <v>81</v>
      </c>
      <c r="P63" s="8">
        <v>44610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3471.06</v>
      </c>
      <c r="W63" s="9">
        <v>1496.72</v>
      </c>
      <c r="X63" s="9">
        <v>1382.18</v>
      </c>
      <c r="Y63" s="7">
        <v>0</v>
      </c>
      <c r="Z63" s="7">
        <v>592.16</v>
      </c>
    </row>
    <row r="64" spans="1:26" x14ac:dyDescent="0.35">
      <c r="A64" s="7" t="s">
        <v>27</v>
      </c>
      <c r="B64" s="7" t="s">
        <v>40</v>
      </c>
      <c r="C64" s="7" t="s">
        <v>48</v>
      </c>
      <c r="D64" s="7" t="s">
        <v>49</v>
      </c>
      <c r="E64" s="7" t="s">
        <v>46</v>
      </c>
      <c r="F64" s="7" t="s">
        <v>150</v>
      </c>
      <c r="G64" s="7">
        <v>2021</v>
      </c>
      <c r="H64" s="7" t="str">
        <f>CONCATENATE("14240351669")</f>
        <v>14240351669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CONCATENATE("GMBMRZ60C28L50LL")</f>
        <v>GMBMRZ60C28L50LL</v>
      </c>
      <c r="N64" s="7" t="s">
        <v>151</v>
      </c>
      <c r="O64" s="7" t="s">
        <v>81</v>
      </c>
      <c r="P64" s="8">
        <v>44610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72.599999999999994</v>
      </c>
      <c r="W64" s="7">
        <v>31.31</v>
      </c>
      <c r="X64" s="7">
        <v>28.91</v>
      </c>
      <c r="Y64" s="7">
        <v>0</v>
      </c>
      <c r="Z64" s="7">
        <v>12.38</v>
      </c>
    </row>
    <row r="65" spans="1:26" x14ac:dyDescent="0.35">
      <c r="A65" s="7" t="s">
        <v>27</v>
      </c>
      <c r="B65" s="7" t="s">
        <v>40</v>
      </c>
      <c r="C65" s="7" t="s">
        <v>48</v>
      </c>
      <c r="D65" s="7" t="s">
        <v>49</v>
      </c>
      <c r="E65" s="7" t="s">
        <v>46</v>
      </c>
      <c r="F65" s="7" t="s">
        <v>150</v>
      </c>
      <c r="G65" s="7">
        <v>2021</v>
      </c>
      <c r="H65" s="7" t="str">
        <f>CONCATENATE("14240333105")</f>
        <v>14240333105</v>
      </c>
      <c r="I65" s="7" t="s">
        <v>30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CONCATENATE("RGLCRL68C43C830Z")</f>
        <v>RGLCRL68C43C830Z</v>
      </c>
      <c r="N65" s="7" t="s">
        <v>152</v>
      </c>
      <c r="O65" s="7" t="s">
        <v>81</v>
      </c>
      <c r="P65" s="8">
        <v>44610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1151.48</v>
      </c>
      <c r="W65" s="7">
        <v>496.52</v>
      </c>
      <c r="X65" s="7">
        <v>458.52</v>
      </c>
      <c r="Y65" s="7">
        <v>0</v>
      </c>
      <c r="Z65" s="7">
        <v>196.44</v>
      </c>
    </row>
    <row r="66" spans="1:26" ht="17.5" x14ac:dyDescent="0.35">
      <c r="A66" s="7" t="s">
        <v>27</v>
      </c>
      <c r="B66" s="7" t="s">
        <v>40</v>
      </c>
      <c r="C66" s="7" t="s">
        <v>48</v>
      </c>
      <c r="D66" s="7" t="s">
        <v>74</v>
      </c>
      <c r="E66" s="7" t="s">
        <v>42</v>
      </c>
      <c r="F66" s="7" t="s">
        <v>78</v>
      </c>
      <c r="G66" s="7">
        <v>2021</v>
      </c>
      <c r="H66" s="7" t="str">
        <f>CONCATENATE("14240460205")</f>
        <v>14240460205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11.2 4b")</f>
        <v>11 11.2 4b</v>
      </c>
      <c r="M66" s="7" t="str">
        <f>CONCATENATE("01914540438")</f>
        <v>01914540438</v>
      </c>
      <c r="N66" s="7" t="s">
        <v>153</v>
      </c>
      <c r="O66" s="7" t="s">
        <v>81</v>
      </c>
      <c r="P66" s="8">
        <v>44610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2677.28</v>
      </c>
      <c r="W66" s="9">
        <v>1154.44</v>
      </c>
      <c r="X66" s="9">
        <v>1066.0899999999999</v>
      </c>
      <c r="Y66" s="7">
        <v>0</v>
      </c>
      <c r="Z66" s="7">
        <v>456.75</v>
      </c>
    </row>
    <row r="67" spans="1:26" x14ac:dyDescent="0.35">
      <c r="A67" s="7" t="s">
        <v>27</v>
      </c>
      <c r="B67" s="7" t="s">
        <v>40</v>
      </c>
      <c r="C67" s="7" t="s">
        <v>48</v>
      </c>
      <c r="D67" s="7" t="s">
        <v>49</v>
      </c>
      <c r="E67" s="7" t="s">
        <v>29</v>
      </c>
      <c r="F67" s="7" t="s">
        <v>154</v>
      </c>
      <c r="G67" s="7">
        <v>2021</v>
      </c>
      <c r="H67" s="7" t="str">
        <f>CONCATENATE("14240704651")</f>
        <v>14240704651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11.2 4b")</f>
        <v>11 11.2 4b</v>
      </c>
      <c r="M67" s="7" t="str">
        <f>CONCATENATE("PNSPLA75M30E785D")</f>
        <v>PNSPLA75M30E785D</v>
      </c>
      <c r="N67" s="7" t="s">
        <v>155</v>
      </c>
      <c r="O67" s="7" t="s">
        <v>81</v>
      </c>
      <c r="P67" s="8">
        <v>44610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1564.64</v>
      </c>
      <c r="W67" s="7">
        <v>674.67</v>
      </c>
      <c r="X67" s="7">
        <v>623.04</v>
      </c>
      <c r="Y67" s="7">
        <v>0</v>
      </c>
      <c r="Z67" s="7">
        <v>266.93</v>
      </c>
    </row>
    <row r="68" spans="1:26" x14ac:dyDescent="0.35">
      <c r="A68" s="7" t="s">
        <v>27</v>
      </c>
      <c r="B68" s="7" t="s">
        <v>40</v>
      </c>
      <c r="C68" s="7" t="s">
        <v>48</v>
      </c>
      <c r="D68" s="7" t="s">
        <v>53</v>
      </c>
      <c r="E68" s="7" t="s">
        <v>41</v>
      </c>
      <c r="F68" s="7" t="s">
        <v>97</v>
      </c>
      <c r="G68" s="7">
        <v>2021</v>
      </c>
      <c r="H68" s="7" t="str">
        <f>CONCATENATE("14240121617")</f>
        <v>14240121617</v>
      </c>
      <c r="I68" s="7" t="s">
        <v>30</v>
      </c>
      <c r="J68" s="7" t="s">
        <v>31</v>
      </c>
      <c r="K68" s="7" t="str">
        <f>CONCATENATE("")</f>
        <v/>
      </c>
      <c r="L68" s="7" t="str">
        <f>CONCATENATE("11 11.2 4b")</f>
        <v>11 11.2 4b</v>
      </c>
      <c r="M68" s="7" t="str">
        <f>CONCATENATE("MBLGLC83B25H769T")</f>
        <v>MBLGLC83B25H769T</v>
      </c>
      <c r="N68" s="7" t="s">
        <v>156</v>
      </c>
      <c r="O68" s="7" t="s">
        <v>81</v>
      </c>
      <c r="P68" s="8">
        <v>44610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4912.28</v>
      </c>
      <c r="W68" s="9">
        <v>2118.1799999999998</v>
      </c>
      <c r="X68" s="9">
        <v>1956.07</v>
      </c>
      <c r="Y68" s="7">
        <v>0</v>
      </c>
      <c r="Z68" s="7">
        <v>838.03</v>
      </c>
    </row>
    <row r="69" spans="1:26" x14ac:dyDescent="0.35">
      <c r="A69" s="7" t="s">
        <v>27</v>
      </c>
      <c r="B69" s="7" t="s">
        <v>40</v>
      </c>
      <c r="C69" s="7" t="s">
        <v>48</v>
      </c>
      <c r="D69" s="7" t="s">
        <v>49</v>
      </c>
      <c r="E69" s="7" t="s">
        <v>42</v>
      </c>
      <c r="F69" s="7" t="s">
        <v>103</v>
      </c>
      <c r="G69" s="7">
        <v>2021</v>
      </c>
      <c r="H69" s="7" t="str">
        <f>CONCATENATE("14241046300")</f>
        <v>14241046300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CONCATENATE("LCRRRT66C05B846G")</f>
        <v>LCRRRT66C05B846G</v>
      </c>
      <c r="N69" s="7" t="s">
        <v>157</v>
      </c>
      <c r="O69" s="7" t="s">
        <v>81</v>
      </c>
      <c r="P69" s="8">
        <v>44610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7744.5</v>
      </c>
      <c r="W69" s="9">
        <v>3339.43</v>
      </c>
      <c r="X69" s="9">
        <v>3083.86</v>
      </c>
      <c r="Y69" s="7">
        <v>0</v>
      </c>
      <c r="Z69" s="9">
        <v>1321.21</v>
      </c>
    </row>
    <row r="70" spans="1:26" x14ac:dyDescent="0.35">
      <c r="A70" s="7" t="s">
        <v>27</v>
      </c>
      <c r="B70" s="7" t="s">
        <v>40</v>
      </c>
      <c r="C70" s="7" t="s">
        <v>48</v>
      </c>
      <c r="D70" s="7" t="s">
        <v>49</v>
      </c>
      <c r="E70" s="7" t="s">
        <v>46</v>
      </c>
      <c r="F70" s="7" t="s">
        <v>150</v>
      </c>
      <c r="G70" s="7">
        <v>2021</v>
      </c>
      <c r="H70" s="7" t="str">
        <f>CONCATENATE("14240738139")</f>
        <v>14240738139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11.2 4b")</f>
        <v>11 11.2 4b</v>
      </c>
      <c r="M70" s="7" t="str">
        <f>CONCATENATE("GMBGRL67S12L500N")</f>
        <v>GMBGRL67S12L500N</v>
      </c>
      <c r="N70" s="7" t="s">
        <v>158</v>
      </c>
      <c r="O70" s="7" t="s">
        <v>81</v>
      </c>
      <c r="P70" s="8">
        <v>44610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7">
        <v>822.96</v>
      </c>
      <c r="W70" s="7">
        <v>354.86</v>
      </c>
      <c r="X70" s="7">
        <v>327.7</v>
      </c>
      <c r="Y70" s="7">
        <v>0</v>
      </c>
      <c r="Z70" s="7">
        <v>140.4</v>
      </c>
    </row>
    <row r="71" spans="1:26" x14ac:dyDescent="0.35">
      <c r="A71" s="7" t="s">
        <v>27</v>
      </c>
      <c r="B71" s="7" t="s">
        <v>40</v>
      </c>
      <c r="C71" s="7" t="s">
        <v>48</v>
      </c>
      <c r="D71" s="7" t="s">
        <v>49</v>
      </c>
      <c r="E71" s="7" t="s">
        <v>46</v>
      </c>
      <c r="F71" s="7" t="s">
        <v>150</v>
      </c>
      <c r="G71" s="7">
        <v>2021</v>
      </c>
      <c r="H71" s="7" t="str">
        <f>CONCATENATE("14240738725")</f>
        <v>14240738725</v>
      </c>
      <c r="I71" s="7" t="s">
        <v>30</v>
      </c>
      <c r="J71" s="7" t="s">
        <v>31</v>
      </c>
      <c r="K71" s="7" t="str">
        <f>CONCATENATE("")</f>
        <v/>
      </c>
      <c r="L71" s="7" t="str">
        <f>CONCATENATE("11 11.2 4b")</f>
        <v>11 11.2 4b</v>
      </c>
      <c r="M71" s="7" t="str">
        <f>CONCATENATE("GMBGRL67S12L500N")</f>
        <v>GMBGRL67S12L500N</v>
      </c>
      <c r="N71" s="7" t="s">
        <v>158</v>
      </c>
      <c r="O71" s="7" t="s">
        <v>81</v>
      </c>
      <c r="P71" s="8">
        <v>44610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7">
        <v>274.74</v>
      </c>
      <c r="W71" s="7">
        <v>118.47</v>
      </c>
      <c r="X71" s="7">
        <v>109.4</v>
      </c>
      <c r="Y71" s="7">
        <v>0</v>
      </c>
      <c r="Z71" s="7">
        <v>46.87</v>
      </c>
    </row>
    <row r="72" spans="1:26" x14ac:dyDescent="0.35">
      <c r="A72" s="7" t="s">
        <v>27</v>
      </c>
      <c r="B72" s="7" t="s">
        <v>40</v>
      </c>
      <c r="C72" s="7" t="s">
        <v>48</v>
      </c>
      <c r="D72" s="7" t="s">
        <v>49</v>
      </c>
      <c r="E72" s="7" t="s">
        <v>29</v>
      </c>
      <c r="F72" s="7" t="s">
        <v>154</v>
      </c>
      <c r="G72" s="7">
        <v>2021</v>
      </c>
      <c r="H72" s="7" t="str">
        <f>CONCATENATE("14240798208")</f>
        <v>14240798208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11.1 4b")</f>
        <v>11 11.1 4b</v>
      </c>
      <c r="M72" s="7" t="str">
        <f>CONCATENATE("BLDNDR51M21G551J")</f>
        <v>BLDNDR51M21G551J</v>
      </c>
      <c r="N72" s="7" t="s">
        <v>159</v>
      </c>
      <c r="O72" s="7" t="s">
        <v>81</v>
      </c>
      <c r="P72" s="8">
        <v>44610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608.51</v>
      </c>
      <c r="W72" s="7">
        <v>262.39</v>
      </c>
      <c r="X72" s="7">
        <v>242.31</v>
      </c>
      <c r="Y72" s="7">
        <v>0</v>
      </c>
      <c r="Z72" s="7">
        <v>103.81</v>
      </c>
    </row>
    <row r="73" spans="1:26" x14ac:dyDescent="0.35">
      <c r="A73" s="7" t="s">
        <v>27</v>
      </c>
      <c r="B73" s="7" t="s">
        <v>40</v>
      </c>
      <c r="C73" s="7" t="s">
        <v>48</v>
      </c>
      <c r="D73" s="7" t="s">
        <v>49</v>
      </c>
      <c r="E73" s="7" t="s">
        <v>39</v>
      </c>
      <c r="F73" s="7" t="s">
        <v>160</v>
      </c>
      <c r="G73" s="7">
        <v>2021</v>
      </c>
      <c r="H73" s="7" t="str">
        <f>CONCATENATE("14241332585")</f>
        <v>14241332585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11.2 4b")</f>
        <v>11 11.2 4b</v>
      </c>
      <c r="M73" s="7" t="str">
        <f>CONCATENATE("02468780412")</f>
        <v>02468780412</v>
      </c>
      <c r="N73" s="7" t="s">
        <v>161</v>
      </c>
      <c r="O73" s="7" t="s">
        <v>81</v>
      </c>
      <c r="P73" s="8">
        <v>44610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3198.46</v>
      </c>
      <c r="W73" s="9">
        <v>1379.18</v>
      </c>
      <c r="X73" s="9">
        <v>1273.6300000000001</v>
      </c>
      <c r="Y73" s="7">
        <v>0</v>
      </c>
      <c r="Z73" s="7">
        <v>545.65</v>
      </c>
    </row>
    <row r="74" spans="1:26" x14ac:dyDescent="0.35">
      <c r="A74" s="7" t="s">
        <v>27</v>
      </c>
      <c r="B74" s="7" t="s">
        <v>40</v>
      </c>
      <c r="C74" s="7" t="s">
        <v>48</v>
      </c>
      <c r="D74" s="7" t="s">
        <v>53</v>
      </c>
      <c r="E74" s="7" t="s">
        <v>36</v>
      </c>
      <c r="F74" s="7" t="s">
        <v>36</v>
      </c>
      <c r="G74" s="7">
        <v>2021</v>
      </c>
      <c r="H74" s="7" t="str">
        <f>CONCATENATE("14240863440")</f>
        <v>14240863440</v>
      </c>
      <c r="I74" s="7" t="s">
        <v>45</v>
      </c>
      <c r="J74" s="7" t="s">
        <v>31</v>
      </c>
      <c r="K74" s="7" t="str">
        <f>CONCATENATE("")</f>
        <v/>
      </c>
      <c r="L74" s="7" t="str">
        <f>CONCATENATE("11 11.2 4b")</f>
        <v>11 11.2 4b</v>
      </c>
      <c r="M74" s="7" t="str">
        <f>CONCATENATE("CRBGNE37P20H321K")</f>
        <v>CRBGNE37P20H321K</v>
      </c>
      <c r="N74" s="7" t="s">
        <v>162</v>
      </c>
      <c r="O74" s="7" t="s">
        <v>81</v>
      </c>
      <c r="P74" s="8">
        <v>44610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7">
        <v>625.94000000000005</v>
      </c>
      <c r="W74" s="7">
        <v>269.91000000000003</v>
      </c>
      <c r="X74" s="7">
        <v>249.25</v>
      </c>
      <c r="Y74" s="7">
        <v>0</v>
      </c>
      <c r="Z74" s="7">
        <v>106.78</v>
      </c>
    </row>
    <row r="75" spans="1:26" x14ac:dyDescent="0.35">
      <c r="A75" s="7" t="s">
        <v>27</v>
      </c>
      <c r="B75" s="7" t="s">
        <v>40</v>
      </c>
      <c r="C75" s="7" t="s">
        <v>48</v>
      </c>
      <c r="D75" s="7" t="s">
        <v>49</v>
      </c>
      <c r="E75" s="7" t="s">
        <v>46</v>
      </c>
      <c r="F75" s="7" t="s">
        <v>107</v>
      </c>
      <c r="G75" s="7">
        <v>2021</v>
      </c>
      <c r="H75" s="7" t="str">
        <f>CONCATENATE("14240440512")</f>
        <v>14240440512</v>
      </c>
      <c r="I75" s="7" t="s">
        <v>30</v>
      </c>
      <c r="J75" s="7" t="s">
        <v>31</v>
      </c>
      <c r="K75" s="7" t="str">
        <f>CONCATENATE("")</f>
        <v/>
      </c>
      <c r="L75" s="7" t="str">
        <f>CONCATENATE("11 11.2 4b")</f>
        <v>11 11.2 4b</v>
      </c>
      <c r="M75" s="7" t="str">
        <f>CONCATENATE("02588960415")</f>
        <v>02588960415</v>
      </c>
      <c r="N75" s="7" t="s">
        <v>163</v>
      </c>
      <c r="O75" s="7" t="s">
        <v>81</v>
      </c>
      <c r="P75" s="8">
        <v>44610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5808.2</v>
      </c>
      <c r="W75" s="9">
        <v>2504.5</v>
      </c>
      <c r="X75" s="9">
        <v>2312.83</v>
      </c>
      <c r="Y75" s="7">
        <v>0</v>
      </c>
      <c r="Z75" s="7">
        <v>990.87</v>
      </c>
    </row>
    <row r="76" spans="1:26" x14ac:dyDescent="0.35">
      <c r="A76" s="7" t="s">
        <v>27</v>
      </c>
      <c r="B76" s="7" t="s">
        <v>40</v>
      </c>
      <c r="C76" s="7" t="s">
        <v>48</v>
      </c>
      <c r="D76" s="7" t="s">
        <v>49</v>
      </c>
      <c r="E76" s="7" t="s">
        <v>46</v>
      </c>
      <c r="F76" s="7" t="s">
        <v>107</v>
      </c>
      <c r="G76" s="7">
        <v>2021</v>
      </c>
      <c r="H76" s="7" t="str">
        <f>CONCATENATE("14240493693")</f>
        <v>14240493693</v>
      </c>
      <c r="I76" s="7" t="s">
        <v>30</v>
      </c>
      <c r="J76" s="7" t="s">
        <v>31</v>
      </c>
      <c r="K76" s="7" t="str">
        <f>CONCATENATE("")</f>
        <v/>
      </c>
      <c r="L76" s="7" t="str">
        <f>CONCATENATE("11 11.2 4b")</f>
        <v>11 11.2 4b</v>
      </c>
      <c r="M76" s="7" t="str">
        <f>CONCATENATE("FLMLCU74B57D749K")</f>
        <v>FLMLCU74B57D749K</v>
      </c>
      <c r="N76" s="7" t="s">
        <v>164</v>
      </c>
      <c r="O76" s="7" t="s">
        <v>81</v>
      </c>
      <c r="P76" s="8">
        <v>44610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2472.16</v>
      </c>
      <c r="W76" s="9">
        <v>1066</v>
      </c>
      <c r="X76" s="7">
        <v>984.41</v>
      </c>
      <c r="Y76" s="7">
        <v>0</v>
      </c>
      <c r="Z76" s="7">
        <v>421.75</v>
      </c>
    </row>
    <row r="77" spans="1:26" x14ac:dyDescent="0.35">
      <c r="A77" s="7" t="s">
        <v>27</v>
      </c>
      <c r="B77" s="7" t="s">
        <v>40</v>
      </c>
      <c r="C77" s="7" t="s">
        <v>48</v>
      </c>
      <c r="D77" s="7" t="s">
        <v>74</v>
      </c>
      <c r="E77" s="7" t="s">
        <v>46</v>
      </c>
      <c r="F77" s="7" t="s">
        <v>75</v>
      </c>
      <c r="G77" s="7">
        <v>2021</v>
      </c>
      <c r="H77" s="7" t="str">
        <f>CONCATENATE("14240565094")</f>
        <v>14240565094</v>
      </c>
      <c r="I77" s="7" t="s">
        <v>30</v>
      </c>
      <c r="J77" s="7" t="s">
        <v>31</v>
      </c>
      <c r="K77" s="7" t="str">
        <f>CONCATENATE("")</f>
        <v/>
      </c>
      <c r="L77" s="7" t="str">
        <f>CONCATENATE("11 11.2 4b")</f>
        <v>11 11.2 4b</v>
      </c>
      <c r="M77" s="7" t="str">
        <f>CONCATENATE("MRCLSS34S24G637A")</f>
        <v>MRCLSS34S24G637A</v>
      </c>
      <c r="N77" s="7" t="s">
        <v>165</v>
      </c>
      <c r="O77" s="7" t="s">
        <v>81</v>
      </c>
      <c r="P77" s="8">
        <v>44610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4369.17</v>
      </c>
      <c r="W77" s="9">
        <v>1883.99</v>
      </c>
      <c r="X77" s="9">
        <v>1739.8</v>
      </c>
      <c r="Y77" s="7">
        <v>0</v>
      </c>
      <c r="Z77" s="7">
        <v>745.38</v>
      </c>
    </row>
    <row r="78" spans="1:26" x14ac:dyDescent="0.35">
      <c r="A78" s="7" t="s">
        <v>27</v>
      </c>
      <c r="B78" s="7" t="s">
        <v>40</v>
      </c>
      <c r="C78" s="7" t="s">
        <v>48</v>
      </c>
      <c r="D78" s="7" t="s">
        <v>49</v>
      </c>
      <c r="E78" s="7" t="s">
        <v>46</v>
      </c>
      <c r="F78" s="7" t="s">
        <v>107</v>
      </c>
      <c r="G78" s="7">
        <v>2021</v>
      </c>
      <c r="H78" s="7" t="str">
        <f>CONCATENATE("14240333774")</f>
        <v>14240333774</v>
      </c>
      <c r="I78" s="7" t="s">
        <v>30</v>
      </c>
      <c r="J78" s="7" t="s">
        <v>31</v>
      </c>
      <c r="K78" s="7" t="str">
        <f>CONCATENATE("")</f>
        <v/>
      </c>
      <c r="L78" s="7" t="str">
        <f>CONCATENATE("11 11.2 4b")</f>
        <v>11 11.2 4b</v>
      </c>
      <c r="M78" s="7" t="str">
        <f>CONCATENATE("02573370414")</f>
        <v>02573370414</v>
      </c>
      <c r="N78" s="7" t="s">
        <v>166</v>
      </c>
      <c r="O78" s="7" t="s">
        <v>81</v>
      </c>
      <c r="P78" s="8">
        <v>44610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1576.42</v>
      </c>
      <c r="W78" s="7">
        <v>679.75</v>
      </c>
      <c r="X78" s="7">
        <v>627.73</v>
      </c>
      <c r="Y78" s="7">
        <v>0</v>
      </c>
      <c r="Z78" s="7">
        <v>268.94</v>
      </c>
    </row>
    <row r="79" spans="1:26" x14ac:dyDescent="0.35">
      <c r="A79" s="7" t="s">
        <v>27</v>
      </c>
      <c r="B79" s="7" t="s">
        <v>40</v>
      </c>
      <c r="C79" s="7" t="s">
        <v>48</v>
      </c>
      <c r="D79" s="7" t="s">
        <v>49</v>
      </c>
      <c r="E79" s="7" t="s">
        <v>46</v>
      </c>
      <c r="F79" s="7" t="s">
        <v>107</v>
      </c>
      <c r="G79" s="7">
        <v>2021</v>
      </c>
      <c r="H79" s="7" t="str">
        <f>CONCATENATE("14240043605")</f>
        <v>14240043605</v>
      </c>
      <c r="I79" s="7" t="s">
        <v>30</v>
      </c>
      <c r="J79" s="7" t="s">
        <v>31</v>
      </c>
      <c r="K79" s="7" t="str">
        <f>CONCATENATE("")</f>
        <v/>
      </c>
      <c r="L79" s="7" t="str">
        <f>CONCATENATE("11 11.1 4b")</f>
        <v>11 11.1 4b</v>
      </c>
      <c r="M79" s="7" t="str">
        <f>CONCATENATE("02599330418")</f>
        <v>02599330418</v>
      </c>
      <c r="N79" s="7" t="s">
        <v>167</v>
      </c>
      <c r="O79" s="7" t="s">
        <v>81</v>
      </c>
      <c r="P79" s="8">
        <v>44610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7">
        <v>388.75</v>
      </c>
      <c r="W79" s="7">
        <v>167.63</v>
      </c>
      <c r="X79" s="7">
        <v>154.80000000000001</v>
      </c>
      <c r="Y79" s="7">
        <v>0</v>
      </c>
      <c r="Z79" s="7">
        <v>66.319999999999993</v>
      </c>
    </row>
    <row r="80" spans="1:26" x14ac:dyDescent="0.35">
      <c r="A80" s="7" t="s">
        <v>27</v>
      </c>
      <c r="B80" s="7" t="s">
        <v>40</v>
      </c>
      <c r="C80" s="7" t="s">
        <v>48</v>
      </c>
      <c r="D80" s="7" t="s">
        <v>49</v>
      </c>
      <c r="E80" s="7" t="s">
        <v>41</v>
      </c>
      <c r="F80" s="7" t="s">
        <v>101</v>
      </c>
      <c r="G80" s="7">
        <v>2021</v>
      </c>
      <c r="H80" s="7" t="str">
        <f>CONCATENATE("14240986670")</f>
        <v>14240986670</v>
      </c>
      <c r="I80" s="7" t="s">
        <v>30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CONCATENATE("BRNPLA81E14F347Y")</f>
        <v>BRNPLA81E14F347Y</v>
      </c>
      <c r="N80" s="7" t="s">
        <v>168</v>
      </c>
      <c r="O80" s="7" t="s">
        <v>81</v>
      </c>
      <c r="P80" s="8">
        <v>44610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119.78</v>
      </c>
      <c r="W80" s="7">
        <v>51.65</v>
      </c>
      <c r="X80" s="7">
        <v>47.7</v>
      </c>
      <c r="Y80" s="7">
        <v>0</v>
      </c>
      <c r="Z80" s="7">
        <v>20.43</v>
      </c>
    </row>
    <row r="81" spans="1:26" x14ac:dyDescent="0.35">
      <c r="A81" s="7" t="s">
        <v>27</v>
      </c>
      <c r="B81" s="7" t="s">
        <v>40</v>
      </c>
      <c r="C81" s="7" t="s">
        <v>48</v>
      </c>
      <c r="D81" s="7" t="s">
        <v>49</v>
      </c>
      <c r="E81" s="7" t="s">
        <v>41</v>
      </c>
      <c r="F81" s="7" t="s">
        <v>101</v>
      </c>
      <c r="G81" s="7">
        <v>2021</v>
      </c>
      <c r="H81" s="7" t="str">
        <f>CONCATENATE("14240899469")</f>
        <v>14240899469</v>
      </c>
      <c r="I81" s="7" t="s">
        <v>30</v>
      </c>
      <c r="J81" s="7" t="s">
        <v>31</v>
      </c>
      <c r="K81" s="7" t="str">
        <f>CONCATENATE("")</f>
        <v/>
      </c>
      <c r="L81" s="7" t="str">
        <f>CONCATENATE("11 11.2 4b")</f>
        <v>11 11.2 4b</v>
      </c>
      <c r="M81" s="7" t="str">
        <f>CONCATENATE("MNCMRA73L18D007R")</f>
        <v>MNCMRA73L18D007R</v>
      </c>
      <c r="N81" s="7" t="s">
        <v>169</v>
      </c>
      <c r="O81" s="7" t="s">
        <v>81</v>
      </c>
      <c r="P81" s="8">
        <v>44610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7">
        <v>186.75</v>
      </c>
      <c r="W81" s="7">
        <v>80.53</v>
      </c>
      <c r="X81" s="7">
        <v>74.36</v>
      </c>
      <c r="Y81" s="7">
        <v>0</v>
      </c>
      <c r="Z81" s="7">
        <v>31.86</v>
      </c>
    </row>
    <row r="82" spans="1:26" x14ac:dyDescent="0.35">
      <c r="A82" s="7" t="s">
        <v>27</v>
      </c>
      <c r="B82" s="7" t="s">
        <v>40</v>
      </c>
      <c r="C82" s="7" t="s">
        <v>48</v>
      </c>
      <c r="D82" s="7" t="s">
        <v>53</v>
      </c>
      <c r="E82" s="7" t="s">
        <v>36</v>
      </c>
      <c r="F82" s="7" t="s">
        <v>36</v>
      </c>
      <c r="G82" s="7">
        <v>2021</v>
      </c>
      <c r="H82" s="7" t="str">
        <f>CONCATENATE("14241082552")</f>
        <v>14241082552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11.2 4b")</f>
        <v>11 11.2 4b</v>
      </c>
      <c r="M82" s="7" t="str">
        <f>CONCATENATE("90061450442")</f>
        <v>90061450442</v>
      </c>
      <c r="N82" s="7" t="s">
        <v>170</v>
      </c>
      <c r="O82" s="7" t="s">
        <v>81</v>
      </c>
      <c r="P82" s="8">
        <v>44610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6509.45</v>
      </c>
      <c r="W82" s="9">
        <v>2806.87</v>
      </c>
      <c r="X82" s="9">
        <v>2592.06</v>
      </c>
      <c r="Y82" s="7">
        <v>0</v>
      </c>
      <c r="Z82" s="9">
        <v>1110.52</v>
      </c>
    </row>
    <row r="83" spans="1:26" x14ac:dyDescent="0.35">
      <c r="A83" s="7" t="s">
        <v>27</v>
      </c>
      <c r="B83" s="7" t="s">
        <v>40</v>
      </c>
      <c r="C83" s="7" t="s">
        <v>48</v>
      </c>
      <c r="D83" s="7" t="s">
        <v>74</v>
      </c>
      <c r="E83" s="7" t="s">
        <v>46</v>
      </c>
      <c r="F83" s="7" t="s">
        <v>128</v>
      </c>
      <c r="G83" s="7">
        <v>2021</v>
      </c>
      <c r="H83" s="7" t="str">
        <f>CONCATENATE("14241204032")</f>
        <v>14241204032</v>
      </c>
      <c r="I83" s="7" t="s">
        <v>30</v>
      </c>
      <c r="J83" s="7" t="s">
        <v>31</v>
      </c>
      <c r="K83" s="7" t="str">
        <f>CONCATENATE("")</f>
        <v/>
      </c>
      <c r="L83" s="7" t="str">
        <f>CONCATENATE("11 11.2 4b")</f>
        <v>11 11.2 4b</v>
      </c>
      <c r="M83" s="7" t="str">
        <f>CONCATENATE("GRZGCM85M11L191L")</f>
        <v>GRZGCM85M11L191L</v>
      </c>
      <c r="N83" s="7" t="s">
        <v>171</v>
      </c>
      <c r="O83" s="7" t="s">
        <v>81</v>
      </c>
      <c r="P83" s="8">
        <v>44610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2998.63</v>
      </c>
      <c r="W83" s="9">
        <v>1293.01</v>
      </c>
      <c r="X83" s="9">
        <v>1194.05</v>
      </c>
      <c r="Y83" s="7">
        <v>0</v>
      </c>
      <c r="Z83" s="7">
        <v>511.57</v>
      </c>
    </row>
    <row r="84" spans="1:26" x14ac:dyDescent="0.35">
      <c r="A84" s="7" t="s">
        <v>27</v>
      </c>
      <c r="B84" s="7" t="s">
        <v>40</v>
      </c>
      <c r="C84" s="7" t="s">
        <v>48</v>
      </c>
      <c r="D84" s="7" t="s">
        <v>74</v>
      </c>
      <c r="E84" s="7" t="s">
        <v>46</v>
      </c>
      <c r="F84" s="7" t="s">
        <v>113</v>
      </c>
      <c r="G84" s="7">
        <v>2021</v>
      </c>
      <c r="H84" s="7" t="str">
        <f>CONCATENATE("14240425174")</f>
        <v>14240425174</v>
      </c>
      <c r="I84" s="7" t="s">
        <v>30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CONCATENATE("VRDMSM96A08E783X")</f>
        <v>VRDMSM96A08E783X</v>
      </c>
      <c r="N84" s="7" t="s">
        <v>172</v>
      </c>
      <c r="O84" s="7" t="s">
        <v>81</v>
      </c>
      <c r="P84" s="8">
        <v>44610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6840.31</v>
      </c>
      <c r="W84" s="9">
        <v>2949.54</v>
      </c>
      <c r="X84" s="9">
        <v>2723.81</v>
      </c>
      <c r="Y84" s="7">
        <v>0</v>
      </c>
      <c r="Z84" s="9">
        <v>1166.96</v>
      </c>
    </row>
    <row r="85" spans="1:26" x14ac:dyDescent="0.35">
      <c r="A85" s="7" t="s">
        <v>27</v>
      </c>
      <c r="B85" s="7" t="s">
        <v>40</v>
      </c>
      <c r="C85" s="7" t="s">
        <v>48</v>
      </c>
      <c r="D85" s="7" t="s">
        <v>74</v>
      </c>
      <c r="E85" s="7" t="s">
        <v>44</v>
      </c>
      <c r="F85" s="7" t="s">
        <v>173</v>
      </c>
      <c r="G85" s="7">
        <v>2020</v>
      </c>
      <c r="H85" s="7" t="str">
        <f>CONCATENATE("04240708430")</f>
        <v>04240708430</v>
      </c>
      <c r="I85" s="7" t="s">
        <v>30</v>
      </c>
      <c r="J85" s="7" t="s">
        <v>31</v>
      </c>
      <c r="K85" s="7" t="str">
        <f>CONCATENATE("")</f>
        <v/>
      </c>
      <c r="L85" s="7" t="str">
        <f>CONCATENATE("11 11.2 4b")</f>
        <v>11 11.2 4b</v>
      </c>
      <c r="M85" s="7" t="str">
        <f>CONCATENATE("02036180426")</f>
        <v>02036180426</v>
      </c>
      <c r="N85" s="7" t="s">
        <v>174</v>
      </c>
      <c r="O85" s="7" t="s">
        <v>81</v>
      </c>
      <c r="P85" s="8">
        <v>44610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2469.2199999999998</v>
      </c>
      <c r="W85" s="9">
        <v>1064.73</v>
      </c>
      <c r="X85" s="7">
        <v>983.24</v>
      </c>
      <c r="Y85" s="7">
        <v>0</v>
      </c>
      <c r="Z85" s="7">
        <v>421.25</v>
      </c>
    </row>
    <row r="86" spans="1:26" x14ac:dyDescent="0.35">
      <c r="A86" s="7" t="s">
        <v>27</v>
      </c>
      <c r="B86" s="7" t="s">
        <v>40</v>
      </c>
      <c r="C86" s="7" t="s">
        <v>48</v>
      </c>
      <c r="D86" s="7" t="s">
        <v>74</v>
      </c>
      <c r="E86" s="7" t="s">
        <v>44</v>
      </c>
      <c r="F86" s="7" t="s">
        <v>173</v>
      </c>
      <c r="G86" s="7">
        <v>2021</v>
      </c>
      <c r="H86" s="7" t="str">
        <f>CONCATENATE("14240816562")</f>
        <v>14240816562</v>
      </c>
      <c r="I86" s="7" t="s">
        <v>30</v>
      </c>
      <c r="J86" s="7" t="s">
        <v>31</v>
      </c>
      <c r="K86" s="7" t="str">
        <f>CONCATENATE("")</f>
        <v/>
      </c>
      <c r="L86" s="7" t="str">
        <f>CONCATENATE("11 11.2 4b")</f>
        <v>11 11.2 4b</v>
      </c>
      <c r="M86" s="7" t="str">
        <f>CONCATENATE("02036180426")</f>
        <v>02036180426</v>
      </c>
      <c r="N86" s="7" t="s">
        <v>174</v>
      </c>
      <c r="O86" s="7" t="s">
        <v>81</v>
      </c>
      <c r="P86" s="8">
        <v>44610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3334.99</v>
      </c>
      <c r="W86" s="9">
        <v>1438.05</v>
      </c>
      <c r="X86" s="9">
        <v>1327.99</v>
      </c>
      <c r="Y86" s="7">
        <v>0</v>
      </c>
      <c r="Z86" s="7">
        <v>568.95000000000005</v>
      </c>
    </row>
    <row r="87" spans="1:26" x14ac:dyDescent="0.35">
      <c r="A87" s="7" t="s">
        <v>27</v>
      </c>
      <c r="B87" s="7" t="s">
        <v>40</v>
      </c>
      <c r="C87" s="7" t="s">
        <v>48</v>
      </c>
      <c r="D87" s="7" t="s">
        <v>49</v>
      </c>
      <c r="E87" s="7" t="s">
        <v>42</v>
      </c>
      <c r="F87" s="7" t="s">
        <v>125</v>
      </c>
      <c r="G87" s="7">
        <v>2021</v>
      </c>
      <c r="H87" s="7" t="str">
        <f>CONCATENATE("14240725102")</f>
        <v>14240725102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11.2 4b")</f>
        <v>11 11.2 4b</v>
      </c>
      <c r="M87" s="7" t="str">
        <f>CONCATENATE("NCCPLC57M56F450W")</f>
        <v>NCCPLC57M56F450W</v>
      </c>
      <c r="N87" s="7" t="s">
        <v>175</v>
      </c>
      <c r="O87" s="7" t="s">
        <v>81</v>
      </c>
      <c r="P87" s="8">
        <v>44610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7">
        <v>562.86</v>
      </c>
      <c r="W87" s="7">
        <v>242.71</v>
      </c>
      <c r="X87" s="7">
        <v>224.13</v>
      </c>
      <c r="Y87" s="7">
        <v>0</v>
      </c>
      <c r="Z87" s="7">
        <v>96.02</v>
      </c>
    </row>
    <row r="88" spans="1:26" x14ac:dyDescent="0.35">
      <c r="A88" s="7" t="s">
        <v>27</v>
      </c>
      <c r="B88" s="7" t="s">
        <v>40</v>
      </c>
      <c r="C88" s="7" t="s">
        <v>48</v>
      </c>
      <c r="D88" s="7" t="s">
        <v>49</v>
      </c>
      <c r="E88" s="7" t="s">
        <v>42</v>
      </c>
      <c r="F88" s="7" t="s">
        <v>176</v>
      </c>
      <c r="G88" s="7">
        <v>2021</v>
      </c>
      <c r="H88" s="7" t="str">
        <f>CONCATENATE("14240152323")</f>
        <v>14240152323</v>
      </c>
      <c r="I88" s="7" t="s">
        <v>30</v>
      </c>
      <c r="J88" s="7" t="s">
        <v>31</v>
      </c>
      <c r="K88" s="7" t="str">
        <f>CONCATENATE("")</f>
        <v/>
      </c>
      <c r="L88" s="7" t="str">
        <f>CONCATENATE("11 11.1 4b")</f>
        <v>11 11.1 4b</v>
      </c>
      <c r="M88" s="7" t="str">
        <f>CONCATENATE("02604670410")</f>
        <v>02604670410</v>
      </c>
      <c r="N88" s="7" t="s">
        <v>177</v>
      </c>
      <c r="O88" s="7" t="s">
        <v>81</v>
      </c>
      <c r="P88" s="8">
        <v>44610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7">
        <v>551.02</v>
      </c>
      <c r="W88" s="7">
        <v>237.6</v>
      </c>
      <c r="X88" s="7">
        <v>219.42</v>
      </c>
      <c r="Y88" s="7">
        <v>0</v>
      </c>
      <c r="Z88" s="7">
        <v>94</v>
      </c>
    </row>
    <row r="89" spans="1:26" x14ac:dyDescent="0.35">
      <c r="A89" s="7" t="s">
        <v>27</v>
      </c>
      <c r="B89" s="7" t="s">
        <v>40</v>
      </c>
      <c r="C89" s="7" t="s">
        <v>48</v>
      </c>
      <c r="D89" s="7" t="s">
        <v>49</v>
      </c>
      <c r="E89" s="7" t="s">
        <v>42</v>
      </c>
      <c r="F89" s="7" t="s">
        <v>145</v>
      </c>
      <c r="G89" s="7">
        <v>2021</v>
      </c>
      <c r="H89" s="7" t="str">
        <f>CONCATENATE("14240864653")</f>
        <v>14240864653</v>
      </c>
      <c r="I89" s="7" t="s">
        <v>45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CONCATENATE("TNLSFN79T26L500B")</f>
        <v>TNLSFN79T26L500B</v>
      </c>
      <c r="N89" s="7" t="s">
        <v>178</v>
      </c>
      <c r="O89" s="7" t="s">
        <v>81</v>
      </c>
      <c r="P89" s="8">
        <v>44610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315.18</v>
      </c>
      <c r="W89" s="7">
        <v>135.91</v>
      </c>
      <c r="X89" s="7">
        <v>125.5</v>
      </c>
      <c r="Y89" s="7">
        <v>0</v>
      </c>
      <c r="Z89" s="7">
        <v>53.77</v>
      </c>
    </row>
    <row r="90" spans="1:26" x14ac:dyDescent="0.35">
      <c r="A90" s="7" t="s">
        <v>27</v>
      </c>
      <c r="B90" s="7" t="s">
        <v>40</v>
      </c>
      <c r="C90" s="7" t="s">
        <v>48</v>
      </c>
      <c r="D90" s="7" t="s">
        <v>49</v>
      </c>
      <c r="E90" s="7" t="s">
        <v>42</v>
      </c>
      <c r="F90" s="7" t="s">
        <v>145</v>
      </c>
      <c r="G90" s="7">
        <v>2021</v>
      </c>
      <c r="H90" s="7" t="str">
        <f>CONCATENATE("14240868910")</f>
        <v>14240868910</v>
      </c>
      <c r="I90" s="7" t="s">
        <v>45</v>
      </c>
      <c r="J90" s="7" t="s">
        <v>31</v>
      </c>
      <c r="K90" s="7" t="str">
        <f>CONCATENATE("")</f>
        <v/>
      </c>
      <c r="L90" s="7" t="str">
        <f>CONCATENATE("11 11.2 4b")</f>
        <v>11 11.2 4b</v>
      </c>
      <c r="M90" s="7" t="str">
        <f>CONCATENATE("TNLSFN79T26L500B")</f>
        <v>TNLSFN79T26L500B</v>
      </c>
      <c r="N90" s="7" t="s">
        <v>178</v>
      </c>
      <c r="O90" s="7" t="s">
        <v>81</v>
      </c>
      <c r="P90" s="8">
        <v>44610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7">
        <v>320.64</v>
      </c>
      <c r="W90" s="7">
        <v>138.26</v>
      </c>
      <c r="X90" s="7">
        <v>127.68</v>
      </c>
      <c r="Y90" s="7">
        <v>0</v>
      </c>
      <c r="Z90" s="7">
        <v>54.7</v>
      </c>
    </row>
    <row r="91" spans="1:26" x14ac:dyDescent="0.35">
      <c r="A91" s="7" t="s">
        <v>27</v>
      </c>
      <c r="B91" s="7" t="s">
        <v>40</v>
      </c>
      <c r="C91" s="7" t="s">
        <v>48</v>
      </c>
      <c r="D91" s="7" t="s">
        <v>49</v>
      </c>
      <c r="E91" s="7" t="s">
        <v>42</v>
      </c>
      <c r="F91" s="7" t="s">
        <v>145</v>
      </c>
      <c r="G91" s="7">
        <v>2021</v>
      </c>
      <c r="H91" s="7" t="str">
        <f>CONCATENATE("14240868050")</f>
        <v>14240868050</v>
      </c>
      <c r="I91" s="7" t="s">
        <v>45</v>
      </c>
      <c r="J91" s="7" t="s">
        <v>31</v>
      </c>
      <c r="K91" s="7" t="str">
        <f>CONCATENATE("")</f>
        <v/>
      </c>
      <c r="L91" s="7" t="str">
        <f>CONCATENATE("11 11.2 4b")</f>
        <v>11 11.2 4b</v>
      </c>
      <c r="M91" s="7" t="str">
        <f>CONCATENATE("TNLSFN79T26L500B")</f>
        <v>TNLSFN79T26L500B</v>
      </c>
      <c r="N91" s="7" t="s">
        <v>178</v>
      </c>
      <c r="O91" s="7" t="s">
        <v>81</v>
      </c>
      <c r="P91" s="8">
        <v>44610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3299.22</v>
      </c>
      <c r="W91" s="9">
        <v>1422.62</v>
      </c>
      <c r="X91" s="9">
        <v>1313.75</v>
      </c>
      <c r="Y91" s="7">
        <v>0</v>
      </c>
      <c r="Z91" s="7">
        <v>562.85</v>
      </c>
    </row>
    <row r="92" spans="1:26" x14ac:dyDescent="0.35">
      <c r="A92" s="7" t="s">
        <v>27</v>
      </c>
      <c r="B92" s="7" t="s">
        <v>40</v>
      </c>
      <c r="C92" s="7" t="s">
        <v>48</v>
      </c>
      <c r="D92" s="7" t="s">
        <v>49</v>
      </c>
      <c r="E92" s="7" t="s">
        <v>42</v>
      </c>
      <c r="F92" s="7" t="s">
        <v>176</v>
      </c>
      <c r="G92" s="7">
        <v>2021</v>
      </c>
      <c r="H92" s="7" t="str">
        <f>CONCATENATE("14240790015")</f>
        <v>14240790015</v>
      </c>
      <c r="I92" s="7" t="s">
        <v>30</v>
      </c>
      <c r="J92" s="7" t="s">
        <v>31</v>
      </c>
      <c r="K92" s="7" t="str">
        <f>CONCATENATE("")</f>
        <v/>
      </c>
      <c r="L92" s="7" t="str">
        <f>CONCATENATE("11 11.1 4b")</f>
        <v>11 11.1 4b</v>
      </c>
      <c r="M92" s="7" t="str">
        <f>CONCATENATE("GLNCLD61E10F135Z")</f>
        <v>GLNCLD61E10F135Z</v>
      </c>
      <c r="N92" s="7" t="s">
        <v>179</v>
      </c>
      <c r="O92" s="7" t="s">
        <v>81</v>
      </c>
      <c r="P92" s="8">
        <v>44610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7">
        <v>324.11</v>
      </c>
      <c r="W92" s="7">
        <v>139.76</v>
      </c>
      <c r="X92" s="7">
        <v>129.06</v>
      </c>
      <c r="Y92" s="7">
        <v>0</v>
      </c>
      <c r="Z92" s="7">
        <v>55.29</v>
      </c>
    </row>
    <row r="93" spans="1:26" x14ac:dyDescent="0.35">
      <c r="A93" s="7" t="s">
        <v>27</v>
      </c>
      <c r="B93" s="7" t="s">
        <v>40</v>
      </c>
      <c r="C93" s="7" t="s">
        <v>48</v>
      </c>
      <c r="D93" s="7" t="s">
        <v>49</v>
      </c>
      <c r="E93" s="7" t="s">
        <v>42</v>
      </c>
      <c r="F93" s="7" t="s">
        <v>176</v>
      </c>
      <c r="G93" s="7">
        <v>2021</v>
      </c>
      <c r="H93" s="7" t="str">
        <f>CONCATENATE("14240787987")</f>
        <v>14240787987</v>
      </c>
      <c r="I93" s="7" t="s">
        <v>30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CONCATENATE("GLNCLD61E10F135Z")</f>
        <v>GLNCLD61E10F135Z</v>
      </c>
      <c r="N93" s="7" t="s">
        <v>179</v>
      </c>
      <c r="O93" s="7" t="s">
        <v>81</v>
      </c>
      <c r="P93" s="8">
        <v>44610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146.94999999999999</v>
      </c>
      <c r="W93" s="7">
        <v>63.36</v>
      </c>
      <c r="X93" s="7">
        <v>58.52</v>
      </c>
      <c r="Y93" s="7">
        <v>0</v>
      </c>
      <c r="Z93" s="7">
        <v>25.07</v>
      </c>
    </row>
    <row r="94" spans="1:26" ht="17.5" x14ac:dyDescent="0.35">
      <c r="A94" s="7" t="s">
        <v>27</v>
      </c>
      <c r="B94" s="7" t="s">
        <v>28</v>
      </c>
      <c r="C94" s="7" t="s">
        <v>48</v>
      </c>
      <c r="D94" s="7" t="s">
        <v>74</v>
      </c>
      <c r="E94" s="7" t="s">
        <v>36</v>
      </c>
      <c r="F94" s="7" t="s">
        <v>36</v>
      </c>
      <c r="G94" s="7">
        <v>2017</v>
      </c>
      <c r="H94" s="7" t="str">
        <f>CONCATENATE("14270363352")</f>
        <v>14270363352</v>
      </c>
      <c r="I94" s="7" t="s">
        <v>30</v>
      </c>
      <c r="J94" s="7" t="s">
        <v>31</v>
      </c>
      <c r="K94" s="7" t="str">
        <f>CONCATENATE("")</f>
        <v/>
      </c>
      <c r="L94" s="7" t="str">
        <f>CONCATENATE("6 6.1 2b")</f>
        <v>6 6.1 2b</v>
      </c>
      <c r="M94" s="7" t="str">
        <f>CONCATENATE("01913730436")</f>
        <v>01913730436</v>
      </c>
      <c r="N94" s="7" t="s">
        <v>180</v>
      </c>
      <c r="O94" s="7" t="s">
        <v>181</v>
      </c>
      <c r="P94" s="8">
        <v>44614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20370</v>
      </c>
      <c r="W94" s="9">
        <v>8783.5400000000009</v>
      </c>
      <c r="X94" s="9">
        <v>8111.33</v>
      </c>
      <c r="Y94" s="7">
        <v>0</v>
      </c>
      <c r="Z94" s="9">
        <v>3475.13</v>
      </c>
    </row>
    <row r="95" spans="1:26" x14ac:dyDescent="0.35">
      <c r="A95" s="7" t="s">
        <v>27</v>
      </c>
      <c r="B95" s="7" t="s">
        <v>28</v>
      </c>
      <c r="C95" s="7" t="s">
        <v>48</v>
      </c>
      <c r="D95" s="7" t="s">
        <v>53</v>
      </c>
      <c r="E95" s="7" t="s">
        <v>36</v>
      </c>
      <c r="F95" s="7" t="s">
        <v>36</v>
      </c>
      <c r="G95" s="7">
        <v>2017</v>
      </c>
      <c r="H95" s="7" t="str">
        <f>CONCATENATE("14270363238")</f>
        <v>14270363238</v>
      </c>
      <c r="I95" s="7" t="s">
        <v>30</v>
      </c>
      <c r="J95" s="7" t="s">
        <v>31</v>
      </c>
      <c r="K95" s="7" t="str">
        <f>CONCATENATE("")</f>
        <v/>
      </c>
      <c r="L95" s="7" t="str">
        <f>CONCATENATE("4 4.1 2a")</f>
        <v>4 4.1 2a</v>
      </c>
      <c r="M95" s="7" t="str">
        <f>CONCATENATE("BRRNTN96P66H769L")</f>
        <v>BRRNTN96P66H769L</v>
      </c>
      <c r="N95" s="7" t="s">
        <v>66</v>
      </c>
      <c r="O95" s="7" t="s">
        <v>182</v>
      </c>
      <c r="P95" s="8">
        <v>44614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53005.47</v>
      </c>
      <c r="W95" s="9">
        <v>22855.96</v>
      </c>
      <c r="X95" s="9">
        <v>21106.78</v>
      </c>
      <c r="Y95" s="7">
        <v>0</v>
      </c>
      <c r="Z95" s="9">
        <v>9042.73</v>
      </c>
    </row>
    <row r="96" spans="1:26" x14ac:dyDescent="0.35">
      <c r="A96" s="7" t="s">
        <v>27</v>
      </c>
      <c r="B96" s="7" t="s">
        <v>28</v>
      </c>
      <c r="C96" s="7" t="s">
        <v>48</v>
      </c>
      <c r="D96" s="7" t="s">
        <v>49</v>
      </c>
      <c r="E96" s="7" t="s">
        <v>42</v>
      </c>
      <c r="F96" s="7" t="s">
        <v>50</v>
      </c>
      <c r="G96" s="7">
        <v>2017</v>
      </c>
      <c r="H96" s="7" t="str">
        <f>CONCATENATE("14270363410")</f>
        <v>14270363410</v>
      </c>
      <c r="I96" s="7" t="s">
        <v>30</v>
      </c>
      <c r="J96" s="7" t="s">
        <v>31</v>
      </c>
      <c r="K96" s="7" t="str">
        <f>CONCATENATE("")</f>
        <v/>
      </c>
      <c r="L96" s="7" t="str">
        <f>CONCATENATE("6 6.4 2a")</f>
        <v>6 6.4 2a</v>
      </c>
      <c r="M96" s="7" t="str">
        <f>CONCATENATE("CVLFNZ59D58D749W")</f>
        <v>CVLFNZ59D58D749W</v>
      </c>
      <c r="N96" s="7" t="s">
        <v>183</v>
      </c>
      <c r="O96" s="7" t="s">
        <v>184</v>
      </c>
      <c r="P96" s="8">
        <v>44614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33117.919999999998</v>
      </c>
      <c r="W96" s="9">
        <v>14280.45</v>
      </c>
      <c r="X96" s="9">
        <v>13187.56</v>
      </c>
      <c r="Y96" s="7">
        <v>0</v>
      </c>
      <c r="Z96" s="9">
        <v>5649.91</v>
      </c>
    </row>
    <row r="97" spans="1:26" x14ac:dyDescent="0.35">
      <c r="A97" s="7" t="s">
        <v>27</v>
      </c>
      <c r="B97" s="7" t="s">
        <v>28</v>
      </c>
      <c r="C97" s="7" t="s">
        <v>48</v>
      </c>
      <c r="D97" s="7" t="s">
        <v>49</v>
      </c>
      <c r="E97" s="7" t="s">
        <v>36</v>
      </c>
      <c r="F97" s="7" t="s">
        <v>36</v>
      </c>
      <c r="G97" s="7">
        <v>2017</v>
      </c>
      <c r="H97" s="7" t="str">
        <f>CONCATENATE("14270363345")</f>
        <v>14270363345</v>
      </c>
      <c r="I97" s="7" t="s">
        <v>30</v>
      </c>
      <c r="J97" s="7" t="s">
        <v>31</v>
      </c>
      <c r="K97" s="7" t="str">
        <f>CONCATENATE("")</f>
        <v/>
      </c>
      <c r="L97" s="7" t="str">
        <f>CONCATENATE("4 4.1 2a")</f>
        <v>4 4.1 2a</v>
      </c>
      <c r="M97" s="7" t="str">
        <f>CONCATENATE("SCCMTR96L43L500Z")</f>
        <v>SCCMTR96L43L500Z</v>
      </c>
      <c r="N97" s="7" t="s">
        <v>59</v>
      </c>
      <c r="O97" s="7" t="s">
        <v>185</v>
      </c>
      <c r="P97" s="8">
        <v>44614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22539.33</v>
      </c>
      <c r="W97" s="9">
        <v>9718.9599999999991</v>
      </c>
      <c r="X97" s="9">
        <v>8975.16</v>
      </c>
      <c r="Y97" s="7">
        <v>0</v>
      </c>
      <c r="Z97" s="9">
        <v>3845.21</v>
      </c>
    </row>
    <row r="98" spans="1:26" x14ac:dyDescent="0.35">
      <c r="A98" s="7" t="s">
        <v>27</v>
      </c>
      <c r="B98" s="7" t="s">
        <v>40</v>
      </c>
      <c r="C98" s="7" t="s">
        <v>48</v>
      </c>
      <c r="D98" s="7" t="s">
        <v>74</v>
      </c>
      <c r="E98" s="7" t="s">
        <v>46</v>
      </c>
      <c r="F98" s="7" t="s">
        <v>128</v>
      </c>
      <c r="G98" s="7">
        <v>2018</v>
      </c>
      <c r="H98" s="7" t="str">
        <f>CONCATENATE("84240892053")</f>
        <v>84240892053</v>
      </c>
      <c r="I98" s="7" t="s">
        <v>30</v>
      </c>
      <c r="J98" s="7" t="s">
        <v>31</v>
      </c>
      <c r="K98" s="7" t="str">
        <f>CONCATENATE("")</f>
        <v/>
      </c>
      <c r="L98" s="7" t="str">
        <f>CONCATENATE("11 11.2 4b")</f>
        <v>11 11.2 4b</v>
      </c>
      <c r="M98" s="7" t="str">
        <f>CONCATENATE("PLNSML74D70L366A")</f>
        <v>PLNSML74D70L366A</v>
      </c>
      <c r="N98" s="7" t="s">
        <v>186</v>
      </c>
      <c r="O98" s="7" t="s">
        <v>187</v>
      </c>
      <c r="P98" s="8">
        <v>44610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10084.969999999999</v>
      </c>
      <c r="W98" s="9">
        <v>4348.6400000000003</v>
      </c>
      <c r="X98" s="9">
        <v>4015.84</v>
      </c>
      <c r="Y98" s="7">
        <v>0</v>
      </c>
      <c r="Z98" s="9">
        <v>1720.49</v>
      </c>
    </row>
    <row r="99" spans="1:26" x14ac:dyDescent="0.35">
      <c r="A99" s="7" t="s">
        <v>27</v>
      </c>
      <c r="B99" s="7" t="s">
        <v>40</v>
      </c>
      <c r="C99" s="7" t="s">
        <v>48</v>
      </c>
      <c r="D99" s="7" t="s">
        <v>74</v>
      </c>
      <c r="E99" s="7" t="s">
        <v>42</v>
      </c>
      <c r="F99" s="7" t="s">
        <v>188</v>
      </c>
      <c r="G99" s="7">
        <v>2021</v>
      </c>
      <c r="H99" s="7" t="str">
        <f>CONCATENATE("14240217829")</f>
        <v>14240217829</v>
      </c>
      <c r="I99" s="7" t="s">
        <v>30</v>
      </c>
      <c r="J99" s="7" t="s">
        <v>31</v>
      </c>
      <c r="K99" s="7" t="str">
        <f>CONCATENATE("")</f>
        <v/>
      </c>
      <c r="L99" s="7" t="str">
        <f>CONCATENATE("11 11.2 4b")</f>
        <v>11 11.2 4b</v>
      </c>
      <c r="M99" s="7" t="str">
        <f>CONCATENATE("FSRLCU67L25L191G")</f>
        <v>FSRLCU67L25L191G</v>
      </c>
      <c r="N99" s="7" t="s">
        <v>189</v>
      </c>
      <c r="O99" s="7" t="s">
        <v>187</v>
      </c>
      <c r="P99" s="8">
        <v>44610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2698.43</v>
      </c>
      <c r="W99" s="9">
        <v>1163.56</v>
      </c>
      <c r="X99" s="9">
        <v>1074.51</v>
      </c>
      <c r="Y99" s="7">
        <v>0</v>
      </c>
      <c r="Z99" s="7">
        <v>460.36</v>
      </c>
    </row>
    <row r="100" spans="1:26" x14ac:dyDescent="0.35">
      <c r="A100" s="7" t="s">
        <v>27</v>
      </c>
      <c r="B100" s="7" t="s">
        <v>40</v>
      </c>
      <c r="C100" s="7" t="s">
        <v>48</v>
      </c>
      <c r="D100" s="7" t="s">
        <v>74</v>
      </c>
      <c r="E100" s="7" t="s">
        <v>42</v>
      </c>
      <c r="F100" s="7" t="s">
        <v>82</v>
      </c>
      <c r="G100" s="7">
        <v>2021</v>
      </c>
      <c r="H100" s="7" t="str">
        <f>CONCATENATE("14240513714")</f>
        <v>14240513714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CONCATENATE("11 11.2 4b")</f>
        <v>11 11.2 4b</v>
      </c>
      <c r="M100" s="7" t="str">
        <f>CONCATENATE("01916370438")</f>
        <v>01916370438</v>
      </c>
      <c r="N100" s="7" t="s">
        <v>190</v>
      </c>
      <c r="O100" s="7" t="s">
        <v>187</v>
      </c>
      <c r="P100" s="8">
        <v>44610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27786.01</v>
      </c>
      <c r="W100" s="9">
        <v>11981.33</v>
      </c>
      <c r="X100" s="9">
        <v>11064.39</v>
      </c>
      <c r="Y100" s="7">
        <v>0</v>
      </c>
      <c r="Z100" s="9">
        <v>4740.29</v>
      </c>
    </row>
    <row r="101" spans="1:26" x14ac:dyDescent="0.35">
      <c r="A101" s="7" t="s">
        <v>27</v>
      </c>
      <c r="B101" s="7" t="s">
        <v>40</v>
      </c>
      <c r="C101" s="7" t="s">
        <v>48</v>
      </c>
      <c r="D101" s="7" t="s">
        <v>61</v>
      </c>
      <c r="E101" s="7" t="s">
        <v>42</v>
      </c>
      <c r="F101" s="7" t="s">
        <v>94</v>
      </c>
      <c r="G101" s="7">
        <v>2021</v>
      </c>
      <c r="H101" s="7" t="str">
        <f>CONCATENATE("14240599986")</f>
        <v>14240599986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CONCATENATE("11 11.2 4b")</f>
        <v>11 11.2 4b</v>
      </c>
      <c r="M101" s="7" t="str">
        <f>CONCATENATE("LCCRTM46T20D965Z")</f>
        <v>LCCRTM46T20D965Z</v>
      </c>
      <c r="N101" s="7" t="s">
        <v>191</v>
      </c>
      <c r="O101" s="7" t="s">
        <v>192</v>
      </c>
      <c r="P101" s="8">
        <v>44610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7">
        <v>478.14</v>
      </c>
      <c r="W101" s="7">
        <v>206.17</v>
      </c>
      <c r="X101" s="7">
        <v>190.4</v>
      </c>
      <c r="Y101" s="7">
        <v>0</v>
      </c>
      <c r="Z101" s="7">
        <v>81.569999999999993</v>
      </c>
    </row>
    <row r="102" spans="1:26" x14ac:dyDescent="0.35">
      <c r="A102" s="7" t="s">
        <v>27</v>
      </c>
      <c r="B102" s="7" t="s">
        <v>40</v>
      </c>
      <c r="C102" s="7" t="s">
        <v>48</v>
      </c>
      <c r="D102" s="7" t="s">
        <v>61</v>
      </c>
      <c r="E102" s="7" t="s">
        <v>39</v>
      </c>
      <c r="F102" s="7" t="s">
        <v>193</v>
      </c>
      <c r="G102" s="7">
        <v>2021</v>
      </c>
      <c r="H102" s="7" t="str">
        <f>CONCATENATE("14240263948")</f>
        <v>14240263948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CONCATENATE("11 11.1 4b")</f>
        <v>11 11.1 4b</v>
      </c>
      <c r="M102" s="7" t="str">
        <f>CONCATENATE("01068740420")</f>
        <v>01068740420</v>
      </c>
      <c r="N102" s="7" t="s">
        <v>194</v>
      </c>
      <c r="O102" s="7" t="s">
        <v>192</v>
      </c>
      <c r="P102" s="8">
        <v>44610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3508.19</v>
      </c>
      <c r="W102" s="9">
        <v>1512.73</v>
      </c>
      <c r="X102" s="9">
        <v>1396.96</v>
      </c>
      <c r="Y102" s="7">
        <v>0</v>
      </c>
      <c r="Z102" s="7">
        <v>598.5</v>
      </c>
    </row>
    <row r="103" spans="1:26" x14ac:dyDescent="0.35">
      <c r="A103" s="7" t="s">
        <v>27</v>
      </c>
      <c r="B103" s="7" t="s">
        <v>40</v>
      </c>
      <c r="C103" s="7" t="s">
        <v>48</v>
      </c>
      <c r="D103" s="7" t="s">
        <v>61</v>
      </c>
      <c r="E103" s="7" t="s">
        <v>39</v>
      </c>
      <c r="F103" s="7" t="s">
        <v>193</v>
      </c>
      <c r="G103" s="7">
        <v>2021</v>
      </c>
      <c r="H103" s="7" t="str">
        <f>CONCATENATE("14240452079")</f>
        <v>14240452079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CONCATENATE("11 11.2 4b")</f>
        <v>11 11.2 4b</v>
      </c>
      <c r="M103" s="7" t="str">
        <f>CONCATENATE("GRGSFN70S12A271I")</f>
        <v>GRGSFN70S12A271I</v>
      </c>
      <c r="N103" s="7" t="s">
        <v>195</v>
      </c>
      <c r="O103" s="7" t="s">
        <v>192</v>
      </c>
      <c r="P103" s="8">
        <v>44610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6246</v>
      </c>
      <c r="W103" s="9">
        <v>2693.28</v>
      </c>
      <c r="X103" s="9">
        <v>2487.16</v>
      </c>
      <c r="Y103" s="7">
        <v>0</v>
      </c>
      <c r="Z103" s="9">
        <v>1065.56</v>
      </c>
    </row>
    <row r="104" spans="1:26" x14ac:dyDescent="0.35">
      <c r="A104" s="7" t="s">
        <v>27</v>
      </c>
      <c r="B104" s="7" t="s">
        <v>40</v>
      </c>
      <c r="C104" s="7" t="s">
        <v>48</v>
      </c>
      <c r="D104" s="7" t="s">
        <v>61</v>
      </c>
      <c r="E104" s="7" t="s">
        <v>42</v>
      </c>
      <c r="F104" s="7" t="s">
        <v>94</v>
      </c>
      <c r="G104" s="7">
        <v>2021</v>
      </c>
      <c r="H104" s="7" t="str">
        <f>CONCATENATE("14240344037")</f>
        <v>14240344037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CONCATENATE("11 11.2 4b")</f>
        <v>11 11.2 4b</v>
      </c>
      <c r="M104" s="7" t="str">
        <f>CONCATENATE("GMBNNA62D66D211K")</f>
        <v>GMBNNA62D66D211K</v>
      </c>
      <c r="N104" s="7" t="s">
        <v>196</v>
      </c>
      <c r="O104" s="7" t="s">
        <v>192</v>
      </c>
      <c r="P104" s="8">
        <v>44610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7">
        <v>462.64</v>
      </c>
      <c r="W104" s="7">
        <v>199.49</v>
      </c>
      <c r="X104" s="7">
        <v>184.22</v>
      </c>
      <c r="Y104" s="7">
        <v>0</v>
      </c>
      <c r="Z104" s="7">
        <v>78.930000000000007</v>
      </c>
    </row>
    <row r="105" spans="1:26" x14ac:dyDescent="0.35">
      <c r="A105" s="7" t="s">
        <v>27</v>
      </c>
      <c r="B105" s="7" t="s">
        <v>40</v>
      </c>
      <c r="C105" s="7" t="s">
        <v>48</v>
      </c>
      <c r="D105" s="7" t="s">
        <v>61</v>
      </c>
      <c r="E105" s="7" t="s">
        <v>44</v>
      </c>
      <c r="F105" s="7" t="s">
        <v>197</v>
      </c>
      <c r="G105" s="7">
        <v>2021</v>
      </c>
      <c r="H105" s="7" t="str">
        <f>CONCATENATE("14240427329")</f>
        <v>14240427329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CONCATENATE("11 11.2 4b")</f>
        <v>11 11.2 4b</v>
      </c>
      <c r="M105" s="7" t="str">
        <f>CONCATENATE("02428010421")</f>
        <v>02428010421</v>
      </c>
      <c r="N105" s="7" t="s">
        <v>198</v>
      </c>
      <c r="O105" s="7" t="s">
        <v>192</v>
      </c>
      <c r="P105" s="8">
        <v>44610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1693.02</v>
      </c>
      <c r="W105" s="7">
        <v>730.03</v>
      </c>
      <c r="X105" s="7">
        <v>674.16</v>
      </c>
      <c r="Y105" s="7">
        <v>0</v>
      </c>
      <c r="Z105" s="7">
        <v>288.83</v>
      </c>
    </row>
    <row r="106" spans="1:26" x14ac:dyDescent="0.35">
      <c r="A106" s="7" t="s">
        <v>27</v>
      </c>
      <c r="B106" s="7" t="s">
        <v>40</v>
      </c>
      <c r="C106" s="7" t="s">
        <v>48</v>
      </c>
      <c r="D106" s="7" t="s">
        <v>61</v>
      </c>
      <c r="E106" s="7" t="s">
        <v>44</v>
      </c>
      <c r="F106" s="7" t="s">
        <v>173</v>
      </c>
      <c r="G106" s="7">
        <v>2021</v>
      </c>
      <c r="H106" s="7" t="str">
        <f>CONCATENATE("14240979014")</f>
        <v>14240979014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CONCATENATE("11 11.2 4b")</f>
        <v>11 11.2 4b</v>
      </c>
      <c r="M106" s="7" t="str">
        <f>CONCATENATE("DBTCRN62R60A271L")</f>
        <v>DBTCRN62R60A271L</v>
      </c>
      <c r="N106" s="7" t="s">
        <v>199</v>
      </c>
      <c r="O106" s="7" t="s">
        <v>192</v>
      </c>
      <c r="P106" s="8">
        <v>44610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7">
        <v>629.29</v>
      </c>
      <c r="W106" s="7">
        <v>271.35000000000002</v>
      </c>
      <c r="X106" s="7">
        <v>250.58</v>
      </c>
      <c r="Y106" s="7">
        <v>0</v>
      </c>
      <c r="Z106" s="7">
        <v>107.36</v>
      </c>
    </row>
    <row r="107" spans="1:26" x14ac:dyDescent="0.35">
      <c r="A107" s="7" t="s">
        <v>27</v>
      </c>
      <c r="B107" s="7" t="s">
        <v>40</v>
      </c>
      <c r="C107" s="7" t="s">
        <v>48</v>
      </c>
      <c r="D107" s="7" t="s">
        <v>61</v>
      </c>
      <c r="E107" s="7" t="s">
        <v>42</v>
      </c>
      <c r="F107" s="7" t="s">
        <v>90</v>
      </c>
      <c r="G107" s="7">
        <v>2021</v>
      </c>
      <c r="H107" s="7" t="str">
        <f>CONCATENATE("14241272740")</f>
        <v>14241272740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CONCATENATE("11 11.1 4b")</f>
        <v>11 11.1 4b</v>
      </c>
      <c r="M107" s="7" t="str">
        <f>CONCATENATE("01079040422")</f>
        <v>01079040422</v>
      </c>
      <c r="N107" s="7" t="s">
        <v>200</v>
      </c>
      <c r="O107" s="7" t="s">
        <v>192</v>
      </c>
      <c r="P107" s="8">
        <v>44610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1696.86</v>
      </c>
      <c r="W107" s="7">
        <v>731.69</v>
      </c>
      <c r="X107" s="7">
        <v>675.69</v>
      </c>
      <c r="Y107" s="7">
        <v>0</v>
      </c>
      <c r="Z107" s="7">
        <v>289.48</v>
      </c>
    </row>
    <row r="108" spans="1:26" x14ac:dyDescent="0.35">
      <c r="A108" s="7" t="s">
        <v>27</v>
      </c>
      <c r="B108" s="7" t="s">
        <v>28</v>
      </c>
      <c r="C108" s="7" t="s">
        <v>48</v>
      </c>
      <c r="D108" s="7" t="s">
        <v>74</v>
      </c>
      <c r="E108" s="7" t="s">
        <v>36</v>
      </c>
      <c r="F108" s="7" t="s">
        <v>36</v>
      </c>
      <c r="G108" s="7">
        <v>2017</v>
      </c>
      <c r="H108" s="7" t="str">
        <f>CONCATENATE("14270363287")</f>
        <v>14270363287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CONCATENATE("4 4.1 2a")</f>
        <v>4 4.1 2a</v>
      </c>
      <c r="M108" s="7" t="str">
        <f>CONCATENATE("CMNMSM84L19H211F")</f>
        <v>CMNMSM84L19H211F</v>
      </c>
      <c r="N108" s="7" t="s">
        <v>86</v>
      </c>
      <c r="O108" s="7" t="s">
        <v>201</v>
      </c>
      <c r="P108" s="8">
        <v>44614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37971.43</v>
      </c>
      <c r="W108" s="9">
        <v>16373.28</v>
      </c>
      <c r="X108" s="9">
        <v>15120.22</v>
      </c>
      <c r="Y108" s="7">
        <v>0</v>
      </c>
      <c r="Z108" s="9">
        <v>6477.93</v>
      </c>
    </row>
    <row r="109" spans="1:26" ht="17.5" x14ac:dyDescent="0.35">
      <c r="A109" s="7" t="s">
        <v>27</v>
      </c>
      <c r="B109" s="7" t="s">
        <v>28</v>
      </c>
      <c r="C109" s="7" t="s">
        <v>48</v>
      </c>
      <c r="D109" s="7" t="s">
        <v>74</v>
      </c>
      <c r="E109" s="7" t="s">
        <v>36</v>
      </c>
      <c r="F109" s="7" t="s">
        <v>36</v>
      </c>
      <c r="G109" s="7">
        <v>2017</v>
      </c>
      <c r="H109" s="7" t="str">
        <f>CONCATENATE("14270363360")</f>
        <v>14270363360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CONCATENATE("6 6.4 2a")</f>
        <v>6 6.4 2a</v>
      </c>
      <c r="M109" s="7" t="str">
        <f>CONCATENATE("01913730436")</f>
        <v>01913730436</v>
      </c>
      <c r="N109" s="7" t="s">
        <v>180</v>
      </c>
      <c r="O109" s="7" t="s">
        <v>202</v>
      </c>
      <c r="P109" s="8">
        <v>44614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76447.8</v>
      </c>
      <c r="W109" s="9">
        <v>32964.29</v>
      </c>
      <c r="X109" s="9">
        <v>30441.51</v>
      </c>
      <c r="Y109" s="7">
        <v>0</v>
      </c>
      <c r="Z109" s="9">
        <v>13042</v>
      </c>
    </row>
    <row r="110" spans="1:26" x14ac:dyDescent="0.35">
      <c r="A110" s="7" t="s">
        <v>27</v>
      </c>
      <c r="B110" s="7" t="s">
        <v>28</v>
      </c>
      <c r="C110" s="7" t="s">
        <v>48</v>
      </c>
      <c r="D110" s="7" t="s">
        <v>61</v>
      </c>
      <c r="E110" s="7" t="s">
        <v>36</v>
      </c>
      <c r="F110" s="7" t="s">
        <v>36</v>
      </c>
      <c r="G110" s="7">
        <v>2017</v>
      </c>
      <c r="H110" s="7" t="str">
        <f>CONCATENATE("14270363261")</f>
        <v>14270363261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 1.1 2a")</f>
        <v>1 1.1 2a</v>
      </c>
      <c r="M110" s="7" t="str">
        <f>CONCATENATE("02715020422")</f>
        <v>02715020422</v>
      </c>
      <c r="N110" s="7" t="s">
        <v>203</v>
      </c>
      <c r="O110" s="7" t="s">
        <v>204</v>
      </c>
      <c r="P110" s="8">
        <v>44614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7">
        <v>768.23</v>
      </c>
      <c r="W110" s="7">
        <v>331.26</v>
      </c>
      <c r="X110" s="7">
        <v>305.91000000000003</v>
      </c>
      <c r="Y110" s="7">
        <v>0</v>
      </c>
      <c r="Z110" s="7">
        <v>131.06</v>
      </c>
    </row>
    <row r="111" spans="1:26" x14ac:dyDescent="0.35">
      <c r="A111" s="7" t="s">
        <v>27</v>
      </c>
      <c r="B111" s="7" t="s">
        <v>40</v>
      </c>
      <c r="C111" s="7" t="s">
        <v>48</v>
      </c>
      <c r="D111" s="7" t="s">
        <v>74</v>
      </c>
      <c r="E111" s="7" t="s">
        <v>46</v>
      </c>
      <c r="F111" s="7" t="s">
        <v>128</v>
      </c>
      <c r="G111" s="7">
        <v>2021</v>
      </c>
      <c r="H111" s="7" t="str">
        <f>CONCATENATE("14240720251")</f>
        <v>14240720251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CONCATENATE("11 11.2 4b")</f>
        <v>11 11.2 4b</v>
      </c>
      <c r="M111" s="7" t="str">
        <f>CONCATENATE("01901260438")</f>
        <v>01901260438</v>
      </c>
      <c r="N111" s="7" t="s">
        <v>205</v>
      </c>
      <c r="O111" s="7" t="s">
        <v>187</v>
      </c>
      <c r="P111" s="8">
        <v>44610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1019.87</v>
      </c>
      <c r="W111" s="7">
        <v>439.77</v>
      </c>
      <c r="X111" s="7">
        <v>406.11</v>
      </c>
      <c r="Y111" s="7">
        <v>0</v>
      </c>
      <c r="Z111" s="7">
        <v>173.99</v>
      </c>
    </row>
    <row r="112" spans="1:26" x14ac:dyDescent="0.35">
      <c r="A112" s="7" t="s">
        <v>27</v>
      </c>
      <c r="B112" s="7" t="s">
        <v>40</v>
      </c>
      <c r="C112" s="7" t="s">
        <v>48</v>
      </c>
      <c r="D112" s="7" t="s">
        <v>74</v>
      </c>
      <c r="E112" s="7" t="s">
        <v>46</v>
      </c>
      <c r="F112" s="7" t="s">
        <v>128</v>
      </c>
      <c r="G112" s="7">
        <v>2021</v>
      </c>
      <c r="H112" s="7" t="str">
        <f>CONCATENATE("14240964487")</f>
        <v>14240964487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CONCATENATE("11 11.2 4b")</f>
        <v>11 11.2 4b</v>
      </c>
      <c r="M112" s="7" t="str">
        <f>CONCATENATE("01901260438")</f>
        <v>01901260438</v>
      </c>
      <c r="N112" s="7" t="s">
        <v>205</v>
      </c>
      <c r="O112" s="7" t="s">
        <v>187</v>
      </c>
      <c r="P112" s="8">
        <v>44610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2543.5100000000002</v>
      </c>
      <c r="W112" s="9">
        <v>1096.76</v>
      </c>
      <c r="X112" s="9">
        <v>1012.83</v>
      </c>
      <c r="Y112" s="7">
        <v>0</v>
      </c>
      <c r="Z112" s="7">
        <v>433.92</v>
      </c>
    </row>
    <row r="113" spans="1:26" x14ac:dyDescent="0.35">
      <c r="A113" s="7" t="s">
        <v>27</v>
      </c>
      <c r="B113" s="7" t="s">
        <v>40</v>
      </c>
      <c r="C113" s="7" t="s">
        <v>48</v>
      </c>
      <c r="D113" s="7" t="s">
        <v>74</v>
      </c>
      <c r="E113" s="7" t="s">
        <v>46</v>
      </c>
      <c r="F113" s="7" t="s">
        <v>128</v>
      </c>
      <c r="G113" s="7">
        <v>2021</v>
      </c>
      <c r="H113" s="7" t="str">
        <f>CONCATENATE("14240722570")</f>
        <v>14240722570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CONCATENATE("11 11.2 4b")</f>
        <v>11 11.2 4b</v>
      </c>
      <c r="M113" s="7" t="str">
        <f>CONCATENATE("01901260438")</f>
        <v>01901260438</v>
      </c>
      <c r="N113" s="7" t="s">
        <v>205</v>
      </c>
      <c r="O113" s="7" t="s">
        <v>187</v>
      </c>
      <c r="P113" s="8">
        <v>44610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3230.2</v>
      </c>
      <c r="W113" s="9">
        <v>1392.86</v>
      </c>
      <c r="X113" s="9">
        <v>1286.27</v>
      </c>
      <c r="Y113" s="7">
        <v>0</v>
      </c>
      <c r="Z113" s="7">
        <v>551.07000000000005</v>
      </c>
    </row>
    <row r="114" spans="1:26" x14ac:dyDescent="0.35">
      <c r="A114" s="7" t="s">
        <v>27</v>
      </c>
      <c r="B114" s="7" t="s">
        <v>40</v>
      </c>
      <c r="C114" s="7" t="s">
        <v>48</v>
      </c>
      <c r="D114" s="7" t="s">
        <v>74</v>
      </c>
      <c r="E114" s="7" t="s">
        <v>46</v>
      </c>
      <c r="F114" s="7" t="s">
        <v>128</v>
      </c>
      <c r="G114" s="7">
        <v>2021</v>
      </c>
      <c r="H114" s="7" t="str">
        <f>CONCATENATE("14240965666")</f>
        <v>14240965666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CONCATENATE("11 11.2 4b")</f>
        <v>11 11.2 4b</v>
      </c>
      <c r="M114" s="7" t="str">
        <f>CONCATENATE("01901260438")</f>
        <v>01901260438</v>
      </c>
      <c r="N114" s="7" t="s">
        <v>205</v>
      </c>
      <c r="O114" s="7" t="s">
        <v>187</v>
      </c>
      <c r="P114" s="8">
        <v>44610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8480.34</v>
      </c>
      <c r="W114" s="9">
        <v>3656.72</v>
      </c>
      <c r="X114" s="9">
        <v>3376.87</v>
      </c>
      <c r="Y114" s="7">
        <v>0</v>
      </c>
      <c r="Z114" s="9">
        <v>1446.75</v>
      </c>
    </row>
    <row r="115" spans="1:26" x14ac:dyDescent="0.35">
      <c r="A115" s="7" t="s">
        <v>27</v>
      </c>
      <c r="B115" s="7" t="s">
        <v>40</v>
      </c>
      <c r="C115" s="7" t="s">
        <v>48</v>
      </c>
      <c r="D115" s="7" t="s">
        <v>74</v>
      </c>
      <c r="E115" s="7" t="s">
        <v>39</v>
      </c>
      <c r="F115" s="7" t="s">
        <v>148</v>
      </c>
      <c r="G115" s="7">
        <v>2021</v>
      </c>
      <c r="H115" s="7" t="str">
        <f>CONCATENATE("14240465550")</f>
        <v>14240465550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CONCATENATE("11 11.2 4b")</f>
        <v>11 11.2 4b</v>
      </c>
      <c r="M115" s="7" t="str">
        <f>CONCATENATE("01695690436")</f>
        <v>01695690436</v>
      </c>
      <c r="N115" s="7" t="s">
        <v>206</v>
      </c>
      <c r="O115" s="7" t="s">
        <v>187</v>
      </c>
      <c r="P115" s="8">
        <v>44610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8061.92</v>
      </c>
      <c r="W115" s="9">
        <v>3476.3</v>
      </c>
      <c r="X115" s="9">
        <v>3210.26</v>
      </c>
      <c r="Y115" s="7">
        <v>0</v>
      </c>
      <c r="Z115" s="9">
        <v>1375.36</v>
      </c>
    </row>
    <row r="116" spans="1:26" x14ac:dyDescent="0.35">
      <c r="A116" s="7" t="s">
        <v>27</v>
      </c>
      <c r="B116" s="7" t="s">
        <v>40</v>
      </c>
      <c r="C116" s="7" t="s">
        <v>48</v>
      </c>
      <c r="D116" s="7" t="s">
        <v>74</v>
      </c>
      <c r="E116" s="7" t="s">
        <v>46</v>
      </c>
      <c r="F116" s="7" t="s">
        <v>207</v>
      </c>
      <c r="G116" s="7">
        <v>2021</v>
      </c>
      <c r="H116" s="7" t="str">
        <f>CONCATENATE("14240460148")</f>
        <v>14240460148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CONCATENATE("11 11.2 4b")</f>
        <v>11 11.2 4b</v>
      </c>
      <c r="M116" s="7" t="str">
        <f>CONCATENATE("DBRLNT86H61Z129G")</f>
        <v>DBRLNT86H61Z129G</v>
      </c>
      <c r="N116" s="7" t="s">
        <v>208</v>
      </c>
      <c r="O116" s="7" t="s">
        <v>187</v>
      </c>
      <c r="P116" s="8">
        <v>44610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9572.26</v>
      </c>
      <c r="W116" s="9">
        <v>4127.5600000000004</v>
      </c>
      <c r="X116" s="9">
        <v>3811.67</v>
      </c>
      <c r="Y116" s="7">
        <v>0</v>
      </c>
      <c r="Z116" s="9">
        <v>1633.03</v>
      </c>
    </row>
    <row r="117" spans="1:26" x14ac:dyDescent="0.35">
      <c r="A117" s="7" t="s">
        <v>27</v>
      </c>
      <c r="B117" s="7" t="s">
        <v>40</v>
      </c>
      <c r="C117" s="7" t="s">
        <v>48</v>
      </c>
      <c r="D117" s="7" t="s">
        <v>61</v>
      </c>
      <c r="E117" s="7" t="s">
        <v>42</v>
      </c>
      <c r="F117" s="7" t="s">
        <v>209</v>
      </c>
      <c r="G117" s="7">
        <v>2021</v>
      </c>
      <c r="H117" s="7" t="str">
        <f>CONCATENATE("14240398512")</f>
        <v>14240398512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CONCATENATE("11 11.2 4b")</f>
        <v>11 11.2 4b</v>
      </c>
      <c r="M117" s="7" t="str">
        <f>CONCATENATE("CRGNLN67T02F453E")</f>
        <v>CRGNLN67T02F453E</v>
      </c>
      <c r="N117" s="7" t="s">
        <v>210</v>
      </c>
      <c r="O117" s="7" t="s">
        <v>192</v>
      </c>
      <c r="P117" s="8">
        <v>44610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3419.38</v>
      </c>
      <c r="W117" s="9">
        <v>1474.44</v>
      </c>
      <c r="X117" s="9">
        <v>1361.6</v>
      </c>
      <c r="Y117" s="7">
        <v>0</v>
      </c>
      <c r="Z117" s="7">
        <v>583.34</v>
      </c>
    </row>
    <row r="118" spans="1:26" x14ac:dyDescent="0.35">
      <c r="A118" s="7" t="s">
        <v>27</v>
      </c>
      <c r="B118" s="7" t="s">
        <v>40</v>
      </c>
      <c r="C118" s="7" t="s">
        <v>48</v>
      </c>
      <c r="D118" s="7" t="s">
        <v>74</v>
      </c>
      <c r="E118" s="7" t="s">
        <v>42</v>
      </c>
      <c r="F118" s="7" t="s">
        <v>211</v>
      </c>
      <c r="G118" s="7">
        <v>2021</v>
      </c>
      <c r="H118" s="7" t="str">
        <f>CONCATENATE("14240860693")</f>
        <v>14240860693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CONCATENATE("11 11.2 4b")</f>
        <v>11 11.2 4b</v>
      </c>
      <c r="M118" s="7" t="str">
        <f>CONCATENATE("RMDMRA66M03L501N")</f>
        <v>RMDMRA66M03L501N</v>
      </c>
      <c r="N118" s="7" t="s">
        <v>212</v>
      </c>
      <c r="O118" s="7" t="s">
        <v>187</v>
      </c>
      <c r="P118" s="8">
        <v>44610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7">
        <v>278.02999999999997</v>
      </c>
      <c r="W118" s="7">
        <v>119.89</v>
      </c>
      <c r="X118" s="7">
        <v>110.71</v>
      </c>
      <c r="Y118" s="7">
        <v>0</v>
      </c>
      <c r="Z118" s="7">
        <v>47.43</v>
      </c>
    </row>
    <row r="119" spans="1:26" x14ac:dyDescent="0.35">
      <c r="A119" s="7" t="s">
        <v>27</v>
      </c>
      <c r="B119" s="7" t="s">
        <v>40</v>
      </c>
      <c r="C119" s="7" t="s">
        <v>48</v>
      </c>
      <c r="D119" s="7" t="s">
        <v>74</v>
      </c>
      <c r="E119" s="7" t="s">
        <v>46</v>
      </c>
      <c r="F119" s="7" t="s">
        <v>128</v>
      </c>
      <c r="G119" s="7">
        <v>2021</v>
      </c>
      <c r="H119" s="7" t="str">
        <f>CONCATENATE("14241167973")</f>
        <v>14241167973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CONCATENATE("11 11.2 4b")</f>
        <v>11 11.2 4b</v>
      </c>
      <c r="M119" s="7" t="str">
        <f>CONCATENATE("MRVLRT59S27B474G")</f>
        <v>MRVLRT59S27B474G</v>
      </c>
      <c r="N119" s="7" t="s">
        <v>213</v>
      </c>
      <c r="O119" s="7" t="s">
        <v>187</v>
      </c>
      <c r="P119" s="8">
        <v>44610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3890.83</v>
      </c>
      <c r="W119" s="9">
        <v>1677.73</v>
      </c>
      <c r="X119" s="9">
        <v>1549.33</v>
      </c>
      <c r="Y119" s="7">
        <v>0</v>
      </c>
      <c r="Z119" s="7">
        <v>663.77</v>
      </c>
    </row>
    <row r="120" spans="1:26" x14ac:dyDescent="0.35">
      <c r="A120" s="7" t="s">
        <v>27</v>
      </c>
      <c r="B120" s="7" t="s">
        <v>40</v>
      </c>
      <c r="C120" s="7" t="s">
        <v>48</v>
      </c>
      <c r="D120" s="7" t="s">
        <v>74</v>
      </c>
      <c r="E120" s="7" t="s">
        <v>42</v>
      </c>
      <c r="F120" s="7" t="s">
        <v>211</v>
      </c>
      <c r="G120" s="7">
        <v>2021</v>
      </c>
      <c r="H120" s="7" t="str">
        <f>CONCATENATE("14240586280")</f>
        <v>14240586280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CONCATENATE("11 11.1 4b")</f>
        <v>11 11.1 4b</v>
      </c>
      <c r="M120" s="7" t="str">
        <f>CONCATENATE("01714200431")</f>
        <v>01714200431</v>
      </c>
      <c r="N120" s="7" t="s">
        <v>214</v>
      </c>
      <c r="O120" s="7" t="s">
        <v>187</v>
      </c>
      <c r="P120" s="8">
        <v>44610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7">
        <v>199.92</v>
      </c>
      <c r="W120" s="7">
        <v>86.21</v>
      </c>
      <c r="X120" s="7">
        <v>79.61</v>
      </c>
      <c r="Y120" s="7">
        <v>0</v>
      </c>
      <c r="Z120" s="7">
        <v>34.1</v>
      </c>
    </row>
    <row r="121" spans="1:26" x14ac:dyDescent="0.35">
      <c r="A121" s="7" t="s">
        <v>27</v>
      </c>
      <c r="B121" s="7" t="s">
        <v>40</v>
      </c>
      <c r="C121" s="7" t="s">
        <v>48</v>
      </c>
      <c r="D121" s="7" t="s">
        <v>74</v>
      </c>
      <c r="E121" s="7" t="s">
        <v>42</v>
      </c>
      <c r="F121" s="7" t="s">
        <v>215</v>
      </c>
      <c r="G121" s="7">
        <v>2021</v>
      </c>
      <c r="H121" s="7" t="str">
        <f>CONCATENATE("14241150193")</f>
        <v>14241150193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CONCATENATE("11 11.2 4b")</f>
        <v>11 11.2 4b</v>
      </c>
      <c r="M121" s="7" t="str">
        <f>CONCATENATE("DMNSML78P22B474R")</f>
        <v>DMNSML78P22B474R</v>
      </c>
      <c r="N121" s="7" t="s">
        <v>216</v>
      </c>
      <c r="O121" s="7" t="s">
        <v>187</v>
      </c>
      <c r="P121" s="8">
        <v>44610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7">
        <v>319.02</v>
      </c>
      <c r="W121" s="7">
        <v>137.56</v>
      </c>
      <c r="X121" s="7">
        <v>127.03</v>
      </c>
      <c r="Y121" s="7">
        <v>0</v>
      </c>
      <c r="Z121" s="7">
        <v>54.43</v>
      </c>
    </row>
    <row r="122" spans="1:26" x14ac:dyDescent="0.35">
      <c r="A122" s="7" t="s">
        <v>27</v>
      </c>
      <c r="B122" s="7" t="s">
        <v>40</v>
      </c>
      <c r="C122" s="7" t="s">
        <v>48</v>
      </c>
      <c r="D122" s="7" t="s">
        <v>74</v>
      </c>
      <c r="E122" s="7" t="s">
        <v>46</v>
      </c>
      <c r="F122" s="7" t="s">
        <v>128</v>
      </c>
      <c r="G122" s="7">
        <v>2021</v>
      </c>
      <c r="H122" s="7" t="str">
        <f>CONCATENATE("14240972266")</f>
        <v>14240972266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CONCATENATE("11 11.2 4b")</f>
        <v>11 11.2 4b</v>
      </c>
      <c r="M122" s="7" t="str">
        <f>CONCATENATE("02043760434")</f>
        <v>02043760434</v>
      </c>
      <c r="N122" s="7" t="s">
        <v>217</v>
      </c>
      <c r="O122" s="7" t="s">
        <v>187</v>
      </c>
      <c r="P122" s="8">
        <v>44610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6870.29</v>
      </c>
      <c r="W122" s="9">
        <v>2962.47</v>
      </c>
      <c r="X122" s="9">
        <v>2735.75</v>
      </c>
      <c r="Y122" s="7">
        <v>0</v>
      </c>
      <c r="Z122" s="9">
        <v>1172.07</v>
      </c>
    </row>
    <row r="123" spans="1:26" x14ac:dyDescent="0.35">
      <c r="A123" s="7" t="s">
        <v>27</v>
      </c>
      <c r="B123" s="7" t="s">
        <v>40</v>
      </c>
      <c r="C123" s="7" t="s">
        <v>48</v>
      </c>
      <c r="D123" s="7" t="s">
        <v>74</v>
      </c>
      <c r="E123" s="7" t="s">
        <v>46</v>
      </c>
      <c r="F123" s="7" t="s">
        <v>128</v>
      </c>
      <c r="G123" s="7">
        <v>2021</v>
      </c>
      <c r="H123" s="7" t="str">
        <f>CONCATENATE("14240973561")</f>
        <v>14240973561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CONCATENATE("11 11.2 4b")</f>
        <v>11 11.2 4b</v>
      </c>
      <c r="M123" s="7" t="str">
        <f>CONCATENATE("02043760434")</f>
        <v>02043760434</v>
      </c>
      <c r="N123" s="7" t="s">
        <v>217</v>
      </c>
      <c r="O123" s="7" t="s">
        <v>187</v>
      </c>
      <c r="P123" s="8">
        <v>44610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14188.55</v>
      </c>
      <c r="W123" s="9">
        <v>6118.1</v>
      </c>
      <c r="X123" s="9">
        <v>5649.88</v>
      </c>
      <c r="Y123" s="7">
        <v>0</v>
      </c>
      <c r="Z123" s="9">
        <v>2420.5700000000002</v>
      </c>
    </row>
    <row r="124" spans="1:26" x14ac:dyDescent="0.35">
      <c r="A124" s="7" t="s">
        <v>27</v>
      </c>
      <c r="B124" s="7" t="s">
        <v>40</v>
      </c>
      <c r="C124" s="7" t="s">
        <v>48</v>
      </c>
      <c r="D124" s="7" t="s">
        <v>74</v>
      </c>
      <c r="E124" s="7" t="s">
        <v>46</v>
      </c>
      <c r="F124" s="7" t="s">
        <v>113</v>
      </c>
      <c r="G124" s="7">
        <v>2021</v>
      </c>
      <c r="H124" s="7" t="str">
        <f>CONCATENATE("14240841313")</f>
        <v>14240841313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CONCATENATE("11 11.2 4b")</f>
        <v>11 11.2 4b</v>
      </c>
      <c r="M124" s="7" t="str">
        <f>CONCATENATE("01727870436")</f>
        <v>01727870436</v>
      </c>
      <c r="N124" s="7" t="s">
        <v>218</v>
      </c>
      <c r="O124" s="7" t="s">
        <v>187</v>
      </c>
      <c r="P124" s="8">
        <v>44610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2176.6</v>
      </c>
      <c r="W124" s="7">
        <v>938.55</v>
      </c>
      <c r="X124" s="7">
        <v>866.72</v>
      </c>
      <c r="Y124" s="7">
        <v>0</v>
      </c>
      <c r="Z124" s="7">
        <v>371.33</v>
      </c>
    </row>
    <row r="125" spans="1:26" x14ac:dyDescent="0.35">
      <c r="A125" s="7" t="s">
        <v>27</v>
      </c>
      <c r="B125" s="7" t="s">
        <v>40</v>
      </c>
      <c r="C125" s="7" t="s">
        <v>48</v>
      </c>
      <c r="D125" s="7" t="s">
        <v>74</v>
      </c>
      <c r="E125" s="7" t="s">
        <v>44</v>
      </c>
      <c r="F125" s="7" t="s">
        <v>219</v>
      </c>
      <c r="G125" s="7">
        <v>2021</v>
      </c>
      <c r="H125" s="7" t="str">
        <f>CONCATENATE("14240997388")</f>
        <v>14240997388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CONCATENATE("11 11.2 4b")</f>
        <v>11 11.2 4b</v>
      </c>
      <c r="M125" s="7" t="str">
        <f>CONCATENATE("STFMRC70A19L366P")</f>
        <v>STFMRC70A19L366P</v>
      </c>
      <c r="N125" s="7" t="s">
        <v>220</v>
      </c>
      <c r="O125" s="7" t="s">
        <v>187</v>
      </c>
      <c r="P125" s="8">
        <v>44610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716.65</v>
      </c>
      <c r="W125" s="7">
        <v>309.02</v>
      </c>
      <c r="X125" s="7">
        <v>285.37</v>
      </c>
      <c r="Y125" s="7">
        <v>0</v>
      </c>
      <c r="Z125" s="7">
        <v>122.26</v>
      </c>
    </row>
    <row r="126" spans="1:26" x14ac:dyDescent="0.35">
      <c r="A126" s="7" t="s">
        <v>27</v>
      </c>
      <c r="B126" s="7" t="s">
        <v>40</v>
      </c>
      <c r="C126" s="7" t="s">
        <v>48</v>
      </c>
      <c r="D126" s="7" t="s">
        <v>74</v>
      </c>
      <c r="E126" s="7" t="s">
        <v>46</v>
      </c>
      <c r="F126" s="7" t="s">
        <v>128</v>
      </c>
      <c r="G126" s="7">
        <v>2021</v>
      </c>
      <c r="H126" s="7" t="str">
        <f>CONCATENATE("14241074757")</f>
        <v>14241074757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CONCATENATE("11 11.2 4b")</f>
        <v>11 11.2 4b</v>
      </c>
      <c r="M126" s="7" t="str">
        <f>CONCATENATE("02018790432")</f>
        <v>02018790432</v>
      </c>
      <c r="N126" s="7" t="s">
        <v>221</v>
      </c>
      <c r="O126" s="7" t="s">
        <v>187</v>
      </c>
      <c r="P126" s="8">
        <v>44610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7">
        <v>248.91</v>
      </c>
      <c r="W126" s="7">
        <v>107.33</v>
      </c>
      <c r="X126" s="7">
        <v>99.12</v>
      </c>
      <c r="Y126" s="7">
        <v>0</v>
      </c>
      <c r="Z126" s="7">
        <v>42.46</v>
      </c>
    </row>
    <row r="127" spans="1:26" x14ac:dyDescent="0.35">
      <c r="A127" s="7" t="s">
        <v>27</v>
      </c>
      <c r="B127" s="7" t="s">
        <v>40</v>
      </c>
      <c r="C127" s="7" t="s">
        <v>48</v>
      </c>
      <c r="D127" s="7" t="s">
        <v>74</v>
      </c>
      <c r="E127" s="7" t="s">
        <v>42</v>
      </c>
      <c r="F127" s="7" t="s">
        <v>222</v>
      </c>
      <c r="G127" s="7">
        <v>2021</v>
      </c>
      <c r="H127" s="7" t="str">
        <f>CONCATENATE("14240275405")</f>
        <v>14240275405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CONCATENATE("11 11.2 4b")</f>
        <v>11 11.2 4b</v>
      </c>
      <c r="M127" s="7" t="str">
        <f>CONCATENATE("CNFNLL53D24I156R")</f>
        <v>CNFNLL53D24I156R</v>
      </c>
      <c r="N127" s="7" t="s">
        <v>223</v>
      </c>
      <c r="O127" s="7" t="s">
        <v>187</v>
      </c>
      <c r="P127" s="8">
        <v>44610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1574.58</v>
      </c>
      <c r="W127" s="7">
        <v>678.96</v>
      </c>
      <c r="X127" s="7">
        <v>627</v>
      </c>
      <c r="Y127" s="7">
        <v>0</v>
      </c>
      <c r="Z127" s="7">
        <v>268.62</v>
      </c>
    </row>
    <row r="128" spans="1:26" ht="17.5" x14ac:dyDescent="0.35">
      <c r="A128" s="7" t="s">
        <v>27</v>
      </c>
      <c r="B128" s="7" t="s">
        <v>40</v>
      </c>
      <c r="C128" s="7" t="s">
        <v>48</v>
      </c>
      <c r="D128" s="7" t="s">
        <v>74</v>
      </c>
      <c r="E128" s="7" t="s">
        <v>42</v>
      </c>
      <c r="F128" s="7" t="s">
        <v>82</v>
      </c>
      <c r="G128" s="7">
        <v>2021</v>
      </c>
      <c r="H128" s="7" t="str">
        <f>CONCATENATE("14240261256")</f>
        <v>14240261256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CONCATENATE("11 11.1 4b")</f>
        <v>11 11.1 4b</v>
      </c>
      <c r="M128" s="7" t="str">
        <f>CONCATENATE("01862460431")</f>
        <v>01862460431</v>
      </c>
      <c r="N128" s="7" t="s">
        <v>224</v>
      </c>
      <c r="O128" s="7" t="s">
        <v>187</v>
      </c>
      <c r="P128" s="8">
        <v>44610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1757.1</v>
      </c>
      <c r="W128" s="7">
        <v>757.66</v>
      </c>
      <c r="X128" s="7">
        <v>699.68</v>
      </c>
      <c r="Y128" s="7">
        <v>0</v>
      </c>
      <c r="Z128" s="7">
        <v>299.76</v>
      </c>
    </row>
    <row r="129" spans="1:26" x14ac:dyDescent="0.35">
      <c r="A129" s="7" t="s">
        <v>27</v>
      </c>
      <c r="B129" s="7" t="s">
        <v>40</v>
      </c>
      <c r="C129" s="7" t="s">
        <v>48</v>
      </c>
      <c r="D129" s="7" t="s">
        <v>74</v>
      </c>
      <c r="E129" s="7" t="s">
        <v>39</v>
      </c>
      <c r="F129" s="7" t="s">
        <v>148</v>
      </c>
      <c r="G129" s="7">
        <v>2021</v>
      </c>
      <c r="H129" s="7" t="str">
        <f>CONCATENATE("14240406281")</f>
        <v>14240406281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CONCATENATE("11 11.2 4b")</f>
        <v>11 11.2 4b</v>
      </c>
      <c r="M129" s="7" t="str">
        <f>CONCATENATE("01271260307")</f>
        <v>01271260307</v>
      </c>
      <c r="N129" s="7" t="s">
        <v>225</v>
      </c>
      <c r="O129" s="7" t="s">
        <v>187</v>
      </c>
      <c r="P129" s="8">
        <v>44610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3000.54</v>
      </c>
      <c r="W129" s="9">
        <v>1293.83</v>
      </c>
      <c r="X129" s="9">
        <v>1194.82</v>
      </c>
      <c r="Y129" s="7">
        <v>0</v>
      </c>
      <c r="Z129" s="7">
        <v>511.89</v>
      </c>
    </row>
    <row r="130" spans="1:26" x14ac:dyDescent="0.35">
      <c r="A130" s="7" t="s">
        <v>27</v>
      </c>
      <c r="B130" s="7" t="s">
        <v>40</v>
      </c>
      <c r="C130" s="7" t="s">
        <v>48</v>
      </c>
      <c r="D130" s="7" t="s">
        <v>74</v>
      </c>
      <c r="E130" s="7" t="s">
        <v>46</v>
      </c>
      <c r="F130" s="7" t="s">
        <v>115</v>
      </c>
      <c r="G130" s="7">
        <v>2021</v>
      </c>
      <c r="H130" s="7" t="str">
        <f>CONCATENATE("14240857848")</f>
        <v>14240857848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CONCATENATE("11 11.2 4b")</f>
        <v>11 11.2 4b</v>
      </c>
      <c r="M130" s="7" t="str">
        <f>CONCATENATE("CVLNDR80H16D042C")</f>
        <v>CVLNDR80H16D042C</v>
      </c>
      <c r="N130" s="7" t="s">
        <v>226</v>
      </c>
      <c r="O130" s="7" t="s">
        <v>187</v>
      </c>
      <c r="P130" s="8">
        <v>44610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1113.18</v>
      </c>
      <c r="W130" s="7">
        <v>480</v>
      </c>
      <c r="X130" s="7">
        <v>443.27</v>
      </c>
      <c r="Y130" s="7">
        <v>0</v>
      </c>
      <c r="Z130" s="7">
        <v>189.91</v>
      </c>
    </row>
    <row r="131" spans="1:26" x14ac:dyDescent="0.35">
      <c r="A131" s="7" t="s">
        <v>27</v>
      </c>
      <c r="B131" s="7" t="s">
        <v>40</v>
      </c>
      <c r="C131" s="7" t="s">
        <v>48</v>
      </c>
      <c r="D131" s="7" t="s">
        <v>74</v>
      </c>
      <c r="E131" s="7" t="s">
        <v>46</v>
      </c>
      <c r="F131" s="7" t="s">
        <v>75</v>
      </c>
      <c r="G131" s="7">
        <v>2021</v>
      </c>
      <c r="H131" s="7" t="str">
        <f>CONCATENATE("14240619016")</f>
        <v>14240619016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CONCATENATE("11 11.2 4b")</f>
        <v>11 11.2 4b</v>
      </c>
      <c r="M131" s="7" t="str">
        <f>CONCATENATE("01915020430")</f>
        <v>01915020430</v>
      </c>
      <c r="N131" s="7" t="s">
        <v>227</v>
      </c>
      <c r="O131" s="7" t="s">
        <v>187</v>
      </c>
      <c r="P131" s="8">
        <v>44610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4133.22</v>
      </c>
      <c r="W131" s="9">
        <v>1782.24</v>
      </c>
      <c r="X131" s="9">
        <v>1645.85</v>
      </c>
      <c r="Y131" s="7">
        <v>0</v>
      </c>
      <c r="Z131" s="7">
        <v>705.13</v>
      </c>
    </row>
    <row r="132" spans="1:26" x14ac:dyDescent="0.35">
      <c r="A132" s="7" t="s">
        <v>27</v>
      </c>
      <c r="B132" s="7" t="s">
        <v>40</v>
      </c>
      <c r="C132" s="7" t="s">
        <v>48</v>
      </c>
      <c r="D132" s="7" t="s">
        <v>74</v>
      </c>
      <c r="E132" s="7" t="s">
        <v>42</v>
      </c>
      <c r="F132" s="7" t="s">
        <v>215</v>
      </c>
      <c r="G132" s="7">
        <v>2021</v>
      </c>
      <c r="H132" s="7" t="str">
        <f>CONCATENATE("14240810052")</f>
        <v>14240810052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CONCATENATE("11 11.2 4b")</f>
        <v>11 11.2 4b</v>
      </c>
      <c r="M132" s="7" t="str">
        <f>CONCATENATE("01058860436")</f>
        <v>01058860436</v>
      </c>
      <c r="N132" s="7" t="s">
        <v>228</v>
      </c>
      <c r="O132" s="7" t="s">
        <v>187</v>
      </c>
      <c r="P132" s="8">
        <v>44610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20013.23</v>
      </c>
      <c r="W132" s="9">
        <v>8629.7000000000007</v>
      </c>
      <c r="X132" s="9">
        <v>7969.27</v>
      </c>
      <c r="Y132" s="7">
        <v>0</v>
      </c>
      <c r="Z132" s="9">
        <v>3414.26</v>
      </c>
    </row>
    <row r="133" spans="1:26" x14ac:dyDescent="0.35">
      <c r="A133" s="7" t="s">
        <v>27</v>
      </c>
      <c r="B133" s="7" t="s">
        <v>40</v>
      </c>
      <c r="C133" s="7" t="s">
        <v>48</v>
      </c>
      <c r="D133" s="7" t="s">
        <v>74</v>
      </c>
      <c r="E133" s="7" t="s">
        <v>29</v>
      </c>
      <c r="F133" s="7" t="s">
        <v>229</v>
      </c>
      <c r="G133" s="7">
        <v>2021</v>
      </c>
      <c r="H133" s="7" t="str">
        <f>CONCATENATE("14240233099")</f>
        <v>14240233099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CONCATENATE("11 11.2 4b")</f>
        <v>11 11.2 4b</v>
      </c>
      <c r="M133" s="7" t="str">
        <f>CONCATENATE("MSLFMN54H49H985C")</f>
        <v>MSLFMN54H49H985C</v>
      </c>
      <c r="N133" s="7" t="s">
        <v>230</v>
      </c>
      <c r="O133" s="7" t="s">
        <v>187</v>
      </c>
      <c r="P133" s="8">
        <v>44610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7">
        <v>383.71</v>
      </c>
      <c r="W133" s="7">
        <v>165.46</v>
      </c>
      <c r="X133" s="7">
        <v>152.79</v>
      </c>
      <c r="Y133" s="7">
        <v>0</v>
      </c>
      <c r="Z133" s="7">
        <v>65.459999999999994</v>
      </c>
    </row>
    <row r="134" spans="1:26" x14ac:dyDescent="0.35">
      <c r="A134" s="7" t="s">
        <v>27</v>
      </c>
      <c r="B134" s="7" t="s">
        <v>40</v>
      </c>
      <c r="C134" s="7" t="s">
        <v>48</v>
      </c>
      <c r="D134" s="7" t="s">
        <v>74</v>
      </c>
      <c r="E134" s="7" t="s">
        <v>46</v>
      </c>
      <c r="F134" s="7" t="s">
        <v>115</v>
      </c>
      <c r="G134" s="7">
        <v>2021</v>
      </c>
      <c r="H134" s="7" t="str">
        <f>CONCATENATE("14240489782")</f>
        <v>14240489782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CONCATENATE("11 11.1 4b")</f>
        <v>11 11.1 4b</v>
      </c>
      <c r="M134" s="7" t="str">
        <f>CONCATENATE("PNTGCL65B24H501Z")</f>
        <v>PNTGCL65B24H501Z</v>
      </c>
      <c r="N134" s="7" t="s">
        <v>231</v>
      </c>
      <c r="O134" s="7" t="s">
        <v>187</v>
      </c>
      <c r="P134" s="8">
        <v>44610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7">
        <v>418.02</v>
      </c>
      <c r="W134" s="7">
        <v>180.25</v>
      </c>
      <c r="X134" s="7">
        <v>166.46</v>
      </c>
      <c r="Y134" s="7">
        <v>0</v>
      </c>
      <c r="Z134" s="7">
        <v>71.31</v>
      </c>
    </row>
    <row r="135" spans="1:26" x14ac:dyDescent="0.35">
      <c r="A135" s="7" t="s">
        <v>27</v>
      </c>
      <c r="B135" s="7" t="s">
        <v>40</v>
      </c>
      <c r="C135" s="7" t="s">
        <v>48</v>
      </c>
      <c r="D135" s="7" t="s">
        <v>61</v>
      </c>
      <c r="E135" s="7" t="s">
        <v>29</v>
      </c>
      <c r="F135" s="7" t="s">
        <v>232</v>
      </c>
      <c r="G135" s="7">
        <v>2021</v>
      </c>
      <c r="H135" s="7" t="str">
        <f>CONCATENATE("14240635335")</f>
        <v>14240635335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CONCATENATE("11 11.1 4b")</f>
        <v>11 11.1 4b</v>
      </c>
      <c r="M135" s="7" t="str">
        <f>CONCATENATE("MZZSDR48C14I608A")</f>
        <v>MZZSDR48C14I608A</v>
      </c>
      <c r="N135" s="7" t="s">
        <v>233</v>
      </c>
      <c r="O135" s="7" t="s">
        <v>192</v>
      </c>
      <c r="P135" s="8">
        <v>44610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7">
        <v>636.79999999999995</v>
      </c>
      <c r="W135" s="7">
        <v>274.58999999999997</v>
      </c>
      <c r="X135" s="7">
        <v>253.57</v>
      </c>
      <c r="Y135" s="7">
        <v>0</v>
      </c>
      <c r="Z135" s="7">
        <v>108.64</v>
      </c>
    </row>
    <row r="136" spans="1:26" x14ac:dyDescent="0.35">
      <c r="A136" s="7" t="s">
        <v>27</v>
      </c>
      <c r="B136" s="7" t="s">
        <v>40</v>
      </c>
      <c r="C136" s="7" t="s">
        <v>48</v>
      </c>
      <c r="D136" s="7" t="s">
        <v>74</v>
      </c>
      <c r="E136" s="7" t="s">
        <v>42</v>
      </c>
      <c r="F136" s="7" t="s">
        <v>211</v>
      </c>
      <c r="G136" s="7">
        <v>2021</v>
      </c>
      <c r="H136" s="7" t="str">
        <f>CONCATENATE("14241173658")</f>
        <v>14241173658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CONCATENATE("11 11.2 4b")</f>
        <v>11 11.2 4b</v>
      </c>
      <c r="M136" s="7" t="str">
        <f>CONCATENATE("92000060431")</f>
        <v>92000060431</v>
      </c>
      <c r="N136" s="7" t="s">
        <v>234</v>
      </c>
      <c r="O136" s="7" t="s">
        <v>187</v>
      </c>
      <c r="P136" s="8">
        <v>44610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1343.18</v>
      </c>
      <c r="W136" s="7">
        <v>579.17999999999995</v>
      </c>
      <c r="X136" s="7">
        <v>534.85</v>
      </c>
      <c r="Y136" s="7">
        <v>0</v>
      </c>
      <c r="Z136" s="7">
        <v>229.15</v>
      </c>
    </row>
    <row r="137" spans="1:26" x14ac:dyDescent="0.35">
      <c r="A137" s="7" t="s">
        <v>27</v>
      </c>
      <c r="B137" s="7" t="s">
        <v>40</v>
      </c>
      <c r="C137" s="7" t="s">
        <v>48</v>
      </c>
      <c r="D137" s="7" t="s">
        <v>61</v>
      </c>
      <c r="E137" s="7" t="s">
        <v>29</v>
      </c>
      <c r="F137" s="7" t="s">
        <v>235</v>
      </c>
      <c r="G137" s="7">
        <v>2021</v>
      </c>
      <c r="H137" s="7" t="str">
        <f>CONCATENATE("14240715442")</f>
        <v>14240715442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CONCATENATE("11 11.2 4b")</f>
        <v>11 11.2 4b</v>
      </c>
      <c r="M137" s="7" t="str">
        <f>CONCATENATE("MRNLCU66D04D488L")</f>
        <v>MRNLCU66D04D488L</v>
      </c>
      <c r="N137" s="7" t="s">
        <v>236</v>
      </c>
      <c r="O137" s="7" t="s">
        <v>192</v>
      </c>
      <c r="P137" s="8">
        <v>44610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2230.75</v>
      </c>
      <c r="W137" s="7">
        <v>961.9</v>
      </c>
      <c r="X137" s="7">
        <v>888.28</v>
      </c>
      <c r="Y137" s="7">
        <v>0</v>
      </c>
      <c r="Z137" s="7">
        <v>380.57</v>
      </c>
    </row>
    <row r="138" spans="1:26" x14ac:dyDescent="0.35">
      <c r="A138" s="7" t="s">
        <v>27</v>
      </c>
      <c r="B138" s="7" t="s">
        <v>40</v>
      </c>
      <c r="C138" s="7" t="s">
        <v>48</v>
      </c>
      <c r="D138" s="7" t="s">
        <v>61</v>
      </c>
      <c r="E138" s="7" t="s">
        <v>39</v>
      </c>
      <c r="F138" s="7" t="s">
        <v>193</v>
      </c>
      <c r="G138" s="7">
        <v>2021</v>
      </c>
      <c r="H138" s="7" t="str">
        <f>CONCATENATE("14240037342")</f>
        <v>14240037342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CONCATENATE("11 11.2 4b")</f>
        <v>11 11.2 4b</v>
      </c>
      <c r="M138" s="7" t="str">
        <f>CONCATENATE("02863280422")</f>
        <v>02863280422</v>
      </c>
      <c r="N138" s="7" t="s">
        <v>237</v>
      </c>
      <c r="O138" s="7" t="s">
        <v>192</v>
      </c>
      <c r="P138" s="8">
        <v>44610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7">
        <v>417.43</v>
      </c>
      <c r="W138" s="7">
        <v>180</v>
      </c>
      <c r="X138" s="7">
        <v>166.22</v>
      </c>
      <c r="Y138" s="7">
        <v>0</v>
      </c>
      <c r="Z138" s="7">
        <v>71.209999999999994</v>
      </c>
    </row>
    <row r="139" spans="1:26" x14ac:dyDescent="0.35">
      <c r="A139" s="7" t="s">
        <v>27</v>
      </c>
      <c r="B139" s="7" t="s">
        <v>40</v>
      </c>
      <c r="C139" s="7" t="s">
        <v>48</v>
      </c>
      <c r="D139" s="7" t="s">
        <v>61</v>
      </c>
      <c r="E139" s="7" t="s">
        <v>39</v>
      </c>
      <c r="F139" s="7" t="s">
        <v>193</v>
      </c>
      <c r="G139" s="7">
        <v>2021</v>
      </c>
      <c r="H139" s="7" t="str">
        <f>CONCATENATE("14240037003")</f>
        <v>14240037003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CONCATENATE("11 11.2 4b")</f>
        <v>11 11.2 4b</v>
      </c>
      <c r="M139" s="7" t="str">
        <f>CONCATENATE("SLNPTR46D20H501E")</f>
        <v>SLNPTR46D20H501E</v>
      </c>
      <c r="N139" s="7" t="s">
        <v>238</v>
      </c>
      <c r="O139" s="7" t="s">
        <v>192</v>
      </c>
      <c r="P139" s="8">
        <v>44610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7">
        <v>71.19</v>
      </c>
      <c r="W139" s="7">
        <v>30.7</v>
      </c>
      <c r="X139" s="7">
        <v>28.35</v>
      </c>
      <c r="Y139" s="7">
        <v>0</v>
      </c>
      <c r="Z139" s="7">
        <v>12.14</v>
      </c>
    </row>
    <row r="140" spans="1:26" x14ac:dyDescent="0.35">
      <c r="A140" s="7" t="s">
        <v>27</v>
      </c>
      <c r="B140" s="7" t="s">
        <v>40</v>
      </c>
      <c r="C140" s="7" t="s">
        <v>48</v>
      </c>
      <c r="D140" s="7" t="s">
        <v>61</v>
      </c>
      <c r="E140" s="7" t="s">
        <v>44</v>
      </c>
      <c r="F140" s="7" t="s">
        <v>197</v>
      </c>
      <c r="G140" s="7">
        <v>2021</v>
      </c>
      <c r="H140" s="7" t="str">
        <f>CONCATENATE("14240150715")</f>
        <v>14240150715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CONCATENATE("11 11.1 4b")</f>
        <v>11 11.1 4b</v>
      </c>
      <c r="M140" s="7" t="str">
        <f>CONCATENATE("02704940424")</f>
        <v>02704940424</v>
      </c>
      <c r="N140" s="7" t="s">
        <v>239</v>
      </c>
      <c r="O140" s="7" t="s">
        <v>192</v>
      </c>
      <c r="P140" s="8">
        <v>44610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7">
        <v>694.08</v>
      </c>
      <c r="W140" s="7">
        <v>299.29000000000002</v>
      </c>
      <c r="X140" s="7">
        <v>276.38</v>
      </c>
      <c r="Y140" s="7">
        <v>0</v>
      </c>
      <c r="Z140" s="7">
        <v>118.41</v>
      </c>
    </row>
    <row r="141" spans="1:26" x14ac:dyDescent="0.35">
      <c r="A141" s="7" t="s">
        <v>27</v>
      </c>
      <c r="B141" s="7" t="s">
        <v>40</v>
      </c>
      <c r="C141" s="7" t="s">
        <v>48</v>
      </c>
      <c r="D141" s="7" t="s">
        <v>61</v>
      </c>
      <c r="E141" s="7" t="s">
        <v>39</v>
      </c>
      <c r="F141" s="7" t="s">
        <v>193</v>
      </c>
      <c r="G141" s="7">
        <v>2021</v>
      </c>
      <c r="H141" s="7" t="str">
        <f>CONCATENATE("14240041468")</f>
        <v>14240041468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CONCATENATE("11 11.1 4b")</f>
        <v>11 11.1 4b</v>
      </c>
      <c r="M141" s="7" t="str">
        <f>CONCATENATE("13802311004")</f>
        <v>13802311004</v>
      </c>
      <c r="N141" s="7" t="s">
        <v>240</v>
      </c>
      <c r="O141" s="7" t="s">
        <v>192</v>
      </c>
      <c r="P141" s="8">
        <v>44610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5358.36</v>
      </c>
      <c r="W141" s="9">
        <v>2310.52</v>
      </c>
      <c r="X141" s="9">
        <v>2133.6999999999998</v>
      </c>
      <c r="Y141" s="7">
        <v>0</v>
      </c>
      <c r="Z141" s="7">
        <v>914.14</v>
      </c>
    </row>
    <row r="142" spans="1:26" x14ac:dyDescent="0.35">
      <c r="A142" s="7" t="s">
        <v>27</v>
      </c>
      <c r="B142" s="7" t="s">
        <v>40</v>
      </c>
      <c r="C142" s="7" t="s">
        <v>48</v>
      </c>
      <c r="D142" s="7" t="s">
        <v>61</v>
      </c>
      <c r="E142" s="7" t="s">
        <v>39</v>
      </c>
      <c r="F142" s="7" t="s">
        <v>193</v>
      </c>
      <c r="G142" s="7">
        <v>2021</v>
      </c>
      <c r="H142" s="7" t="str">
        <f>CONCATENATE("14240856303")</f>
        <v>14240856303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CONCATENATE("11 11.1 4b")</f>
        <v>11 11.1 4b</v>
      </c>
      <c r="M142" s="7" t="str">
        <f>CONCATENATE("GBRLNZ93C07D451N")</f>
        <v>GBRLNZ93C07D451N</v>
      </c>
      <c r="N142" s="7" t="s">
        <v>241</v>
      </c>
      <c r="O142" s="7" t="s">
        <v>192</v>
      </c>
      <c r="P142" s="8">
        <v>44610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7">
        <v>210.87</v>
      </c>
      <c r="W142" s="7">
        <v>90.93</v>
      </c>
      <c r="X142" s="7">
        <v>83.97</v>
      </c>
      <c r="Y142" s="7">
        <v>0</v>
      </c>
      <c r="Z142" s="7">
        <v>35.97</v>
      </c>
    </row>
    <row r="143" spans="1:26" x14ac:dyDescent="0.35">
      <c r="A143" s="7" t="s">
        <v>27</v>
      </c>
      <c r="B143" s="7" t="s">
        <v>40</v>
      </c>
      <c r="C143" s="7" t="s">
        <v>48</v>
      </c>
      <c r="D143" s="7" t="s">
        <v>61</v>
      </c>
      <c r="E143" s="7" t="s">
        <v>39</v>
      </c>
      <c r="F143" s="7" t="s">
        <v>193</v>
      </c>
      <c r="G143" s="7">
        <v>2021</v>
      </c>
      <c r="H143" s="7" t="str">
        <f>CONCATENATE("14240945817")</f>
        <v>14240945817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CONCATENATE("11 11.2 4b")</f>
        <v>11 11.2 4b</v>
      </c>
      <c r="M143" s="7" t="str">
        <f>CONCATENATE("GBRLNZ93C07D451N")</f>
        <v>GBRLNZ93C07D451N</v>
      </c>
      <c r="N143" s="7" t="s">
        <v>241</v>
      </c>
      <c r="O143" s="7" t="s">
        <v>192</v>
      </c>
      <c r="P143" s="8">
        <v>44610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9">
        <v>3646.41</v>
      </c>
      <c r="W143" s="9">
        <v>1572.33</v>
      </c>
      <c r="X143" s="9">
        <v>1452</v>
      </c>
      <c r="Y143" s="7">
        <v>0</v>
      </c>
      <c r="Z143" s="7">
        <v>622.08000000000004</v>
      </c>
    </row>
    <row r="144" spans="1:26" x14ac:dyDescent="0.35">
      <c r="A144" s="7" t="s">
        <v>27</v>
      </c>
      <c r="B144" s="7" t="s">
        <v>40</v>
      </c>
      <c r="C144" s="7" t="s">
        <v>48</v>
      </c>
      <c r="D144" s="7" t="s">
        <v>61</v>
      </c>
      <c r="E144" s="7" t="s">
        <v>44</v>
      </c>
      <c r="F144" s="7" t="s">
        <v>197</v>
      </c>
      <c r="G144" s="7">
        <v>2021</v>
      </c>
      <c r="H144" s="7" t="str">
        <f>CONCATENATE("14240351024")</f>
        <v>14240351024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CONCATENATE("11 11.2 4b")</f>
        <v>11 11.2 4b</v>
      </c>
      <c r="M144" s="7" t="str">
        <f>CONCATENATE("CSRGNN62P16Z103I")</f>
        <v>CSRGNN62P16Z103I</v>
      </c>
      <c r="N144" s="7" t="s">
        <v>242</v>
      </c>
      <c r="O144" s="7" t="s">
        <v>192</v>
      </c>
      <c r="P144" s="8">
        <v>44610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1533.72</v>
      </c>
      <c r="W144" s="7">
        <v>661.34</v>
      </c>
      <c r="X144" s="7">
        <v>610.73</v>
      </c>
      <c r="Y144" s="7">
        <v>0</v>
      </c>
      <c r="Z144" s="7">
        <v>261.64999999999998</v>
      </c>
    </row>
    <row r="145" spans="1:26" x14ac:dyDescent="0.35">
      <c r="A145" s="7" t="s">
        <v>27</v>
      </c>
      <c r="B145" s="7" t="s">
        <v>40</v>
      </c>
      <c r="C145" s="7" t="s">
        <v>48</v>
      </c>
      <c r="D145" s="7" t="s">
        <v>61</v>
      </c>
      <c r="E145" s="7" t="s">
        <v>42</v>
      </c>
      <c r="F145" s="7" t="s">
        <v>209</v>
      </c>
      <c r="G145" s="7">
        <v>2021</v>
      </c>
      <c r="H145" s="7" t="str">
        <f>CONCATENATE("14240408287")</f>
        <v>14240408287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CONCATENATE("DTTNDR96R14E388E")</f>
        <v>DTTNDR96R14E388E</v>
      </c>
      <c r="N145" s="7" t="s">
        <v>243</v>
      </c>
      <c r="O145" s="7" t="s">
        <v>192</v>
      </c>
      <c r="P145" s="8">
        <v>44610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7">
        <v>221.2</v>
      </c>
      <c r="W145" s="7">
        <v>95.38</v>
      </c>
      <c r="X145" s="7">
        <v>88.08</v>
      </c>
      <c r="Y145" s="7">
        <v>0</v>
      </c>
      <c r="Z145" s="7">
        <v>37.74</v>
      </c>
    </row>
    <row r="146" spans="1:26" x14ac:dyDescent="0.35">
      <c r="A146" s="7" t="s">
        <v>27</v>
      </c>
      <c r="B146" s="7" t="s">
        <v>40</v>
      </c>
      <c r="C146" s="7" t="s">
        <v>48</v>
      </c>
      <c r="D146" s="7" t="s">
        <v>61</v>
      </c>
      <c r="E146" s="7" t="s">
        <v>46</v>
      </c>
      <c r="F146" s="7" t="s">
        <v>107</v>
      </c>
      <c r="G146" s="7">
        <v>2021</v>
      </c>
      <c r="H146" s="7" t="str">
        <f>CONCATENATE("14240634783")</f>
        <v>14240634783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CONCATENATE("11 11.2 4b")</f>
        <v>11 11.2 4b</v>
      </c>
      <c r="M146" s="7" t="str">
        <f>CONCATENATE("DTTCRD72M28D211Q")</f>
        <v>DTTCRD72M28D211Q</v>
      </c>
      <c r="N146" s="7" t="s">
        <v>244</v>
      </c>
      <c r="O146" s="7" t="s">
        <v>192</v>
      </c>
      <c r="P146" s="8">
        <v>44610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7">
        <v>452.2</v>
      </c>
      <c r="W146" s="7">
        <v>194.99</v>
      </c>
      <c r="X146" s="7">
        <v>180.07</v>
      </c>
      <c r="Y146" s="7">
        <v>0</v>
      </c>
      <c r="Z146" s="7">
        <v>77.14</v>
      </c>
    </row>
    <row r="147" spans="1:26" x14ac:dyDescent="0.35">
      <c r="A147" s="7" t="s">
        <v>27</v>
      </c>
      <c r="B147" s="7" t="s">
        <v>40</v>
      </c>
      <c r="C147" s="7" t="s">
        <v>48</v>
      </c>
      <c r="D147" s="7" t="s">
        <v>61</v>
      </c>
      <c r="E147" s="7" t="s">
        <v>29</v>
      </c>
      <c r="F147" s="7" t="s">
        <v>62</v>
      </c>
      <c r="G147" s="7">
        <v>2021</v>
      </c>
      <c r="H147" s="7" t="str">
        <f>CONCATENATE("14241081414")</f>
        <v>14241081414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CONCATENATE("11 11.1 4b")</f>
        <v>11 11.1 4b</v>
      </c>
      <c r="M147" s="7" t="str">
        <f>CONCATENATE("DTTDRD90S22E388C")</f>
        <v>DTTDRD90S22E388C</v>
      </c>
      <c r="N147" s="7" t="s">
        <v>245</v>
      </c>
      <c r="O147" s="7" t="s">
        <v>192</v>
      </c>
      <c r="P147" s="8">
        <v>44610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7">
        <v>234.08</v>
      </c>
      <c r="W147" s="7">
        <v>100.94</v>
      </c>
      <c r="X147" s="7">
        <v>93.21</v>
      </c>
      <c r="Y147" s="7">
        <v>0</v>
      </c>
      <c r="Z147" s="7">
        <v>39.93</v>
      </c>
    </row>
    <row r="148" spans="1:26" x14ac:dyDescent="0.35">
      <c r="A148" s="7" t="s">
        <v>27</v>
      </c>
      <c r="B148" s="7" t="s">
        <v>40</v>
      </c>
      <c r="C148" s="7" t="s">
        <v>48</v>
      </c>
      <c r="D148" s="7" t="s">
        <v>61</v>
      </c>
      <c r="E148" s="7" t="s">
        <v>29</v>
      </c>
      <c r="F148" s="7" t="s">
        <v>232</v>
      </c>
      <c r="G148" s="7">
        <v>2021</v>
      </c>
      <c r="H148" s="7" t="str">
        <f>CONCATENATE("14240574997")</f>
        <v>14240574997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CONCATENATE("11 11.2 4b")</f>
        <v>11 11.2 4b</v>
      </c>
      <c r="M148" s="7" t="str">
        <f>CONCATENATE("PCNCST95M29I608L")</f>
        <v>PCNCST95M29I608L</v>
      </c>
      <c r="N148" s="7" t="s">
        <v>246</v>
      </c>
      <c r="O148" s="7" t="s">
        <v>192</v>
      </c>
      <c r="P148" s="8">
        <v>44610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7">
        <v>102.95</v>
      </c>
      <c r="W148" s="7">
        <v>44.39</v>
      </c>
      <c r="X148" s="7">
        <v>40.99</v>
      </c>
      <c r="Y148" s="7">
        <v>0</v>
      </c>
      <c r="Z148" s="7">
        <v>17.57</v>
      </c>
    </row>
    <row r="149" spans="1:26" x14ac:dyDescent="0.35">
      <c r="A149" s="7" t="s">
        <v>27</v>
      </c>
      <c r="B149" s="7" t="s">
        <v>40</v>
      </c>
      <c r="C149" s="7" t="s">
        <v>48</v>
      </c>
      <c r="D149" s="7" t="s">
        <v>61</v>
      </c>
      <c r="E149" s="7" t="s">
        <v>41</v>
      </c>
      <c r="F149" s="7" t="s">
        <v>247</v>
      </c>
      <c r="G149" s="7">
        <v>2021</v>
      </c>
      <c r="H149" s="7" t="str">
        <f>CONCATENATE("14241107920")</f>
        <v>14241107920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CONCATENATE("11 11.2 4b")</f>
        <v>11 11.2 4b</v>
      </c>
      <c r="M149" s="7" t="str">
        <f>CONCATENATE("PRVCST92S28H211C")</f>
        <v>PRVCST92S28H211C</v>
      </c>
      <c r="N149" s="7" t="s">
        <v>248</v>
      </c>
      <c r="O149" s="7" t="s">
        <v>192</v>
      </c>
      <c r="P149" s="8">
        <v>44610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7">
        <v>126.51</v>
      </c>
      <c r="W149" s="7">
        <v>54.55</v>
      </c>
      <c r="X149" s="7">
        <v>50.38</v>
      </c>
      <c r="Y149" s="7">
        <v>0</v>
      </c>
      <c r="Z149" s="7">
        <v>21.58</v>
      </c>
    </row>
    <row r="150" spans="1:26" x14ac:dyDescent="0.35">
      <c r="A150" s="7" t="s">
        <v>27</v>
      </c>
      <c r="B150" s="7" t="s">
        <v>40</v>
      </c>
      <c r="C150" s="7" t="s">
        <v>48</v>
      </c>
      <c r="D150" s="7" t="s">
        <v>61</v>
      </c>
      <c r="E150" s="7" t="s">
        <v>29</v>
      </c>
      <c r="F150" s="7" t="s">
        <v>249</v>
      </c>
      <c r="G150" s="7">
        <v>2021</v>
      </c>
      <c r="H150" s="7" t="str">
        <f>CONCATENATE("14240278946")</f>
        <v>14240278946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CONCATENATE("11 11.2 4b")</f>
        <v>11 11.2 4b</v>
      </c>
      <c r="M150" s="7" t="str">
        <f>CONCATENATE("RMGMLL57B61D749D")</f>
        <v>RMGMLL57B61D749D</v>
      </c>
      <c r="N150" s="7" t="s">
        <v>250</v>
      </c>
      <c r="O150" s="7" t="s">
        <v>192</v>
      </c>
      <c r="P150" s="8">
        <v>44610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7">
        <v>81.88</v>
      </c>
      <c r="W150" s="7">
        <v>35.31</v>
      </c>
      <c r="X150" s="7">
        <v>32.6</v>
      </c>
      <c r="Y150" s="7">
        <v>0</v>
      </c>
      <c r="Z150" s="7">
        <v>13.97</v>
      </c>
    </row>
    <row r="151" spans="1:26" x14ac:dyDescent="0.35">
      <c r="A151" s="7" t="s">
        <v>27</v>
      </c>
      <c r="B151" s="7" t="s">
        <v>40</v>
      </c>
      <c r="C151" s="7" t="s">
        <v>48</v>
      </c>
      <c r="D151" s="7" t="s">
        <v>61</v>
      </c>
      <c r="E151" s="7" t="s">
        <v>29</v>
      </c>
      <c r="F151" s="7" t="s">
        <v>249</v>
      </c>
      <c r="G151" s="7">
        <v>2021</v>
      </c>
      <c r="H151" s="7" t="str">
        <f>CONCATENATE("14240401639")</f>
        <v>14240401639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CONCATENATE("11 11.2 4b")</f>
        <v>11 11.2 4b</v>
      </c>
      <c r="M151" s="7" t="str">
        <f>CONCATENATE("PLCGRL75A23A366A")</f>
        <v>PLCGRL75A23A366A</v>
      </c>
      <c r="N151" s="7" t="s">
        <v>251</v>
      </c>
      <c r="O151" s="7" t="s">
        <v>192</v>
      </c>
      <c r="P151" s="8">
        <v>44610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1055.31</v>
      </c>
      <c r="W151" s="7">
        <v>455.05</v>
      </c>
      <c r="X151" s="7">
        <v>420.22</v>
      </c>
      <c r="Y151" s="7">
        <v>0</v>
      </c>
      <c r="Z151" s="7">
        <v>180.04</v>
      </c>
    </row>
    <row r="152" spans="1:26" x14ac:dyDescent="0.35">
      <c r="A152" s="7" t="s">
        <v>27</v>
      </c>
      <c r="B152" s="7" t="s">
        <v>40</v>
      </c>
      <c r="C152" s="7" t="s">
        <v>48</v>
      </c>
      <c r="D152" s="7" t="s">
        <v>61</v>
      </c>
      <c r="E152" s="7" t="s">
        <v>39</v>
      </c>
      <c r="F152" s="7" t="s">
        <v>193</v>
      </c>
      <c r="G152" s="7">
        <v>2021</v>
      </c>
      <c r="H152" s="7" t="str">
        <f>CONCATENATE("14240051582")</f>
        <v>14240051582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CONCATENATE("11 11.2 4b")</f>
        <v>11 11.2 4b</v>
      </c>
      <c r="M152" s="7" t="str">
        <f>CONCATENATE("02559890427")</f>
        <v>02559890427</v>
      </c>
      <c r="N152" s="7" t="s">
        <v>252</v>
      </c>
      <c r="O152" s="7" t="s">
        <v>192</v>
      </c>
      <c r="P152" s="8">
        <v>44610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7">
        <v>831.48</v>
      </c>
      <c r="W152" s="7">
        <v>358.53</v>
      </c>
      <c r="X152" s="7">
        <v>331.1</v>
      </c>
      <c r="Y152" s="7">
        <v>0</v>
      </c>
      <c r="Z152" s="7">
        <v>141.85</v>
      </c>
    </row>
    <row r="153" spans="1:26" ht="17.5" x14ac:dyDescent="0.35">
      <c r="A153" s="7" t="s">
        <v>27</v>
      </c>
      <c r="B153" s="7" t="s">
        <v>40</v>
      </c>
      <c r="C153" s="7" t="s">
        <v>48</v>
      </c>
      <c r="D153" s="7" t="s">
        <v>61</v>
      </c>
      <c r="E153" s="7" t="s">
        <v>42</v>
      </c>
      <c r="F153" s="7" t="s">
        <v>90</v>
      </c>
      <c r="G153" s="7">
        <v>2021</v>
      </c>
      <c r="H153" s="7" t="str">
        <f>CONCATENATE("14241047696")</f>
        <v>14241047696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CONCATENATE("11 11.1 4b")</f>
        <v>11 11.1 4b</v>
      </c>
      <c r="M153" s="7" t="str">
        <f>CONCATENATE("02705020424")</f>
        <v>02705020424</v>
      </c>
      <c r="N153" s="7" t="s">
        <v>253</v>
      </c>
      <c r="O153" s="7" t="s">
        <v>192</v>
      </c>
      <c r="P153" s="8">
        <v>44610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7">
        <v>220.24</v>
      </c>
      <c r="W153" s="7">
        <v>94.97</v>
      </c>
      <c r="X153" s="7">
        <v>87.7</v>
      </c>
      <c r="Y153" s="7">
        <v>0</v>
      </c>
      <c r="Z153" s="7">
        <v>37.57</v>
      </c>
    </row>
    <row r="154" spans="1:26" x14ac:dyDescent="0.35">
      <c r="A154" s="7" t="s">
        <v>27</v>
      </c>
      <c r="B154" s="7" t="s">
        <v>40</v>
      </c>
      <c r="C154" s="7" t="s">
        <v>48</v>
      </c>
      <c r="D154" s="7" t="s">
        <v>61</v>
      </c>
      <c r="E154" s="7" t="s">
        <v>44</v>
      </c>
      <c r="F154" s="7" t="s">
        <v>173</v>
      </c>
      <c r="G154" s="7">
        <v>2021</v>
      </c>
      <c r="H154" s="7" t="str">
        <f>CONCATENATE("14241046573")</f>
        <v>14241046573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CONCATENATE("11 11.2 4b")</f>
        <v>11 11.2 4b</v>
      </c>
      <c r="M154" s="7" t="str">
        <f>CONCATENATE("02688580428")</f>
        <v>02688580428</v>
      </c>
      <c r="N154" s="7" t="s">
        <v>254</v>
      </c>
      <c r="O154" s="7" t="s">
        <v>192</v>
      </c>
      <c r="P154" s="8">
        <v>44610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7">
        <v>308.24</v>
      </c>
      <c r="W154" s="7">
        <v>132.91</v>
      </c>
      <c r="X154" s="7">
        <v>122.74</v>
      </c>
      <c r="Y154" s="7">
        <v>0</v>
      </c>
      <c r="Z154" s="7">
        <v>52.59</v>
      </c>
    </row>
    <row r="155" spans="1:26" x14ac:dyDescent="0.35">
      <c r="A155" s="7" t="s">
        <v>27</v>
      </c>
      <c r="B155" s="7" t="s">
        <v>40</v>
      </c>
      <c r="C155" s="7" t="s">
        <v>48</v>
      </c>
      <c r="D155" s="7" t="s">
        <v>61</v>
      </c>
      <c r="E155" s="7" t="s">
        <v>44</v>
      </c>
      <c r="F155" s="7" t="s">
        <v>173</v>
      </c>
      <c r="G155" s="7">
        <v>2021</v>
      </c>
      <c r="H155" s="7" t="str">
        <f>CONCATENATE("14241046599")</f>
        <v>14241046599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CONCATENATE("11 11.2 4b")</f>
        <v>11 11.2 4b</v>
      </c>
      <c r="M155" s="7" t="str">
        <f>CONCATENATE("02688580428")</f>
        <v>02688580428</v>
      </c>
      <c r="N155" s="7" t="s">
        <v>254</v>
      </c>
      <c r="O155" s="7" t="s">
        <v>192</v>
      </c>
      <c r="P155" s="8">
        <v>44610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7">
        <v>260.58999999999997</v>
      </c>
      <c r="W155" s="7">
        <v>112.37</v>
      </c>
      <c r="X155" s="7">
        <v>103.77</v>
      </c>
      <c r="Y155" s="7">
        <v>0</v>
      </c>
      <c r="Z155" s="7">
        <v>44.45</v>
      </c>
    </row>
    <row r="156" spans="1:26" x14ac:dyDescent="0.35">
      <c r="A156" s="7" t="s">
        <v>27</v>
      </c>
      <c r="B156" s="7" t="s">
        <v>40</v>
      </c>
      <c r="C156" s="7" t="s">
        <v>48</v>
      </c>
      <c r="D156" s="7" t="s">
        <v>61</v>
      </c>
      <c r="E156" s="7" t="s">
        <v>47</v>
      </c>
      <c r="F156" s="7" t="s">
        <v>255</v>
      </c>
      <c r="G156" s="7">
        <v>2021</v>
      </c>
      <c r="H156" s="7" t="str">
        <f>CONCATENATE("14240062704")</f>
        <v>14240062704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CONCATENATE("11 11.2 4b")</f>
        <v>11 11.2 4b</v>
      </c>
      <c r="M156" s="7" t="str">
        <f>CONCATENATE("02781570425")</f>
        <v>02781570425</v>
      </c>
      <c r="N156" s="7" t="s">
        <v>256</v>
      </c>
      <c r="O156" s="7" t="s">
        <v>192</v>
      </c>
      <c r="P156" s="8">
        <v>44610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7">
        <v>377.48</v>
      </c>
      <c r="W156" s="7">
        <v>162.77000000000001</v>
      </c>
      <c r="X156" s="7">
        <v>150.31</v>
      </c>
      <c r="Y156" s="7">
        <v>0</v>
      </c>
      <c r="Z156" s="7">
        <v>64.400000000000006</v>
      </c>
    </row>
    <row r="157" spans="1:26" x14ac:dyDescent="0.35">
      <c r="A157" s="7" t="s">
        <v>27</v>
      </c>
      <c r="B157" s="7" t="s">
        <v>40</v>
      </c>
      <c r="C157" s="7" t="s">
        <v>48</v>
      </c>
      <c r="D157" s="7" t="s">
        <v>61</v>
      </c>
      <c r="E157" s="7" t="s">
        <v>41</v>
      </c>
      <c r="F157" s="7" t="s">
        <v>247</v>
      </c>
      <c r="G157" s="7">
        <v>2021</v>
      </c>
      <c r="H157" s="7" t="str">
        <f>CONCATENATE("14240859489")</f>
        <v>14240859489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CONCATENATE("11 11.1 4b")</f>
        <v>11 11.1 4b</v>
      </c>
      <c r="M157" s="7" t="str">
        <f>CONCATENATE("02118990429")</f>
        <v>02118990429</v>
      </c>
      <c r="N157" s="7" t="s">
        <v>257</v>
      </c>
      <c r="O157" s="7" t="s">
        <v>192</v>
      </c>
      <c r="P157" s="8">
        <v>44610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9">
        <v>1069.3699999999999</v>
      </c>
      <c r="W157" s="7">
        <v>461.11</v>
      </c>
      <c r="X157" s="7">
        <v>425.82</v>
      </c>
      <c r="Y157" s="7">
        <v>0</v>
      </c>
      <c r="Z157" s="7">
        <v>182.44</v>
      </c>
    </row>
    <row r="158" spans="1:26" x14ac:dyDescent="0.35">
      <c r="A158" s="7" t="s">
        <v>27</v>
      </c>
      <c r="B158" s="7" t="s">
        <v>40</v>
      </c>
      <c r="C158" s="7" t="s">
        <v>48</v>
      </c>
      <c r="D158" s="7" t="s">
        <v>61</v>
      </c>
      <c r="E158" s="7" t="s">
        <v>41</v>
      </c>
      <c r="F158" s="7" t="s">
        <v>247</v>
      </c>
      <c r="G158" s="7">
        <v>2021</v>
      </c>
      <c r="H158" s="7" t="str">
        <f>CONCATENATE("14240859430")</f>
        <v>14240859430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CONCATENATE("11 11.2 4b")</f>
        <v>11 11.2 4b</v>
      </c>
      <c r="M158" s="7" t="str">
        <f>CONCATENATE("02118990429")</f>
        <v>02118990429</v>
      </c>
      <c r="N158" s="7" t="s">
        <v>257</v>
      </c>
      <c r="O158" s="7" t="s">
        <v>192</v>
      </c>
      <c r="P158" s="8">
        <v>44610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9">
        <v>26268.41</v>
      </c>
      <c r="W158" s="9">
        <v>11326.94</v>
      </c>
      <c r="X158" s="9">
        <v>10460.08</v>
      </c>
      <c r="Y158" s="7">
        <v>0</v>
      </c>
      <c r="Z158" s="9">
        <v>4481.3900000000003</v>
      </c>
    </row>
    <row r="159" spans="1:26" x14ac:dyDescent="0.35">
      <c r="A159" s="7" t="s">
        <v>27</v>
      </c>
      <c r="B159" s="7" t="s">
        <v>40</v>
      </c>
      <c r="C159" s="7" t="s">
        <v>48</v>
      </c>
      <c r="D159" s="7" t="s">
        <v>61</v>
      </c>
      <c r="E159" s="7" t="s">
        <v>39</v>
      </c>
      <c r="F159" s="7" t="s">
        <v>193</v>
      </c>
      <c r="G159" s="7">
        <v>2020</v>
      </c>
      <c r="H159" s="7" t="str">
        <f>CONCATENATE("04240125775")</f>
        <v>04240125775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CONCATENATE("11 11.2 4b")</f>
        <v>11 11.2 4b</v>
      </c>
      <c r="M159" s="7" t="str">
        <f>CONCATENATE("BLDPRZ60T62D451T")</f>
        <v>BLDPRZ60T62D451T</v>
      </c>
      <c r="N159" s="7" t="s">
        <v>258</v>
      </c>
      <c r="O159" s="7" t="s">
        <v>192</v>
      </c>
      <c r="P159" s="8">
        <v>44610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2852.79</v>
      </c>
      <c r="W159" s="9">
        <v>1230.1199999999999</v>
      </c>
      <c r="X159" s="9">
        <v>1135.98</v>
      </c>
      <c r="Y159" s="7">
        <v>0</v>
      </c>
      <c r="Z159" s="7">
        <v>486.69</v>
      </c>
    </row>
    <row r="160" spans="1:26" x14ac:dyDescent="0.35">
      <c r="A160" s="7" t="s">
        <v>27</v>
      </c>
      <c r="B160" s="7" t="s">
        <v>40</v>
      </c>
      <c r="C160" s="7" t="s">
        <v>48</v>
      </c>
      <c r="D160" s="7" t="s">
        <v>61</v>
      </c>
      <c r="E160" s="7" t="s">
        <v>42</v>
      </c>
      <c r="F160" s="7" t="s">
        <v>259</v>
      </c>
      <c r="G160" s="7">
        <v>2021</v>
      </c>
      <c r="H160" s="7" t="str">
        <f>CONCATENATE("14240741604")</f>
        <v>14240741604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CONCATENATE("11 11.2 4b")</f>
        <v>11 11.2 4b</v>
      </c>
      <c r="M160" s="7" t="str">
        <f>CONCATENATE("NCLRRT79D29I461T")</f>
        <v>NCLRRT79D29I461T</v>
      </c>
      <c r="N160" s="7" t="s">
        <v>260</v>
      </c>
      <c r="O160" s="7" t="s">
        <v>192</v>
      </c>
      <c r="P160" s="8">
        <v>44610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1050.24</v>
      </c>
      <c r="W160" s="7">
        <v>452.86</v>
      </c>
      <c r="X160" s="7">
        <v>418.21</v>
      </c>
      <c r="Y160" s="7">
        <v>0</v>
      </c>
      <c r="Z160" s="7">
        <v>179.17</v>
      </c>
    </row>
    <row r="161" spans="1:26" x14ac:dyDescent="0.35">
      <c r="A161" s="7" t="s">
        <v>27</v>
      </c>
      <c r="B161" s="7" t="s">
        <v>40</v>
      </c>
      <c r="C161" s="7" t="s">
        <v>48</v>
      </c>
      <c r="D161" s="7" t="s">
        <v>61</v>
      </c>
      <c r="E161" s="7" t="s">
        <v>39</v>
      </c>
      <c r="F161" s="7" t="s">
        <v>193</v>
      </c>
      <c r="G161" s="7">
        <v>2021</v>
      </c>
      <c r="H161" s="7" t="str">
        <f>CONCATENATE("14240207127")</f>
        <v>14240207127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CONCATENATE("11 11.2 4b")</f>
        <v>11 11.2 4b</v>
      </c>
      <c r="M161" s="7" t="str">
        <f>CONCATENATE("00434500427")</f>
        <v>00434500427</v>
      </c>
      <c r="N161" s="7" t="s">
        <v>261</v>
      </c>
      <c r="O161" s="7" t="s">
        <v>192</v>
      </c>
      <c r="P161" s="8">
        <v>44610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7">
        <v>122.33</v>
      </c>
      <c r="W161" s="7">
        <v>52.75</v>
      </c>
      <c r="X161" s="7">
        <v>48.71</v>
      </c>
      <c r="Y161" s="7">
        <v>0</v>
      </c>
      <c r="Z161" s="7">
        <v>20.87</v>
      </c>
    </row>
    <row r="162" spans="1:26" x14ac:dyDescent="0.35">
      <c r="A162" s="7" t="s">
        <v>27</v>
      </c>
      <c r="B162" s="7" t="s">
        <v>40</v>
      </c>
      <c r="C162" s="7" t="s">
        <v>48</v>
      </c>
      <c r="D162" s="7" t="s">
        <v>61</v>
      </c>
      <c r="E162" s="7" t="s">
        <v>29</v>
      </c>
      <c r="F162" s="7" t="s">
        <v>249</v>
      </c>
      <c r="G162" s="7">
        <v>2021</v>
      </c>
      <c r="H162" s="7" t="str">
        <f>CONCATENATE("14241090068")</f>
        <v>14241090068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CONCATENATE("11 11.2 4b")</f>
        <v>11 11.2 4b</v>
      </c>
      <c r="M162" s="7" t="str">
        <f>CONCATENATE("02770060420")</f>
        <v>02770060420</v>
      </c>
      <c r="N162" s="7" t="s">
        <v>262</v>
      </c>
      <c r="O162" s="7" t="s">
        <v>192</v>
      </c>
      <c r="P162" s="8">
        <v>44610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9">
        <v>30335.49</v>
      </c>
      <c r="W162" s="9">
        <v>13080.66</v>
      </c>
      <c r="X162" s="9">
        <v>12079.59</v>
      </c>
      <c r="Y162" s="7">
        <v>0</v>
      </c>
      <c r="Z162" s="9">
        <v>5175.24</v>
      </c>
    </row>
    <row r="163" spans="1:26" x14ac:dyDescent="0.35">
      <c r="A163" s="7" t="s">
        <v>27</v>
      </c>
      <c r="B163" s="7" t="s">
        <v>40</v>
      </c>
      <c r="C163" s="7" t="s">
        <v>48</v>
      </c>
      <c r="D163" s="7" t="s">
        <v>61</v>
      </c>
      <c r="E163" s="7" t="s">
        <v>47</v>
      </c>
      <c r="F163" s="7" t="s">
        <v>255</v>
      </c>
      <c r="G163" s="7">
        <v>2021</v>
      </c>
      <c r="H163" s="7" t="str">
        <f>CONCATENATE("14240318494")</f>
        <v>14240318494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CONCATENATE("11 11.2 4b")</f>
        <v>11 11.2 4b</v>
      </c>
      <c r="M163" s="7" t="str">
        <f>CONCATENATE("RBNMLR55P50B352D")</f>
        <v>RBNMLR55P50B352D</v>
      </c>
      <c r="N163" s="7" t="s">
        <v>263</v>
      </c>
      <c r="O163" s="7" t="s">
        <v>192</v>
      </c>
      <c r="P163" s="8">
        <v>44610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9">
        <v>3359.73</v>
      </c>
      <c r="W163" s="9">
        <v>1448.72</v>
      </c>
      <c r="X163" s="9">
        <v>1337.84</v>
      </c>
      <c r="Y163" s="7">
        <v>0</v>
      </c>
      <c r="Z163" s="7">
        <v>573.16999999999996</v>
      </c>
    </row>
    <row r="164" spans="1:26" x14ac:dyDescent="0.35">
      <c r="A164" s="7" t="s">
        <v>27</v>
      </c>
      <c r="B164" s="7" t="s">
        <v>28</v>
      </c>
      <c r="C164" s="7" t="s">
        <v>48</v>
      </c>
      <c r="D164" s="7" t="s">
        <v>49</v>
      </c>
      <c r="E164" s="7" t="s">
        <v>42</v>
      </c>
      <c r="F164" s="7" t="s">
        <v>50</v>
      </c>
      <c r="G164" s="7">
        <v>2017</v>
      </c>
      <c r="H164" s="7" t="str">
        <f>CONCATENATE("14270363303")</f>
        <v>14270363303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CONCATENATE("4 4.1 2a")</f>
        <v>4 4.1 2a</v>
      </c>
      <c r="M164" s="7" t="str">
        <f>CONCATENATE("LMBGGR88P21D488V")</f>
        <v>LMBGGR88P21D488V</v>
      </c>
      <c r="N164" s="7" t="s">
        <v>51</v>
      </c>
      <c r="O164" s="7" t="s">
        <v>264</v>
      </c>
      <c r="P164" s="8">
        <v>44614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9">
        <v>37766.9</v>
      </c>
      <c r="W164" s="9">
        <v>16285.09</v>
      </c>
      <c r="X164" s="9">
        <v>15038.78</v>
      </c>
      <c r="Y164" s="7">
        <v>0</v>
      </c>
      <c r="Z164" s="9">
        <v>6443.03</v>
      </c>
    </row>
    <row r="165" spans="1:26" x14ac:dyDescent="0.35">
      <c r="A165" s="7" t="s">
        <v>27</v>
      </c>
      <c r="B165" s="7" t="s">
        <v>40</v>
      </c>
      <c r="C165" s="7" t="s">
        <v>48</v>
      </c>
      <c r="D165" s="7" t="s">
        <v>74</v>
      </c>
      <c r="E165" s="7" t="s">
        <v>46</v>
      </c>
      <c r="F165" s="7" t="s">
        <v>128</v>
      </c>
      <c r="G165" s="7">
        <v>2021</v>
      </c>
      <c r="H165" s="7" t="str">
        <f>CONCATENATE("14241192179")</f>
        <v>14241192179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CONCATENATE("11 11.2 4b")</f>
        <v>11 11.2 4b</v>
      </c>
      <c r="M165" s="7" t="str">
        <f>CONCATENATE("01988060438")</f>
        <v>01988060438</v>
      </c>
      <c r="N165" s="7" t="s">
        <v>265</v>
      </c>
      <c r="O165" s="7" t="s">
        <v>187</v>
      </c>
      <c r="P165" s="8">
        <v>44610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9">
        <v>8513.77</v>
      </c>
      <c r="W165" s="9">
        <v>3671.14</v>
      </c>
      <c r="X165" s="9">
        <v>3390.18</v>
      </c>
      <c r="Y165" s="7">
        <v>0</v>
      </c>
      <c r="Z165" s="9">
        <v>1452.45</v>
      </c>
    </row>
    <row r="166" spans="1:26" x14ac:dyDescent="0.35">
      <c r="A166" s="7" t="s">
        <v>27</v>
      </c>
      <c r="B166" s="7" t="s">
        <v>40</v>
      </c>
      <c r="C166" s="7" t="s">
        <v>48</v>
      </c>
      <c r="D166" s="7" t="s">
        <v>74</v>
      </c>
      <c r="E166" s="7" t="s">
        <v>46</v>
      </c>
      <c r="F166" s="7" t="s">
        <v>115</v>
      </c>
      <c r="G166" s="7">
        <v>2021</v>
      </c>
      <c r="H166" s="7" t="str">
        <f>CONCATENATE("14240485319")</f>
        <v>14240485319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CONCATENATE("11 11.2 4b")</f>
        <v>11 11.2 4b</v>
      </c>
      <c r="M166" s="7" t="str">
        <f>CONCATENATE("VNCMNL71D55H501E")</f>
        <v>VNCMNL71D55H501E</v>
      </c>
      <c r="N166" s="7" t="s">
        <v>266</v>
      </c>
      <c r="O166" s="7" t="s">
        <v>187</v>
      </c>
      <c r="P166" s="8">
        <v>44610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9">
        <v>1526.37</v>
      </c>
      <c r="W166" s="7">
        <v>658.17</v>
      </c>
      <c r="X166" s="7">
        <v>607.79999999999995</v>
      </c>
      <c r="Y166" s="7">
        <v>0</v>
      </c>
      <c r="Z166" s="7">
        <v>260.39999999999998</v>
      </c>
    </row>
    <row r="167" spans="1:26" x14ac:dyDescent="0.35">
      <c r="A167" s="7" t="s">
        <v>27</v>
      </c>
      <c r="B167" s="7" t="s">
        <v>40</v>
      </c>
      <c r="C167" s="7" t="s">
        <v>48</v>
      </c>
      <c r="D167" s="7" t="s">
        <v>74</v>
      </c>
      <c r="E167" s="7" t="s">
        <v>46</v>
      </c>
      <c r="F167" s="7" t="s">
        <v>128</v>
      </c>
      <c r="G167" s="7">
        <v>2021</v>
      </c>
      <c r="H167" s="7" t="str">
        <f>CONCATENATE("14241306084")</f>
        <v>14241306084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CONCATENATE("11 11.2 4b")</f>
        <v>11 11.2 4b</v>
      </c>
      <c r="M167" s="7" t="str">
        <f>CONCATENATE("01914620438")</f>
        <v>01914620438</v>
      </c>
      <c r="N167" s="7" t="s">
        <v>267</v>
      </c>
      <c r="O167" s="7" t="s">
        <v>187</v>
      </c>
      <c r="P167" s="8">
        <v>44610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9">
        <v>1742.78</v>
      </c>
      <c r="W167" s="7">
        <v>751.49</v>
      </c>
      <c r="X167" s="7">
        <v>693.97</v>
      </c>
      <c r="Y167" s="7">
        <v>0</v>
      </c>
      <c r="Z167" s="7">
        <v>297.32</v>
      </c>
    </row>
    <row r="168" spans="1:26" x14ac:dyDescent="0.35">
      <c r="A168" s="7" t="s">
        <v>27</v>
      </c>
      <c r="B168" s="7" t="s">
        <v>40</v>
      </c>
      <c r="C168" s="7" t="s">
        <v>48</v>
      </c>
      <c r="D168" s="7" t="s">
        <v>61</v>
      </c>
      <c r="E168" s="7" t="s">
        <v>39</v>
      </c>
      <c r="F168" s="7" t="s">
        <v>193</v>
      </c>
      <c r="G168" s="7">
        <v>2021</v>
      </c>
      <c r="H168" s="7" t="str">
        <f>CONCATENATE("14240386319")</f>
        <v>14240386319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CONCATENATE("11 11.2 4b")</f>
        <v>11 11.2 4b</v>
      </c>
      <c r="M168" s="7" t="str">
        <f>CONCATENATE("02666090424")</f>
        <v>02666090424</v>
      </c>
      <c r="N168" s="7" t="s">
        <v>268</v>
      </c>
      <c r="O168" s="7" t="s">
        <v>192</v>
      </c>
      <c r="P168" s="8">
        <v>44610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7">
        <v>23.31</v>
      </c>
      <c r="W168" s="7">
        <v>10.050000000000001</v>
      </c>
      <c r="X168" s="7">
        <v>9.2799999999999994</v>
      </c>
      <c r="Y168" s="7">
        <v>0</v>
      </c>
      <c r="Z168" s="7">
        <v>3.98</v>
      </c>
    </row>
    <row r="169" spans="1:26" x14ac:dyDescent="0.35">
      <c r="A169" s="7" t="s">
        <v>27</v>
      </c>
      <c r="B169" s="7" t="s">
        <v>40</v>
      </c>
      <c r="C169" s="7" t="s">
        <v>48</v>
      </c>
      <c r="D169" s="7" t="s">
        <v>61</v>
      </c>
      <c r="E169" s="7" t="s">
        <v>29</v>
      </c>
      <c r="F169" s="7" t="s">
        <v>249</v>
      </c>
      <c r="G169" s="7">
        <v>2021</v>
      </c>
      <c r="H169" s="7" t="str">
        <f>CONCATENATE("14240309782")</f>
        <v>14240309782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CONCATENATE("11 11.2 4b")</f>
        <v>11 11.2 4b</v>
      </c>
      <c r="M169" s="7" t="str">
        <f>CONCATENATE("MNCGST46A23A366W")</f>
        <v>MNCGST46A23A366W</v>
      </c>
      <c r="N169" s="7" t="s">
        <v>269</v>
      </c>
      <c r="O169" s="7" t="s">
        <v>192</v>
      </c>
      <c r="P169" s="8">
        <v>44610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7">
        <v>251.67</v>
      </c>
      <c r="W169" s="7">
        <v>108.52</v>
      </c>
      <c r="X169" s="7">
        <v>100.21</v>
      </c>
      <c r="Y169" s="7">
        <v>0</v>
      </c>
      <c r="Z169" s="7">
        <v>42.94</v>
      </c>
    </row>
    <row r="170" spans="1:26" x14ac:dyDescent="0.35">
      <c r="A170" s="7" t="s">
        <v>27</v>
      </c>
      <c r="B170" s="7" t="s">
        <v>40</v>
      </c>
      <c r="C170" s="7" t="s">
        <v>48</v>
      </c>
      <c r="D170" s="7" t="s">
        <v>61</v>
      </c>
      <c r="E170" s="7" t="s">
        <v>39</v>
      </c>
      <c r="F170" s="7" t="s">
        <v>193</v>
      </c>
      <c r="G170" s="7">
        <v>2021</v>
      </c>
      <c r="H170" s="7" t="str">
        <f>CONCATENATE("14240872250")</f>
        <v>14240872250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CONCATENATE("11 11.2 4b")</f>
        <v>11 11.2 4b</v>
      </c>
      <c r="M170" s="7" t="str">
        <f>CONCATENATE("02783040427")</f>
        <v>02783040427</v>
      </c>
      <c r="N170" s="7" t="s">
        <v>270</v>
      </c>
      <c r="O170" s="7" t="s">
        <v>192</v>
      </c>
      <c r="P170" s="8">
        <v>44610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9">
        <v>2426.5100000000002</v>
      </c>
      <c r="W170" s="9">
        <v>1046.31</v>
      </c>
      <c r="X170" s="7">
        <v>966.24</v>
      </c>
      <c r="Y170" s="7">
        <v>0</v>
      </c>
      <c r="Z170" s="7">
        <v>413.96</v>
      </c>
    </row>
    <row r="171" spans="1:26" x14ac:dyDescent="0.35">
      <c r="A171" s="7" t="s">
        <v>27</v>
      </c>
      <c r="B171" s="7" t="s">
        <v>28</v>
      </c>
      <c r="C171" s="7" t="s">
        <v>48</v>
      </c>
      <c r="D171" s="7" t="s">
        <v>53</v>
      </c>
      <c r="E171" s="7" t="s">
        <v>42</v>
      </c>
      <c r="F171" s="7" t="s">
        <v>54</v>
      </c>
      <c r="G171" s="7">
        <v>2017</v>
      </c>
      <c r="H171" s="7" t="str">
        <f>CONCATENATE("14270363253")</f>
        <v>14270363253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CONCATENATE("4 4.1 2a")</f>
        <v>4 4.1 2a</v>
      </c>
      <c r="M171" s="7" t="str">
        <f>CONCATENATE("02266160445")</f>
        <v>02266160445</v>
      </c>
      <c r="N171" s="7" t="s">
        <v>55</v>
      </c>
      <c r="O171" s="7" t="s">
        <v>271</v>
      </c>
      <c r="P171" s="8">
        <v>44614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9">
        <v>19400</v>
      </c>
      <c r="W171" s="9">
        <v>8365.2800000000007</v>
      </c>
      <c r="X171" s="9">
        <v>7725.08</v>
      </c>
      <c r="Y171" s="7">
        <v>0</v>
      </c>
      <c r="Z171" s="9">
        <v>3309.64</v>
      </c>
    </row>
    <row r="172" spans="1:26" x14ac:dyDescent="0.35">
      <c r="A172" s="7" t="s">
        <v>27</v>
      </c>
      <c r="B172" s="7" t="s">
        <v>40</v>
      </c>
      <c r="C172" s="7" t="s">
        <v>48</v>
      </c>
      <c r="D172" s="7" t="s">
        <v>74</v>
      </c>
      <c r="E172" s="7" t="s">
        <v>42</v>
      </c>
      <c r="F172" s="7" t="s">
        <v>78</v>
      </c>
      <c r="G172" s="7">
        <v>2021</v>
      </c>
      <c r="H172" s="7" t="str">
        <f>CONCATENATE("14240435314")</f>
        <v>14240435314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CONCATENATE("10 10.1 4a")</f>
        <v>10 10.1 4a</v>
      </c>
      <c r="M172" s="7" t="str">
        <f>CONCATENATE("CSRFTN46C01F509S")</f>
        <v>CSRFTN46C01F509S</v>
      </c>
      <c r="N172" s="7" t="s">
        <v>80</v>
      </c>
      <c r="O172" s="7" t="s">
        <v>272</v>
      </c>
      <c r="P172" s="8">
        <v>44610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9">
        <v>10580.86</v>
      </c>
      <c r="W172" s="9">
        <v>4562.47</v>
      </c>
      <c r="X172" s="9">
        <v>4213.3</v>
      </c>
      <c r="Y172" s="7">
        <v>0</v>
      </c>
      <c r="Z172" s="9">
        <v>1805.09</v>
      </c>
    </row>
    <row r="173" spans="1:26" x14ac:dyDescent="0.35">
      <c r="A173" s="7" t="s">
        <v>27</v>
      </c>
      <c r="B173" s="7" t="s">
        <v>40</v>
      </c>
      <c r="C173" s="7" t="s">
        <v>48</v>
      </c>
      <c r="D173" s="7" t="s">
        <v>49</v>
      </c>
      <c r="E173" s="7" t="s">
        <v>39</v>
      </c>
      <c r="F173" s="7" t="s">
        <v>160</v>
      </c>
      <c r="G173" s="7">
        <v>2021</v>
      </c>
      <c r="H173" s="7" t="str">
        <f>CONCATENATE("14210835923")</f>
        <v>14210835923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CONCATENATE("02468780412")</f>
        <v>02468780412</v>
      </c>
      <c r="N173" s="7" t="s">
        <v>161</v>
      </c>
      <c r="O173" s="7" t="s">
        <v>273</v>
      </c>
      <c r="P173" s="8">
        <v>44610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9">
        <v>2295.16</v>
      </c>
      <c r="W173" s="7">
        <v>989.67</v>
      </c>
      <c r="X173" s="7">
        <v>913.93</v>
      </c>
      <c r="Y173" s="7">
        <v>0</v>
      </c>
      <c r="Z173" s="7">
        <v>391.56</v>
      </c>
    </row>
    <row r="174" spans="1:26" x14ac:dyDescent="0.35">
      <c r="A174" s="7" t="s">
        <v>27</v>
      </c>
      <c r="B174" s="7" t="s">
        <v>40</v>
      </c>
      <c r="C174" s="7" t="s">
        <v>48</v>
      </c>
      <c r="D174" s="7" t="s">
        <v>49</v>
      </c>
      <c r="E174" s="7" t="s">
        <v>46</v>
      </c>
      <c r="F174" s="7" t="s">
        <v>150</v>
      </c>
      <c r="G174" s="7">
        <v>2021</v>
      </c>
      <c r="H174" s="7" t="str">
        <f>CONCATENATE("14210320983")</f>
        <v>14210320983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CONCATENATE("RGLCRL68C43C830Z")</f>
        <v>RGLCRL68C43C830Z</v>
      </c>
      <c r="N174" s="7" t="s">
        <v>152</v>
      </c>
      <c r="O174" s="7" t="s">
        <v>273</v>
      </c>
      <c r="P174" s="8">
        <v>44610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7">
        <v>440.87</v>
      </c>
      <c r="W174" s="7">
        <v>190.1</v>
      </c>
      <c r="X174" s="7">
        <v>175.55</v>
      </c>
      <c r="Y174" s="7">
        <v>0</v>
      </c>
      <c r="Z174" s="7">
        <v>75.22</v>
      </c>
    </row>
    <row r="175" spans="1:26" x14ac:dyDescent="0.35">
      <c r="A175" s="7" t="s">
        <v>27</v>
      </c>
      <c r="B175" s="7" t="s">
        <v>40</v>
      </c>
      <c r="C175" s="7" t="s">
        <v>48</v>
      </c>
      <c r="D175" s="7" t="s">
        <v>74</v>
      </c>
      <c r="E175" s="7" t="s">
        <v>46</v>
      </c>
      <c r="F175" s="7" t="s">
        <v>75</v>
      </c>
      <c r="G175" s="7">
        <v>2021</v>
      </c>
      <c r="H175" s="7" t="str">
        <f>CONCATENATE("14210401882")</f>
        <v>14210401882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CONCATENATE("01781710437")</f>
        <v>01781710437</v>
      </c>
      <c r="N175" s="7" t="s">
        <v>76</v>
      </c>
      <c r="O175" s="7" t="s">
        <v>273</v>
      </c>
      <c r="P175" s="8">
        <v>44610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9">
        <v>8171.5</v>
      </c>
      <c r="W175" s="9">
        <v>3523.55</v>
      </c>
      <c r="X175" s="9">
        <v>3253.89</v>
      </c>
      <c r="Y175" s="7">
        <v>0</v>
      </c>
      <c r="Z175" s="9">
        <v>1394.06</v>
      </c>
    </row>
    <row r="176" spans="1:26" x14ac:dyDescent="0.35">
      <c r="A176" s="7" t="s">
        <v>27</v>
      </c>
      <c r="B176" s="7" t="s">
        <v>40</v>
      </c>
      <c r="C176" s="7" t="s">
        <v>48</v>
      </c>
      <c r="D176" s="7" t="s">
        <v>49</v>
      </c>
      <c r="E176" s="7" t="s">
        <v>29</v>
      </c>
      <c r="F176" s="7" t="s">
        <v>143</v>
      </c>
      <c r="G176" s="7">
        <v>2021</v>
      </c>
      <c r="H176" s="7" t="str">
        <f>CONCATENATE("14210970662")</f>
        <v>14210970662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CONCATENATE("13 13.1 4a")</f>
        <v>13 13.1 4a</v>
      </c>
      <c r="M176" s="7" t="str">
        <f>CONCATENATE("GTRCRS78A24D786U")</f>
        <v>GTRCRS78A24D786U</v>
      </c>
      <c r="N176" s="7" t="s">
        <v>144</v>
      </c>
      <c r="O176" s="7" t="s">
        <v>273</v>
      </c>
      <c r="P176" s="8">
        <v>44610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9">
        <v>1072.18</v>
      </c>
      <c r="W176" s="7">
        <v>462.32</v>
      </c>
      <c r="X176" s="7">
        <v>426.94</v>
      </c>
      <c r="Y176" s="7">
        <v>0</v>
      </c>
      <c r="Z176" s="7">
        <v>182.92</v>
      </c>
    </row>
    <row r="177" spans="1:26" x14ac:dyDescent="0.35">
      <c r="A177" s="7" t="s">
        <v>27</v>
      </c>
      <c r="B177" s="7" t="s">
        <v>40</v>
      </c>
      <c r="C177" s="7" t="s">
        <v>48</v>
      </c>
      <c r="D177" s="7" t="s">
        <v>49</v>
      </c>
      <c r="E177" s="7" t="s">
        <v>29</v>
      </c>
      <c r="F177" s="7" t="s">
        <v>99</v>
      </c>
      <c r="G177" s="7">
        <v>2021</v>
      </c>
      <c r="H177" s="7" t="str">
        <f>CONCATENATE("14210863891")</f>
        <v>14210863891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CONCATENATE("13 13.1 4a")</f>
        <v>13 13.1 4a</v>
      </c>
      <c r="M177" s="7" t="str">
        <f>CONCATENATE("GNNRFO55D11L500N")</f>
        <v>GNNRFO55D11L500N</v>
      </c>
      <c r="N177" s="7" t="s">
        <v>274</v>
      </c>
      <c r="O177" s="7" t="s">
        <v>273</v>
      </c>
      <c r="P177" s="8">
        <v>44610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9">
        <v>3328.12</v>
      </c>
      <c r="W177" s="9">
        <v>1435.09</v>
      </c>
      <c r="X177" s="9">
        <v>1325.26</v>
      </c>
      <c r="Y177" s="7">
        <v>0</v>
      </c>
      <c r="Z177" s="7">
        <v>567.77</v>
      </c>
    </row>
    <row r="178" spans="1:26" x14ac:dyDescent="0.35">
      <c r="A178" s="7" t="s">
        <v>27</v>
      </c>
      <c r="B178" s="7" t="s">
        <v>40</v>
      </c>
      <c r="C178" s="7" t="s">
        <v>48</v>
      </c>
      <c r="D178" s="7" t="s">
        <v>49</v>
      </c>
      <c r="E178" s="7" t="s">
        <v>46</v>
      </c>
      <c r="F178" s="7" t="s">
        <v>107</v>
      </c>
      <c r="G178" s="7">
        <v>2021</v>
      </c>
      <c r="H178" s="7" t="str">
        <f>CONCATENATE("14210409240")</f>
        <v>14210409240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CONCATENATE("13 13.1 4a")</f>
        <v>13 13.1 4a</v>
      </c>
      <c r="M178" s="7" t="str">
        <f>CONCATENATE("02588960415")</f>
        <v>02588960415</v>
      </c>
      <c r="N178" s="7" t="s">
        <v>163</v>
      </c>
      <c r="O178" s="7" t="s">
        <v>273</v>
      </c>
      <c r="P178" s="8">
        <v>44610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1688.1</v>
      </c>
      <c r="W178" s="7">
        <v>727.91</v>
      </c>
      <c r="X178" s="7">
        <v>672.2</v>
      </c>
      <c r="Y178" s="7">
        <v>0</v>
      </c>
      <c r="Z178" s="7">
        <v>287.99</v>
      </c>
    </row>
    <row r="179" spans="1:26" x14ac:dyDescent="0.35">
      <c r="A179" s="7" t="s">
        <v>27</v>
      </c>
      <c r="B179" s="7" t="s">
        <v>40</v>
      </c>
      <c r="C179" s="7" t="s">
        <v>48</v>
      </c>
      <c r="D179" s="7" t="s">
        <v>49</v>
      </c>
      <c r="E179" s="7" t="s">
        <v>29</v>
      </c>
      <c r="F179" s="7" t="s">
        <v>235</v>
      </c>
      <c r="G179" s="7">
        <v>2021</v>
      </c>
      <c r="H179" s="7" t="str">
        <f>CONCATENATE("14210695798")</f>
        <v>14210695798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CONCATENATE("13 13.1 4a")</f>
        <v>13 13.1 4a</v>
      </c>
      <c r="M179" s="7" t="str">
        <f>CONCATENATE("PRZNTN45D06B352H")</f>
        <v>PRZNTN45D06B352H</v>
      </c>
      <c r="N179" s="7" t="s">
        <v>275</v>
      </c>
      <c r="O179" s="7" t="s">
        <v>273</v>
      </c>
      <c r="P179" s="8">
        <v>44610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2092.98</v>
      </c>
      <c r="W179" s="7">
        <v>902.49</v>
      </c>
      <c r="X179" s="7">
        <v>833.42</v>
      </c>
      <c r="Y179" s="7">
        <v>0</v>
      </c>
      <c r="Z179" s="7">
        <v>357.07</v>
      </c>
    </row>
    <row r="180" spans="1:26" x14ac:dyDescent="0.35">
      <c r="A180" s="7" t="s">
        <v>27</v>
      </c>
      <c r="B180" s="7" t="s">
        <v>40</v>
      </c>
      <c r="C180" s="7" t="s">
        <v>48</v>
      </c>
      <c r="D180" s="7" t="s">
        <v>49</v>
      </c>
      <c r="E180" s="7" t="s">
        <v>42</v>
      </c>
      <c r="F180" s="7" t="s">
        <v>145</v>
      </c>
      <c r="G180" s="7">
        <v>2021</v>
      </c>
      <c r="H180" s="7" t="str">
        <f>CONCATENATE("14210899515")</f>
        <v>14210899515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CONCATENATE("13 13.1 4a")</f>
        <v>13 13.1 4a</v>
      </c>
      <c r="M180" s="7" t="str">
        <f>CONCATENATE("MSNPLA75R18G453W")</f>
        <v>MSNPLA75R18G453W</v>
      </c>
      <c r="N180" s="7" t="s">
        <v>146</v>
      </c>
      <c r="O180" s="7" t="s">
        <v>273</v>
      </c>
      <c r="P180" s="8">
        <v>44610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9">
        <v>5498.38</v>
      </c>
      <c r="W180" s="9">
        <v>2370.9</v>
      </c>
      <c r="X180" s="9">
        <v>2189.4499999999998</v>
      </c>
      <c r="Y180" s="7">
        <v>0</v>
      </c>
      <c r="Z180" s="7">
        <v>938.03</v>
      </c>
    </row>
    <row r="181" spans="1:26" x14ac:dyDescent="0.35">
      <c r="A181" s="7" t="s">
        <v>27</v>
      </c>
      <c r="B181" s="7" t="s">
        <v>40</v>
      </c>
      <c r="C181" s="7" t="s">
        <v>48</v>
      </c>
      <c r="D181" s="7" t="s">
        <v>49</v>
      </c>
      <c r="E181" s="7" t="s">
        <v>47</v>
      </c>
      <c r="F181" s="7" t="s">
        <v>255</v>
      </c>
      <c r="G181" s="7">
        <v>2021</v>
      </c>
      <c r="H181" s="7" t="str">
        <f>CONCATENATE("14211030995")</f>
        <v>14211030995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CONCATENATE("13 13.1 4a")</f>
        <v>13 13.1 4a</v>
      </c>
      <c r="M181" s="7" t="str">
        <f>CONCATENATE("RNGRCR80D28G453T")</f>
        <v>RNGRCR80D28G453T</v>
      </c>
      <c r="N181" s="7" t="s">
        <v>276</v>
      </c>
      <c r="O181" s="7" t="s">
        <v>273</v>
      </c>
      <c r="P181" s="8">
        <v>44610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7">
        <v>633.66</v>
      </c>
      <c r="W181" s="7">
        <v>273.23</v>
      </c>
      <c r="X181" s="7">
        <v>252.32</v>
      </c>
      <c r="Y181" s="7">
        <v>0</v>
      </c>
      <c r="Z181" s="7">
        <v>108.11</v>
      </c>
    </row>
    <row r="182" spans="1:26" x14ac:dyDescent="0.35">
      <c r="A182" s="7" t="s">
        <v>27</v>
      </c>
      <c r="B182" s="7" t="s">
        <v>40</v>
      </c>
      <c r="C182" s="7" t="s">
        <v>48</v>
      </c>
      <c r="D182" s="7" t="s">
        <v>49</v>
      </c>
      <c r="E182" s="7" t="s">
        <v>46</v>
      </c>
      <c r="F182" s="7" t="s">
        <v>107</v>
      </c>
      <c r="G182" s="7">
        <v>2021</v>
      </c>
      <c r="H182" s="7" t="str">
        <f>CONCATENATE("14210322260")</f>
        <v>14210322260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CONCATENATE("13 13.1 4a")</f>
        <v>13 13.1 4a</v>
      </c>
      <c r="M182" s="7" t="str">
        <f>CONCATENATE("02573370414")</f>
        <v>02573370414</v>
      </c>
      <c r="N182" s="7" t="s">
        <v>166</v>
      </c>
      <c r="O182" s="7" t="s">
        <v>273</v>
      </c>
      <c r="P182" s="8">
        <v>44610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2354.96</v>
      </c>
      <c r="W182" s="9">
        <v>1015.46</v>
      </c>
      <c r="X182" s="7">
        <v>937.75</v>
      </c>
      <c r="Y182" s="7">
        <v>0</v>
      </c>
      <c r="Z182" s="7">
        <v>401.75</v>
      </c>
    </row>
    <row r="183" spans="1:26" x14ac:dyDescent="0.35">
      <c r="A183" s="7" t="s">
        <v>27</v>
      </c>
      <c r="B183" s="7" t="s">
        <v>40</v>
      </c>
      <c r="C183" s="7" t="s">
        <v>48</v>
      </c>
      <c r="D183" s="7" t="s">
        <v>53</v>
      </c>
      <c r="E183" s="7" t="s">
        <v>29</v>
      </c>
      <c r="F183" s="7" t="s">
        <v>277</v>
      </c>
      <c r="G183" s="7">
        <v>2021</v>
      </c>
      <c r="H183" s="7" t="str">
        <f>CONCATENATE("14240198243")</f>
        <v>14240198243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CONCATENATE("10 10.1 4b")</f>
        <v>10 10.1 4b</v>
      </c>
      <c r="M183" s="7" t="str">
        <f>CONCATENATE("DLGGNN50A55F379O")</f>
        <v>DLGGNN50A55F379O</v>
      </c>
      <c r="N183" s="7" t="s">
        <v>278</v>
      </c>
      <c r="O183" s="7" t="s">
        <v>279</v>
      </c>
      <c r="P183" s="8">
        <v>44610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3127.28</v>
      </c>
      <c r="W183" s="9">
        <v>1348.48</v>
      </c>
      <c r="X183" s="9">
        <v>1245.28</v>
      </c>
      <c r="Y183" s="7">
        <v>0</v>
      </c>
      <c r="Z183" s="7">
        <v>533.52</v>
      </c>
    </row>
    <row r="184" spans="1:26" x14ac:dyDescent="0.35">
      <c r="A184" s="7" t="s">
        <v>27</v>
      </c>
      <c r="B184" s="7" t="s">
        <v>40</v>
      </c>
      <c r="C184" s="7" t="s">
        <v>48</v>
      </c>
      <c r="D184" s="7" t="s">
        <v>49</v>
      </c>
      <c r="E184" s="7" t="s">
        <v>42</v>
      </c>
      <c r="F184" s="7" t="s">
        <v>125</v>
      </c>
      <c r="G184" s="7">
        <v>2021</v>
      </c>
      <c r="H184" s="7" t="str">
        <f>CONCATENATE("14210094620")</f>
        <v>14210094620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CONCATENATE("13 13.1 4a")</f>
        <v>13 13.1 4a</v>
      </c>
      <c r="M184" s="7" t="str">
        <f>CONCATENATE("NCCPLC57M56F450W")</f>
        <v>NCCPLC57M56F450W</v>
      </c>
      <c r="N184" s="7" t="s">
        <v>175</v>
      </c>
      <c r="O184" s="7" t="s">
        <v>273</v>
      </c>
      <c r="P184" s="8">
        <v>44610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7">
        <v>596.91999999999996</v>
      </c>
      <c r="W184" s="7">
        <v>257.39</v>
      </c>
      <c r="X184" s="7">
        <v>237.69</v>
      </c>
      <c r="Y184" s="7">
        <v>0</v>
      </c>
      <c r="Z184" s="7">
        <v>101.84</v>
      </c>
    </row>
    <row r="185" spans="1:26" x14ac:dyDescent="0.35">
      <c r="A185" s="7" t="s">
        <v>27</v>
      </c>
      <c r="B185" s="7" t="s">
        <v>40</v>
      </c>
      <c r="C185" s="7" t="s">
        <v>48</v>
      </c>
      <c r="D185" s="7" t="s">
        <v>74</v>
      </c>
      <c r="E185" s="7" t="s">
        <v>42</v>
      </c>
      <c r="F185" s="7" t="s">
        <v>78</v>
      </c>
      <c r="G185" s="7">
        <v>2021</v>
      </c>
      <c r="H185" s="7" t="str">
        <f>CONCATENATE("14210226214")</f>
        <v>14210226214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CONCATENATE("13 13.1 4a")</f>
        <v>13 13.1 4a</v>
      </c>
      <c r="M185" s="7" t="str">
        <f>CONCATENATE("CSRFTN46C01F509S")</f>
        <v>CSRFTN46C01F509S</v>
      </c>
      <c r="N185" s="7" t="s">
        <v>80</v>
      </c>
      <c r="O185" s="7" t="s">
        <v>273</v>
      </c>
      <c r="P185" s="8">
        <v>44610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9">
        <v>9000</v>
      </c>
      <c r="W185" s="9">
        <v>3880.8</v>
      </c>
      <c r="X185" s="9">
        <v>3583.8</v>
      </c>
      <c r="Y185" s="7">
        <v>0</v>
      </c>
      <c r="Z185" s="9">
        <v>1535.4</v>
      </c>
    </row>
    <row r="186" spans="1:26" x14ac:dyDescent="0.35">
      <c r="A186" s="7" t="s">
        <v>27</v>
      </c>
      <c r="B186" s="7" t="s">
        <v>40</v>
      </c>
      <c r="C186" s="7" t="s">
        <v>48</v>
      </c>
      <c r="D186" s="7" t="s">
        <v>49</v>
      </c>
      <c r="E186" s="7" t="s">
        <v>39</v>
      </c>
      <c r="F186" s="7" t="s">
        <v>160</v>
      </c>
      <c r="G186" s="7">
        <v>2021</v>
      </c>
      <c r="H186" s="7" t="str">
        <f>CONCATENATE("14210664240")</f>
        <v>14210664240</v>
      </c>
      <c r="I186" s="7" t="s">
        <v>45</v>
      </c>
      <c r="J186" s="7" t="s">
        <v>31</v>
      </c>
      <c r="K186" s="7" t="str">
        <f>CONCATENATE("")</f>
        <v/>
      </c>
      <c r="L186" s="7" t="str">
        <f>CONCATENATE("13 13.1 4a")</f>
        <v>13 13.1 4a</v>
      </c>
      <c r="M186" s="7" t="str">
        <f>CONCATENATE("SRTNRC41M23G453A")</f>
        <v>SRTNRC41M23G453A</v>
      </c>
      <c r="N186" s="7" t="s">
        <v>280</v>
      </c>
      <c r="O186" s="7" t="s">
        <v>273</v>
      </c>
      <c r="P186" s="8">
        <v>44610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9">
        <v>7193.85</v>
      </c>
      <c r="W186" s="9">
        <v>3101.99</v>
      </c>
      <c r="X186" s="9">
        <v>2864.59</v>
      </c>
      <c r="Y186" s="7">
        <v>0</v>
      </c>
      <c r="Z186" s="9">
        <v>1227.27</v>
      </c>
    </row>
    <row r="187" spans="1:26" x14ac:dyDescent="0.35">
      <c r="A187" s="7" t="s">
        <v>27</v>
      </c>
      <c r="B187" s="7" t="s">
        <v>40</v>
      </c>
      <c r="C187" s="7" t="s">
        <v>48</v>
      </c>
      <c r="D187" s="7" t="s">
        <v>49</v>
      </c>
      <c r="E187" s="7" t="s">
        <v>42</v>
      </c>
      <c r="F187" s="7" t="s">
        <v>125</v>
      </c>
      <c r="G187" s="7">
        <v>2021</v>
      </c>
      <c r="H187" s="7" t="str">
        <f>CONCATENATE("14210743119")</f>
        <v>14210743119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CONCATENATE("13 13.1 4a")</f>
        <v>13 13.1 4a</v>
      </c>
      <c r="M187" s="7" t="str">
        <f>CONCATENATE("PGNMRZ78P16L500N")</f>
        <v>PGNMRZ78P16L500N</v>
      </c>
      <c r="N187" s="7" t="s">
        <v>281</v>
      </c>
      <c r="O187" s="7" t="s">
        <v>273</v>
      </c>
      <c r="P187" s="8">
        <v>44610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7">
        <v>817.8</v>
      </c>
      <c r="W187" s="7">
        <v>352.64</v>
      </c>
      <c r="X187" s="7">
        <v>325.64999999999998</v>
      </c>
      <c r="Y187" s="7">
        <v>0</v>
      </c>
      <c r="Z187" s="7">
        <v>139.51</v>
      </c>
    </row>
    <row r="188" spans="1:26" x14ac:dyDescent="0.35">
      <c r="A188" s="7" t="s">
        <v>27</v>
      </c>
      <c r="B188" s="7" t="s">
        <v>40</v>
      </c>
      <c r="C188" s="7" t="s">
        <v>48</v>
      </c>
      <c r="D188" s="7" t="s">
        <v>49</v>
      </c>
      <c r="E188" s="7" t="s">
        <v>29</v>
      </c>
      <c r="F188" s="7" t="s">
        <v>154</v>
      </c>
      <c r="G188" s="7">
        <v>2021</v>
      </c>
      <c r="H188" s="7" t="str">
        <f>CONCATENATE("14210643889")</f>
        <v>14210643889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CONCATENATE("PNSPLA75M30E785D")</f>
        <v>PNSPLA75M30E785D</v>
      </c>
      <c r="N188" s="7" t="s">
        <v>155</v>
      </c>
      <c r="O188" s="7" t="s">
        <v>273</v>
      </c>
      <c r="P188" s="8">
        <v>44610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9">
        <v>1664.38</v>
      </c>
      <c r="W188" s="7">
        <v>717.68</v>
      </c>
      <c r="X188" s="7">
        <v>662.76</v>
      </c>
      <c r="Y188" s="7">
        <v>0</v>
      </c>
      <c r="Z188" s="7">
        <v>283.94</v>
      </c>
    </row>
    <row r="189" spans="1:26" x14ac:dyDescent="0.35">
      <c r="A189" s="7" t="s">
        <v>27</v>
      </c>
      <c r="B189" s="7" t="s">
        <v>40</v>
      </c>
      <c r="C189" s="7" t="s">
        <v>48</v>
      </c>
      <c r="D189" s="7" t="s">
        <v>49</v>
      </c>
      <c r="E189" s="7" t="s">
        <v>42</v>
      </c>
      <c r="F189" s="7" t="s">
        <v>176</v>
      </c>
      <c r="G189" s="7">
        <v>2021</v>
      </c>
      <c r="H189" s="7" t="str">
        <f>CONCATENATE("14210020971")</f>
        <v>14210020971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CONCATENATE("CLNMRA37T16I287I")</f>
        <v>CLNMRA37T16I287I</v>
      </c>
      <c r="N189" s="7" t="s">
        <v>282</v>
      </c>
      <c r="O189" s="7" t="s">
        <v>273</v>
      </c>
      <c r="P189" s="8">
        <v>44610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9">
        <v>5136.8999999999996</v>
      </c>
      <c r="W189" s="9">
        <v>2215.0300000000002</v>
      </c>
      <c r="X189" s="9">
        <v>2045.51</v>
      </c>
      <c r="Y189" s="7">
        <v>0</v>
      </c>
      <c r="Z189" s="7">
        <v>876.36</v>
      </c>
    </row>
    <row r="190" spans="1:26" x14ac:dyDescent="0.35">
      <c r="A190" s="7" t="s">
        <v>27</v>
      </c>
      <c r="B190" s="7" t="s">
        <v>40</v>
      </c>
      <c r="C190" s="7" t="s">
        <v>48</v>
      </c>
      <c r="D190" s="7" t="s">
        <v>49</v>
      </c>
      <c r="E190" s="7" t="s">
        <v>29</v>
      </c>
      <c r="F190" s="7" t="s">
        <v>143</v>
      </c>
      <c r="G190" s="7">
        <v>2021</v>
      </c>
      <c r="H190" s="7" t="str">
        <f>CONCATENATE("14211139473")</f>
        <v>14211139473</v>
      </c>
      <c r="I190" s="7" t="s">
        <v>45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CONCATENATE("GDNGRG69L09Z133M")</f>
        <v>GDNGRG69L09Z133M</v>
      </c>
      <c r="N190" s="7" t="s">
        <v>283</v>
      </c>
      <c r="O190" s="7" t="s">
        <v>273</v>
      </c>
      <c r="P190" s="8">
        <v>44610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7">
        <v>125.16</v>
      </c>
      <c r="W190" s="7">
        <v>53.97</v>
      </c>
      <c r="X190" s="7">
        <v>49.84</v>
      </c>
      <c r="Y190" s="7">
        <v>0</v>
      </c>
      <c r="Z190" s="7">
        <v>21.35</v>
      </c>
    </row>
    <row r="191" spans="1:26" x14ac:dyDescent="0.35">
      <c r="A191" s="7" t="s">
        <v>27</v>
      </c>
      <c r="B191" s="7" t="s">
        <v>40</v>
      </c>
      <c r="C191" s="7" t="s">
        <v>48</v>
      </c>
      <c r="D191" s="7" t="s">
        <v>49</v>
      </c>
      <c r="E191" s="7" t="s">
        <v>42</v>
      </c>
      <c r="F191" s="7" t="s">
        <v>125</v>
      </c>
      <c r="G191" s="7">
        <v>2021</v>
      </c>
      <c r="H191" s="7" t="str">
        <f>CONCATENATE("14210317468")</f>
        <v>14210317468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CONCATENATE("13 13.1 4a")</f>
        <v>13 13.1 4a</v>
      </c>
      <c r="M191" s="7" t="str">
        <f>CONCATENATE("PRLMRC88R13L500K")</f>
        <v>PRLMRC88R13L500K</v>
      </c>
      <c r="N191" s="7" t="s">
        <v>126</v>
      </c>
      <c r="O191" s="7" t="s">
        <v>273</v>
      </c>
      <c r="P191" s="8">
        <v>44610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9">
        <v>2165.38</v>
      </c>
      <c r="W191" s="7">
        <v>933.71</v>
      </c>
      <c r="X191" s="7">
        <v>862.25</v>
      </c>
      <c r="Y191" s="7">
        <v>0</v>
      </c>
      <c r="Z191" s="7">
        <v>369.42</v>
      </c>
    </row>
    <row r="192" spans="1:26" x14ac:dyDescent="0.35">
      <c r="A192" s="7" t="s">
        <v>27</v>
      </c>
      <c r="B192" s="7" t="s">
        <v>40</v>
      </c>
      <c r="C192" s="7" t="s">
        <v>48</v>
      </c>
      <c r="D192" s="7" t="s">
        <v>74</v>
      </c>
      <c r="E192" s="7" t="s">
        <v>46</v>
      </c>
      <c r="F192" s="7" t="s">
        <v>75</v>
      </c>
      <c r="G192" s="7">
        <v>2021</v>
      </c>
      <c r="H192" s="7" t="str">
        <f>CONCATENATE("14210384112")</f>
        <v>14210384112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CONCATENATE("13 13.1 4a")</f>
        <v>13 13.1 4a</v>
      </c>
      <c r="M192" s="7" t="str">
        <f>CONCATENATE("MRCLSS34S24G637A")</f>
        <v>MRCLSS34S24G637A</v>
      </c>
      <c r="N192" s="7" t="s">
        <v>165</v>
      </c>
      <c r="O192" s="7" t="s">
        <v>273</v>
      </c>
      <c r="P192" s="8">
        <v>44610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9">
        <v>8135.42</v>
      </c>
      <c r="W192" s="9">
        <v>3507.99</v>
      </c>
      <c r="X192" s="9">
        <v>3239.52</v>
      </c>
      <c r="Y192" s="7">
        <v>0</v>
      </c>
      <c r="Z192" s="9">
        <v>1387.91</v>
      </c>
    </row>
    <row r="193" spans="1:26" x14ac:dyDescent="0.35">
      <c r="A193" s="7" t="s">
        <v>27</v>
      </c>
      <c r="B193" s="7" t="s">
        <v>40</v>
      </c>
      <c r="C193" s="7" t="s">
        <v>48</v>
      </c>
      <c r="D193" s="7" t="s">
        <v>49</v>
      </c>
      <c r="E193" s="7" t="s">
        <v>46</v>
      </c>
      <c r="F193" s="7" t="s">
        <v>128</v>
      </c>
      <c r="G193" s="7">
        <v>2021</v>
      </c>
      <c r="H193" s="7" t="str">
        <f>CONCATENATE("14211248951")</f>
        <v>14211248951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CONCATENATE("13 13.1 4a")</f>
        <v>13 13.1 4a</v>
      </c>
      <c r="M193" s="7" t="str">
        <f>CONCATENATE("02742860428")</f>
        <v>02742860428</v>
      </c>
      <c r="N193" s="7" t="s">
        <v>129</v>
      </c>
      <c r="O193" s="7" t="s">
        <v>273</v>
      </c>
      <c r="P193" s="8">
        <v>44610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9">
        <v>1837.59</v>
      </c>
      <c r="W193" s="7">
        <v>792.37</v>
      </c>
      <c r="X193" s="7">
        <v>731.73</v>
      </c>
      <c r="Y193" s="7">
        <v>0</v>
      </c>
      <c r="Z193" s="7">
        <v>313.49</v>
      </c>
    </row>
    <row r="194" spans="1:26" x14ac:dyDescent="0.35">
      <c r="A194" s="7" t="s">
        <v>27</v>
      </c>
      <c r="B194" s="7" t="s">
        <v>40</v>
      </c>
      <c r="C194" s="7" t="s">
        <v>48</v>
      </c>
      <c r="D194" s="7" t="s">
        <v>49</v>
      </c>
      <c r="E194" s="7" t="s">
        <v>42</v>
      </c>
      <c r="F194" s="7" t="s">
        <v>84</v>
      </c>
      <c r="G194" s="7">
        <v>2021</v>
      </c>
      <c r="H194" s="7" t="str">
        <f>CONCATENATE("14210015955")</f>
        <v>14210015955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CONCATENATE("13 13.1 4a")</f>
        <v>13 13.1 4a</v>
      </c>
      <c r="M194" s="7" t="str">
        <f>CONCATENATE("RCLNZR41H07B816R")</f>
        <v>RCLNZR41H07B816R</v>
      </c>
      <c r="N194" s="7" t="s">
        <v>284</v>
      </c>
      <c r="O194" s="7" t="s">
        <v>273</v>
      </c>
      <c r="P194" s="8">
        <v>44610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9">
        <v>1552.66</v>
      </c>
      <c r="W194" s="7">
        <v>669.51</v>
      </c>
      <c r="X194" s="7">
        <v>618.27</v>
      </c>
      <c r="Y194" s="7">
        <v>0</v>
      </c>
      <c r="Z194" s="7">
        <v>264.88</v>
      </c>
    </row>
    <row r="195" spans="1:26" x14ac:dyDescent="0.35">
      <c r="A195" s="7" t="s">
        <v>27</v>
      </c>
      <c r="B195" s="7" t="s">
        <v>40</v>
      </c>
      <c r="C195" s="7" t="s">
        <v>48</v>
      </c>
      <c r="D195" s="7" t="s">
        <v>74</v>
      </c>
      <c r="E195" s="7" t="s">
        <v>46</v>
      </c>
      <c r="F195" s="7" t="s">
        <v>75</v>
      </c>
      <c r="G195" s="7">
        <v>2021</v>
      </c>
      <c r="H195" s="7" t="str">
        <f>CONCATENATE("14210361615")</f>
        <v>14210361615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CONCATENATE("13 13.1 4a")</f>
        <v>13 13.1 4a</v>
      </c>
      <c r="M195" s="7" t="str">
        <f>CONCATENATE("BTTRCR63D03G657R")</f>
        <v>BTTRCR63D03G657R</v>
      </c>
      <c r="N195" s="7" t="s">
        <v>285</v>
      </c>
      <c r="O195" s="7" t="s">
        <v>273</v>
      </c>
      <c r="P195" s="8">
        <v>44610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9">
        <v>8372.01</v>
      </c>
      <c r="W195" s="9">
        <v>3610.01</v>
      </c>
      <c r="X195" s="9">
        <v>3333.73</v>
      </c>
      <c r="Y195" s="7">
        <v>0</v>
      </c>
      <c r="Z195" s="9">
        <v>1428.27</v>
      </c>
    </row>
    <row r="196" spans="1:26" x14ac:dyDescent="0.35">
      <c r="A196" s="7" t="s">
        <v>27</v>
      </c>
      <c r="B196" s="7" t="s">
        <v>40</v>
      </c>
      <c r="C196" s="7" t="s">
        <v>48</v>
      </c>
      <c r="D196" s="7" t="s">
        <v>49</v>
      </c>
      <c r="E196" s="7" t="s">
        <v>29</v>
      </c>
      <c r="F196" s="7" t="s">
        <v>99</v>
      </c>
      <c r="G196" s="7">
        <v>2021</v>
      </c>
      <c r="H196" s="7" t="str">
        <f>CONCATENATE("14210566742")</f>
        <v>14210566742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CONCATENATE("13 13.1 4a")</f>
        <v>13 13.1 4a</v>
      </c>
      <c r="M196" s="7" t="str">
        <f>CONCATENATE("PLTMTT81D07L500M")</f>
        <v>PLTMTT81D07L500M</v>
      </c>
      <c r="N196" s="7" t="s">
        <v>286</v>
      </c>
      <c r="O196" s="7" t="s">
        <v>273</v>
      </c>
      <c r="P196" s="8">
        <v>44610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2718.64</v>
      </c>
      <c r="W196" s="9">
        <v>1172.28</v>
      </c>
      <c r="X196" s="9">
        <v>1082.56</v>
      </c>
      <c r="Y196" s="7">
        <v>0</v>
      </c>
      <c r="Z196" s="7">
        <v>463.8</v>
      </c>
    </row>
    <row r="197" spans="1:26" x14ac:dyDescent="0.35">
      <c r="A197" s="7" t="s">
        <v>27</v>
      </c>
      <c r="B197" s="7" t="s">
        <v>40</v>
      </c>
      <c r="C197" s="7" t="s">
        <v>48</v>
      </c>
      <c r="D197" s="7" t="s">
        <v>49</v>
      </c>
      <c r="E197" s="7" t="s">
        <v>42</v>
      </c>
      <c r="F197" s="7" t="s">
        <v>84</v>
      </c>
      <c r="G197" s="7">
        <v>2021</v>
      </c>
      <c r="H197" s="7" t="str">
        <f>CONCATENATE("14210261609")</f>
        <v>14210261609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CONCATENATE("13 13.1 4a")</f>
        <v>13 13.1 4a</v>
      </c>
      <c r="M197" s="7" t="str">
        <f>CONCATENATE("GLNPLA68T14E785Y")</f>
        <v>GLNPLA68T14E785Y</v>
      </c>
      <c r="N197" s="7" t="s">
        <v>287</v>
      </c>
      <c r="O197" s="7" t="s">
        <v>273</v>
      </c>
      <c r="P197" s="8">
        <v>44610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9">
        <v>1070.02</v>
      </c>
      <c r="W197" s="7">
        <v>461.39</v>
      </c>
      <c r="X197" s="7">
        <v>426.08</v>
      </c>
      <c r="Y197" s="7">
        <v>0</v>
      </c>
      <c r="Z197" s="7">
        <v>182.55</v>
      </c>
    </row>
    <row r="198" spans="1:26" x14ac:dyDescent="0.35">
      <c r="A198" s="7" t="s">
        <v>27</v>
      </c>
      <c r="B198" s="7" t="s">
        <v>40</v>
      </c>
      <c r="C198" s="7" t="s">
        <v>48</v>
      </c>
      <c r="D198" s="7" t="s">
        <v>49</v>
      </c>
      <c r="E198" s="7" t="s">
        <v>29</v>
      </c>
      <c r="F198" s="7" t="s">
        <v>99</v>
      </c>
      <c r="G198" s="7">
        <v>2021</v>
      </c>
      <c r="H198" s="7" t="str">
        <f>CONCATENATE("14210645363")</f>
        <v>14210645363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CONCATENATE("13 13.1 4a")</f>
        <v>13 13.1 4a</v>
      </c>
      <c r="M198" s="7" t="str">
        <f>CONCATENATE("PLAGPP72T29G479I")</f>
        <v>PLAGPP72T29G479I</v>
      </c>
      <c r="N198" s="7" t="s">
        <v>288</v>
      </c>
      <c r="O198" s="7" t="s">
        <v>273</v>
      </c>
      <c r="P198" s="8">
        <v>44610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7">
        <v>618.41999999999996</v>
      </c>
      <c r="W198" s="7">
        <v>266.66000000000003</v>
      </c>
      <c r="X198" s="7">
        <v>246.25</v>
      </c>
      <c r="Y198" s="7">
        <v>0</v>
      </c>
      <c r="Z198" s="7">
        <v>105.51</v>
      </c>
    </row>
    <row r="199" spans="1:26" x14ac:dyDescent="0.35">
      <c r="A199" s="7" t="s">
        <v>27</v>
      </c>
      <c r="B199" s="7" t="s">
        <v>40</v>
      </c>
      <c r="C199" s="7" t="s">
        <v>48</v>
      </c>
      <c r="D199" s="7" t="s">
        <v>49</v>
      </c>
      <c r="E199" s="7" t="s">
        <v>29</v>
      </c>
      <c r="F199" s="7" t="s">
        <v>99</v>
      </c>
      <c r="G199" s="7">
        <v>2021</v>
      </c>
      <c r="H199" s="7" t="str">
        <f>CONCATENATE("14210564903")</f>
        <v>14210564903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CONCATENATE("13 13.1 4a")</f>
        <v>13 13.1 4a</v>
      </c>
      <c r="M199" s="7" t="str">
        <f>CONCATENATE("PGNMRT68E13L500D")</f>
        <v>PGNMRT68E13L500D</v>
      </c>
      <c r="N199" s="7" t="s">
        <v>289</v>
      </c>
      <c r="O199" s="7" t="s">
        <v>273</v>
      </c>
      <c r="P199" s="8">
        <v>44610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7">
        <v>997.76</v>
      </c>
      <c r="W199" s="7">
        <v>430.23</v>
      </c>
      <c r="X199" s="7">
        <v>397.31</v>
      </c>
      <c r="Y199" s="7">
        <v>0</v>
      </c>
      <c r="Z199" s="7">
        <v>170.22</v>
      </c>
    </row>
    <row r="200" spans="1:26" x14ac:dyDescent="0.35">
      <c r="A200" s="7" t="s">
        <v>27</v>
      </c>
      <c r="B200" s="7" t="s">
        <v>40</v>
      </c>
      <c r="C200" s="7" t="s">
        <v>48</v>
      </c>
      <c r="D200" s="7" t="s">
        <v>49</v>
      </c>
      <c r="E200" s="7" t="s">
        <v>46</v>
      </c>
      <c r="F200" s="7" t="s">
        <v>107</v>
      </c>
      <c r="G200" s="7">
        <v>2021</v>
      </c>
      <c r="H200" s="7" t="str">
        <f>CONCATENATE("14210332590")</f>
        <v>14210332590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CONCATENATE("13 13.1 4a")</f>
        <v>13 13.1 4a</v>
      </c>
      <c r="M200" s="7" t="str">
        <f>CONCATENATE("02598840417")</f>
        <v>02598840417</v>
      </c>
      <c r="N200" s="7" t="s">
        <v>290</v>
      </c>
      <c r="O200" s="7" t="s">
        <v>273</v>
      </c>
      <c r="P200" s="8">
        <v>44610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9">
        <v>3292.16</v>
      </c>
      <c r="W200" s="9">
        <v>1419.58</v>
      </c>
      <c r="X200" s="9">
        <v>1310.94</v>
      </c>
      <c r="Y200" s="7">
        <v>0</v>
      </c>
      <c r="Z200" s="7">
        <v>561.64</v>
      </c>
    </row>
    <row r="201" spans="1:26" x14ac:dyDescent="0.35">
      <c r="A201" s="7" t="s">
        <v>27</v>
      </c>
      <c r="B201" s="7" t="s">
        <v>40</v>
      </c>
      <c r="C201" s="7" t="s">
        <v>48</v>
      </c>
      <c r="D201" s="7" t="s">
        <v>61</v>
      </c>
      <c r="E201" s="7" t="s">
        <v>29</v>
      </c>
      <c r="F201" s="7" t="s">
        <v>249</v>
      </c>
      <c r="G201" s="7">
        <v>2021</v>
      </c>
      <c r="H201" s="7" t="str">
        <f>CONCATENATE("14210865193")</f>
        <v>14210865193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CONCATENATE("13 13.1 4a")</f>
        <v>13 13.1 4a</v>
      </c>
      <c r="M201" s="7" t="str">
        <f>CONCATENATE("02855180424")</f>
        <v>02855180424</v>
      </c>
      <c r="N201" s="7" t="s">
        <v>291</v>
      </c>
      <c r="O201" s="7" t="s">
        <v>273</v>
      </c>
      <c r="P201" s="8">
        <v>44610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9">
        <v>5784.12</v>
      </c>
      <c r="W201" s="9">
        <v>2494.11</v>
      </c>
      <c r="X201" s="9">
        <v>2303.2399999999998</v>
      </c>
      <c r="Y201" s="7">
        <v>0</v>
      </c>
      <c r="Z201" s="7">
        <v>986.77</v>
      </c>
    </row>
    <row r="202" spans="1:26" x14ac:dyDescent="0.35">
      <c r="A202" s="7" t="s">
        <v>27</v>
      </c>
      <c r="B202" s="7" t="s">
        <v>40</v>
      </c>
      <c r="C202" s="7" t="s">
        <v>48</v>
      </c>
      <c r="D202" s="7" t="s">
        <v>49</v>
      </c>
      <c r="E202" s="7" t="s">
        <v>42</v>
      </c>
      <c r="F202" s="7" t="s">
        <v>84</v>
      </c>
      <c r="G202" s="7">
        <v>2021</v>
      </c>
      <c r="H202" s="7" t="str">
        <f>CONCATENATE("14210321361")</f>
        <v>14210321361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CONCATENATE("13 13.1 4a")</f>
        <v>13 13.1 4a</v>
      </c>
      <c r="M202" s="7" t="str">
        <f>CONCATENATE("MGNMRA80S22I459P")</f>
        <v>MGNMRA80S22I459P</v>
      </c>
      <c r="N202" s="7" t="s">
        <v>292</v>
      </c>
      <c r="O202" s="7" t="s">
        <v>273</v>
      </c>
      <c r="P202" s="8">
        <v>44610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9">
        <v>7124.51</v>
      </c>
      <c r="W202" s="9">
        <v>3072.09</v>
      </c>
      <c r="X202" s="9">
        <v>2836.98</v>
      </c>
      <c r="Y202" s="7">
        <v>0</v>
      </c>
      <c r="Z202" s="9">
        <v>1215.44</v>
      </c>
    </row>
    <row r="203" spans="1:26" x14ac:dyDescent="0.35">
      <c r="A203" s="7" t="s">
        <v>27</v>
      </c>
      <c r="B203" s="7" t="s">
        <v>40</v>
      </c>
      <c r="C203" s="7" t="s">
        <v>48</v>
      </c>
      <c r="D203" s="7" t="s">
        <v>61</v>
      </c>
      <c r="E203" s="7" t="s">
        <v>29</v>
      </c>
      <c r="F203" s="7" t="s">
        <v>249</v>
      </c>
      <c r="G203" s="7">
        <v>2021</v>
      </c>
      <c r="H203" s="7" t="str">
        <f>CONCATENATE("14210507837")</f>
        <v>14210507837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CONCATENATE("13 13.1 4a")</f>
        <v>13 13.1 4a</v>
      </c>
      <c r="M203" s="7" t="str">
        <f>CONCATENATE("LROSRG59H12I461C")</f>
        <v>LROSRG59H12I461C</v>
      </c>
      <c r="N203" s="7" t="s">
        <v>293</v>
      </c>
      <c r="O203" s="7" t="s">
        <v>273</v>
      </c>
      <c r="P203" s="8">
        <v>44610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9">
        <v>1058.76</v>
      </c>
      <c r="W203" s="7">
        <v>456.54</v>
      </c>
      <c r="X203" s="7">
        <v>421.6</v>
      </c>
      <c r="Y203" s="7">
        <v>0</v>
      </c>
      <c r="Z203" s="7">
        <v>180.62</v>
      </c>
    </row>
    <row r="204" spans="1:26" x14ac:dyDescent="0.35">
      <c r="A204" s="7" t="s">
        <v>27</v>
      </c>
      <c r="B204" s="7" t="s">
        <v>40</v>
      </c>
      <c r="C204" s="7" t="s">
        <v>48</v>
      </c>
      <c r="D204" s="7" t="s">
        <v>74</v>
      </c>
      <c r="E204" s="7" t="s">
        <v>42</v>
      </c>
      <c r="F204" s="7" t="s">
        <v>215</v>
      </c>
      <c r="G204" s="7">
        <v>2021</v>
      </c>
      <c r="H204" s="7" t="str">
        <f>CONCATENATE("14210030715")</f>
        <v>14210030715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CONCATENATE("13 13.1 4a")</f>
        <v>13 13.1 4a</v>
      </c>
      <c r="M204" s="7" t="str">
        <f>CONCATENATE("LBRVST36H21G657K")</f>
        <v>LBRVST36H21G657K</v>
      </c>
      <c r="N204" s="7" t="s">
        <v>294</v>
      </c>
      <c r="O204" s="7" t="s">
        <v>273</v>
      </c>
      <c r="P204" s="8">
        <v>44610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9">
        <v>4140.54</v>
      </c>
      <c r="W204" s="9">
        <v>1785.4</v>
      </c>
      <c r="X204" s="9">
        <v>1648.76</v>
      </c>
      <c r="Y204" s="7">
        <v>0</v>
      </c>
      <c r="Z204" s="7">
        <v>706.38</v>
      </c>
    </row>
    <row r="205" spans="1:26" x14ac:dyDescent="0.35">
      <c r="A205" s="7" t="s">
        <v>27</v>
      </c>
      <c r="B205" s="7" t="s">
        <v>40</v>
      </c>
      <c r="C205" s="7" t="s">
        <v>48</v>
      </c>
      <c r="D205" s="7" t="s">
        <v>49</v>
      </c>
      <c r="E205" s="7" t="s">
        <v>42</v>
      </c>
      <c r="F205" s="7" t="s">
        <v>259</v>
      </c>
      <c r="G205" s="7">
        <v>2021</v>
      </c>
      <c r="H205" s="7" t="str">
        <f>CONCATENATE("14210454444")</f>
        <v>14210454444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CONCATENATE("13 13.1 4a")</f>
        <v>13 13.1 4a</v>
      </c>
      <c r="M205" s="7" t="str">
        <f>CONCATENATE("02328670415")</f>
        <v>02328670415</v>
      </c>
      <c r="N205" s="7" t="s">
        <v>295</v>
      </c>
      <c r="O205" s="7" t="s">
        <v>273</v>
      </c>
      <c r="P205" s="8">
        <v>44610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7">
        <v>848.41</v>
      </c>
      <c r="W205" s="7">
        <v>365.83</v>
      </c>
      <c r="X205" s="7">
        <v>337.84</v>
      </c>
      <c r="Y205" s="7">
        <v>0</v>
      </c>
      <c r="Z205" s="7">
        <v>144.74</v>
      </c>
    </row>
    <row r="206" spans="1:26" x14ac:dyDescent="0.35">
      <c r="A206" s="7" t="s">
        <v>27</v>
      </c>
      <c r="B206" s="7" t="s">
        <v>40</v>
      </c>
      <c r="C206" s="7" t="s">
        <v>48</v>
      </c>
      <c r="D206" s="7" t="s">
        <v>61</v>
      </c>
      <c r="E206" s="7" t="s">
        <v>29</v>
      </c>
      <c r="F206" s="7" t="s">
        <v>249</v>
      </c>
      <c r="G206" s="7">
        <v>2021</v>
      </c>
      <c r="H206" s="7" t="str">
        <f>CONCATENATE("14210989183")</f>
        <v>14210989183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CONCATENATE("13 13.1 4a")</f>
        <v>13 13.1 4a</v>
      </c>
      <c r="M206" s="7" t="str">
        <f>CONCATENATE("BDCMRC79H05A366K")</f>
        <v>BDCMRC79H05A366K</v>
      </c>
      <c r="N206" s="7" t="s">
        <v>296</v>
      </c>
      <c r="O206" s="7" t="s">
        <v>273</v>
      </c>
      <c r="P206" s="8">
        <v>44610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9">
        <v>7231.96</v>
      </c>
      <c r="W206" s="9">
        <v>3118.42</v>
      </c>
      <c r="X206" s="9">
        <v>2879.77</v>
      </c>
      <c r="Y206" s="7">
        <v>0</v>
      </c>
      <c r="Z206" s="9">
        <v>1233.77</v>
      </c>
    </row>
    <row r="207" spans="1:26" x14ac:dyDescent="0.35">
      <c r="A207" s="7" t="s">
        <v>27</v>
      </c>
      <c r="B207" s="7" t="s">
        <v>40</v>
      </c>
      <c r="C207" s="7" t="s">
        <v>48</v>
      </c>
      <c r="D207" s="7" t="s">
        <v>49</v>
      </c>
      <c r="E207" s="7" t="s">
        <v>297</v>
      </c>
      <c r="F207" s="7" t="s">
        <v>298</v>
      </c>
      <c r="G207" s="7">
        <v>2021</v>
      </c>
      <c r="H207" s="7" t="str">
        <f>CONCATENATE("14210115748")</f>
        <v>14210115748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CONCATENATE("13 13.1 4a")</f>
        <v>13 13.1 4a</v>
      </c>
      <c r="M207" s="7" t="str">
        <f>CONCATENATE("MNTTZN57E66I681Z")</f>
        <v>MNTTZN57E66I681Z</v>
      </c>
      <c r="N207" s="7" t="s">
        <v>299</v>
      </c>
      <c r="O207" s="7" t="s">
        <v>273</v>
      </c>
      <c r="P207" s="8">
        <v>44610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9">
        <v>3975.14</v>
      </c>
      <c r="W207" s="9">
        <v>1714.08</v>
      </c>
      <c r="X207" s="9">
        <v>1582.9</v>
      </c>
      <c r="Y207" s="7">
        <v>0</v>
      </c>
      <c r="Z207" s="7">
        <v>678.16</v>
      </c>
    </row>
    <row r="208" spans="1:26" x14ac:dyDescent="0.35">
      <c r="A208" s="7" t="s">
        <v>27</v>
      </c>
      <c r="B208" s="7" t="s">
        <v>40</v>
      </c>
      <c r="C208" s="7" t="s">
        <v>48</v>
      </c>
      <c r="D208" s="7" t="s">
        <v>49</v>
      </c>
      <c r="E208" s="7" t="s">
        <v>42</v>
      </c>
      <c r="F208" s="7" t="s">
        <v>50</v>
      </c>
      <c r="G208" s="7">
        <v>2021</v>
      </c>
      <c r="H208" s="7" t="str">
        <f>CONCATENATE("14210430600")</f>
        <v>14210430600</v>
      </c>
      <c r="I208" s="7" t="s">
        <v>30</v>
      </c>
      <c r="J208" s="7" t="s">
        <v>31</v>
      </c>
      <c r="K208" s="7" t="str">
        <f>CONCATENATE("")</f>
        <v/>
      </c>
      <c r="L208" s="7" t="str">
        <f>CONCATENATE("13 13.1 4a")</f>
        <v>13 13.1 4a</v>
      </c>
      <c r="M208" s="7" t="str">
        <f>CONCATENATE("GMMMTT97C11B352M")</f>
        <v>GMMMTT97C11B352M</v>
      </c>
      <c r="N208" s="7" t="s">
        <v>300</v>
      </c>
      <c r="O208" s="7" t="s">
        <v>273</v>
      </c>
      <c r="P208" s="8">
        <v>44610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1311.86</v>
      </c>
      <c r="W208" s="7">
        <v>565.66999999999996</v>
      </c>
      <c r="X208" s="7">
        <v>522.38</v>
      </c>
      <c r="Y208" s="7">
        <v>0</v>
      </c>
      <c r="Z208" s="7">
        <v>223.81</v>
      </c>
    </row>
    <row r="209" spans="1:26" x14ac:dyDescent="0.35">
      <c r="A209" s="7" t="s">
        <v>27</v>
      </c>
      <c r="B209" s="7" t="s">
        <v>40</v>
      </c>
      <c r="C209" s="7" t="s">
        <v>48</v>
      </c>
      <c r="D209" s="7" t="s">
        <v>49</v>
      </c>
      <c r="E209" s="7" t="s">
        <v>29</v>
      </c>
      <c r="F209" s="7" t="s">
        <v>235</v>
      </c>
      <c r="G209" s="7">
        <v>2021</v>
      </c>
      <c r="H209" s="7" t="str">
        <f>CONCATENATE("14210686474")</f>
        <v>14210686474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CONCATENATE("13 13.1 4a")</f>
        <v>13 13.1 4a</v>
      </c>
      <c r="M209" s="7" t="str">
        <f>CONCATENATE("BGNDMA30H30B352P")</f>
        <v>BGNDMA30H30B352P</v>
      </c>
      <c r="N209" s="7" t="s">
        <v>301</v>
      </c>
      <c r="O209" s="7" t="s">
        <v>273</v>
      </c>
      <c r="P209" s="8">
        <v>44610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7">
        <v>423.52</v>
      </c>
      <c r="W209" s="7">
        <v>182.62</v>
      </c>
      <c r="X209" s="7">
        <v>168.65</v>
      </c>
      <c r="Y209" s="7">
        <v>0</v>
      </c>
      <c r="Z209" s="7">
        <v>72.25</v>
      </c>
    </row>
    <row r="210" spans="1:26" x14ac:dyDescent="0.35">
      <c r="A210" s="7" t="s">
        <v>27</v>
      </c>
      <c r="B210" s="7" t="s">
        <v>40</v>
      </c>
      <c r="C210" s="7" t="s">
        <v>48</v>
      </c>
      <c r="D210" s="7" t="s">
        <v>74</v>
      </c>
      <c r="E210" s="7" t="s">
        <v>46</v>
      </c>
      <c r="F210" s="7" t="s">
        <v>75</v>
      </c>
      <c r="G210" s="7">
        <v>2021</v>
      </c>
      <c r="H210" s="7" t="str">
        <f>CONCATENATE("14210384179")</f>
        <v>14210384179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CONCATENATE("13 13.1 4a")</f>
        <v>13 13.1 4a</v>
      </c>
      <c r="M210" s="7" t="str">
        <f>CONCATENATE("MRZPQL53C12L517D")</f>
        <v>MRZPQL53C12L517D</v>
      </c>
      <c r="N210" s="7" t="s">
        <v>302</v>
      </c>
      <c r="O210" s="7" t="s">
        <v>273</v>
      </c>
      <c r="P210" s="8">
        <v>44610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9">
        <v>7584.25</v>
      </c>
      <c r="W210" s="9">
        <v>3270.33</v>
      </c>
      <c r="X210" s="9">
        <v>3020.05</v>
      </c>
      <c r="Y210" s="7">
        <v>0</v>
      </c>
      <c r="Z210" s="9">
        <v>1293.8699999999999</v>
      </c>
    </row>
    <row r="211" spans="1:26" x14ac:dyDescent="0.35">
      <c r="A211" s="7" t="s">
        <v>27</v>
      </c>
      <c r="B211" s="7" t="s">
        <v>40</v>
      </c>
      <c r="C211" s="7" t="s">
        <v>48</v>
      </c>
      <c r="D211" s="7" t="s">
        <v>49</v>
      </c>
      <c r="E211" s="7" t="s">
        <v>42</v>
      </c>
      <c r="F211" s="7" t="s">
        <v>50</v>
      </c>
      <c r="G211" s="7">
        <v>2021</v>
      </c>
      <c r="H211" s="7" t="str">
        <f>CONCATENATE("14210516374")</f>
        <v>14210516374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CONCATENATE("CNTMCL49A16B352J")</f>
        <v>CNTMCL49A16B352J</v>
      </c>
      <c r="N211" s="7" t="s">
        <v>303</v>
      </c>
      <c r="O211" s="7" t="s">
        <v>273</v>
      </c>
      <c r="P211" s="8">
        <v>44610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7">
        <v>186.6</v>
      </c>
      <c r="W211" s="7">
        <v>80.459999999999994</v>
      </c>
      <c r="X211" s="7">
        <v>74.3</v>
      </c>
      <c r="Y211" s="7">
        <v>0</v>
      </c>
      <c r="Z211" s="7">
        <v>31.84</v>
      </c>
    </row>
    <row r="212" spans="1:26" x14ac:dyDescent="0.35">
      <c r="A212" s="7" t="s">
        <v>27</v>
      </c>
      <c r="B212" s="7" t="s">
        <v>40</v>
      </c>
      <c r="C212" s="7" t="s">
        <v>48</v>
      </c>
      <c r="D212" s="7" t="s">
        <v>61</v>
      </c>
      <c r="E212" s="7" t="s">
        <v>29</v>
      </c>
      <c r="F212" s="7" t="s">
        <v>249</v>
      </c>
      <c r="G212" s="7">
        <v>2021</v>
      </c>
      <c r="H212" s="7" t="str">
        <f>CONCATENATE("14210988763")</f>
        <v>14210988763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CONCATENATE("PLCSRA88T70E388C")</f>
        <v>PLCSRA88T70E388C</v>
      </c>
      <c r="N212" s="7" t="s">
        <v>304</v>
      </c>
      <c r="O212" s="7" t="s">
        <v>273</v>
      </c>
      <c r="P212" s="8">
        <v>44610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9">
        <v>1306.3599999999999</v>
      </c>
      <c r="W212" s="7">
        <v>563.29999999999995</v>
      </c>
      <c r="X212" s="7">
        <v>520.19000000000005</v>
      </c>
      <c r="Y212" s="7">
        <v>0</v>
      </c>
      <c r="Z212" s="7">
        <v>222.87</v>
      </c>
    </row>
    <row r="213" spans="1:26" x14ac:dyDescent="0.35">
      <c r="A213" s="7" t="s">
        <v>27</v>
      </c>
      <c r="B213" s="7" t="s">
        <v>40</v>
      </c>
      <c r="C213" s="7" t="s">
        <v>48</v>
      </c>
      <c r="D213" s="7" t="s">
        <v>61</v>
      </c>
      <c r="E213" s="7" t="s">
        <v>42</v>
      </c>
      <c r="F213" s="7" t="s">
        <v>259</v>
      </c>
      <c r="G213" s="7">
        <v>2021</v>
      </c>
      <c r="H213" s="7" t="str">
        <f>CONCATENATE("14210050440")</f>
        <v>14210050440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CONCATENATE("13 13.1 4a")</f>
        <v>13 13.1 4a</v>
      </c>
      <c r="M213" s="7" t="str">
        <f>CONCATENATE("CHTMRN61R64C704W")</f>
        <v>CHTMRN61R64C704W</v>
      </c>
      <c r="N213" s="7" t="s">
        <v>305</v>
      </c>
      <c r="O213" s="7" t="s">
        <v>273</v>
      </c>
      <c r="P213" s="8">
        <v>44610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9">
        <v>2015</v>
      </c>
      <c r="W213" s="7">
        <v>868.87</v>
      </c>
      <c r="X213" s="7">
        <v>802.37</v>
      </c>
      <c r="Y213" s="7">
        <v>0</v>
      </c>
      <c r="Z213" s="7">
        <v>343.76</v>
      </c>
    </row>
    <row r="214" spans="1:26" x14ac:dyDescent="0.35">
      <c r="A214" s="7" t="s">
        <v>27</v>
      </c>
      <c r="B214" s="7" t="s">
        <v>40</v>
      </c>
      <c r="C214" s="7" t="s">
        <v>48</v>
      </c>
      <c r="D214" s="7" t="s">
        <v>74</v>
      </c>
      <c r="E214" s="7" t="s">
        <v>46</v>
      </c>
      <c r="F214" s="7" t="s">
        <v>115</v>
      </c>
      <c r="G214" s="7">
        <v>2021</v>
      </c>
      <c r="H214" s="7" t="str">
        <f>CONCATENATE("14210920493")</f>
        <v>14210920493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CONCATENATE("13 13.1 4a")</f>
        <v>13 13.1 4a</v>
      </c>
      <c r="M214" s="7" t="str">
        <f>CONCATENATE("CPPSFN72L29F051U")</f>
        <v>CPPSFN72L29F051U</v>
      </c>
      <c r="N214" s="7" t="s">
        <v>306</v>
      </c>
      <c r="O214" s="7" t="s">
        <v>273</v>
      </c>
      <c r="P214" s="8">
        <v>44610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7">
        <v>717.71</v>
      </c>
      <c r="W214" s="7">
        <v>309.48</v>
      </c>
      <c r="X214" s="7">
        <v>285.79000000000002</v>
      </c>
      <c r="Y214" s="7">
        <v>0</v>
      </c>
      <c r="Z214" s="7">
        <v>122.44</v>
      </c>
    </row>
    <row r="215" spans="1:26" x14ac:dyDescent="0.35">
      <c r="A215" s="7" t="s">
        <v>27</v>
      </c>
      <c r="B215" s="7" t="s">
        <v>40</v>
      </c>
      <c r="C215" s="7" t="s">
        <v>48</v>
      </c>
      <c r="D215" s="7" t="s">
        <v>74</v>
      </c>
      <c r="E215" s="7" t="s">
        <v>46</v>
      </c>
      <c r="F215" s="7" t="s">
        <v>115</v>
      </c>
      <c r="G215" s="7">
        <v>2021</v>
      </c>
      <c r="H215" s="7" t="str">
        <f>CONCATENATE("14210441805")</f>
        <v>14210441805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CONCATENATE("13 13.1 4a")</f>
        <v>13 13.1 4a</v>
      </c>
      <c r="M215" s="7" t="str">
        <f>CONCATENATE("SBSDMN91B16I156V")</f>
        <v>SBSDMN91B16I156V</v>
      </c>
      <c r="N215" s="7" t="s">
        <v>307</v>
      </c>
      <c r="O215" s="7" t="s">
        <v>273</v>
      </c>
      <c r="P215" s="8">
        <v>44610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9">
        <v>8394.5499999999993</v>
      </c>
      <c r="W215" s="9">
        <v>3619.73</v>
      </c>
      <c r="X215" s="9">
        <v>3342.71</v>
      </c>
      <c r="Y215" s="7">
        <v>0</v>
      </c>
      <c r="Z215" s="9">
        <v>1432.11</v>
      </c>
    </row>
    <row r="216" spans="1:26" ht="17.5" x14ac:dyDescent="0.35">
      <c r="A216" s="7" t="s">
        <v>27</v>
      </c>
      <c r="B216" s="7" t="s">
        <v>40</v>
      </c>
      <c r="C216" s="7" t="s">
        <v>48</v>
      </c>
      <c r="D216" s="7" t="s">
        <v>61</v>
      </c>
      <c r="E216" s="7" t="s">
        <v>39</v>
      </c>
      <c r="F216" s="7" t="s">
        <v>193</v>
      </c>
      <c r="G216" s="7">
        <v>2021</v>
      </c>
      <c r="H216" s="7" t="str">
        <f>CONCATENATE("14210762481")</f>
        <v>14210762481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CONCATENATE("13 13.1 4a")</f>
        <v>13 13.1 4a</v>
      </c>
      <c r="M216" s="7" t="str">
        <f>CONCATENATE("02840440420")</f>
        <v>02840440420</v>
      </c>
      <c r="N216" s="7" t="s">
        <v>308</v>
      </c>
      <c r="O216" s="7" t="s">
        <v>273</v>
      </c>
      <c r="P216" s="8">
        <v>44610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9">
        <v>2538.96</v>
      </c>
      <c r="W216" s="9">
        <v>1094.8</v>
      </c>
      <c r="X216" s="9">
        <v>1011.01</v>
      </c>
      <c r="Y216" s="7">
        <v>0</v>
      </c>
      <c r="Z216" s="7">
        <v>433.15</v>
      </c>
    </row>
    <row r="217" spans="1:26" x14ac:dyDescent="0.35">
      <c r="A217" s="7" t="s">
        <v>27</v>
      </c>
      <c r="B217" s="7" t="s">
        <v>40</v>
      </c>
      <c r="C217" s="7" t="s">
        <v>48</v>
      </c>
      <c r="D217" s="7" t="s">
        <v>74</v>
      </c>
      <c r="E217" s="7" t="s">
        <v>39</v>
      </c>
      <c r="F217" s="7" t="s">
        <v>148</v>
      </c>
      <c r="G217" s="7">
        <v>2021</v>
      </c>
      <c r="H217" s="7" t="str">
        <f>CONCATENATE("14210356854")</f>
        <v>14210356854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CONCATENATE("13 13.1 4a")</f>
        <v>13 13.1 4a</v>
      </c>
      <c r="M217" s="7" t="str">
        <f>CONCATENATE("FDLBRN62A05B474V")</f>
        <v>FDLBRN62A05B474V</v>
      </c>
      <c r="N217" s="7" t="s">
        <v>309</v>
      </c>
      <c r="O217" s="7" t="s">
        <v>273</v>
      </c>
      <c r="P217" s="8">
        <v>44610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9">
        <v>5100.84</v>
      </c>
      <c r="W217" s="9">
        <v>2199.48</v>
      </c>
      <c r="X217" s="9">
        <v>2031.15</v>
      </c>
      <c r="Y217" s="7">
        <v>0</v>
      </c>
      <c r="Z217" s="7">
        <v>870.21</v>
      </c>
    </row>
    <row r="218" spans="1:26" x14ac:dyDescent="0.35">
      <c r="A218" s="7" t="s">
        <v>27</v>
      </c>
      <c r="B218" s="7" t="s">
        <v>40</v>
      </c>
      <c r="C218" s="7" t="s">
        <v>48</v>
      </c>
      <c r="D218" s="7" t="s">
        <v>74</v>
      </c>
      <c r="E218" s="7" t="s">
        <v>42</v>
      </c>
      <c r="F218" s="7" t="s">
        <v>215</v>
      </c>
      <c r="G218" s="7">
        <v>2021</v>
      </c>
      <c r="H218" s="7" t="str">
        <f>CONCATENATE("14210027133")</f>
        <v>14210027133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CONCATENATE("13 13.1 4a")</f>
        <v>13 13.1 4a</v>
      </c>
      <c r="M218" s="7" t="str">
        <f>CONCATENATE("CPPMHL91R06B474E")</f>
        <v>CPPMHL91R06B474E</v>
      </c>
      <c r="N218" s="7" t="s">
        <v>310</v>
      </c>
      <c r="O218" s="7" t="s">
        <v>273</v>
      </c>
      <c r="P218" s="8">
        <v>44610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7">
        <v>968.48</v>
      </c>
      <c r="W218" s="7">
        <v>417.61</v>
      </c>
      <c r="X218" s="7">
        <v>385.65</v>
      </c>
      <c r="Y218" s="7">
        <v>0</v>
      </c>
      <c r="Z218" s="7">
        <v>165.22</v>
      </c>
    </row>
    <row r="219" spans="1:26" x14ac:dyDescent="0.35">
      <c r="A219" s="7" t="s">
        <v>27</v>
      </c>
      <c r="B219" s="7" t="s">
        <v>40</v>
      </c>
      <c r="C219" s="7" t="s">
        <v>48</v>
      </c>
      <c r="D219" s="7" t="s">
        <v>49</v>
      </c>
      <c r="E219" s="7" t="s">
        <v>29</v>
      </c>
      <c r="F219" s="7" t="s">
        <v>143</v>
      </c>
      <c r="G219" s="7">
        <v>2021</v>
      </c>
      <c r="H219" s="7" t="str">
        <f>CONCATENATE("14210924149")</f>
        <v>14210924149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CONCATENATE("13 13.1 4a")</f>
        <v>13 13.1 4a</v>
      </c>
      <c r="M219" s="7" t="str">
        <f>CONCATENATE("GRGCRL74H70G089U")</f>
        <v>GRGCRL74H70G089U</v>
      </c>
      <c r="N219" s="7" t="s">
        <v>311</v>
      </c>
      <c r="O219" s="7" t="s">
        <v>273</v>
      </c>
      <c r="P219" s="8">
        <v>44610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7">
        <v>722.98</v>
      </c>
      <c r="W219" s="7">
        <v>311.75</v>
      </c>
      <c r="X219" s="7">
        <v>287.89</v>
      </c>
      <c r="Y219" s="7">
        <v>0</v>
      </c>
      <c r="Z219" s="7">
        <v>123.34</v>
      </c>
    </row>
    <row r="220" spans="1:26" x14ac:dyDescent="0.35">
      <c r="A220" s="7" t="s">
        <v>27</v>
      </c>
      <c r="B220" s="7" t="s">
        <v>40</v>
      </c>
      <c r="C220" s="7" t="s">
        <v>48</v>
      </c>
      <c r="D220" s="7" t="s">
        <v>61</v>
      </c>
      <c r="E220" s="7" t="s">
        <v>42</v>
      </c>
      <c r="F220" s="7" t="s">
        <v>94</v>
      </c>
      <c r="G220" s="7">
        <v>2021</v>
      </c>
      <c r="H220" s="7" t="str">
        <f>CONCATENATE("14210411824")</f>
        <v>14210411824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CONCATENATE("13 13.1 4a")</f>
        <v>13 13.1 4a</v>
      </c>
      <c r="M220" s="7" t="str">
        <f>CONCATENATE("CNTMSM63A09D451V")</f>
        <v>CNTMSM63A09D451V</v>
      </c>
      <c r="N220" s="7" t="s">
        <v>312</v>
      </c>
      <c r="O220" s="7" t="s">
        <v>273</v>
      </c>
      <c r="P220" s="8">
        <v>44610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9">
        <v>4302.92</v>
      </c>
      <c r="W220" s="9">
        <v>1855.42</v>
      </c>
      <c r="X220" s="9">
        <v>1713.42</v>
      </c>
      <c r="Y220" s="7">
        <v>0</v>
      </c>
      <c r="Z220" s="7">
        <v>734.08</v>
      </c>
    </row>
    <row r="221" spans="1:26" x14ac:dyDescent="0.35">
      <c r="A221" s="7" t="s">
        <v>27</v>
      </c>
      <c r="B221" s="7" t="s">
        <v>40</v>
      </c>
      <c r="C221" s="7" t="s">
        <v>48</v>
      </c>
      <c r="D221" s="7" t="s">
        <v>49</v>
      </c>
      <c r="E221" s="7" t="s">
        <v>42</v>
      </c>
      <c r="F221" s="7" t="s">
        <v>103</v>
      </c>
      <c r="G221" s="7">
        <v>2021</v>
      </c>
      <c r="H221" s="7" t="str">
        <f>CONCATENATE("14210166006")</f>
        <v>14210166006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CONCATENATE("13 13.1 4a")</f>
        <v>13 13.1 4a</v>
      </c>
      <c r="M221" s="7" t="str">
        <f>CONCATENATE("RMTGNN74D27D749J")</f>
        <v>RMTGNN74D27D749J</v>
      </c>
      <c r="N221" s="7" t="s">
        <v>313</v>
      </c>
      <c r="O221" s="7" t="s">
        <v>273</v>
      </c>
      <c r="P221" s="8">
        <v>44610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1083.8399999999999</v>
      </c>
      <c r="W221" s="7">
        <v>467.35</v>
      </c>
      <c r="X221" s="7">
        <v>431.59</v>
      </c>
      <c r="Y221" s="7">
        <v>0</v>
      </c>
      <c r="Z221" s="7">
        <v>184.9</v>
      </c>
    </row>
    <row r="222" spans="1:26" x14ac:dyDescent="0.35">
      <c r="A222" s="7" t="s">
        <v>27</v>
      </c>
      <c r="B222" s="7" t="s">
        <v>40</v>
      </c>
      <c r="C222" s="7" t="s">
        <v>48</v>
      </c>
      <c r="D222" s="7" t="s">
        <v>49</v>
      </c>
      <c r="E222" s="7" t="s">
        <v>42</v>
      </c>
      <c r="F222" s="7" t="s">
        <v>103</v>
      </c>
      <c r="G222" s="7">
        <v>2021</v>
      </c>
      <c r="H222" s="7" t="str">
        <f>CONCATENATE("14210162872")</f>
        <v>14210162872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CONCATENATE("13 13.1 4a")</f>
        <v>13 13.1 4a</v>
      </c>
      <c r="M222" s="7" t="str">
        <f>CONCATENATE("SGUDNL65H03D749B")</f>
        <v>SGUDNL65H03D749B</v>
      </c>
      <c r="N222" s="7" t="s">
        <v>314</v>
      </c>
      <c r="O222" s="7" t="s">
        <v>273</v>
      </c>
      <c r="P222" s="8">
        <v>44610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9">
        <v>5123.5600000000004</v>
      </c>
      <c r="W222" s="9">
        <v>2209.2800000000002</v>
      </c>
      <c r="X222" s="9">
        <v>2040.2</v>
      </c>
      <c r="Y222" s="7">
        <v>0</v>
      </c>
      <c r="Z222" s="7">
        <v>874.08</v>
      </c>
    </row>
    <row r="223" spans="1:26" x14ac:dyDescent="0.35">
      <c r="A223" s="7" t="s">
        <v>27</v>
      </c>
      <c r="B223" s="7" t="s">
        <v>40</v>
      </c>
      <c r="C223" s="7" t="s">
        <v>48</v>
      </c>
      <c r="D223" s="7" t="s">
        <v>49</v>
      </c>
      <c r="E223" s="7" t="s">
        <v>42</v>
      </c>
      <c r="F223" s="7" t="s">
        <v>125</v>
      </c>
      <c r="G223" s="7">
        <v>2021</v>
      </c>
      <c r="H223" s="7" t="str">
        <f>CONCATENATE("14210173051")</f>
        <v>14210173051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CONCATENATE("13 13.1 4a")</f>
        <v>13 13.1 4a</v>
      </c>
      <c r="M223" s="7" t="str">
        <f>CONCATENATE("01405710417")</f>
        <v>01405710417</v>
      </c>
      <c r="N223" s="7" t="s">
        <v>315</v>
      </c>
      <c r="O223" s="7" t="s">
        <v>273</v>
      </c>
      <c r="P223" s="8">
        <v>44610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7">
        <v>708.87</v>
      </c>
      <c r="W223" s="7">
        <v>305.66000000000003</v>
      </c>
      <c r="X223" s="7">
        <v>282.27</v>
      </c>
      <c r="Y223" s="7">
        <v>0</v>
      </c>
      <c r="Z223" s="7">
        <v>120.94</v>
      </c>
    </row>
    <row r="224" spans="1:26" x14ac:dyDescent="0.35">
      <c r="A224" s="7" t="s">
        <v>27</v>
      </c>
      <c r="B224" s="7" t="s">
        <v>40</v>
      </c>
      <c r="C224" s="7" t="s">
        <v>48</v>
      </c>
      <c r="D224" s="7" t="s">
        <v>49</v>
      </c>
      <c r="E224" s="7" t="s">
        <v>29</v>
      </c>
      <c r="F224" s="7" t="s">
        <v>99</v>
      </c>
      <c r="G224" s="7">
        <v>2021</v>
      </c>
      <c r="H224" s="7" t="str">
        <f>CONCATENATE("14210385515")</f>
        <v>14210385515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CONCATENATE("CNDSMN72H54B352M")</f>
        <v>CNDSMN72H54B352M</v>
      </c>
      <c r="N224" s="7" t="s">
        <v>316</v>
      </c>
      <c r="O224" s="7" t="s">
        <v>273</v>
      </c>
      <c r="P224" s="8">
        <v>44610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9">
        <v>1796.68</v>
      </c>
      <c r="W224" s="7">
        <v>774.73</v>
      </c>
      <c r="X224" s="7">
        <v>715.44</v>
      </c>
      <c r="Y224" s="7">
        <v>0</v>
      </c>
      <c r="Z224" s="7">
        <v>306.51</v>
      </c>
    </row>
    <row r="225" spans="1:26" x14ac:dyDescent="0.35">
      <c r="A225" s="7" t="s">
        <v>27</v>
      </c>
      <c r="B225" s="7" t="s">
        <v>40</v>
      </c>
      <c r="C225" s="7" t="s">
        <v>48</v>
      </c>
      <c r="D225" s="7" t="s">
        <v>49</v>
      </c>
      <c r="E225" s="7" t="s">
        <v>29</v>
      </c>
      <c r="F225" s="7" t="s">
        <v>143</v>
      </c>
      <c r="G225" s="7">
        <v>2021</v>
      </c>
      <c r="H225" s="7" t="str">
        <f>CONCATENATE("14210568656")</f>
        <v>14210568656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CONCATENATE("PRDTNZ63L23D749L")</f>
        <v>PRDTNZ63L23D749L</v>
      </c>
      <c r="N225" s="7" t="s">
        <v>317</v>
      </c>
      <c r="O225" s="7" t="s">
        <v>273</v>
      </c>
      <c r="P225" s="8">
        <v>44610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9">
        <v>2787.58</v>
      </c>
      <c r="W225" s="9">
        <v>1202</v>
      </c>
      <c r="X225" s="9">
        <v>1110.01</v>
      </c>
      <c r="Y225" s="7">
        <v>0</v>
      </c>
      <c r="Z225" s="7">
        <v>475.57</v>
      </c>
    </row>
    <row r="226" spans="1:26" x14ac:dyDescent="0.35">
      <c r="A226" s="7" t="s">
        <v>27</v>
      </c>
      <c r="B226" s="7" t="s">
        <v>40</v>
      </c>
      <c r="C226" s="7" t="s">
        <v>48</v>
      </c>
      <c r="D226" s="7" t="s">
        <v>49</v>
      </c>
      <c r="E226" s="7" t="s">
        <v>42</v>
      </c>
      <c r="F226" s="7" t="s">
        <v>50</v>
      </c>
      <c r="G226" s="7">
        <v>2021</v>
      </c>
      <c r="H226" s="7" t="str">
        <f>CONCATENATE("14210551793")</f>
        <v>14210551793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CONCATENATE("CCCNZR56M31B352T")</f>
        <v>CCCNZR56M31B352T</v>
      </c>
      <c r="N226" s="7" t="s">
        <v>318</v>
      </c>
      <c r="O226" s="7" t="s">
        <v>273</v>
      </c>
      <c r="P226" s="8">
        <v>44610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7">
        <v>719.54</v>
      </c>
      <c r="W226" s="7">
        <v>310.27</v>
      </c>
      <c r="X226" s="7">
        <v>286.52</v>
      </c>
      <c r="Y226" s="7">
        <v>0</v>
      </c>
      <c r="Z226" s="7">
        <v>122.75</v>
      </c>
    </row>
    <row r="227" spans="1:26" x14ac:dyDescent="0.35">
      <c r="A227" s="7" t="s">
        <v>27</v>
      </c>
      <c r="B227" s="7" t="s">
        <v>40</v>
      </c>
      <c r="C227" s="7" t="s">
        <v>48</v>
      </c>
      <c r="D227" s="7" t="s">
        <v>74</v>
      </c>
      <c r="E227" s="7" t="s">
        <v>39</v>
      </c>
      <c r="F227" s="7" t="s">
        <v>148</v>
      </c>
      <c r="G227" s="7">
        <v>2021</v>
      </c>
      <c r="H227" s="7" t="str">
        <f>CONCATENATE("14211328399")</f>
        <v>14211328399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CONCATENATE("01975760438")</f>
        <v>01975760438</v>
      </c>
      <c r="N227" s="7" t="s">
        <v>319</v>
      </c>
      <c r="O227" s="7" t="s">
        <v>273</v>
      </c>
      <c r="P227" s="8">
        <v>44610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7">
        <v>629.08000000000004</v>
      </c>
      <c r="W227" s="7">
        <v>271.26</v>
      </c>
      <c r="X227" s="7">
        <v>250.5</v>
      </c>
      <c r="Y227" s="7">
        <v>0</v>
      </c>
      <c r="Z227" s="7">
        <v>107.32</v>
      </c>
    </row>
    <row r="228" spans="1:26" x14ac:dyDescent="0.35">
      <c r="A228" s="7" t="s">
        <v>27</v>
      </c>
      <c r="B228" s="7" t="s">
        <v>40</v>
      </c>
      <c r="C228" s="7" t="s">
        <v>48</v>
      </c>
      <c r="D228" s="7" t="s">
        <v>49</v>
      </c>
      <c r="E228" s="7" t="s">
        <v>42</v>
      </c>
      <c r="F228" s="7" t="s">
        <v>103</v>
      </c>
      <c r="G228" s="7">
        <v>2021</v>
      </c>
      <c r="H228" s="7" t="str">
        <f>CONCATENATE("14210389418")</f>
        <v>14210389418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CONCATENATE("CRNFRC71T06D749T")</f>
        <v>CRNFRC71T06D749T</v>
      </c>
      <c r="N228" s="7" t="s">
        <v>320</v>
      </c>
      <c r="O228" s="7" t="s">
        <v>273</v>
      </c>
      <c r="P228" s="8">
        <v>44610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9">
        <v>1298.96</v>
      </c>
      <c r="W228" s="7">
        <v>560.11</v>
      </c>
      <c r="X228" s="7">
        <v>517.25</v>
      </c>
      <c r="Y228" s="7">
        <v>0</v>
      </c>
      <c r="Z228" s="7">
        <v>221.6</v>
      </c>
    </row>
    <row r="229" spans="1:26" x14ac:dyDescent="0.35">
      <c r="A229" s="7" t="s">
        <v>27</v>
      </c>
      <c r="B229" s="7" t="s">
        <v>40</v>
      </c>
      <c r="C229" s="7" t="s">
        <v>48</v>
      </c>
      <c r="D229" s="7" t="s">
        <v>49</v>
      </c>
      <c r="E229" s="7" t="s">
        <v>42</v>
      </c>
      <c r="F229" s="7" t="s">
        <v>84</v>
      </c>
      <c r="G229" s="7">
        <v>2021</v>
      </c>
      <c r="H229" s="7" t="str">
        <f>CONCATENATE("14210014776")</f>
        <v>14210014776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CONCATENATE("BLDGPP58C19G551K")</f>
        <v>BLDGPP58C19G551K</v>
      </c>
      <c r="N229" s="7" t="s">
        <v>321</v>
      </c>
      <c r="O229" s="7" t="s">
        <v>273</v>
      </c>
      <c r="P229" s="8">
        <v>44610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9">
        <v>1763.14</v>
      </c>
      <c r="W229" s="7">
        <v>760.27</v>
      </c>
      <c r="X229" s="7">
        <v>702.08</v>
      </c>
      <c r="Y229" s="7">
        <v>0</v>
      </c>
      <c r="Z229" s="7">
        <v>300.79000000000002</v>
      </c>
    </row>
    <row r="230" spans="1:26" x14ac:dyDescent="0.35">
      <c r="A230" s="7" t="s">
        <v>27</v>
      </c>
      <c r="B230" s="7" t="s">
        <v>40</v>
      </c>
      <c r="C230" s="7" t="s">
        <v>48</v>
      </c>
      <c r="D230" s="7" t="s">
        <v>49</v>
      </c>
      <c r="E230" s="7" t="s">
        <v>42</v>
      </c>
      <c r="F230" s="7" t="s">
        <v>84</v>
      </c>
      <c r="G230" s="7">
        <v>2021</v>
      </c>
      <c r="H230" s="7" t="str">
        <f>CONCATENATE("14210016268")</f>
        <v>14210016268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CONCATENATE("GRNDNL88T61I459U")</f>
        <v>GRNDNL88T61I459U</v>
      </c>
      <c r="N230" s="7" t="s">
        <v>322</v>
      </c>
      <c r="O230" s="7" t="s">
        <v>273</v>
      </c>
      <c r="P230" s="8">
        <v>44610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9">
        <v>4657.91</v>
      </c>
      <c r="W230" s="9">
        <v>2008.49</v>
      </c>
      <c r="X230" s="9">
        <v>1854.78</v>
      </c>
      <c r="Y230" s="7">
        <v>0</v>
      </c>
      <c r="Z230" s="7">
        <v>794.64</v>
      </c>
    </row>
    <row r="231" spans="1:26" x14ac:dyDescent="0.35">
      <c r="A231" s="7" t="s">
        <v>27</v>
      </c>
      <c r="B231" s="7" t="s">
        <v>40</v>
      </c>
      <c r="C231" s="7" t="s">
        <v>48</v>
      </c>
      <c r="D231" s="7" t="s">
        <v>49</v>
      </c>
      <c r="E231" s="7" t="s">
        <v>42</v>
      </c>
      <c r="F231" s="7" t="s">
        <v>176</v>
      </c>
      <c r="G231" s="7">
        <v>2021</v>
      </c>
      <c r="H231" s="7" t="str">
        <f>CONCATENATE("14210026796")</f>
        <v>14210026796</v>
      </c>
      <c r="I231" s="7" t="s">
        <v>30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CONCATENATE("GBLRME47A01B026R")</f>
        <v>GBLRME47A01B026R</v>
      </c>
      <c r="N231" s="7" t="s">
        <v>323</v>
      </c>
      <c r="O231" s="7" t="s">
        <v>273</v>
      </c>
      <c r="P231" s="8">
        <v>44610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7">
        <v>626.14</v>
      </c>
      <c r="W231" s="7">
        <v>269.99</v>
      </c>
      <c r="X231" s="7">
        <v>249.33</v>
      </c>
      <c r="Y231" s="7">
        <v>0</v>
      </c>
      <c r="Z231" s="7">
        <v>106.82</v>
      </c>
    </row>
    <row r="232" spans="1:26" x14ac:dyDescent="0.35">
      <c r="A232" s="7" t="s">
        <v>27</v>
      </c>
      <c r="B232" s="7" t="s">
        <v>40</v>
      </c>
      <c r="C232" s="7" t="s">
        <v>48</v>
      </c>
      <c r="D232" s="7" t="s">
        <v>49</v>
      </c>
      <c r="E232" s="7" t="s">
        <v>42</v>
      </c>
      <c r="F232" s="7" t="s">
        <v>125</v>
      </c>
      <c r="G232" s="7">
        <v>2021</v>
      </c>
      <c r="H232" s="7" t="str">
        <f>CONCATENATE("14210282720")</f>
        <v>14210282720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CONCATENATE("01003490412")</f>
        <v>01003490412</v>
      </c>
      <c r="N232" s="7" t="s">
        <v>324</v>
      </c>
      <c r="O232" s="7" t="s">
        <v>273</v>
      </c>
      <c r="P232" s="8">
        <v>44610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9">
        <v>4598.1400000000003</v>
      </c>
      <c r="W232" s="9">
        <v>1982.72</v>
      </c>
      <c r="X232" s="9">
        <v>1830.98</v>
      </c>
      <c r="Y232" s="7">
        <v>0</v>
      </c>
      <c r="Z232" s="7">
        <v>784.44</v>
      </c>
    </row>
    <row r="233" spans="1:26" x14ac:dyDescent="0.35">
      <c r="A233" s="7" t="s">
        <v>27</v>
      </c>
      <c r="B233" s="7" t="s">
        <v>40</v>
      </c>
      <c r="C233" s="7" t="s">
        <v>48</v>
      </c>
      <c r="D233" s="7" t="s">
        <v>49</v>
      </c>
      <c r="E233" s="7" t="s">
        <v>29</v>
      </c>
      <c r="F233" s="7" t="s">
        <v>235</v>
      </c>
      <c r="G233" s="7">
        <v>2021</v>
      </c>
      <c r="H233" s="7" t="str">
        <f>CONCATENATE("14210226099")</f>
        <v>14210226099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CONCATENATE("MZZCLD56C20B352Q")</f>
        <v>MZZCLD56C20B352Q</v>
      </c>
      <c r="N233" s="7" t="s">
        <v>325</v>
      </c>
      <c r="O233" s="7" t="s">
        <v>273</v>
      </c>
      <c r="P233" s="8">
        <v>44610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9">
        <v>1352.86</v>
      </c>
      <c r="W233" s="7">
        <v>583.35</v>
      </c>
      <c r="X233" s="7">
        <v>538.71</v>
      </c>
      <c r="Y233" s="7">
        <v>0</v>
      </c>
      <c r="Z233" s="7">
        <v>230.8</v>
      </c>
    </row>
    <row r="234" spans="1:26" x14ac:dyDescent="0.35">
      <c r="A234" s="7" t="s">
        <v>27</v>
      </c>
      <c r="B234" s="7" t="s">
        <v>40</v>
      </c>
      <c r="C234" s="7" t="s">
        <v>48</v>
      </c>
      <c r="D234" s="7" t="s">
        <v>49</v>
      </c>
      <c r="E234" s="7" t="s">
        <v>42</v>
      </c>
      <c r="F234" s="7" t="s">
        <v>103</v>
      </c>
      <c r="G234" s="7">
        <v>2021</v>
      </c>
      <c r="H234" s="7" t="str">
        <f>CONCATENATE("14211023958")</f>
        <v>14211023958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CONCATENATE("02599280415")</f>
        <v>02599280415</v>
      </c>
      <c r="N234" s="7" t="s">
        <v>326</v>
      </c>
      <c r="O234" s="7" t="s">
        <v>273</v>
      </c>
      <c r="P234" s="8">
        <v>44610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7">
        <v>797.64</v>
      </c>
      <c r="W234" s="7">
        <v>343.94</v>
      </c>
      <c r="X234" s="7">
        <v>317.62</v>
      </c>
      <c r="Y234" s="7">
        <v>0</v>
      </c>
      <c r="Z234" s="7">
        <v>136.08000000000001</v>
      </c>
    </row>
    <row r="235" spans="1:26" x14ac:dyDescent="0.35">
      <c r="A235" s="7" t="s">
        <v>27</v>
      </c>
      <c r="B235" s="7" t="s">
        <v>40</v>
      </c>
      <c r="C235" s="7" t="s">
        <v>48</v>
      </c>
      <c r="D235" s="7" t="s">
        <v>49</v>
      </c>
      <c r="E235" s="7" t="s">
        <v>42</v>
      </c>
      <c r="F235" s="7" t="s">
        <v>103</v>
      </c>
      <c r="G235" s="7">
        <v>2021</v>
      </c>
      <c r="H235" s="7" t="str">
        <f>CONCATENATE("14210335056")</f>
        <v>14210335056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CONCATENATE("MLTGRG60B12D749Z")</f>
        <v>MLTGRG60B12D749Z</v>
      </c>
      <c r="N235" s="7" t="s">
        <v>327</v>
      </c>
      <c r="O235" s="7" t="s">
        <v>273</v>
      </c>
      <c r="P235" s="8">
        <v>44610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9">
        <v>7836.15</v>
      </c>
      <c r="W235" s="9">
        <v>3378.95</v>
      </c>
      <c r="X235" s="9">
        <v>3120.35</v>
      </c>
      <c r="Y235" s="7">
        <v>0</v>
      </c>
      <c r="Z235" s="9">
        <v>1336.85</v>
      </c>
    </row>
    <row r="236" spans="1:26" x14ac:dyDescent="0.35">
      <c r="A236" s="7" t="s">
        <v>27</v>
      </c>
      <c r="B236" s="7" t="s">
        <v>40</v>
      </c>
      <c r="C236" s="7" t="s">
        <v>48</v>
      </c>
      <c r="D236" s="7" t="s">
        <v>49</v>
      </c>
      <c r="E236" s="7" t="s">
        <v>42</v>
      </c>
      <c r="F236" s="7" t="s">
        <v>84</v>
      </c>
      <c r="G236" s="7">
        <v>2021</v>
      </c>
      <c r="H236" s="7" t="str">
        <f>CONCATENATE("14210476413")</f>
        <v>14210476413</v>
      </c>
      <c r="I236" s="7" t="s">
        <v>30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CONCATENATE("MRNMRT60B64A740Q")</f>
        <v>MRNMRT60B64A740Q</v>
      </c>
      <c r="N236" s="7" t="s">
        <v>328</v>
      </c>
      <c r="O236" s="7" t="s">
        <v>273</v>
      </c>
      <c r="P236" s="8">
        <v>44610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7">
        <v>951.14</v>
      </c>
      <c r="W236" s="7">
        <v>410.13</v>
      </c>
      <c r="X236" s="7">
        <v>378.74</v>
      </c>
      <c r="Y236" s="7">
        <v>0</v>
      </c>
      <c r="Z236" s="7">
        <v>162.27000000000001</v>
      </c>
    </row>
    <row r="237" spans="1:26" x14ac:dyDescent="0.35">
      <c r="A237" s="7" t="s">
        <v>27</v>
      </c>
      <c r="B237" s="7" t="s">
        <v>40</v>
      </c>
      <c r="C237" s="7" t="s">
        <v>48</v>
      </c>
      <c r="D237" s="7" t="s">
        <v>53</v>
      </c>
      <c r="E237" s="7" t="s">
        <v>42</v>
      </c>
      <c r="F237" s="7" t="s">
        <v>329</v>
      </c>
      <c r="G237" s="7">
        <v>2021</v>
      </c>
      <c r="H237" s="7" t="str">
        <f>CONCATENATE("14241021279")</f>
        <v>14241021279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CONCATENATE("10 10.1 4b")</f>
        <v>10 10.1 4b</v>
      </c>
      <c r="M237" s="7" t="str">
        <f>CONCATENATE("GLLSFN78C14A462E")</f>
        <v>GLLSFN78C14A462E</v>
      </c>
      <c r="N237" s="7" t="s">
        <v>330</v>
      </c>
      <c r="O237" s="7" t="s">
        <v>279</v>
      </c>
      <c r="P237" s="8">
        <v>44610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9">
        <v>5898.52</v>
      </c>
      <c r="W237" s="9">
        <v>2543.44</v>
      </c>
      <c r="X237" s="9">
        <v>2348.79</v>
      </c>
      <c r="Y237" s="7">
        <v>0</v>
      </c>
      <c r="Z237" s="9">
        <v>1006.29</v>
      </c>
    </row>
    <row r="238" spans="1:26" x14ac:dyDescent="0.35">
      <c r="A238" s="7" t="s">
        <v>27</v>
      </c>
      <c r="B238" s="7" t="s">
        <v>40</v>
      </c>
      <c r="C238" s="7" t="s">
        <v>48</v>
      </c>
      <c r="D238" s="7" t="s">
        <v>49</v>
      </c>
      <c r="E238" s="7" t="s">
        <v>42</v>
      </c>
      <c r="F238" s="7" t="s">
        <v>103</v>
      </c>
      <c r="G238" s="7">
        <v>2021</v>
      </c>
      <c r="H238" s="7" t="str">
        <f>CONCATENATE("14210933272")</f>
        <v>14210933272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CONCATENATE("13 13.1 4a")</f>
        <v>13 13.1 4a</v>
      </c>
      <c r="M238" s="7" t="str">
        <f>CONCATENATE("FDRMRN50T17E351O")</f>
        <v>FDRMRN50T17E351O</v>
      </c>
      <c r="N238" s="7" t="s">
        <v>331</v>
      </c>
      <c r="O238" s="7" t="s">
        <v>273</v>
      </c>
      <c r="P238" s="8">
        <v>44610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7">
        <v>927.72</v>
      </c>
      <c r="W238" s="7">
        <v>400.03</v>
      </c>
      <c r="X238" s="7">
        <v>369.42</v>
      </c>
      <c r="Y238" s="7">
        <v>0</v>
      </c>
      <c r="Z238" s="7">
        <v>158.27000000000001</v>
      </c>
    </row>
    <row r="239" spans="1:26" x14ac:dyDescent="0.35">
      <c r="A239" s="7" t="s">
        <v>27</v>
      </c>
      <c r="B239" s="7" t="s">
        <v>40</v>
      </c>
      <c r="C239" s="7" t="s">
        <v>48</v>
      </c>
      <c r="D239" s="7" t="s">
        <v>74</v>
      </c>
      <c r="E239" s="7" t="s">
        <v>42</v>
      </c>
      <c r="F239" s="7" t="s">
        <v>188</v>
      </c>
      <c r="G239" s="7">
        <v>2021</v>
      </c>
      <c r="H239" s="7" t="str">
        <f>CONCATENATE("14211136164")</f>
        <v>14211136164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CONCATENATE("13 13.1 4a")</f>
        <v>13 13.1 4a</v>
      </c>
      <c r="M239" s="7" t="str">
        <f>CONCATENATE("01110060439")</f>
        <v>01110060439</v>
      </c>
      <c r="N239" s="7" t="s">
        <v>332</v>
      </c>
      <c r="O239" s="7" t="s">
        <v>273</v>
      </c>
      <c r="P239" s="8">
        <v>44610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9">
        <v>9000</v>
      </c>
      <c r="W239" s="9">
        <v>3880.8</v>
      </c>
      <c r="X239" s="9">
        <v>3583.8</v>
      </c>
      <c r="Y239" s="7">
        <v>0</v>
      </c>
      <c r="Z239" s="9">
        <v>1535.4</v>
      </c>
    </row>
    <row r="240" spans="1:26" x14ac:dyDescent="0.35">
      <c r="A240" s="7" t="s">
        <v>27</v>
      </c>
      <c r="B240" s="7" t="s">
        <v>40</v>
      </c>
      <c r="C240" s="7" t="s">
        <v>48</v>
      </c>
      <c r="D240" s="7" t="s">
        <v>49</v>
      </c>
      <c r="E240" s="7" t="s">
        <v>29</v>
      </c>
      <c r="F240" s="7" t="s">
        <v>154</v>
      </c>
      <c r="G240" s="7">
        <v>2021</v>
      </c>
      <c r="H240" s="7" t="str">
        <f>CONCATENATE("14210774528")</f>
        <v>14210774528</v>
      </c>
      <c r="I240" s="7" t="s">
        <v>30</v>
      </c>
      <c r="J240" s="7" t="s">
        <v>31</v>
      </c>
      <c r="K240" s="7" t="str">
        <f>CONCATENATE("")</f>
        <v/>
      </c>
      <c r="L240" s="7" t="str">
        <f>CONCATENATE("13 13.1 4a")</f>
        <v>13 13.1 4a</v>
      </c>
      <c r="M240" s="7" t="str">
        <f>CONCATENATE("MBRRNG69A28F839I")</f>
        <v>MBRRNG69A28F839I</v>
      </c>
      <c r="N240" s="7" t="s">
        <v>333</v>
      </c>
      <c r="O240" s="7" t="s">
        <v>273</v>
      </c>
      <c r="P240" s="8">
        <v>44610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9">
        <v>4547.79</v>
      </c>
      <c r="W240" s="9">
        <v>1961.01</v>
      </c>
      <c r="X240" s="9">
        <v>1810.93</v>
      </c>
      <c r="Y240" s="7">
        <v>0</v>
      </c>
      <c r="Z240" s="7">
        <v>775.85</v>
      </c>
    </row>
    <row r="241" spans="1:26" x14ac:dyDescent="0.35">
      <c r="A241" s="7" t="s">
        <v>27</v>
      </c>
      <c r="B241" s="7" t="s">
        <v>40</v>
      </c>
      <c r="C241" s="7" t="s">
        <v>48</v>
      </c>
      <c r="D241" s="7" t="s">
        <v>61</v>
      </c>
      <c r="E241" s="7" t="s">
        <v>42</v>
      </c>
      <c r="F241" s="7" t="s">
        <v>94</v>
      </c>
      <c r="G241" s="7">
        <v>2021</v>
      </c>
      <c r="H241" s="7" t="str">
        <f>CONCATENATE("14211014338")</f>
        <v>14211014338</v>
      </c>
      <c r="I241" s="7" t="s">
        <v>30</v>
      </c>
      <c r="J241" s="7" t="s">
        <v>31</v>
      </c>
      <c r="K241" s="7" t="str">
        <f>CONCATENATE("")</f>
        <v/>
      </c>
      <c r="L241" s="7" t="str">
        <f>CONCATENATE("13 13.1 4a")</f>
        <v>13 13.1 4a</v>
      </c>
      <c r="M241" s="7" t="str">
        <f>CONCATENATE("RPNMRK79T31B474M")</f>
        <v>RPNMRK79T31B474M</v>
      </c>
      <c r="N241" s="7" t="s">
        <v>334</v>
      </c>
      <c r="O241" s="7" t="s">
        <v>273</v>
      </c>
      <c r="P241" s="8">
        <v>44610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7">
        <v>785.64</v>
      </c>
      <c r="W241" s="7">
        <v>338.77</v>
      </c>
      <c r="X241" s="7">
        <v>312.83999999999997</v>
      </c>
      <c r="Y241" s="7">
        <v>0</v>
      </c>
      <c r="Z241" s="7">
        <v>134.03</v>
      </c>
    </row>
    <row r="242" spans="1:26" x14ac:dyDescent="0.35">
      <c r="A242" s="7" t="s">
        <v>27</v>
      </c>
      <c r="B242" s="7" t="s">
        <v>40</v>
      </c>
      <c r="C242" s="7" t="s">
        <v>48</v>
      </c>
      <c r="D242" s="7" t="s">
        <v>61</v>
      </c>
      <c r="E242" s="7" t="s">
        <v>42</v>
      </c>
      <c r="F242" s="7" t="s">
        <v>94</v>
      </c>
      <c r="G242" s="7">
        <v>2021</v>
      </c>
      <c r="H242" s="7" t="str">
        <f>CONCATENATE("14210030780")</f>
        <v>14210030780</v>
      </c>
      <c r="I242" s="7" t="s">
        <v>30</v>
      </c>
      <c r="J242" s="7" t="s">
        <v>31</v>
      </c>
      <c r="K242" s="7" t="str">
        <f>CONCATENATE("")</f>
        <v/>
      </c>
      <c r="L242" s="7" t="str">
        <f>CONCATENATE("13 13.1 4a")</f>
        <v>13 13.1 4a</v>
      </c>
      <c r="M242" s="7" t="str">
        <f>CONCATENATE("CRNBRN47S10D451H")</f>
        <v>CRNBRN47S10D451H</v>
      </c>
      <c r="N242" s="7" t="s">
        <v>335</v>
      </c>
      <c r="O242" s="7" t="s">
        <v>273</v>
      </c>
      <c r="P242" s="8">
        <v>44610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9">
        <v>5419.95</v>
      </c>
      <c r="W242" s="9">
        <v>2337.08</v>
      </c>
      <c r="X242" s="9">
        <v>2158.2199999999998</v>
      </c>
      <c r="Y242" s="7">
        <v>0</v>
      </c>
      <c r="Z242" s="7">
        <v>924.65</v>
      </c>
    </row>
    <row r="243" spans="1:26" x14ac:dyDescent="0.35">
      <c r="A243" s="7" t="s">
        <v>27</v>
      </c>
      <c r="B243" s="7" t="s">
        <v>40</v>
      </c>
      <c r="C243" s="7" t="s">
        <v>48</v>
      </c>
      <c r="D243" s="7" t="s">
        <v>61</v>
      </c>
      <c r="E243" s="7" t="s">
        <v>42</v>
      </c>
      <c r="F243" s="7" t="s">
        <v>94</v>
      </c>
      <c r="G243" s="7">
        <v>2021</v>
      </c>
      <c r="H243" s="7" t="str">
        <f>CONCATENATE("14210030814")</f>
        <v>14210030814</v>
      </c>
      <c r="I243" s="7" t="s">
        <v>30</v>
      </c>
      <c r="J243" s="7" t="s">
        <v>31</v>
      </c>
      <c r="K243" s="7" t="str">
        <f>CONCATENATE("")</f>
        <v/>
      </c>
      <c r="L243" s="7" t="str">
        <f>CONCATENATE("13 13.1 4a")</f>
        <v>13 13.1 4a</v>
      </c>
      <c r="M243" s="7" t="str">
        <f>CONCATENATE("FRRMLL47D62I653E")</f>
        <v>FRRMLL47D62I653E</v>
      </c>
      <c r="N243" s="7" t="s">
        <v>336</v>
      </c>
      <c r="O243" s="7" t="s">
        <v>273</v>
      </c>
      <c r="P243" s="8">
        <v>44610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9">
        <v>1455.94</v>
      </c>
      <c r="W243" s="7">
        <v>627.79999999999995</v>
      </c>
      <c r="X243" s="7">
        <v>579.76</v>
      </c>
      <c r="Y243" s="7">
        <v>0</v>
      </c>
      <c r="Z243" s="7">
        <v>248.38</v>
      </c>
    </row>
    <row r="244" spans="1:26" x14ac:dyDescent="0.35">
      <c r="A244" s="7" t="s">
        <v>27</v>
      </c>
      <c r="B244" s="7" t="s">
        <v>40</v>
      </c>
      <c r="C244" s="7" t="s">
        <v>48</v>
      </c>
      <c r="D244" s="7" t="s">
        <v>49</v>
      </c>
      <c r="E244" s="7" t="s">
        <v>29</v>
      </c>
      <c r="F244" s="7" t="s">
        <v>235</v>
      </c>
      <c r="G244" s="7">
        <v>2021</v>
      </c>
      <c r="H244" s="7" t="str">
        <f>CONCATENATE("14210591617")</f>
        <v>14210591617</v>
      </c>
      <c r="I244" s="7" t="s">
        <v>30</v>
      </c>
      <c r="J244" s="7" t="s">
        <v>31</v>
      </c>
      <c r="K244" s="7" t="str">
        <f>CONCATENATE("")</f>
        <v/>
      </c>
      <c r="L244" s="7" t="str">
        <f>CONCATENATE("13 13.1 4a")</f>
        <v>13 13.1 4a</v>
      </c>
      <c r="M244" s="7" t="str">
        <f>CONCATENATE("LCRGCM79M16B352L")</f>
        <v>LCRGCM79M16B352L</v>
      </c>
      <c r="N244" s="7" t="s">
        <v>337</v>
      </c>
      <c r="O244" s="7" t="s">
        <v>273</v>
      </c>
      <c r="P244" s="8">
        <v>44610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9">
        <v>1432.74</v>
      </c>
      <c r="W244" s="7">
        <v>617.79999999999995</v>
      </c>
      <c r="X244" s="7">
        <v>570.52</v>
      </c>
      <c r="Y244" s="7">
        <v>0</v>
      </c>
      <c r="Z244" s="7">
        <v>244.42</v>
      </c>
    </row>
    <row r="245" spans="1:26" x14ac:dyDescent="0.35">
      <c r="A245" s="7" t="s">
        <v>27</v>
      </c>
      <c r="B245" s="7" t="s">
        <v>40</v>
      </c>
      <c r="C245" s="7" t="s">
        <v>48</v>
      </c>
      <c r="D245" s="7" t="s">
        <v>49</v>
      </c>
      <c r="E245" s="7" t="s">
        <v>29</v>
      </c>
      <c r="F245" s="7" t="s">
        <v>235</v>
      </c>
      <c r="G245" s="7">
        <v>2021</v>
      </c>
      <c r="H245" s="7" t="str">
        <f>CONCATENATE("14210168309")</f>
        <v>14210168309</v>
      </c>
      <c r="I245" s="7" t="s">
        <v>30</v>
      </c>
      <c r="J245" s="7" t="s">
        <v>31</v>
      </c>
      <c r="K245" s="7" t="str">
        <f>CONCATENATE("")</f>
        <v/>
      </c>
      <c r="L245" s="7" t="str">
        <f>CONCATENATE("13 13.1 4a")</f>
        <v>13 13.1 4a</v>
      </c>
      <c r="M245" s="7" t="str">
        <f>CONCATENATE("BNPBRN50H51I654G")</f>
        <v>BNPBRN50H51I654G</v>
      </c>
      <c r="N245" s="7" t="s">
        <v>338</v>
      </c>
      <c r="O245" s="7" t="s">
        <v>273</v>
      </c>
      <c r="P245" s="8">
        <v>44610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7">
        <v>632.78</v>
      </c>
      <c r="W245" s="7">
        <v>272.85000000000002</v>
      </c>
      <c r="X245" s="7">
        <v>251.97</v>
      </c>
      <c r="Y245" s="7">
        <v>0</v>
      </c>
      <c r="Z245" s="7">
        <v>107.96</v>
      </c>
    </row>
    <row r="246" spans="1:26" x14ac:dyDescent="0.35">
      <c r="A246" s="7" t="s">
        <v>27</v>
      </c>
      <c r="B246" s="7" t="s">
        <v>40</v>
      </c>
      <c r="C246" s="7" t="s">
        <v>48</v>
      </c>
      <c r="D246" s="7" t="s">
        <v>49</v>
      </c>
      <c r="E246" s="7" t="s">
        <v>29</v>
      </c>
      <c r="F246" s="7" t="s">
        <v>154</v>
      </c>
      <c r="G246" s="7">
        <v>2021</v>
      </c>
      <c r="H246" s="7" t="str">
        <f>CONCATENATE("14210730512")</f>
        <v>14210730512</v>
      </c>
      <c r="I246" s="7" t="s">
        <v>30</v>
      </c>
      <c r="J246" s="7" t="s">
        <v>31</v>
      </c>
      <c r="K246" s="7" t="str">
        <f>CONCATENATE("")</f>
        <v/>
      </c>
      <c r="L246" s="7" t="str">
        <f>CONCATENATE("13 13.1 4a")</f>
        <v>13 13.1 4a</v>
      </c>
      <c r="M246" s="7" t="str">
        <f>CONCATENATE("PNTGZN72L22L500X")</f>
        <v>PNTGZN72L22L500X</v>
      </c>
      <c r="N246" s="7" t="s">
        <v>339</v>
      </c>
      <c r="O246" s="7" t="s">
        <v>273</v>
      </c>
      <c r="P246" s="8">
        <v>44610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9">
        <v>2321.89</v>
      </c>
      <c r="W246" s="9">
        <v>1001.2</v>
      </c>
      <c r="X246" s="7">
        <v>924.58</v>
      </c>
      <c r="Y246" s="7">
        <v>0</v>
      </c>
      <c r="Z246" s="7">
        <v>396.11</v>
      </c>
    </row>
    <row r="247" spans="1:26" x14ac:dyDescent="0.35">
      <c r="A247" s="7" t="s">
        <v>27</v>
      </c>
      <c r="B247" s="7" t="s">
        <v>40</v>
      </c>
      <c r="C247" s="7" t="s">
        <v>48</v>
      </c>
      <c r="D247" s="7" t="s">
        <v>61</v>
      </c>
      <c r="E247" s="7" t="s">
        <v>42</v>
      </c>
      <c r="F247" s="7" t="s">
        <v>94</v>
      </c>
      <c r="G247" s="7">
        <v>2021</v>
      </c>
      <c r="H247" s="7" t="str">
        <f>CONCATENATE("14210337482")</f>
        <v>14210337482</v>
      </c>
      <c r="I247" s="7" t="s">
        <v>30</v>
      </c>
      <c r="J247" s="7" t="s">
        <v>31</v>
      </c>
      <c r="K247" s="7" t="str">
        <f>CONCATENATE("")</f>
        <v/>
      </c>
      <c r="L247" s="7" t="str">
        <f>CONCATENATE("13 13.1 4a")</f>
        <v>13 13.1 4a</v>
      </c>
      <c r="M247" s="7" t="str">
        <f>CONCATENATE("RGGSFN77S24D451H")</f>
        <v>RGGSFN77S24D451H</v>
      </c>
      <c r="N247" s="7" t="s">
        <v>340</v>
      </c>
      <c r="O247" s="7" t="s">
        <v>273</v>
      </c>
      <c r="P247" s="8">
        <v>44610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9">
        <v>1378.75</v>
      </c>
      <c r="W247" s="7">
        <v>594.52</v>
      </c>
      <c r="X247" s="7">
        <v>549.02</v>
      </c>
      <c r="Y247" s="7">
        <v>0</v>
      </c>
      <c r="Z247" s="7">
        <v>235.21</v>
      </c>
    </row>
    <row r="248" spans="1:26" x14ac:dyDescent="0.35">
      <c r="A248" s="7" t="s">
        <v>27</v>
      </c>
      <c r="B248" s="7" t="s">
        <v>40</v>
      </c>
      <c r="C248" s="7" t="s">
        <v>48</v>
      </c>
      <c r="D248" s="7" t="s">
        <v>74</v>
      </c>
      <c r="E248" s="7" t="s">
        <v>46</v>
      </c>
      <c r="F248" s="7" t="s">
        <v>115</v>
      </c>
      <c r="G248" s="7">
        <v>2021</v>
      </c>
      <c r="H248" s="7" t="str">
        <f>CONCATENATE("14210456035")</f>
        <v>14210456035</v>
      </c>
      <c r="I248" s="7" t="s">
        <v>30</v>
      </c>
      <c r="J248" s="7" t="s">
        <v>31</v>
      </c>
      <c r="K248" s="7" t="str">
        <f>CONCATENATE("")</f>
        <v/>
      </c>
      <c r="L248" s="7" t="str">
        <f>CONCATENATE("13 13.1 4a")</f>
        <v>13 13.1 4a</v>
      </c>
      <c r="M248" s="7" t="str">
        <f>CONCATENATE("PRSGNN88M09I156J")</f>
        <v>PRSGNN88M09I156J</v>
      </c>
      <c r="N248" s="7" t="s">
        <v>341</v>
      </c>
      <c r="O248" s="7" t="s">
        <v>273</v>
      </c>
      <c r="P248" s="8">
        <v>44610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9">
        <v>5118.7299999999996</v>
      </c>
      <c r="W248" s="9">
        <v>2207.1999999999998</v>
      </c>
      <c r="X248" s="9">
        <v>2038.28</v>
      </c>
      <c r="Y248" s="7">
        <v>0</v>
      </c>
      <c r="Z248" s="7">
        <v>873.25</v>
      </c>
    </row>
    <row r="249" spans="1:26" x14ac:dyDescent="0.35">
      <c r="A249" s="7" t="s">
        <v>27</v>
      </c>
      <c r="B249" s="7" t="s">
        <v>40</v>
      </c>
      <c r="C249" s="7" t="s">
        <v>48</v>
      </c>
      <c r="D249" s="7" t="s">
        <v>49</v>
      </c>
      <c r="E249" s="7" t="s">
        <v>42</v>
      </c>
      <c r="F249" s="7" t="s">
        <v>176</v>
      </c>
      <c r="G249" s="7">
        <v>2021</v>
      </c>
      <c r="H249" s="7" t="str">
        <f>CONCATENATE("14210476694")</f>
        <v>14210476694</v>
      </c>
      <c r="I249" s="7" t="s">
        <v>30</v>
      </c>
      <c r="J249" s="7" t="s">
        <v>31</v>
      </c>
      <c r="K249" s="7" t="str">
        <f>CONCATENATE("")</f>
        <v/>
      </c>
      <c r="L249" s="7" t="str">
        <f>CONCATENATE("13 13.1 4a")</f>
        <v>13 13.1 4a</v>
      </c>
      <c r="M249" s="7" t="str">
        <f>CONCATENATE("FRRVTR45C23F135J")</f>
        <v>FRRVTR45C23F135J</v>
      </c>
      <c r="N249" s="7" t="s">
        <v>342</v>
      </c>
      <c r="O249" s="7" t="s">
        <v>273</v>
      </c>
      <c r="P249" s="8">
        <v>44610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7">
        <v>962.76</v>
      </c>
      <c r="W249" s="7">
        <v>415.14</v>
      </c>
      <c r="X249" s="7">
        <v>383.37</v>
      </c>
      <c r="Y249" s="7">
        <v>0</v>
      </c>
      <c r="Z249" s="7">
        <v>164.25</v>
      </c>
    </row>
    <row r="250" spans="1:26" x14ac:dyDescent="0.35">
      <c r="A250" s="7" t="s">
        <v>27</v>
      </c>
      <c r="B250" s="7" t="s">
        <v>40</v>
      </c>
      <c r="C250" s="7" t="s">
        <v>48</v>
      </c>
      <c r="D250" s="7" t="s">
        <v>49</v>
      </c>
      <c r="E250" s="7" t="s">
        <v>42</v>
      </c>
      <c r="F250" s="7" t="s">
        <v>145</v>
      </c>
      <c r="G250" s="7">
        <v>2021</v>
      </c>
      <c r="H250" s="7" t="str">
        <f>CONCATENATE("14210958717")</f>
        <v>14210958717</v>
      </c>
      <c r="I250" s="7" t="s">
        <v>30</v>
      </c>
      <c r="J250" s="7" t="s">
        <v>31</v>
      </c>
      <c r="K250" s="7" t="str">
        <f>CONCATENATE("")</f>
        <v/>
      </c>
      <c r="L250" s="7" t="str">
        <f>CONCATENATE("13 13.1 4a")</f>
        <v>13 13.1 4a</v>
      </c>
      <c r="M250" s="7" t="str">
        <f>CONCATENATE("02468540410")</f>
        <v>02468540410</v>
      </c>
      <c r="N250" s="7" t="s">
        <v>343</v>
      </c>
      <c r="O250" s="7" t="s">
        <v>273</v>
      </c>
      <c r="P250" s="8">
        <v>44610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9">
        <v>2307.71</v>
      </c>
      <c r="W250" s="7">
        <v>995.08</v>
      </c>
      <c r="X250" s="7">
        <v>918.93</v>
      </c>
      <c r="Y250" s="7">
        <v>0</v>
      </c>
      <c r="Z250" s="7">
        <v>393.7</v>
      </c>
    </row>
    <row r="251" spans="1:26" x14ac:dyDescent="0.35">
      <c r="A251" s="7" t="s">
        <v>27</v>
      </c>
      <c r="B251" s="7" t="s">
        <v>40</v>
      </c>
      <c r="C251" s="7" t="s">
        <v>48</v>
      </c>
      <c r="D251" s="7" t="s">
        <v>49</v>
      </c>
      <c r="E251" s="7" t="s">
        <v>29</v>
      </c>
      <c r="F251" s="7" t="s">
        <v>143</v>
      </c>
      <c r="G251" s="7">
        <v>2021</v>
      </c>
      <c r="H251" s="7" t="str">
        <f>CONCATENATE("14210941382")</f>
        <v>14210941382</v>
      </c>
      <c r="I251" s="7" t="s">
        <v>45</v>
      </c>
      <c r="J251" s="7" t="s">
        <v>31</v>
      </c>
      <c r="K251" s="7" t="str">
        <f>CONCATENATE("")</f>
        <v/>
      </c>
      <c r="L251" s="7" t="str">
        <f>CONCATENATE("13 13.1 4a")</f>
        <v>13 13.1 4a</v>
      </c>
      <c r="M251" s="7" t="str">
        <f>CONCATENATE("FRTMTT94M11D749W")</f>
        <v>FRTMTT94M11D749W</v>
      </c>
      <c r="N251" s="7" t="s">
        <v>344</v>
      </c>
      <c r="O251" s="7" t="s">
        <v>273</v>
      </c>
      <c r="P251" s="8">
        <v>44610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7">
        <v>818.66</v>
      </c>
      <c r="W251" s="7">
        <v>353.01</v>
      </c>
      <c r="X251" s="7">
        <v>325.99</v>
      </c>
      <c r="Y251" s="7">
        <v>0</v>
      </c>
      <c r="Z251" s="7">
        <v>139.66</v>
      </c>
    </row>
    <row r="252" spans="1:26" x14ac:dyDescent="0.35">
      <c r="A252" s="7" t="s">
        <v>27</v>
      </c>
      <c r="B252" s="7" t="s">
        <v>40</v>
      </c>
      <c r="C252" s="7" t="s">
        <v>48</v>
      </c>
      <c r="D252" s="7" t="s">
        <v>61</v>
      </c>
      <c r="E252" s="7" t="s">
        <v>42</v>
      </c>
      <c r="F252" s="7" t="s">
        <v>94</v>
      </c>
      <c r="G252" s="7">
        <v>2021</v>
      </c>
      <c r="H252" s="7" t="str">
        <f>CONCATENATE("14210188133")</f>
        <v>14210188133</v>
      </c>
      <c r="I252" s="7" t="s">
        <v>30</v>
      </c>
      <c r="J252" s="7" t="s">
        <v>31</v>
      </c>
      <c r="K252" s="7" t="str">
        <f>CONCATENATE("")</f>
        <v/>
      </c>
      <c r="L252" s="7" t="str">
        <f>CONCATENATE("13 13.1 4a")</f>
        <v>13 13.1 4a</v>
      </c>
      <c r="M252" s="7" t="str">
        <f>CONCATENATE("BRBFRZ63T27D451T")</f>
        <v>BRBFRZ63T27D451T</v>
      </c>
      <c r="N252" s="7" t="s">
        <v>345</v>
      </c>
      <c r="O252" s="7" t="s">
        <v>273</v>
      </c>
      <c r="P252" s="8">
        <v>44610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1214.75</v>
      </c>
      <c r="W252" s="7">
        <v>523.79999999999995</v>
      </c>
      <c r="X252" s="7">
        <v>483.71</v>
      </c>
      <c r="Y252" s="7">
        <v>0</v>
      </c>
      <c r="Z252" s="7">
        <v>207.24</v>
      </c>
    </row>
    <row r="253" spans="1:26" x14ac:dyDescent="0.35">
      <c r="A253" s="7" t="s">
        <v>27</v>
      </c>
      <c r="B253" s="7" t="s">
        <v>28</v>
      </c>
      <c r="C253" s="7" t="s">
        <v>48</v>
      </c>
      <c r="D253" s="7" t="s">
        <v>74</v>
      </c>
      <c r="E253" s="7" t="s">
        <v>42</v>
      </c>
      <c r="F253" s="7" t="s">
        <v>78</v>
      </c>
      <c r="G253" s="7">
        <v>2017</v>
      </c>
      <c r="H253" s="7" t="str">
        <f>CONCATENATE("14270345391")</f>
        <v>14270345391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CONCATENATE("4 4.1 2a")</f>
        <v>4 4.1 2a</v>
      </c>
      <c r="M253" s="7" t="str">
        <f>CONCATENATE("STRLSN82H53E783F")</f>
        <v>STRLSN82H53E783F</v>
      </c>
      <c r="N253" s="7" t="s">
        <v>346</v>
      </c>
      <c r="O253" s="7" t="s">
        <v>347</v>
      </c>
      <c r="P253" s="8">
        <v>44544</v>
      </c>
      <c r="Q253" s="7" t="s">
        <v>32</v>
      </c>
      <c r="R253" s="7" t="s">
        <v>37</v>
      </c>
      <c r="S253" s="7" t="s">
        <v>34</v>
      </c>
      <c r="T253" s="7"/>
      <c r="U253" s="7" t="s">
        <v>35</v>
      </c>
      <c r="V253" s="9">
        <v>55193.59</v>
      </c>
      <c r="W253" s="9">
        <v>23799.48</v>
      </c>
      <c r="X253" s="9">
        <v>21978.09</v>
      </c>
      <c r="Y253" s="7">
        <v>0</v>
      </c>
      <c r="Z253" s="9">
        <v>9416.02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58764</vt:lpwstr>
  </property>
  <property fmtid="{D5CDD505-2E9C-101B-9397-08002B2CF9AE}" pid="4" name="OptimizationTime">
    <vt:lpwstr>20220301_1808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2022-03-01T16:39:06Z</dcterms:created>
  <dcterms:modified xsi:type="dcterms:W3CDTF">2022-03-01T16:39:59Z</dcterms:modified>
</cp:coreProperties>
</file>