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518/"/>
    </mc:Choice>
  </mc:AlternateContent>
  <xr:revisionPtr revIDLastSave="0" documentId="8_{CAF4DFAD-536A-4853-B196-5FB54E89EF68}" xr6:coauthVersionLast="46" xr6:coauthVersionMax="46" xr10:uidLastSave="{00000000-0000-0000-0000-000000000000}"/>
  <bookViews>
    <workbookView xWindow="-110" yWindow="-110" windowWidth="19420" windowHeight="10420" xr2:uid="{C4487AFC-A814-444D-8B2B-00BFED1B93CB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" i="1" l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<sst xmlns="http://schemas.openxmlformats.org/spreadsheetml/2006/main" count="1343" uniqueCount="182">
  <si>
    <t>Dettaglio Domande Pagabili Decreto 518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</si>
  <si>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</si>
  <si>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</si>
  <si>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</si>
  <si>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</si>
  <si>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</si>
  <si>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</si>
  <si>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</si>
  <si>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</si>
  <si>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</si>
  <si>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</si>
  <si>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</si>
  <si>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</si>
  <si>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</si>
  <si>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</si>
  <si>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</si>
  <si>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</si>
  <si>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</si>
  <si>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</si>
  <si>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</si>
  <si>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</si>
  <si>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</si>
  <si>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</si>
  <si>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</si>
  <si>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</si>
  <si>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</si>
  <si>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</si>
  <si>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</si>
  <si>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</si>
  <si>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Coldiretti srl</t>
  </si>
  <si>
    <t>NO</t>
  </si>
  <si>
    <t>Nuova Programmazione</t>
  </si>
  <si>
    <t>In Liquidazione</t>
  </si>
  <si>
    <t>Co-Finanziato</t>
  </si>
  <si>
    <t>Ordinario</t>
  </si>
  <si>
    <t>IN PROPRIO</t>
  </si>
  <si>
    <t>Saldo</t>
  </si>
  <si>
    <t>CAA CIA srl</t>
  </si>
  <si>
    <t>CAA-CAF AGRI S.R.L.</t>
  </si>
  <si>
    <t>CAA UNICAA srl</t>
  </si>
  <si>
    <t>Misure a Superficie</t>
  </si>
  <si>
    <t>CAA LiberiAgricoltori srl già CAA AGCI srl</t>
  </si>
  <si>
    <t>CAA Confagricoltura srl</t>
  </si>
  <si>
    <t>CAA AGRISERVIZI s.r.l.</t>
  </si>
  <si>
    <t>SAL</t>
  </si>
  <si>
    <t>MARCHE</t>
  </si>
  <si>
    <t>SERV. DEC. AGRICOLTURA E ALIM. -ASCOLI PICENO</t>
  </si>
  <si>
    <t>COCCI PIERINO E COCCI ANGELO SOC. SEMPLICE</t>
  </si>
  <si>
    <t>AGEA.ASR.2022.0059224</t>
  </si>
  <si>
    <t>CAA Coldiretti - ASCOLI PICENO - 040</t>
  </si>
  <si>
    <t>FABIONERI GALILEO</t>
  </si>
  <si>
    <t>SERV. DEC. AGRICOLTURA E ALIMENTAZIONE - ANCONA</t>
  </si>
  <si>
    <t>CAA CAF AGRI - MACERATA - 223</t>
  </si>
  <si>
    <t>SOCIETA' COOPERATIVA SOCIALE A RESPONSABILITA' LIMITATA BERTA '80</t>
  </si>
  <si>
    <t>AGEA.ASR.2022.0053423</t>
  </si>
  <si>
    <t>AZIENDA AGRICOLA SALLADINI DAVIDE</t>
  </si>
  <si>
    <t>SPINELLI ROSALBA</t>
  </si>
  <si>
    <t>LORENZI ADRIANO</t>
  </si>
  <si>
    <t>CASTELLI STEFANO</t>
  </si>
  <si>
    <t>CAA CIA - ASCOLI PICENO - 005</t>
  </si>
  <si>
    <t>REMIA GIACOMO</t>
  </si>
  <si>
    <t>CAA CIA - ASCOLI PICENO - 004</t>
  </si>
  <si>
    <t>MAURIZI LUIGINA MARIA</t>
  </si>
  <si>
    <t>CAA UNICAA - ASCOLI PICENO - 003</t>
  </si>
  <si>
    <t>FATTORIA VESPRINI SOCIETA' AGRICOLA SEMPLICE</t>
  </si>
  <si>
    <t>CAA Coldiretti - ASCOLI PICENO - 010</t>
  </si>
  <si>
    <t>VALORI GUIDO</t>
  </si>
  <si>
    <t>CAA Coldiretti - ANCONA - 003</t>
  </si>
  <si>
    <t>GIACANI FRANCESCA</t>
  </si>
  <si>
    <t>CAA AGRISERVIZI - LATINA - 001</t>
  </si>
  <si>
    <t>FIORAVANTI TERESA</t>
  </si>
  <si>
    <t>SENZACQUA GIACOMO</t>
  </si>
  <si>
    <t>CAA Confagricoltura - ASCOLI PICENO - 001</t>
  </si>
  <si>
    <t>ESPOSTO ANDREA</t>
  </si>
  <si>
    <t>CAA LiberiAgricoltori - CHIETI - 001</t>
  </si>
  <si>
    <t>SOCIETA' AGRICOLA ANTICA TENUTA PIETRAMORE S.S. ANCHE VILLA BARCAROLI</t>
  </si>
  <si>
    <t>CATENA GRAZIANO</t>
  </si>
  <si>
    <t>CAA UNICAA - ASCOLI PICENO - 004</t>
  </si>
  <si>
    <t>CARTAGINE VERONICA</t>
  </si>
  <si>
    <t>LANCIOTTI ORIANA</t>
  </si>
  <si>
    <t>DI LORENZO MARCO E SANDRO SOC. SEMPLICE</t>
  </si>
  <si>
    <t>AZIENDA AGRICOLA VAGNONI ALBERTO E FILIPPO SOCIETA' SEMPLICE AGRICOLA</t>
  </si>
  <si>
    <t>VOLPI ROSELLA</t>
  </si>
  <si>
    <t>GABRIELLI MARCO</t>
  </si>
  <si>
    <t>CAA Coldiretti - ASCOLI PICENO - 025</t>
  </si>
  <si>
    <t>SOCIETA' AGRICOLA FARA ANGELO E BRUNO SOCIETA' SEMPLICE</t>
  </si>
  <si>
    <t>CAA CAF AGRI - ASCOLI PICENO - 223</t>
  </si>
  <si>
    <t>AZ.AGRICOLA IL COLLE DI BORRACCINI ALVARO &amp; C.</t>
  </si>
  <si>
    <t>FICCADENTI VINCENZO</t>
  </si>
  <si>
    <t>CAA LiberiAgricoltori - MACERATA - 001</t>
  </si>
  <si>
    <t>ROCCA MONTEVARMINE SOCIETA' AGRICOLA SEMPLICE</t>
  </si>
  <si>
    <t>TENIMENTI LE GINESTRE SRL SOCAGR</t>
  </si>
  <si>
    <t>LUBIAN S.A.S. AGRICOLA DI LUZI VALERIO &amp; C.</t>
  </si>
  <si>
    <t>POLOZZI ANDREA</t>
  </si>
  <si>
    <t>CAA Coldiretti - FERMO - 001</t>
  </si>
  <si>
    <t>MASILI FRANCESCO</t>
  </si>
  <si>
    <t>GABRIELLI BERNARDINA</t>
  </si>
  <si>
    <t>SERV. DEC. AGRICOLTURA E ALIM. - MACERATA</t>
  </si>
  <si>
    <t>CAA LiberiAgricoltori - MACERATA - 005</t>
  </si>
  <si>
    <t>DELLA MORA DAVID</t>
  </si>
  <si>
    <t>CAA Coldiretti - ANCONA - 008</t>
  </si>
  <si>
    <t>BENIGNI FRANCESCO</t>
  </si>
  <si>
    <t>CAA CIA - MACERATA - 001</t>
  </si>
  <si>
    <t>BONGIOVANNI IGOR ALESSANDRO</t>
  </si>
  <si>
    <t>PAOLINA SOCIETA' AGRICOLA SEMPLICE DEI FRATELLI CAMACCI</t>
  </si>
  <si>
    <t>AGEA.ASR.2022.0059219</t>
  </si>
  <si>
    <t>SERV. DEC. AGRICOLTURA E ALIMENTAZIONE - PESARO</t>
  </si>
  <si>
    <t>CAA CIA - PESARO E URBINO - 006</t>
  </si>
  <si>
    <t>LEVA DAVIDE</t>
  </si>
  <si>
    <t>AGEA.ASR.2022.0056550</t>
  </si>
  <si>
    <t>CAA CIA - PESARO E URBINO - 007</t>
  </si>
  <si>
    <t>ORSINI ANDREA</t>
  </si>
  <si>
    <t>AGEA.ASR.2022.0062485</t>
  </si>
  <si>
    <t>COOPERATIVA AGRICOLA LA FORMICA PICCOLA SOCIETA' COOPERATIVA A R.L.</t>
  </si>
  <si>
    <t>CAA LiberiAgricoltori - PESARO E URBINO - 002</t>
  </si>
  <si>
    <t>BANCI STEFANO</t>
  </si>
  <si>
    <t>CAA CIA - PESARO E URBINO - 005</t>
  </si>
  <si>
    <t>SCARPETTI SERENELLA</t>
  </si>
  <si>
    <t>CAA Confagricoltura - PESARO E URBINO - 001</t>
  </si>
  <si>
    <t>GASPARINI ANTONIO</t>
  </si>
  <si>
    <t>CAA CAF AGRI - PESARO E URBINO - 221</t>
  </si>
  <si>
    <t>DIOTALLEVI ANDREA</t>
  </si>
  <si>
    <t>TONTI GIORGIO</t>
  </si>
  <si>
    <t>GRILLI BEATRICE</t>
  </si>
  <si>
    <t>CAA Coldiretti - ANCONA - 006</t>
  </si>
  <si>
    <t>SOCIETA' AGRICOLA CA'LIPTRA S.S.</t>
  </si>
  <si>
    <t>CAA CAF AGRI - ANCONA - 223</t>
  </si>
  <si>
    <t>SOTGIA LUCIANO</t>
  </si>
  <si>
    <t>CAA Coldiretti - ANCONA - 005</t>
  </si>
  <si>
    <t>TASSI UMBERTO</t>
  </si>
  <si>
    <t>GABRIELLI MARIA FRANCESCA</t>
  </si>
  <si>
    <t>CAA Confagricoltura - ANCONA - 001</t>
  </si>
  <si>
    <t>SOCIETA' AGRICOLA FILENI SRL</t>
  </si>
  <si>
    <t>AGEA.ASR.2022.0052058</t>
  </si>
  <si>
    <t>SOCIETA' AGRICOLA TODO S.S.</t>
  </si>
  <si>
    <t>PIETRINI SANDRA</t>
  </si>
  <si>
    <t>OLIVIERI FABIO</t>
  </si>
  <si>
    <t>PARADISI TERENZIO</t>
  </si>
  <si>
    <t>AGRIBIOLOGICA SOCIETA' AGRICOLA SEMPLICE</t>
  </si>
  <si>
    <t>CAA Coldiretti - ANCONA - 002</t>
  </si>
  <si>
    <t>TORRI MARIA COSTANZA</t>
  </si>
  <si>
    <t>SABBATINI ROSSETTI LUCA</t>
  </si>
  <si>
    <t>AGEA.ASR.2022.0053424</t>
  </si>
  <si>
    <t>BERTANI DOMAINS SOCIETA' AGRICOLA A R.L.</t>
  </si>
  <si>
    <t>LAZZARI ELIA</t>
  </si>
  <si>
    <t>LAUDAZI ANDREA</t>
  </si>
  <si>
    <t>ESPOSTO FORMICA DANIELA</t>
  </si>
  <si>
    <t>CAA CAF AGRI - ANCONA - 225</t>
  </si>
  <si>
    <t>PRIORI MARCELLO</t>
  </si>
  <si>
    <t>CAA CIA - ANCONA - 002</t>
  </si>
  <si>
    <t>TENUTA BENEDETTO S.R.L.S.</t>
  </si>
  <si>
    <t>EREDI GOBBI GIANNINA SOCIETA' AGRICOLA SOCIETA' SEMPLICE</t>
  </si>
  <si>
    <t>CAA Coldiretti - ANCONA - 001</t>
  </si>
  <si>
    <t>GALLUZZI ADRIANO</t>
  </si>
  <si>
    <t>CAA Coldiretti - MACERATA - 002</t>
  </si>
  <si>
    <t>MMP SOCIETA' AGRICOLA A R. L.</t>
  </si>
  <si>
    <t>DOTTORI CORRADO</t>
  </si>
  <si>
    <t>CAA CAF AGRI - ASCOLI PICENO - 222</t>
  </si>
  <si>
    <t>DI MULO ROBERTO FILIPPO</t>
  </si>
  <si>
    <t>AGEA.ASR.2022.0055262</t>
  </si>
  <si>
    <t>CARBONI DONNINO</t>
  </si>
  <si>
    <t>AGEA.ASR.2022.0062479</t>
  </si>
  <si>
    <t>POETA FRANCESCO</t>
  </si>
  <si>
    <t>CAA CIA - ANCONA - 005</t>
  </si>
  <si>
    <t>CAPPELLINI ENRICO</t>
  </si>
  <si>
    <t>GIULIANA CAMPOLUCCI &amp; C. S.A.S.</t>
  </si>
  <si>
    <t>PODERE MATTEI SOCIETA' AGRICOLA A RESPONSABILITA' LIMITATA</t>
  </si>
  <si>
    <t>BASCONI SILVANO</t>
  </si>
  <si>
    <t>PIEVALTA SOCIETA' AGRICOLA A RESPONSABILITA' LIMITATA IN FORMA ABBREVI</t>
  </si>
  <si>
    <t>SOCIETA' AGRICOLA BIOLOGICA FILENI SRL</t>
  </si>
  <si>
    <t>SOCIETA' AGRICOLA VIGNA DEGLI ESTENSI S.S.</t>
  </si>
  <si>
    <t>SOCIETA' AGRICOLA EREDI DI GIANCARLO COPPOLA DI MARIA SANTAN</t>
  </si>
  <si>
    <t>CIAPPELLONI ASSUNTA</t>
  </si>
  <si>
    <t>LEONARDI ROSARITA</t>
  </si>
  <si>
    <t>BEFANUCCI EMANUELE</t>
  </si>
  <si>
    <t>AGOSTI PIER FRANCESCO</t>
  </si>
  <si>
    <t>CECI ANDREA</t>
  </si>
  <si>
    <t>GASPARINI GIULIANA</t>
  </si>
  <si>
    <t>MULATTIERI MELISSA</t>
  </si>
  <si>
    <t>CAA Coldiretti - ANCONA - 004</t>
  </si>
  <si>
    <t>CAMPOLUCCI MARCO</t>
  </si>
  <si>
    <t>FIORENTINI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</si>
</sst>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E9D7-C4ED-4528-948F-73564BCDAFA1}">
  <dimension ref="A1:Z97"/>
  <sheetViews>
    <sheetView showGridLines="0" tabSelected="1" workbookViewId="0">
      <selection activeCell="F98" sqref="F98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7.7265625" bestFit="1" customWidth="1"/>
    <col min="4" max="4" width="27.54296875" bestFit="1" customWidth="1"/>
    <col min="5" max="5" width="20.36328125" bestFit="1" customWidth="1"/>
    <col min="6" max="6" width="22.9062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1.179687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40</v>
      </c>
      <c r="C4" s="7" t="s">
        <v>45</v>
      </c>
      <c r="D4" s="7" t="s">
        <v>46</v>
      </c>
      <c r="E4" s="7" t="s">
        <v>35</v>
      </c>
      <c r="F4" s="7" t="s">
        <v>35</v>
      </c>
      <c r="G4" s="7">
        <v>2021</v>
      </c>
      <c r="H4" s="7" t="str">
        <f>CONCATENATE("14240859133")</f>
        <v>14240859133</v>
      </c>
      <c r="I4" s="7" t="s">
        <v>30</v>
      </c>
      <c r="J4" s="7" t="s">
        <v>31</v>
      </c>
      <c r="K4" s="7" t="str">
        <f>CONCATENATE("")</f>
        <v/>
      </c>
      <c r="L4" s="7" t="str">
        <f>CONCATENATE("11 11.2 4b")</f>
        <v>11 11.2 4b</v>
      </c>
      <c r="M4" s="7" t="str">
        <f>CONCATENATE("01005070444")</f>
        <v>01005070444</v>
      </c>
      <c r="N4" s="7" t="s">
        <v>47</v>
      </c>
      <c r="O4" s="7" t="s">
        <v>48</v>
      </c>
      <c r="P4" s="8">
        <v>44589</v>
      </c>
      <c r="Q4" s="7" t="s">
        <v>32</v>
      </c>
      <c r="R4" s="7" t="s">
        <v>36</v>
      </c>
      <c r="S4" s="7" t="s">
        <v>33</v>
      </c>
      <c r="T4" s="7"/>
      <c r="U4" s="7" t="s">
        <v>34</v>
      </c>
      <c r="V4" s="9">
        <v>8103.45</v>
      </c>
      <c r="W4" s="9">
        <v>3494.21</v>
      </c>
      <c r="X4" s="9">
        <v>3226.79</v>
      </c>
      <c r="Y4" s="7">
        <v>0</v>
      </c>
      <c r="Z4" s="9">
        <v>1382.45</v>
      </c>
    </row>
    <row r="5" spans="1:26" x14ac:dyDescent="0.35">
      <c r="A5" s="7" t="s">
        <v>27</v>
      </c>
      <c r="B5" s="7" t="s">
        <v>40</v>
      </c>
      <c r="C5" s="7" t="s">
        <v>45</v>
      </c>
      <c r="D5" s="7" t="s">
        <v>46</v>
      </c>
      <c r="E5" s="7" t="s">
        <v>29</v>
      </c>
      <c r="F5" s="7" t="s">
        <v>49</v>
      </c>
      <c r="G5" s="7">
        <v>2021</v>
      </c>
      <c r="H5" s="7" t="str">
        <f>CONCATENATE("14240868688")</f>
        <v>14240868688</v>
      </c>
      <c r="I5" s="7" t="s">
        <v>30</v>
      </c>
      <c r="J5" s="7" t="s">
        <v>31</v>
      </c>
      <c r="K5" s="7" t="str">
        <f>CONCATENATE("")</f>
        <v/>
      </c>
      <c r="L5" s="7" t="str">
        <f>CONCATENATE("11 11.2 4b")</f>
        <v>11 11.2 4b</v>
      </c>
      <c r="M5" s="7" t="str">
        <f>CONCATENATE("FBNGLL64E02H769J")</f>
        <v>FBNGLL64E02H769J</v>
      </c>
      <c r="N5" s="7" t="s">
        <v>50</v>
      </c>
      <c r="O5" s="7" t="s">
        <v>48</v>
      </c>
      <c r="P5" s="8">
        <v>44589</v>
      </c>
      <c r="Q5" s="7" t="s">
        <v>32</v>
      </c>
      <c r="R5" s="7" t="s">
        <v>36</v>
      </c>
      <c r="S5" s="7" t="s">
        <v>33</v>
      </c>
      <c r="T5" s="7"/>
      <c r="U5" s="7" t="s">
        <v>34</v>
      </c>
      <c r="V5" s="9">
        <v>2398.36</v>
      </c>
      <c r="W5" s="9">
        <v>1034.17</v>
      </c>
      <c r="X5" s="7">
        <v>955.03</v>
      </c>
      <c r="Y5" s="7">
        <v>0</v>
      </c>
      <c r="Z5" s="7">
        <v>409.16</v>
      </c>
    </row>
    <row r="6" spans="1:26" ht="17.5" x14ac:dyDescent="0.35">
      <c r="A6" s="7" t="s">
        <v>27</v>
      </c>
      <c r="B6" s="7" t="s">
        <v>40</v>
      </c>
      <c r="C6" s="7" t="s">
        <v>45</v>
      </c>
      <c r="D6" s="7" t="s">
        <v>51</v>
      </c>
      <c r="E6" s="7" t="s">
        <v>38</v>
      </c>
      <c r="F6" s="7" t="s">
        <v>52</v>
      </c>
      <c r="G6" s="7">
        <v>2021</v>
      </c>
      <c r="H6" s="7" t="str">
        <f>CONCATENATE("14241078220")</f>
        <v>14241078220</v>
      </c>
      <c r="I6" s="7" t="s">
        <v>30</v>
      </c>
      <c r="J6" s="7" t="s">
        <v>31</v>
      </c>
      <c r="K6" s="7" t="str">
        <f>CONCATENATE("")</f>
        <v/>
      </c>
      <c r="L6" s="7" t="str">
        <f>CONCATENATE("10 10.1 4a")</f>
        <v>10 10.1 4a</v>
      </c>
      <c r="M6" s="7" t="str">
        <f>CONCATENATE("00626190433")</f>
        <v>00626190433</v>
      </c>
      <c r="N6" s="7" t="s">
        <v>53</v>
      </c>
      <c r="O6" s="7" t="s">
        <v>54</v>
      </c>
      <c r="P6" s="8">
        <v>44589</v>
      </c>
      <c r="Q6" s="7" t="s">
        <v>32</v>
      </c>
      <c r="R6" s="7" t="s">
        <v>36</v>
      </c>
      <c r="S6" s="7" t="s">
        <v>33</v>
      </c>
      <c r="T6" s="7"/>
      <c r="U6" s="7" t="s">
        <v>34</v>
      </c>
      <c r="V6" s="7">
        <v>530.88</v>
      </c>
      <c r="W6" s="7">
        <v>228.92</v>
      </c>
      <c r="X6" s="7">
        <v>211.4</v>
      </c>
      <c r="Y6" s="7">
        <v>0</v>
      </c>
      <c r="Z6" s="7">
        <v>90.56</v>
      </c>
    </row>
    <row r="7" spans="1:26" x14ac:dyDescent="0.35">
      <c r="A7" s="7" t="s">
        <v>27</v>
      </c>
      <c r="B7" s="7" t="s">
        <v>40</v>
      </c>
      <c r="C7" s="7" t="s">
        <v>45</v>
      </c>
      <c r="D7" s="7" t="s">
        <v>46</v>
      </c>
      <c r="E7" s="7" t="s">
        <v>35</v>
      </c>
      <c r="F7" s="7" t="s">
        <v>35</v>
      </c>
      <c r="G7" s="7">
        <v>2021</v>
      </c>
      <c r="H7" s="7" t="str">
        <f>CONCATENATE("14240439647")</f>
        <v>14240439647</v>
      </c>
      <c r="I7" s="7" t="s">
        <v>30</v>
      </c>
      <c r="J7" s="7" t="s">
        <v>31</v>
      </c>
      <c r="K7" s="7" t="str">
        <f>CONCATENATE("")</f>
        <v/>
      </c>
      <c r="L7" s="7" t="str">
        <f>CONCATENATE("11 11.2 4b")</f>
        <v>11 11.2 4b</v>
      </c>
      <c r="M7" s="7" t="str">
        <f>CONCATENATE("01511810440")</f>
        <v>01511810440</v>
      </c>
      <c r="N7" s="7" t="s">
        <v>55</v>
      </c>
      <c r="O7" s="7" t="s">
        <v>48</v>
      </c>
      <c r="P7" s="8">
        <v>44589</v>
      </c>
      <c r="Q7" s="7" t="s">
        <v>32</v>
      </c>
      <c r="R7" s="7" t="s">
        <v>36</v>
      </c>
      <c r="S7" s="7" t="s">
        <v>33</v>
      </c>
      <c r="T7" s="7"/>
      <c r="U7" s="7" t="s">
        <v>34</v>
      </c>
      <c r="V7" s="9">
        <v>9614.59</v>
      </c>
      <c r="W7" s="9">
        <v>4145.8100000000004</v>
      </c>
      <c r="X7" s="9">
        <v>3828.53</v>
      </c>
      <c r="Y7" s="7">
        <v>0</v>
      </c>
      <c r="Z7" s="9">
        <v>1640.25</v>
      </c>
    </row>
    <row r="8" spans="1:26" x14ac:dyDescent="0.35">
      <c r="A8" s="7" t="s">
        <v>27</v>
      </c>
      <c r="B8" s="7" t="s">
        <v>40</v>
      </c>
      <c r="C8" s="7" t="s">
        <v>45</v>
      </c>
      <c r="D8" s="7" t="s">
        <v>46</v>
      </c>
      <c r="E8" s="7" t="s">
        <v>35</v>
      </c>
      <c r="F8" s="7" t="s">
        <v>35</v>
      </c>
      <c r="G8" s="7">
        <v>2021</v>
      </c>
      <c r="H8" s="7" t="str">
        <f>CONCATENATE("14240847450")</f>
        <v>14240847450</v>
      </c>
      <c r="I8" s="7" t="s">
        <v>30</v>
      </c>
      <c r="J8" s="7" t="s">
        <v>31</v>
      </c>
      <c r="K8" s="7" t="str">
        <f>CONCATENATE("")</f>
        <v/>
      </c>
      <c r="L8" s="7" t="str">
        <f>CONCATENATE("11 11.2 4b")</f>
        <v>11 11.2 4b</v>
      </c>
      <c r="M8" s="7" t="str">
        <f>CONCATENATE("SPNRLB61M44F415O")</f>
        <v>SPNRLB61M44F415O</v>
      </c>
      <c r="N8" s="7" t="s">
        <v>56</v>
      </c>
      <c r="O8" s="7" t="s">
        <v>48</v>
      </c>
      <c r="P8" s="8">
        <v>44589</v>
      </c>
      <c r="Q8" s="7" t="s">
        <v>32</v>
      </c>
      <c r="R8" s="7" t="s">
        <v>36</v>
      </c>
      <c r="S8" s="7" t="s">
        <v>33</v>
      </c>
      <c r="T8" s="7"/>
      <c r="U8" s="7" t="s">
        <v>34</v>
      </c>
      <c r="V8" s="9">
        <v>1537.71</v>
      </c>
      <c r="W8" s="7">
        <v>663.06</v>
      </c>
      <c r="X8" s="7">
        <v>612.32000000000005</v>
      </c>
      <c r="Y8" s="7">
        <v>0</v>
      </c>
      <c r="Z8" s="7">
        <v>262.33</v>
      </c>
    </row>
    <row r="9" spans="1:26" x14ac:dyDescent="0.35">
      <c r="A9" s="7" t="s">
        <v>27</v>
      </c>
      <c r="B9" s="7" t="s">
        <v>40</v>
      </c>
      <c r="C9" s="7" t="s">
        <v>45</v>
      </c>
      <c r="D9" s="7" t="s">
        <v>46</v>
      </c>
      <c r="E9" s="7" t="s">
        <v>29</v>
      </c>
      <c r="F9" s="7" t="s">
        <v>49</v>
      </c>
      <c r="G9" s="7">
        <v>2021</v>
      </c>
      <c r="H9" s="7" t="str">
        <f>CONCATENATE("14240232216")</f>
        <v>14240232216</v>
      </c>
      <c r="I9" s="7" t="s">
        <v>30</v>
      </c>
      <c r="J9" s="7" t="s">
        <v>31</v>
      </c>
      <c r="K9" s="7" t="str">
        <f>CONCATENATE("")</f>
        <v/>
      </c>
      <c r="L9" s="7" t="str">
        <f>CONCATENATE("11 11.2 4b")</f>
        <v>11 11.2 4b</v>
      </c>
      <c r="M9" s="7" t="str">
        <f>CONCATENATE("LRNDRN58S30H321O")</f>
        <v>LRNDRN58S30H321O</v>
      </c>
      <c r="N9" s="7" t="s">
        <v>57</v>
      </c>
      <c r="O9" s="7" t="s">
        <v>48</v>
      </c>
      <c r="P9" s="8">
        <v>44589</v>
      </c>
      <c r="Q9" s="7" t="s">
        <v>32</v>
      </c>
      <c r="R9" s="7" t="s">
        <v>36</v>
      </c>
      <c r="S9" s="7" t="s">
        <v>33</v>
      </c>
      <c r="T9" s="7"/>
      <c r="U9" s="7" t="s">
        <v>34</v>
      </c>
      <c r="V9" s="9">
        <v>12115.71</v>
      </c>
      <c r="W9" s="9">
        <v>5224.29</v>
      </c>
      <c r="X9" s="9">
        <v>4824.4799999999996</v>
      </c>
      <c r="Y9" s="7">
        <v>0</v>
      </c>
      <c r="Z9" s="9">
        <v>2066.94</v>
      </c>
    </row>
    <row r="10" spans="1:26" x14ac:dyDescent="0.35">
      <c r="A10" s="7" t="s">
        <v>27</v>
      </c>
      <c r="B10" s="7" t="s">
        <v>40</v>
      </c>
      <c r="C10" s="7" t="s">
        <v>45</v>
      </c>
      <c r="D10" s="7" t="s">
        <v>46</v>
      </c>
      <c r="E10" s="7" t="s">
        <v>35</v>
      </c>
      <c r="F10" s="7" t="s">
        <v>35</v>
      </c>
      <c r="G10" s="7">
        <v>2021</v>
      </c>
      <c r="H10" s="7" t="str">
        <f>CONCATENATE("14240908302")</f>
        <v>14240908302</v>
      </c>
      <c r="I10" s="7" t="s">
        <v>30</v>
      </c>
      <c r="J10" s="7" t="s">
        <v>31</v>
      </c>
      <c r="K10" s="7" t="str">
        <f>CONCATENATE("")</f>
        <v/>
      </c>
      <c r="L10" s="7" t="str">
        <f>CONCATENATE("11 11.2 4b")</f>
        <v>11 11.2 4b</v>
      </c>
      <c r="M10" s="7" t="str">
        <f>CONCATENATE("CSTSFN93R14H769S")</f>
        <v>CSTSFN93R14H769S</v>
      </c>
      <c r="N10" s="7" t="s">
        <v>58</v>
      </c>
      <c r="O10" s="7" t="s">
        <v>48</v>
      </c>
      <c r="P10" s="8">
        <v>44589</v>
      </c>
      <c r="Q10" s="7" t="s">
        <v>32</v>
      </c>
      <c r="R10" s="7" t="s">
        <v>36</v>
      </c>
      <c r="S10" s="7" t="s">
        <v>33</v>
      </c>
      <c r="T10" s="7"/>
      <c r="U10" s="7" t="s">
        <v>34</v>
      </c>
      <c r="V10" s="9">
        <v>2564.36</v>
      </c>
      <c r="W10" s="9">
        <v>1105.75</v>
      </c>
      <c r="X10" s="9">
        <v>1021.13</v>
      </c>
      <c r="Y10" s="7">
        <v>0</v>
      </c>
      <c r="Z10" s="7">
        <v>437.48</v>
      </c>
    </row>
    <row r="11" spans="1:26" x14ac:dyDescent="0.35">
      <c r="A11" s="7" t="s">
        <v>27</v>
      </c>
      <c r="B11" s="7" t="s">
        <v>40</v>
      </c>
      <c r="C11" s="7" t="s">
        <v>45</v>
      </c>
      <c r="D11" s="7" t="s">
        <v>46</v>
      </c>
      <c r="E11" s="7" t="s">
        <v>37</v>
      </c>
      <c r="F11" s="7" t="s">
        <v>59</v>
      </c>
      <c r="G11" s="7">
        <v>2021</v>
      </c>
      <c r="H11" s="7" t="str">
        <f>CONCATENATE("14240570326")</f>
        <v>14240570326</v>
      </c>
      <c r="I11" s="7" t="s">
        <v>30</v>
      </c>
      <c r="J11" s="7" t="s">
        <v>31</v>
      </c>
      <c r="K11" s="7" t="str">
        <f>CONCATENATE("")</f>
        <v/>
      </c>
      <c r="L11" s="7" t="str">
        <f>CONCATENATE("11 11.2 4b")</f>
        <v>11 11.2 4b</v>
      </c>
      <c r="M11" s="7" t="str">
        <f>CONCATENATE("RMEGCM65M25F520W")</f>
        <v>RMEGCM65M25F520W</v>
      </c>
      <c r="N11" s="7" t="s">
        <v>60</v>
      </c>
      <c r="O11" s="7" t="s">
        <v>48</v>
      </c>
      <c r="P11" s="8">
        <v>44589</v>
      </c>
      <c r="Q11" s="7" t="s">
        <v>32</v>
      </c>
      <c r="R11" s="7" t="s">
        <v>36</v>
      </c>
      <c r="S11" s="7" t="s">
        <v>33</v>
      </c>
      <c r="T11" s="7"/>
      <c r="U11" s="7" t="s">
        <v>34</v>
      </c>
      <c r="V11" s="9">
        <v>15554.62</v>
      </c>
      <c r="W11" s="9">
        <v>6707.15</v>
      </c>
      <c r="X11" s="9">
        <v>6193.85</v>
      </c>
      <c r="Y11" s="7">
        <v>0</v>
      </c>
      <c r="Z11" s="9">
        <v>2653.62</v>
      </c>
    </row>
    <row r="12" spans="1:26" x14ac:dyDescent="0.35">
      <c r="A12" s="7" t="s">
        <v>27</v>
      </c>
      <c r="B12" s="7" t="s">
        <v>40</v>
      </c>
      <c r="C12" s="7" t="s">
        <v>45</v>
      </c>
      <c r="D12" s="7" t="s">
        <v>46</v>
      </c>
      <c r="E12" s="7" t="s">
        <v>37</v>
      </c>
      <c r="F12" s="7" t="s">
        <v>61</v>
      </c>
      <c r="G12" s="7">
        <v>2021</v>
      </c>
      <c r="H12" s="7" t="str">
        <f>CONCATENATE("14240343492")</f>
        <v>14240343492</v>
      </c>
      <c r="I12" s="7" t="s">
        <v>30</v>
      </c>
      <c r="J12" s="7" t="s">
        <v>31</v>
      </c>
      <c r="K12" s="7" t="str">
        <f>CONCATENATE("")</f>
        <v/>
      </c>
      <c r="L12" s="7" t="str">
        <f>CONCATENATE("11 11.2 4b")</f>
        <v>11 11.2 4b</v>
      </c>
      <c r="M12" s="7" t="str">
        <f>CONCATENATE("MRZLNM47R62A335D")</f>
        <v>MRZLNM47R62A335D</v>
      </c>
      <c r="N12" s="7" t="s">
        <v>62</v>
      </c>
      <c r="O12" s="7" t="s">
        <v>48</v>
      </c>
      <c r="P12" s="8">
        <v>44589</v>
      </c>
      <c r="Q12" s="7" t="s">
        <v>32</v>
      </c>
      <c r="R12" s="7" t="s">
        <v>36</v>
      </c>
      <c r="S12" s="7" t="s">
        <v>33</v>
      </c>
      <c r="T12" s="7"/>
      <c r="U12" s="7" t="s">
        <v>34</v>
      </c>
      <c r="V12" s="9">
        <v>5152.5</v>
      </c>
      <c r="W12" s="9">
        <v>2221.7600000000002</v>
      </c>
      <c r="X12" s="9">
        <v>2051.73</v>
      </c>
      <c r="Y12" s="7">
        <v>0</v>
      </c>
      <c r="Z12" s="7">
        <v>879.01</v>
      </c>
    </row>
    <row r="13" spans="1:26" x14ac:dyDescent="0.35">
      <c r="A13" s="7" t="s">
        <v>27</v>
      </c>
      <c r="B13" s="7" t="s">
        <v>40</v>
      </c>
      <c r="C13" s="7" t="s">
        <v>45</v>
      </c>
      <c r="D13" s="7" t="s">
        <v>46</v>
      </c>
      <c r="E13" s="7" t="s">
        <v>39</v>
      </c>
      <c r="F13" s="7" t="s">
        <v>63</v>
      </c>
      <c r="G13" s="7">
        <v>2021</v>
      </c>
      <c r="H13" s="7" t="str">
        <f>CONCATENATE("14241245076")</f>
        <v>14241245076</v>
      </c>
      <c r="I13" s="7" t="s">
        <v>30</v>
      </c>
      <c r="J13" s="7" t="s">
        <v>31</v>
      </c>
      <c r="K13" s="7" t="str">
        <f>CONCATENATE("")</f>
        <v/>
      </c>
      <c r="L13" s="7" t="str">
        <f>CONCATENATE("11 11.2 4b")</f>
        <v>11 11.2 4b</v>
      </c>
      <c r="M13" s="7" t="str">
        <f>CONCATENATE("02181370442")</f>
        <v>02181370442</v>
      </c>
      <c r="N13" s="7" t="s">
        <v>64</v>
      </c>
      <c r="O13" s="7" t="s">
        <v>48</v>
      </c>
      <c r="P13" s="8">
        <v>44589</v>
      </c>
      <c r="Q13" s="7" t="s">
        <v>32</v>
      </c>
      <c r="R13" s="7" t="s">
        <v>36</v>
      </c>
      <c r="S13" s="7" t="s">
        <v>33</v>
      </c>
      <c r="T13" s="7"/>
      <c r="U13" s="7" t="s">
        <v>34</v>
      </c>
      <c r="V13" s="9">
        <v>12372.52</v>
      </c>
      <c r="W13" s="9">
        <v>5335.03</v>
      </c>
      <c r="X13" s="9">
        <v>4926.74</v>
      </c>
      <c r="Y13" s="7">
        <v>0</v>
      </c>
      <c r="Z13" s="9">
        <v>2110.75</v>
      </c>
    </row>
    <row r="14" spans="1:26" x14ac:dyDescent="0.35">
      <c r="A14" s="7" t="s">
        <v>27</v>
      </c>
      <c r="B14" s="7" t="s">
        <v>40</v>
      </c>
      <c r="C14" s="7" t="s">
        <v>45</v>
      </c>
      <c r="D14" s="7" t="s">
        <v>46</v>
      </c>
      <c r="E14" s="7" t="s">
        <v>29</v>
      </c>
      <c r="F14" s="7" t="s">
        <v>65</v>
      </c>
      <c r="G14" s="7">
        <v>2021</v>
      </c>
      <c r="H14" s="7" t="str">
        <f>CONCATENATE("14240894593")</f>
        <v>14240894593</v>
      </c>
      <c r="I14" s="7" t="s">
        <v>30</v>
      </c>
      <c r="J14" s="7" t="s">
        <v>31</v>
      </c>
      <c r="K14" s="7" t="str">
        <f>CONCATENATE("")</f>
        <v/>
      </c>
      <c r="L14" s="7" t="str">
        <f>CONCATENATE("11 11.2 4b")</f>
        <v>11 11.2 4b</v>
      </c>
      <c r="M14" s="7" t="str">
        <f>CONCATENATE("VLRGDU58L28H501Y")</f>
        <v>VLRGDU58L28H501Y</v>
      </c>
      <c r="N14" s="7" t="s">
        <v>66</v>
      </c>
      <c r="O14" s="7" t="s">
        <v>48</v>
      </c>
      <c r="P14" s="8">
        <v>44589</v>
      </c>
      <c r="Q14" s="7" t="s">
        <v>32</v>
      </c>
      <c r="R14" s="7" t="s">
        <v>36</v>
      </c>
      <c r="S14" s="7" t="s">
        <v>33</v>
      </c>
      <c r="T14" s="7"/>
      <c r="U14" s="7" t="s">
        <v>34</v>
      </c>
      <c r="V14" s="9">
        <v>2153.33</v>
      </c>
      <c r="W14" s="7">
        <v>928.52</v>
      </c>
      <c r="X14" s="7">
        <v>857.46</v>
      </c>
      <c r="Y14" s="7">
        <v>0</v>
      </c>
      <c r="Z14" s="7">
        <v>367.35</v>
      </c>
    </row>
    <row r="15" spans="1:26" x14ac:dyDescent="0.35">
      <c r="A15" s="7" t="s">
        <v>27</v>
      </c>
      <c r="B15" s="7" t="s">
        <v>40</v>
      </c>
      <c r="C15" s="7" t="s">
        <v>45</v>
      </c>
      <c r="D15" s="7" t="s">
        <v>46</v>
      </c>
      <c r="E15" s="7" t="s">
        <v>37</v>
      </c>
      <c r="F15" s="7" t="s">
        <v>59</v>
      </c>
      <c r="G15" s="7">
        <v>2021</v>
      </c>
      <c r="H15" s="7" t="str">
        <f>CONCATENATE("14240569781")</f>
        <v>14240569781</v>
      </c>
      <c r="I15" s="7" t="s">
        <v>30</v>
      </c>
      <c r="J15" s="7" t="s">
        <v>31</v>
      </c>
      <c r="K15" s="7" t="str">
        <f>CONCATENATE("")</f>
        <v/>
      </c>
      <c r="L15" s="7" t="str">
        <f>CONCATENATE("11 11.2 4b")</f>
        <v>11 11.2 4b</v>
      </c>
      <c r="M15" s="7" t="str">
        <f>CONCATENATE("RMEGCM65M25F520W")</f>
        <v>RMEGCM65M25F520W</v>
      </c>
      <c r="N15" s="7" t="s">
        <v>60</v>
      </c>
      <c r="O15" s="7" t="s">
        <v>48</v>
      </c>
      <c r="P15" s="8">
        <v>44589</v>
      </c>
      <c r="Q15" s="7" t="s">
        <v>32</v>
      </c>
      <c r="R15" s="7" t="s">
        <v>36</v>
      </c>
      <c r="S15" s="7" t="s">
        <v>33</v>
      </c>
      <c r="T15" s="7"/>
      <c r="U15" s="7" t="s">
        <v>34</v>
      </c>
      <c r="V15" s="9">
        <v>2723.22</v>
      </c>
      <c r="W15" s="9">
        <v>1174.25</v>
      </c>
      <c r="X15" s="9">
        <v>1084.3900000000001</v>
      </c>
      <c r="Y15" s="7">
        <v>0</v>
      </c>
      <c r="Z15" s="7">
        <v>464.58</v>
      </c>
    </row>
    <row r="16" spans="1:26" x14ac:dyDescent="0.35">
      <c r="A16" s="7" t="s">
        <v>27</v>
      </c>
      <c r="B16" s="7" t="s">
        <v>40</v>
      </c>
      <c r="C16" s="7" t="s">
        <v>45</v>
      </c>
      <c r="D16" s="7" t="s">
        <v>51</v>
      </c>
      <c r="E16" s="7" t="s">
        <v>29</v>
      </c>
      <c r="F16" s="7" t="s">
        <v>67</v>
      </c>
      <c r="G16" s="7">
        <v>2021</v>
      </c>
      <c r="H16" s="7" t="str">
        <f>CONCATENATE("14240986795")</f>
        <v>14240986795</v>
      </c>
      <c r="I16" s="7" t="s">
        <v>30</v>
      </c>
      <c r="J16" s="7" t="s">
        <v>31</v>
      </c>
      <c r="K16" s="7" t="str">
        <f>CONCATENATE("")</f>
        <v/>
      </c>
      <c r="L16" s="7" t="str">
        <f>CONCATENATE("10 10.1 4a")</f>
        <v>10 10.1 4a</v>
      </c>
      <c r="M16" s="7" t="str">
        <f>CONCATENATE("GCNFNC67H59E388L")</f>
        <v>GCNFNC67H59E388L</v>
      </c>
      <c r="N16" s="7" t="s">
        <v>68</v>
      </c>
      <c r="O16" s="7" t="s">
        <v>54</v>
      </c>
      <c r="P16" s="8">
        <v>44589</v>
      </c>
      <c r="Q16" s="7" t="s">
        <v>32</v>
      </c>
      <c r="R16" s="7" t="s">
        <v>36</v>
      </c>
      <c r="S16" s="7" t="s">
        <v>33</v>
      </c>
      <c r="T16" s="7"/>
      <c r="U16" s="7" t="s">
        <v>34</v>
      </c>
      <c r="V16" s="7">
        <v>905.82</v>
      </c>
      <c r="W16" s="7">
        <v>390.59</v>
      </c>
      <c r="X16" s="7">
        <v>360.7</v>
      </c>
      <c r="Y16" s="7">
        <v>0</v>
      </c>
      <c r="Z16" s="7">
        <v>154.53</v>
      </c>
    </row>
    <row r="17" spans="1:26" x14ac:dyDescent="0.35">
      <c r="A17" s="7" t="s">
        <v>27</v>
      </c>
      <c r="B17" s="7" t="s">
        <v>40</v>
      </c>
      <c r="C17" s="7" t="s">
        <v>45</v>
      </c>
      <c r="D17" s="7" t="s">
        <v>46</v>
      </c>
      <c r="E17" s="7" t="s">
        <v>43</v>
      </c>
      <c r="F17" s="7" t="s">
        <v>69</v>
      </c>
      <c r="G17" s="7">
        <v>2021</v>
      </c>
      <c r="H17" s="7" t="str">
        <f>CONCATENATE("14240245119")</f>
        <v>14240245119</v>
      </c>
      <c r="I17" s="7" t="s">
        <v>30</v>
      </c>
      <c r="J17" s="7" t="s">
        <v>31</v>
      </c>
      <c r="K17" s="7" t="str">
        <f>CONCATENATE("")</f>
        <v/>
      </c>
      <c r="L17" s="7" t="str">
        <f>CONCATENATE("11 11.1 4b")</f>
        <v>11 11.1 4b</v>
      </c>
      <c r="M17" s="7" t="str">
        <f>CONCATENATE("FRVTRS79S53A462Z")</f>
        <v>FRVTRS79S53A462Z</v>
      </c>
      <c r="N17" s="7" t="s">
        <v>70</v>
      </c>
      <c r="O17" s="7" t="s">
        <v>48</v>
      </c>
      <c r="P17" s="8">
        <v>44589</v>
      </c>
      <c r="Q17" s="7" t="s">
        <v>32</v>
      </c>
      <c r="R17" s="7" t="s">
        <v>36</v>
      </c>
      <c r="S17" s="7" t="s">
        <v>33</v>
      </c>
      <c r="T17" s="7"/>
      <c r="U17" s="7" t="s">
        <v>34</v>
      </c>
      <c r="V17" s="9">
        <v>2163.02</v>
      </c>
      <c r="W17" s="7">
        <v>932.69</v>
      </c>
      <c r="X17" s="7">
        <v>861.31</v>
      </c>
      <c r="Y17" s="7">
        <v>0</v>
      </c>
      <c r="Z17" s="7">
        <v>369.02</v>
      </c>
    </row>
    <row r="18" spans="1:26" x14ac:dyDescent="0.35">
      <c r="A18" s="7" t="s">
        <v>27</v>
      </c>
      <c r="B18" s="7" t="s">
        <v>40</v>
      </c>
      <c r="C18" s="7" t="s">
        <v>45</v>
      </c>
      <c r="D18" s="7" t="s">
        <v>46</v>
      </c>
      <c r="E18" s="7" t="s">
        <v>37</v>
      </c>
      <c r="F18" s="7" t="s">
        <v>59</v>
      </c>
      <c r="G18" s="7">
        <v>2021</v>
      </c>
      <c r="H18" s="7" t="str">
        <f>CONCATENATE("14240707449")</f>
        <v>14240707449</v>
      </c>
      <c r="I18" s="7" t="s">
        <v>30</v>
      </c>
      <c r="J18" s="7" t="s">
        <v>31</v>
      </c>
      <c r="K18" s="7" t="str">
        <f>CONCATENATE("")</f>
        <v/>
      </c>
      <c r="L18" s="7" t="str">
        <f>CONCATENATE("11 11.2 4b")</f>
        <v>11 11.2 4b</v>
      </c>
      <c r="M18" s="7" t="str">
        <f>CONCATENATE("SNZGCM73D03F520W")</f>
        <v>SNZGCM73D03F520W</v>
      </c>
      <c r="N18" s="7" t="s">
        <v>71</v>
      </c>
      <c r="O18" s="7" t="s">
        <v>48</v>
      </c>
      <c r="P18" s="8">
        <v>44589</v>
      </c>
      <c r="Q18" s="7" t="s">
        <v>32</v>
      </c>
      <c r="R18" s="7" t="s">
        <v>36</v>
      </c>
      <c r="S18" s="7" t="s">
        <v>33</v>
      </c>
      <c r="T18" s="7"/>
      <c r="U18" s="7" t="s">
        <v>34</v>
      </c>
      <c r="V18" s="9">
        <v>21086.19</v>
      </c>
      <c r="W18" s="9">
        <v>9092.3700000000008</v>
      </c>
      <c r="X18" s="9">
        <v>8396.52</v>
      </c>
      <c r="Y18" s="7">
        <v>0</v>
      </c>
      <c r="Z18" s="9">
        <v>3597.3</v>
      </c>
    </row>
    <row r="19" spans="1:26" x14ac:dyDescent="0.35">
      <c r="A19" s="7" t="s">
        <v>27</v>
      </c>
      <c r="B19" s="7" t="s">
        <v>40</v>
      </c>
      <c r="C19" s="7" t="s">
        <v>45</v>
      </c>
      <c r="D19" s="7" t="s">
        <v>46</v>
      </c>
      <c r="E19" s="7" t="s">
        <v>37</v>
      </c>
      <c r="F19" s="7" t="s">
        <v>59</v>
      </c>
      <c r="G19" s="7">
        <v>2021</v>
      </c>
      <c r="H19" s="7" t="str">
        <f>CONCATENATE("14240707548")</f>
        <v>14240707548</v>
      </c>
      <c r="I19" s="7" t="s">
        <v>30</v>
      </c>
      <c r="J19" s="7" t="s">
        <v>31</v>
      </c>
      <c r="K19" s="7" t="str">
        <f>CONCATENATE("")</f>
        <v/>
      </c>
      <c r="L19" s="7" t="str">
        <f>CONCATENATE("11 11.2 4b")</f>
        <v>11 11.2 4b</v>
      </c>
      <c r="M19" s="7" t="str">
        <f>CONCATENATE("SNZGCM73D03F520W")</f>
        <v>SNZGCM73D03F520W</v>
      </c>
      <c r="N19" s="7" t="s">
        <v>71</v>
      </c>
      <c r="O19" s="7" t="s">
        <v>48</v>
      </c>
      <c r="P19" s="8">
        <v>44589</v>
      </c>
      <c r="Q19" s="7" t="s">
        <v>32</v>
      </c>
      <c r="R19" s="7" t="s">
        <v>36</v>
      </c>
      <c r="S19" s="7" t="s">
        <v>33</v>
      </c>
      <c r="T19" s="7"/>
      <c r="U19" s="7" t="s">
        <v>34</v>
      </c>
      <c r="V19" s="9">
        <v>1719.05</v>
      </c>
      <c r="W19" s="7">
        <v>741.25</v>
      </c>
      <c r="X19" s="7">
        <v>684.53</v>
      </c>
      <c r="Y19" s="7">
        <v>0</v>
      </c>
      <c r="Z19" s="7">
        <v>293.27</v>
      </c>
    </row>
    <row r="20" spans="1:26" x14ac:dyDescent="0.35">
      <c r="A20" s="7" t="s">
        <v>27</v>
      </c>
      <c r="B20" s="7" t="s">
        <v>40</v>
      </c>
      <c r="C20" s="7" t="s">
        <v>45</v>
      </c>
      <c r="D20" s="7" t="s">
        <v>46</v>
      </c>
      <c r="E20" s="7" t="s">
        <v>42</v>
      </c>
      <c r="F20" s="7" t="s">
        <v>72</v>
      </c>
      <c r="G20" s="7">
        <v>2021</v>
      </c>
      <c r="H20" s="7" t="str">
        <f>CONCATENATE("14240089731")</f>
        <v>14240089731</v>
      </c>
      <c r="I20" s="7" t="s">
        <v>30</v>
      </c>
      <c r="J20" s="7" t="s">
        <v>31</v>
      </c>
      <c r="K20" s="7" t="str">
        <f>CONCATENATE("")</f>
        <v/>
      </c>
      <c r="L20" s="7" t="str">
        <f>CONCATENATE("11 11.2 4b")</f>
        <v>11 11.2 4b</v>
      </c>
      <c r="M20" s="7" t="str">
        <f>CONCATENATE("SPSNDR85S11H769I")</f>
        <v>SPSNDR85S11H769I</v>
      </c>
      <c r="N20" s="7" t="s">
        <v>73</v>
      </c>
      <c r="O20" s="7" t="s">
        <v>48</v>
      </c>
      <c r="P20" s="8">
        <v>44589</v>
      </c>
      <c r="Q20" s="7" t="s">
        <v>32</v>
      </c>
      <c r="R20" s="7" t="s">
        <v>36</v>
      </c>
      <c r="S20" s="7" t="s">
        <v>33</v>
      </c>
      <c r="T20" s="7"/>
      <c r="U20" s="7" t="s">
        <v>34</v>
      </c>
      <c r="V20" s="7">
        <v>569.86</v>
      </c>
      <c r="W20" s="7">
        <v>245.72</v>
      </c>
      <c r="X20" s="7">
        <v>226.92</v>
      </c>
      <c r="Y20" s="7">
        <v>0</v>
      </c>
      <c r="Z20" s="7">
        <v>97.22</v>
      </c>
    </row>
    <row r="21" spans="1:26" ht="17.5" x14ac:dyDescent="0.35">
      <c r="A21" s="7" t="s">
        <v>27</v>
      </c>
      <c r="B21" s="7" t="s">
        <v>40</v>
      </c>
      <c r="C21" s="7" t="s">
        <v>45</v>
      </c>
      <c r="D21" s="7" t="s">
        <v>46</v>
      </c>
      <c r="E21" s="7" t="s">
        <v>41</v>
      </c>
      <c r="F21" s="7" t="s">
        <v>74</v>
      </c>
      <c r="G21" s="7">
        <v>2021</v>
      </c>
      <c r="H21" s="7" t="str">
        <f>CONCATENATE("14240162322")</f>
        <v>14240162322</v>
      </c>
      <c r="I21" s="7" t="s">
        <v>30</v>
      </c>
      <c r="J21" s="7" t="s">
        <v>31</v>
      </c>
      <c r="K21" s="7" t="str">
        <f>CONCATENATE("")</f>
        <v/>
      </c>
      <c r="L21" s="7" t="str">
        <f>CONCATENATE("11 11.2 4b")</f>
        <v>11 11.2 4b</v>
      </c>
      <c r="M21" s="7" t="str">
        <f>CONCATENATE("01904900675")</f>
        <v>01904900675</v>
      </c>
      <c r="N21" s="7" t="s">
        <v>75</v>
      </c>
      <c r="O21" s="7" t="s">
        <v>48</v>
      </c>
      <c r="P21" s="8">
        <v>44589</v>
      </c>
      <c r="Q21" s="7" t="s">
        <v>32</v>
      </c>
      <c r="R21" s="7" t="s">
        <v>36</v>
      </c>
      <c r="S21" s="7" t="s">
        <v>33</v>
      </c>
      <c r="T21" s="7"/>
      <c r="U21" s="7" t="s">
        <v>34</v>
      </c>
      <c r="V21" s="9">
        <v>2627.16</v>
      </c>
      <c r="W21" s="9">
        <v>1132.83</v>
      </c>
      <c r="X21" s="9">
        <v>1046.1400000000001</v>
      </c>
      <c r="Y21" s="7">
        <v>0</v>
      </c>
      <c r="Z21" s="7">
        <v>448.19</v>
      </c>
    </row>
    <row r="22" spans="1:26" x14ac:dyDescent="0.35">
      <c r="A22" s="7" t="s">
        <v>27</v>
      </c>
      <c r="B22" s="7" t="s">
        <v>40</v>
      </c>
      <c r="C22" s="7" t="s">
        <v>45</v>
      </c>
      <c r="D22" s="7" t="s">
        <v>46</v>
      </c>
      <c r="E22" s="7" t="s">
        <v>35</v>
      </c>
      <c r="F22" s="7" t="s">
        <v>35</v>
      </c>
      <c r="G22" s="7">
        <v>2021</v>
      </c>
      <c r="H22" s="7" t="str">
        <f>CONCATENATE("14240848219")</f>
        <v>14240848219</v>
      </c>
      <c r="I22" s="7" t="s">
        <v>30</v>
      </c>
      <c r="J22" s="7" t="s">
        <v>31</v>
      </c>
      <c r="K22" s="7" t="str">
        <f>CONCATENATE("")</f>
        <v/>
      </c>
      <c r="L22" s="7" t="str">
        <f>CONCATENATE("11 11.2 4b")</f>
        <v>11 11.2 4b</v>
      </c>
      <c r="M22" s="7" t="str">
        <f>CONCATENATE("CTNGZN57R18D096G")</f>
        <v>CTNGZN57R18D096G</v>
      </c>
      <c r="N22" s="7" t="s">
        <v>76</v>
      </c>
      <c r="O22" s="7" t="s">
        <v>48</v>
      </c>
      <c r="P22" s="8">
        <v>44589</v>
      </c>
      <c r="Q22" s="7" t="s">
        <v>32</v>
      </c>
      <c r="R22" s="7" t="s">
        <v>36</v>
      </c>
      <c r="S22" s="7" t="s">
        <v>33</v>
      </c>
      <c r="T22" s="7"/>
      <c r="U22" s="7" t="s">
        <v>34</v>
      </c>
      <c r="V22" s="9">
        <v>2469.13</v>
      </c>
      <c r="W22" s="9">
        <v>1064.69</v>
      </c>
      <c r="X22" s="7">
        <v>983.21</v>
      </c>
      <c r="Y22" s="7">
        <v>0</v>
      </c>
      <c r="Z22" s="7">
        <v>421.23</v>
      </c>
    </row>
    <row r="23" spans="1:26" x14ac:dyDescent="0.35">
      <c r="A23" s="7" t="s">
        <v>27</v>
      </c>
      <c r="B23" s="7" t="s">
        <v>40</v>
      </c>
      <c r="C23" s="7" t="s">
        <v>45</v>
      </c>
      <c r="D23" s="7" t="s">
        <v>46</v>
      </c>
      <c r="E23" s="7" t="s">
        <v>39</v>
      </c>
      <c r="F23" s="7" t="s">
        <v>77</v>
      </c>
      <c r="G23" s="7">
        <v>2021</v>
      </c>
      <c r="H23" s="7" t="str">
        <f>CONCATENATE("14240171083")</f>
        <v>14240171083</v>
      </c>
      <c r="I23" s="7" t="s">
        <v>30</v>
      </c>
      <c r="J23" s="7" t="s">
        <v>31</v>
      </c>
      <c r="K23" s="7" t="str">
        <f>CONCATENATE("")</f>
        <v/>
      </c>
      <c r="L23" s="7" t="str">
        <f>CONCATENATE("11 11.2 4b")</f>
        <v>11 11.2 4b</v>
      </c>
      <c r="M23" s="7" t="str">
        <f>CONCATENATE("CRTVNC88M51H769Y")</f>
        <v>CRTVNC88M51H769Y</v>
      </c>
      <c r="N23" s="7" t="s">
        <v>78</v>
      </c>
      <c r="O23" s="7" t="s">
        <v>48</v>
      </c>
      <c r="P23" s="8">
        <v>44589</v>
      </c>
      <c r="Q23" s="7" t="s">
        <v>32</v>
      </c>
      <c r="R23" s="7" t="s">
        <v>36</v>
      </c>
      <c r="S23" s="7" t="s">
        <v>33</v>
      </c>
      <c r="T23" s="7"/>
      <c r="U23" s="7" t="s">
        <v>34</v>
      </c>
      <c r="V23" s="7">
        <v>188.09</v>
      </c>
      <c r="W23" s="7">
        <v>81.099999999999994</v>
      </c>
      <c r="X23" s="7">
        <v>74.900000000000006</v>
      </c>
      <c r="Y23" s="7">
        <v>0</v>
      </c>
      <c r="Z23" s="7">
        <v>32.090000000000003</v>
      </c>
    </row>
    <row r="24" spans="1:26" x14ac:dyDescent="0.35">
      <c r="A24" s="7" t="s">
        <v>27</v>
      </c>
      <c r="B24" s="7" t="s">
        <v>40</v>
      </c>
      <c r="C24" s="7" t="s">
        <v>45</v>
      </c>
      <c r="D24" s="7" t="s">
        <v>46</v>
      </c>
      <c r="E24" s="7" t="s">
        <v>35</v>
      </c>
      <c r="F24" s="7" t="s">
        <v>35</v>
      </c>
      <c r="G24" s="7">
        <v>2021</v>
      </c>
      <c r="H24" s="7" t="str">
        <f>CONCATENATE("14241066225")</f>
        <v>14241066225</v>
      </c>
      <c r="I24" s="7" t="s">
        <v>30</v>
      </c>
      <c r="J24" s="7" t="s">
        <v>31</v>
      </c>
      <c r="K24" s="7" t="str">
        <f>CONCATENATE("")</f>
        <v/>
      </c>
      <c r="L24" s="7" t="str">
        <f>CONCATENATE("11 11.2 4b")</f>
        <v>11 11.2 4b</v>
      </c>
      <c r="M24" s="7" t="str">
        <f>CONCATENATE("LNCRNO69S55G005R")</f>
        <v>LNCRNO69S55G005R</v>
      </c>
      <c r="N24" s="7" t="s">
        <v>79</v>
      </c>
      <c r="O24" s="7" t="s">
        <v>48</v>
      </c>
      <c r="P24" s="8">
        <v>44589</v>
      </c>
      <c r="Q24" s="7" t="s">
        <v>32</v>
      </c>
      <c r="R24" s="7" t="s">
        <v>36</v>
      </c>
      <c r="S24" s="7" t="s">
        <v>33</v>
      </c>
      <c r="T24" s="7"/>
      <c r="U24" s="7" t="s">
        <v>34</v>
      </c>
      <c r="V24" s="9">
        <v>3024.42</v>
      </c>
      <c r="W24" s="9">
        <v>1304.1300000000001</v>
      </c>
      <c r="X24" s="9">
        <v>1204.32</v>
      </c>
      <c r="Y24" s="7">
        <v>0</v>
      </c>
      <c r="Z24" s="7">
        <v>515.97</v>
      </c>
    </row>
    <row r="25" spans="1:26" x14ac:dyDescent="0.35">
      <c r="A25" s="7" t="s">
        <v>27</v>
      </c>
      <c r="B25" s="7" t="s">
        <v>40</v>
      </c>
      <c r="C25" s="7" t="s">
        <v>45</v>
      </c>
      <c r="D25" s="7" t="s">
        <v>46</v>
      </c>
      <c r="E25" s="7" t="s">
        <v>29</v>
      </c>
      <c r="F25" s="7" t="s">
        <v>49</v>
      </c>
      <c r="G25" s="7">
        <v>2021</v>
      </c>
      <c r="H25" s="7" t="str">
        <f>CONCATENATE("14240687146")</f>
        <v>14240687146</v>
      </c>
      <c r="I25" s="7" t="s">
        <v>30</v>
      </c>
      <c r="J25" s="7" t="s">
        <v>31</v>
      </c>
      <c r="K25" s="7" t="str">
        <f>CONCATENATE("")</f>
        <v/>
      </c>
      <c r="L25" s="7" t="str">
        <f>CONCATENATE("11 11.2 4b")</f>
        <v>11 11.2 4b</v>
      </c>
      <c r="M25" s="7" t="str">
        <f>CONCATENATE("01197370446")</f>
        <v>01197370446</v>
      </c>
      <c r="N25" s="7" t="s">
        <v>80</v>
      </c>
      <c r="O25" s="7" t="s">
        <v>48</v>
      </c>
      <c r="P25" s="8">
        <v>44589</v>
      </c>
      <c r="Q25" s="7" t="s">
        <v>32</v>
      </c>
      <c r="R25" s="7" t="s">
        <v>36</v>
      </c>
      <c r="S25" s="7" t="s">
        <v>33</v>
      </c>
      <c r="T25" s="7"/>
      <c r="U25" s="7" t="s">
        <v>34</v>
      </c>
      <c r="V25" s="9">
        <v>9608.19</v>
      </c>
      <c r="W25" s="9">
        <v>4143.05</v>
      </c>
      <c r="X25" s="9">
        <v>3825.98</v>
      </c>
      <c r="Y25" s="7">
        <v>0</v>
      </c>
      <c r="Z25" s="9">
        <v>1639.16</v>
      </c>
    </row>
    <row r="26" spans="1:26" ht="17.5" x14ac:dyDescent="0.35">
      <c r="A26" s="7" t="s">
        <v>27</v>
      </c>
      <c r="B26" s="7" t="s">
        <v>40</v>
      </c>
      <c r="C26" s="7" t="s">
        <v>45</v>
      </c>
      <c r="D26" s="7" t="s">
        <v>46</v>
      </c>
      <c r="E26" s="7" t="s">
        <v>29</v>
      </c>
      <c r="F26" s="7" t="s">
        <v>49</v>
      </c>
      <c r="G26" s="7">
        <v>2021</v>
      </c>
      <c r="H26" s="7" t="str">
        <f>CONCATENATE("14240084609")</f>
        <v>14240084609</v>
      </c>
      <c r="I26" s="7" t="s">
        <v>30</v>
      </c>
      <c r="J26" s="7" t="s">
        <v>31</v>
      </c>
      <c r="K26" s="7" t="str">
        <f>CONCATENATE("")</f>
        <v/>
      </c>
      <c r="L26" s="7" t="str">
        <f>CONCATENATE("11 11.2 4b")</f>
        <v>11 11.2 4b</v>
      </c>
      <c r="M26" s="7" t="str">
        <f>CONCATENATE("02238510446")</f>
        <v>02238510446</v>
      </c>
      <c r="N26" s="7" t="s">
        <v>81</v>
      </c>
      <c r="O26" s="7" t="s">
        <v>48</v>
      </c>
      <c r="P26" s="8">
        <v>44589</v>
      </c>
      <c r="Q26" s="7" t="s">
        <v>32</v>
      </c>
      <c r="R26" s="7" t="s">
        <v>36</v>
      </c>
      <c r="S26" s="7" t="s">
        <v>33</v>
      </c>
      <c r="T26" s="7"/>
      <c r="U26" s="7" t="s">
        <v>34</v>
      </c>
      <c r="V26" s="9">
        <v>3059.83</v>
      </c>
      <c r="W26" s="9">
        <v>1319.4</v>
      </c>
      <c r="X26" s="9">
        <v>1218.42</v>
      </c>
      <c r="Y26" s="7">
        <v>0</v>
      </c>
      <c r="Z26" s="7">
        <v>522.01</v>
      </c>
    </row>
    <row r="27" spans="1:26" x14ac:dyDescent="0.35">
      <c r="A27" s="7" t="s">
        <v>27</v>
      </c>
      <c r="B27" s="7" t="s">
        <v>40</v>
      </c>
      <c r="C27" s="7" t="s">
        <v>45</v>
      </c>
      <c r="D27" s="7" t="s">
        <v>46</v>
      </c>
      <c r="E27" s="7" t="s">
        <v>35</v>
      </c>
      <c r="F27" s="7" t="s">
        <v>35</v>
      </c>
      <c r="G27" s="7">
        <v>2021</v>
      </c>
      <c r="H27" s="7" t="str">
        <f>CONCATENATE("14241302372")</f>
        <v>14241302372</v>
      </c>
      <c r="I27" s="7" t="s">
        <v>30</v>
      </c>
      <c r="J27" s="7" t="s">
        <v>31</v>
      </c>
      <c r="K27" s="7" t="str">
        <f>CONCATENATE("")</f>
        <v/>
      </c>
      <c r="L27" s="7" t="str">
        <f>CONCATENATE("11 11.2 4b")</f>
        <v>11 11.2 4b</v>
      </c>
      <c r="M27" s="7" t="str">
        <f>CONCATENATE("VLPRLL69S42H321N")</f>
        <v>VLPRLL69S42H321N</v>
      </c>
      <c r="N27" s="7" t="s">
        <v>82</v>
      </c>
      <c r="O27" s="7" t="s">
        <v>48</v>
      </c>
      <c r="P27" s="8">
        <v>44589</v>
      </c>
      <c r="Q27" s="7" t="s">
        <v>32</v>
      </c>
      <c r="R27" s="7" t="s">
        <v>36</v>
      </c>
      <c r="S27" s="7" t="s">
        <v>33</v>
      </c>
      <c r="T27" s="7"/>
      <c r="U27" s="7" t="s">
        <v>34</v>
      </c>
      <c r="V27" s="9">
        <v>3652.34</v>
      </c>
      <c r="W27" s="9">
        <v>1574.89</v>
      </c>
      <c r="X27" s="9">
        <v>1454.36</v>
      </c>
      <c r="Y27" s="7">
        <v>0</v>
      </c>
      <c r="Z27" s="7">
        <v>623.09</v>
      </c>
    </row>
    <row r="28" spans="1:26" x14ac:dyDescent="0.35">
      <c r="A28" s="7" t="s">
        <v>27</v>
      </c>
      <c r="B28" s="7" t="s">
        <v>40</v>
      </c>
      <c r="C28" s="7" t="s">
        <v>45</v>
      </c>
      <c r="D28" s="7" t="s">
        <v>46</v>
      </c>
      <c r="E28" s="7" t="s">
        <v>35</v>
      </c>
      <c r="F28" s="7" t="s">
        <v>35</v>
      </c>
      <c r="G28" s="7">
        <v>2021</v>
      </c>
      <c r="H28" s="7" t="str">
        <f>CONCATENATE("14240477845")</f>
        <v>14240477845</v>
      </c>
      <c r="I28" s="7" t="s">
        <v>30</v>
      </c>
      <c r="J28" s="7" t="s">
        <v>31</v>
      </c>
      <c r="K28" s="7" t="str">
        <f>CONCATENATE("")</f>
        <v/>
      </c>
      <c r="L28" s="7" t="str">
        <f>CONCATENATE("11 11.2 4b")</f>
        <v>11 11.2 4b</v>
      </c>
      <c r="M28" s="7" t="str">
        <f>CONCATENATE("GBRMRC83D18H769Q")</f>
        <v>GBRMRC83D18H769Q</v>
      </c>
      <c r="N28" s="7" t="s">
        <v>83</v>
      </c>
      <c r="O28" s="7" t="s">
        <v>48</v>
      </c>
      <c r="P28" s="8">
        <v>44589</v>
      </c>
      <c r="Q28" s="7" t="s">
        <v>32</v>
      </c>
      <c r="R28" s="7" t="s">
        <v>36</v>
      </c>
      <c r="S28" s="7" t="s">
        <v>33</v>
      </c>
      <c r="T28" s="7"/>
      <c r="U28" s="7" t="s">
        <v>34</v>
      </c>
      <c r="V28" s="7">
        <v>946.15</v>
      </c>
      <c r="W28" s="7">
        <v>407.98</v>
      </c>
      <c r="X28" s="7">
        <v>376.76</v>
      </c>
      <c r="Y28" s="7">
        <v>0</v>
      </c>
      <c r="Z28" s="7">
        <v>161.41</v>
      </c>
    </row>
    <row r="29" spans="1:26" x14ac:dyDescent="0.35">
      <c r="A29" s="7" t="s">
        <v>27</v>
      </c>
      <c r="B29" s="7" t="s">
        <v>40</v>
      </c>
      <c r="C29" s="7" t="s">
        <v>45</v>
      </c>
      <c r="D29" s="7" t="s">
        <v>46</v>
      </c>
      <c r="E29" s="7" t="s">
        <v>29</v>
      </c>
      <c r="F29" s="7" t="s">
        <v>84</v>
      </c>
      <c r="G29" s="7">
        <v>2021</v>
      </c>
      <c r="H29" s="7" t="str">
        <f>CONCATENATE("14240584764")</f>
        <v>14240584764</v>
      </c>
      <c r="I29" s="7" t="s">
        <v>30</v>
      </c>
      <c r="J29" s="7" t="s">
        <v>31</v>
      </c>
      <c r="K29" s="7" t="str">
        <f>CONCATENATE("")</f>
        <v/>
      </c>
      <c r="L29" s="7" t="str">
        <f>CONCATENATE("11 11.2 4b")</f>
        <v>11 11.2 4b</v>
      </c>
      <c r="M29" s="7" t="str">
        <f>CONCATENATE("00489370445")</f>
        <v>00489370445</v>
      </c>
      <c r="N29" s="7" t="s">
        <v>85</v>
      </c>
      <c r="O29" s="7" t="s">
        <v>48</v>
      </c>
      <c r="P29" s="8">
        <v>44589</v>
      </c>
      <c r="Q29" s="7" t="s">
        <v>32</v>
      </c>
      <c r="R29" s="7" t="s">
        <v>36</v>
      </c>
      <c r="S29" s="7" t="s">
        <v>33</v>
      </c>
      <c r="T29" s="7"/>
      <c r="U29" s="7" t="s">
        <v>34</v>
      </c>
      <c r="V29" s="9">
        <v>3257.8</v>
      </c>
      <c r="W29" s="9">
        <v>1404.76</v>
      </c>
      <c r="X29" s="9">
        <v>1297.26</v>
      </c>
      <c r="Y29" s="7">
        <v>0</v>
      </c>
      <c r="Z29" s="7">
        <v>555.78</v>
      </c>
    </row>
    <row r="30" spans="1:26" x14ac:dyDescent="0.35">
      <c r="A30" s="7" t="s">
        <v>27</v>
      </c>
      <c r="B30" s="7" t="s">
        <v>40</v>
      </c>
      <c r="C30" s="7" t="s">
        <v>45</v>
      </c>
      <c r="D30" s="7" t="s">
        <v>46</v>
      </c>
      <c r="E30" s="7" t="s">
        <v>38</v>
      </c>
      <c r="F30" s="7" t="s">
        <v>86</v>
      </c>
      <c r="G30" s="7">
        <v>2021</v>
      </c>
      <c r="H30" s="7" t="str">
        <f>CONCATENATE("14241169607")</f>
        <v>14241169607</v>
      </c>
      <c r="I30" s="7" t="s">
        <v>30</v>
      </c>
      <c r="J30" s="7" t="s">
        <v>31</v>
      </c>
      <c r="K30" s="7" t="str">
        <f>CONCATENATE("")</f>
        <v/>
      </c>
      <c r="L30" s="7" t="str">
        <f>CONCATENATE("11 11.2 4b")</f>
        <v>11 11.2 4b</v>
      </c>
      <c r="M30" s="7" t="str">
        <f>CONCATENATE("01109820447")</f>
        <v>01109820447</v>
      </c>
      <c r="N30" s="7" t="s">
        <v>87</v>
      </c>
      <c r="O30" s="7" t="s">
        <v>48</v>
      </c>
      <c r="P30" s="8">
        <v>44589</v>
      </c>
      <c r="Q30" s="7" t="s">
        <v>32</v>
      </c>
      <c r="R30" s="7" t="s">
        <v>36</v>
      </c>
      <c r="S30" s="7" t="s">
        <v>33</v>
      </c>
      <c r="T30" s="7"/>
      <c r="U30" s="7" t="s">
        <v>34</v>
      </c>
      <c r="V30" s="9">
        <v>7026.14</v>
      </c>
      <c r="W30" s="9">
        <v>3029.67</v>
      </c>
      <c r="X30" s="9">
        <v>2797.81</v>
      </c>
      <c r="Y30" s="7">
        <v>0</v>
      </c>
      <c r="Z30" s="9">
        <v>1198.6600000000001</v>
      </c>
    </row>
    <row r="31" spans="1:26" x14ac:dyDescent="0.35">
      <c r="A31" s="7" t="s">
        <v>27</v>
      </c>
      <c r="B31" s="7" t="s">
        <v>40</v>
      </c>
      <c r="C31" s="7" t="s">
        <v>45</v>
      </c>
      <c r="D31" s="7" t="s">
        <v>46</v>
      </c>
      <c r="E31" s="7" t="s">
        <v>35</v>
      </c>
      <c r="F31" s="7" t="s">
        <v>35</v>
      </c>
      <c r="G31" s="7">
        <v>2021</v>
      </c>
      <c r="H31" s="7" t="str">
        <f>CONCATENATE("14241032029")</f>
        <v>14241032029</v>
      </c>
      <c r="I31" s="7" t="s">
        <v>30</v>
      </c>
      <c r="J31" s="7" t="s">
        <v>31</v>
      </c>
      <c r="K31" s="7" t="str">
        <f>CONCATENATE("")</f>
        <v/>
      </c>
      <c r="L31" s="7" t="str">
        <f>CONCATENATE("11 11.2 4b")</f>
        <v>11 11.2 4b</v>
      </c>
      <c r="M31" s="7" t="str">
        <f>CONCATENATE("FCCVCN34S18B727J")</f>
        <v>FCCVCN34S18B727J</v>
      </c>
      <c r="N31" s="7" t="s">
        <v>88</v>
      </c>
      <c r="O31" s="7" t="s">
        <v>48</v>
      </c>
      <c r="P31" s="8">
        <v>44589</v>
      </c>
      <c r="Q31" s="7" t="s">
        <v>32</v>
      </c>
      <c r="R31" s="7" t="s">
        <v>36</v>
      </c>
      <c r="S31" s="7" t="s">
        <v>33</v>
      </c>
      <c r="T31" s="7"/>
      <c r="U31" s="7" t="s">
        <v>34</v>
      </c>
      <c r="V31" s="9">
        <v>3093.97</v>
      </c>
      <c r="W31" s="9">
        <v>1334.12</v>
      </c>
      <c r="X31" s="9">
        <v>1232.02</v>
      </c>
      <c r="Y31" s="7">
        <v>0</v>
      </c>
      <c r="Z31" s="7">
        <v>527.83000000000004</v>
      </c>
    </row>
    <row r="32" spans="1:26" x14ac:dyDescent="0.35">
      <c r="A32" s="7" t="s">
        <v>27</v>
      </c>
      <c r="B32" s="7" t="s">
        <v>40</v>
      </c>
      <c r="C32" s="7" t="s">
        <v>45</v>
      </c>
      <c r="D32" s="7" t="s">
        <v>46</v>
      </c>
      <c r="E32" s="7" t="s">
        <v>41</v>
      </c>
      <c r="F32" s="7" t="s">
        <v>89</v>
      </c>
      <c r="G32" s="7">
        <v>2021</v>
      </c>
      <c r="H32" s="7" t="str">
        <f>CONCATENATE("14241059329")</f>
        <v>14241059329</v>
      </c>
      <c r="I32" s="7" t="s">
        <v>30</v>
      </c>
      <c r="J32" s="7" t="s">
        <v>31</v>
      </c>
      <c r="K32" s="7" t="str">
        <f>CONCATENATE("")</f>
        <v/>
      </c>
      <c r="L32" s="7" t="str">
        <f>CONCATENATE("11 11.2 4b")</f>
        <v>11 11.2 4b</v>
      </c>
      <c r="M32" s="7" t="str">
        <f>CONCATENATE("02417930449")</f>
        <v>02417930449</v>
      </c>
      <c r="N32" s="7" t="s">
        <v>90</v>
      </c>
      <c r="O32" s="7" t="s">
        <v>48</v>
      </c>
      <c r="P32" s="8">
        <v>44589</v>
      </c>
      <c r="Q32" s="7" t="s">
        <v>32</v>
      </c>
      <c r="R32" s="7" t="s">
        <v>36</v>
      </c>
      <c r="S32" s="7" t="s">
        <v>33</v>
      </c>
      <c r="T32" s="7"/>
      <c r="U32" s="7" t="s">
        <v>34</v>
      </c>
      <c r="V32" s="9">
        <v>3973.98</v>
      </c>
      <c r="W32" s="9">
        <v>1713.58</v>
      </c>
      <c r="X32" s="9">
        <v>1582.44</v>
      </c>
      <c r="Y32" s="7">
        <v>0</v>
      </c>
      <c r="Z32" s="7">
        <v>677.96</v>
      </c>
    </row>
    <row r="33" spans="1:26" x14ac:dyDescent="0.35">
      <c r="A33" s="7" t="s">
        <v>27</v>
      </c>
      <c r="B33" s="7" t="s">
        <v>40</v>
      </c>
      <c r="C33" s="7" t="s">
        <v>45</v>
      </c>
      <c r="D33" s="7" t="s">
        <v>46</v>
      </c>
      <c r="E33" s="7" t="s">
        <v>29</v>
      </c>
      <c r="F33" s="7" t="s">
        <v>49</v>
      </c>
      <c r="G33" s="7">
        <v>2021</v>
      </c>
      <c r="H33" s="7" t="str">
        <f>CONCATENATE("14241292748")</f>
        <v>14241292748</v>
      </c>
      <c r="I33" s="7" t="s">
        <v>30</v>
      </c>
      <c r="J33" s="7" t="s">
        <v>31</v>
      </c>
      <c r="K33" s="7" t="str">
        <f>CONCATENATE("")</f>
        <v/>
      </c>
      <c r="L33" s="7" t="str">
        <f>CONCATENATE("11 11.2 4b")</f>
        <v>11 11.2 4b</v>
      </c>
      <c r="M33" s="7" t="str">
        <f>CONCATENATE("02260890443")</f>
        <v>02260890443</v>
      </c>
      <c r="N33" s="7" t="s">
        <v>91</v>
      </c>
      <c r="O33" s="7" t="s">
        <v>48</v>
      </c>
      <c r="P33" s="8">
        <v>44589</v>
      </c>
      <c r="Q33" s="7" t="s">
        <v>32</v>
      </c>
      <c r="R33" s="7" t="s">
        <v>36</v>
      </c>
      <c r="S33" s="7" t="s">
        <v>33</v>
      </c>
      <c r="T33" s="7"/>
      <c r="U33" s="7" t="s">
        <v>34</v>
      </c>
      <c r="V33" s="7">
        <v>930.77</v>
      </c>
      <c r="W33" s="7">
        <v>401.35</v>
      </c>
      <c r="X33" s="7">
        <v>370.63</v>
      </c>
      <c r="Y33" s="7">
        <v>0</v>
      </c>
      <c r="Z33" s="7">
        <v>158.79</v>
      </c>
    </row>
    <row r="34" spans="1:26" x14ac:dyDescent="0.35">
      <c r="A34" s="7" t="s">
        <v>27</v>
      </c>
      <c r="B34" s="7" t="s">
        <v>40</v>
      </c>
      <c r="C34" s="7" t="s">
        <v>45</v>
      </c>
      <c r="D34" s="7" t="s">
        <v>46</v>
      </c>
      <c r="E34" s="7" t="s">
        <v>35</v>
      </c>
      <c r="F34" s="7" t="s">
        <v>35</v>
      </c>
      <c r="G34" s="7">
        <v>2021</v>
      </c>
      <c r="H34" s="7" t="str">
        <f>CONCATENATE("14241160937")</f>
        <v>14241160937</v>
      </c>
      <c r="I34" s="7" t="s">
        <v>30</v>
      </c>
      <c r="J34" s="7" t="s">
        <v>31</v>
      </c>
      <c r="K34" s="7" t="str">
        <f>CONCATENATE("")</f>
        <v/>
      </c>
      <c r="L34" s="7" t="str">
        <f>CONCATENATE("11 11.2 4b")</f>
        <v>11 11.2 4b</v>
      </c>
      <c r="M34" s="7" t="str">
        <f>CONCATENATE("02081140440")</f>
        <v>02081140440</v>
      </c>
      <c r="N34" s="7" t="s">
        <v>92</v>
      </c>
      <c r="O34" s="7" t="s">
        <v>48</v>
      </c>
      <c r="P34" s="8">
        <v>44589</v>
      </c>
      <c r="Q34" s="7" t="s">
        <v>32</v>
      </c>
      <c r="R34" s="7" t="s">
        <v>36</v>
      </c>
      <c r="S34" s="7" t="s">
        <v>33</v>
      </c>
      <c r="T34" s="7"/>
      <c r="U34" s="7" t="s">
        <v>34</v>
      </c>
      <c r="V34" s="9">
        <v>3276</v>
      </c>
      <c r="W34" s="9">
        <v>1412.61</v>
      </c>
      <c r="X34" s="9">
        <v>1304.5</v>
      </c>
      <c r="Y34" s="7">
        <v>0</v>
      </c>
      <c r="Z34" s="7">
        <v>558.89</v>
      </c>
    </row>
    <row r="35" spans="1:26" x14ac:dyDescent="0.35">
      <c r="A35" s="7" t="s">
        <v>27</v>
      </c>
      <c r="B35" s="7" t="s">
        <v>40</v>
      </c>
      <c r="C35" s="7" t="s">
        <v>45</v>
      </c>
      <c r="D35" s="7" t="s">
        <v>46</v>
      </c>
      <c r="E35" s="7" t="s">
        <v>29</v>
      </c>
      <c r="F35" s="7" t="s">
        <v>84</v>
      </c>
      <c r="G35" s="7">
        <v>2021</v>
      </c>
      <c r="H35" s="7" t="str">
        <f>CONCATENATE("14240530056")</f>
        <v>14240530056</v>
      </c>
      <c r="I35" s="7" t="s">
        <v>30</v>
      </c>
      <c r="J35" s="7" t="s">
        <v>31</v>
      </c>
      <c r="K35" s="7" t="str">
        <f>CONCATENATE("")</f>
        <v/>
      </c>
      <c r="L35" s="7" t="str">
        <f>CONCATENATE("11 11.2 4b")</f>
        <v>11 11.2 4b</v>
      </c>
      <c r="M35" s="7" t="str">
        <f>CONCATENATE("PLZNDR65C02F520V")</f>
        <v>PLZNDR65C02F520V</v>
      </c>
      <c r="N35" s="7" t="s">
        <v>93</v>
      </c>
      <c r="O35" s="7" t="s">
        <v>48</v>
      </c>
      <c r="P35" s="8">
        <v>44589</v>
      </c>
      <c r="Q35" s="7" t="s">
        <v>32</v>
      </c>
      <c r="R35" s="7" t="s">
        <v>36</v>
      </c>
      <c r="S35" s="7" t="s">
        <v>33</v>
      </c>
      <c r="T35" s="7"/>
      <c r="U35" s="7" t="s">
        <v>34</v>
      </c>
      <c r="V35" s="9">
        <v>3955.53</v>
      </c>
      <c r="W35" s="9">
        <v>1705.62</v>
      </c>
      <c r="X35" s="9">
        <v>1575.09</v>
      </c>
      <c r="Y35" s="7">
        <v>0</v>
      </c>
      <c r="Z35" s="7">
        <v>674.82</v>
      </c>
    </row>
    <row r="36" spans="1:26" x14ac:dyDescent="0.35">
      <c r="A36" s="7" t="s">
        <v>27</v>
      </c>
      <c r="B36" s="7" t="s">
        <v>40</v>
      </c>
      <c r="C36" s="7" t="s">
        <v>45</v>
      </c>
      <c r="D36" s="7" t="s">
        <v>46</v>
      </c>
      <c r="E36" s="7" t="s">
        <v>29</v>
      </c>
      <c r="F36" s="7" t="s">
        <v>94</v>
      </c>
      <c r="G36" s="7">
        <v>2021</v>
      </c>
      <c r="H36" s="7" t="str">
        <f>CONCATENATE("14240723644")</f>
        <v>14240723644</v>
      </c>
      <c r="I36" s="7" t="s">
        <v>30</v>
      </c>
      <c r="J36" s="7" t="s">
        <v>31</v>
      </c>
      <c r="K36" s="7" t="str">
        <f>CONCATENATE("")</f>
        <v/>
      </c>
      <c r="L36" s="7" t="str">
        <f>CONCATENATE("11 11.2 4b")</f>
        <v>11 11.2 4b</v>
      </c>
      <c r="M36" s="7" t="str">
        <f>CONCATENATE("MSLFNC86M28A252Q")</f>
        <v>MSLFNC86M28A252Q</v>
      </c>
      <c r="N36" s="7" t="s">
        <v>95</v>
      </c>
      <c r="O36" s="7" t="s">
        <v>48</v>
      </c>
      <c r="P36" s="8">
        <v>44589</v>
      </c>
      <c r="Q36" s="7" t="s">
        <v>32</v>
      </c>
      <c r="R36" s="7" t="s">
        <v>36</v>
      </c>
      <c r="S36" s="7" t="s">
        <v>33</v>
      </c>
      <c r="T36" s="7"/>
      <c r="U36" s="7" t="s">
        <v>34</v>
      </c>
      <c r="V36" s="9">
        <v>1457.79</v>
      </c>
      <c r="W36" s="7">
        <v>628.6</v>
      </c>
      <c r="X36" s="7">
        <v>580.49</v>
      </c>
      <c r="Y36" s="7">
        <v>0</v>
      </c>
      <c r="Z36" s="7">
        <v>248.7</v>
      </c>
    </row>
    <row r="37" spans="1:26" x14ac:dyDescent="0.35">
      <c r="A37" s="7" t="s">
        <v>27</v>
      </c>
      <c r="B37" s="7" t="s">
        <v>40</v>
      </c>
      <c r="C37" s="7" t="s">
        <v>45</v>
      </c>
      <c r="D37" s="7" t="s">
        <v>46</v>
      </c>
      <c r="E37" s="7" t="s">
        <v>29</v>
      </c>
      <c r="F37" s="7" t="s">
        <v>65</v>
      </c>
      <c r="G37" s="7">
        <v>2021</v>
      </c>
      <c r="H37" s="7" t="str">
        <f>CONCATENATE("14240628223")</f>
        <v>14240628223</v>
      </c>
      <c r="I37" s="7" t="s">
        <v>30</v>
      </c>
      <c r="J37" s="7" t="s">
        <v>31</v>
      </c>
      <c r="K37" s="7" t="str">
        <f>CONCATENATE("")</f>
        <v/>
      </c>
      <c r="L37" s="7" t="str">
        <f>CONCATENATE("11 11.2 4b")</f>
        <v>11 11.2 4b</v>
      </c>
      <c r="M37" s="7" t="str">
        <f>CONCATENATE("GBRBNR43D41A462B")</f>
        <v>GBRBNR43D41A462B</v>
      </c>
      <c r="N37" s="7" t="s">
        <v>96</v>
      </c>
      <c r="O37" s="7" t="s">
        <v>48</v>
      </c>
      <c r="P37" s="8">
        <v>44589</v>
      </c>
      <c r="Q37" s="7" t="s">
        <v>32</v>
      </c>
      <c r="R37" s="7" t="s">
        <v>36</v>
      </c>
      <c r="S37" s="7" t="s">
        <v>33</v>
      </c>
      <c r="T37" s="7"/>
      <c r="U37" s="7" t="s">
        <v>34</v>
      </c>
      <c r="V37" s="7">
        <v>82.06</v>
      </c>
      <c r="W37" s="7">
        <v>35.380000000000003</v>
      </c>
      <c r="X37" s="7">
        <v>32.68</v>
      </c>
      <c r="Y37" s="7">
        <v>0</v>
      </c>
      <c r="Z37" s="7">
        <v>14</v>
      </c>
    </row>
    <row r="38" spans="1:26" x14ac:dyDescent="0.35">
      <c r="A38" s="7" t="s">
        <v>27</v>
      </c>
      <c r="B38" s="7" t="s">
        <v>40</v>
      </c>
      <c r="C38" s="7" t="s">
        <v>45</v>
      </c>
      <c r="D38" s="7" t="s">
        <v>97</v>
      </c>
      <c r="E38" s="7" t="s">
        <v>41</v>
      </c>
      <c r="F38" s="7" t="s">
        <v>98</v>
      </c>
      <c r="G38" s="7">
        <v>2021</v>
      </c>
      <c r="H38" s="7" t="str">
        <f>CONCATENATE("14241198457")</f>
        <v>14241198457</v>
      </c>
      <c r="I38" s="7" t="s">
        <v>30</v>
      </c>
      <c r="J38" s="7" t="s">
        <v>31</v>
      </c>
      <c r="K38" s="7" t="str">
        <f>CONCATENATE("")</f>
        <v/>
      </c>
      <c r="L38" s="7" t="str">
        <f>CONCATENATE("10 10.1 4a")</f>
        <v>10 10.1 4a</v>
      </c>
      <c r="M38" s="7" t="str">
        <f>CONCATENATE("DLLDVD92P30I156S")</f>
        <v>DLLDVD92P30I156S</v>
      </c>
      <c r="N38" s="7" t="s">
        <v>99</v>
      </c>
      <c r="O38" s="7" t="s">
        <v>54</v>
      </c>
      <c r="P38" s="8">
        <v>44589</v>
      </c>
      <c r="Q38" s="7" t="s">
        <v>32</v>
      </c>
      <c r="R38" s="7" t="s">
        <v>36</v>
      </c>
      <c r="S38" s="7" t="s">
        <v>33</v>
      </c>
      <c r="T38" s="7"/>
      <c r="U38" s="7" t="s">
        <v>34</v>
      </c>
      <c r="V38" s="7">
        <v>512.44000000000005</v>
      </c>
      <c r="W38" s="7">
        <v>220.96</v>
      </c>
      <c r="X38" s="7">
        <v>204.05</v>
      </c>
      <c r="Y38" s="7">
        <v>0</v>
      </c>
      <c r="Z38" s="7">
        <v>87.43</v>
      </c>
    </row>
    <row r="39" spans="1:26" x14ac:dyDescent="0.35">
      <c r="A39" s="7" t="s">
        <v>27</v>
      </c>
      <c r="B39" s="7" t="s">
        <v>40</v>
      </c>
      <c r="C39" s="7" t="s">
        <v>45</v>
      </c>
      <c r="D39" s="7" t="s">
        <v>51</v>
      </c>
      <c r="E39" s="7" t="s">
        <v>29</v>
      </c>
      <c r="F39" s="7" t="s">
        <v>100</v>
      </c>
      <c r="G39" s="7">
        <v>2021</v>
      </c>
      <c r="H39" s="7" t="str">
        <f>CONCATENATE("14240793027")</f>
        <v>14240793027</v>
      </c>
      <c r="I39" s="7" t="s">
        <v>30</v>
      </c>
      <c r="J39" s="7" t="s">
        <v>31</v>
      </c>
      <c r="K39" s="7" t="str">
        <f>CONCATENATE("")</f>
        <v/>
      </c>
      <c r="L39" s="7" t="str">
        <f>CONCATENATE("10 10.1 4a")</f>
        <v>10 10.1 4a</v>
      </c>
      <c r="M39" s="7" t="str">
        <f>CONCATENATE("BNGFNC75M01A271D")</f>
        <v>BNGFNC75M01A271D</v>
      </c>
      <c r="N39" s="7" t="s">
        <v>101</v>
      </c>
      <c r="O39" s="7" t="s">
        <v>54</v>
      </c>
      <c r="P39" s="8">
        <v>44589</v>
      </c>
      <c r="Q39" s="7" t="s">
        <v>32</v>
      </c>
      <c r="R39" s="7" t="s">
        <v>36</v>
      </c>
      <c r="S39" s="7" t="s">
        <v>33</v>
      </c>
      <c r="T39" s="7"/>
      <c r="U39" s="7" t="s">
        <v>34</v>
      </c>
      <c r="V39" s="7">
        <v>980.54</v>
      </c>
      <c r="W39" s="7">
        <v>422.81</v>
      </c>
      <c r="X39" s="7">
        <v>390.45</v>
      </c>
      <c r="Y39" s="7">
        <v>0</v>
      </c>
      <c r="Z39" s="7">
        <v>167.28</v>
      </c>
    </row>
    <row r="40" spans="1:26" x14ac:dyDescent="0.35">
      <c r="A40" s="7" t="s">
        <v>27</v>
      </c>
      <c r="B40" s="7" t="s">
        <v>40</v>
      </c>
      <c r="C40" s="7" t="s">
        <v>45</v>
      </c>
      <c r="D40" s="7" t="s">
        <v>97</v>
      </c>
      <c r="E40" s="7" t="s">
        <v>37</v>
      </c>
      <c r="F40" s="7" t="s">
        <v>102</v>
      </c>
      <c r="G40" s="7">
        <v>2021</v>
      </c>
      <c r="H40" s="7" t="str">
        <f>CONCATENATE("14240569617")</f>
        <v>14240569617</v>
      </c>
      <c r="I40" s="7" t="s">
        <v>30</v>
      </c>
      <c r="J40" s="7" t="s">
        <v>31</v>
      </c>
      <c r="K40" s="7" t="str">
        <f>CONCATENATE("")</f>
        <v/>
      </c>
      <c r="L40" s="7" t="str">
        <f>CONCATENATE("10 10.1 4a")</f>
        <v>10 10.1 4a</v>
      </c>
      <c r="M40" s="7" t="str">
        <f>CONCATENATE("BNGGLS75A29L219K")</f>
        <v>BNGGLS75A29L219K</v>
      </c>
      <c r="N40" s="7" t="s">
        <v>103</v>
      </c>
      <c r="O40" s="7" t="s">
        <v>54</v>
      </c>
      <c r="P40" s="8">
        <v>44589</v>
      </c>
      <c r="Q40" s="7" t="s">
        <v>32</v>
      </c>
      <c r="R40" s="7" t="s">
        <v>36</v>
      </c>
      <c r="S40" s="7" t="s">
        <v>33</v>
      </c>
      <c r="T40" s="7"/>
      <c r="U40" s="7" t="s">
        <v>34</v>
      </c>
      <c r="V40" s="7">
        <v>176.56</v>
      </c>
      <c r="W40" s="7">
        <v>76.13</v>
      </c>
      <c r="X40" s="7">
        <v>70.31</v>
      </c>
      <c r="Y40" s="7">
        <v>0</v>
      </c>
      <c r="Z40" s="7">
        <v>30.12</v>
      </c>
    </row>
    <row r="41" spans="1:26" x14ac:dyDescent="0.35">
      <c r="A41" s="7" t="s">
        <v>27</v>
      </c>
      <c r="B41" s="7" t="s">
        <v>40</v>
      </c>
      <c r="C41" s="7" t="s">
        <v>45</v>
      </c>
      <c r="D41" s="7" t="s">
        <v>46</v>
      </c>
      <c r="E41" s="7" t="s">
        <v>29</v>
      </c>
      <c r="F41" s="7" t="s">
        <v>65</v>
      </c>
      <c r="G41" s="7">
        <v>2021</v>
      </c>
      <c r="H41" s="7" t="str">
        <f>CONCATENATE("14241067256")</f>
        <v>14241067256</v>
      </c>
      <c r="I41" s="7" t="s">
        <v>30</v>
      </c>
      <c r="J41" s="7" t="s">
        <v>31</v>
      </c>
      <c r="K41" s="7" t="str">
        <f>CONCATENATE("")</f>
        <v/>
      </c>
      <c r="L41" s="7" t="str">
        <f>CONCATENATE("10 10.1 4a")</f>
        <v>10 10.1 4a</v>
      </c>
      <c r="M41" s="7" t="str">
        <f>CONCATENATE("02341960447")</f>
        <v>02341960447</v>
      </c>
      <c r="N41" s="7" t="s">
        <v>104</v>
      </c>
      <c r="O41" s="7" t="s">
        <v>105</v>
      </c>
      <c r="P41" s="8">
        <v>44589</v>
      </c>
      <c r="Q41" s="7" t="s">
        <v>32</v>
      </c>
      <c r="R41" s="7" t="s">
        <v>36</v>
      </c>
      <c r="S41" s="7" t="s">
        <v>33</v>
      </c>
      <c r="T41" s="7"/>
      <c r="U41" s="7" t="s">
        <v>34</v>
      </c>
      <c r="V41" s="9">
        <v>8684.4599999999991</v>
      </c>
      <c r="W41" s="9">
        <v>3744.74</v>
      </c>
      <c r="X41" s="9">
        <v>3458.15</v>
      </c>
      <c r="Y41" s="7">
        <v>0</v>
      </c>
      <c r="Z41" s="9">
        <v>1481.57</v>
      </c>
    </row>
    <row r="42" spans="1:26" x14ac:dyDescent="0.35">
      <c r="A42" s="7" t="s">
        <v>27</v>
      </c>
      <c r="B42" s="7" t="s">
        <v>40</v>
      </c>
      <c r="C42" s="7" t="s">
        <v>45</v>
      </c>
      <c r="D42" s="7" t="s">
        <v>106</v>
      </c>
      <c r="E42" s="7" t="s">
        <v>37</v>
      </c>
      <c r="F42" s="7" t="s">
        <v>107</v>
      </c>
      <c r="G42" s="7">
        <v>2021</v>
      </c>
      <c r="H42" s="7" t="str">
        <f>CONCATENATE("14240995093")</f>
        <v>14240995093</v>
      </c>
      <c r="I42" s="7" t="s">
        <v>30</v>
      </c>
      <c r="J42" s="7" t="s">
        <v>31</v>
      </c>
      <c r="K42" s="7" t="str">
        <f>CONCATENATE("")</f>
        <v/>
      </c>
      <c r="L42" s="7" t="str">
        <f>CONCATENATE("10 10.1 4b")</f>
        <v>10 10.1 4b</v>
      </c>
      <c r="M42" s="7" t="str">
        <f>CONCATENATE("LVEDVD84L17G479I")</f>
        <v>LVEDVD84L17G479I</v>
      </c>
      <c r="N42" s="7" t="s">
        <v>108</v>
      </c>
      <c r="O42" s="7" t="s">
        <v>109</v>
      </c>
      <c r="P42" s="8">
        <v>44589</v>
      </c>
      <c r="Q42" s="7" t="s">
        <v>32</v>
      </c>
      <c r="R42" s="7" t="s">
        <v>36</v>
      </c>
      <c r="S42" s="7" t="s">
        <v>33</v>
      </c>
      <c r="T42" s="7"/>
      <c r="U42" s="7" t="s">
        <v>34</v>
      </c>
      <c r="V42" s="9">
        <v>2983.75</v>
      </c>
      <c r="W42" s="9">
        <v>1286.5899999999999</v>
      </c>
      <c r="X42" s="9">
        <v>1188.1300000000001</v>
      </c>
      <c r="Y42" s="7">
        <v>0</v>
      </c>
      <c r="Z42" s="7">
        <v>509.03</v>
      </c>
    </row>
    <row r="43" spans="1:26" x14ac:dyDescent="0.35">
      <c r="A43" s="7" t="s">
        <v>27</v>
      </c>
      <c r="B43" s="7" t="s">
        <v>40</v>
      </c>
      <c r="C43" s="7" t="s">
        <v>45</v>
      </c>
      <c r="D43" s="7" t="s">
        <v>106</v>
      </c>
      <c r="E43" s="7" t="s">
        <v>37</v>
      </c>
      <c r="F43" s="7" t="s">
        <v>110</v>
      </c>
      <c r="G43" s="7">
        <v>2021</v>
      </c>
      <c r="H43" s="7" t="str">
        <f>CONCATENATE("14241014852")</f>
        <v>14241014852</v>
      </c>
      <c r="I43" s="7" t="s">
        <v>30</v>
      </c>
      <c r="J43" s="7" t="s">
        <v>31</v>
      </c>
      <c r="K43" s="7" t="str">
        <f>CONCATENATE("")</f>
        <v/>
      </c>
      <c r="L43" s="7" t="str">
        <f>CONCATENATE("11 11.2 4b")</f>
        <v>11 11.2 4b</v>
      </c>
      <c r="M43" s="7" t="str">
        <f>CONCATENATE("RSNNDR75D11F347Q")</f>
        <v>RSNNDR75D11F347Q</v>
      </c>
      <c r="N43" s="7" t="s">
        <v>111</v>
      </c>
      <c r="O43" s="7" t="s">
        <v>112</v>
      </c>
      <c r="P43" s="8">
        <v>44589</v>
      </c>
      <c r="Q43" s="7" t="s">
        <v>32</v>
      </c>
      <c r="R43" s="7" t="s">
        <v>36</v>
      </c>
      <c r="S43" s="7" t="s">
        <v>33</v>
      </c>
      <c r="T43" s="7"/>
      <c r="U43" s="7" t="s">
        <v>34</v>
      </c>
      <c r="V43" s="9">
        <v>2613.58</v>
      </c>
      <c r="W43" s="9">
        <v>1126.98</v>
      </c>
      <c r="X43" s="9">
        <v>1040.73</v>
      </c>
      <c r="Y43" s="7">
        <v>0</v>
      </c>
      <c r="Z43" s="7">
        <v>445.87</v>
      </c>
    </row>
    <row r="44" spans="1:26" x14ac:dyDescent="0.35">
      <c r="A44" s="7" t="s">
        <v>27</v>
      </c>
      <c r="B44" s="7" t="s">
        <v>40</v>
      </c>
      <c r="C44" s="7" t="s">
        <v>45</v>
      </c>
      <c r="D44" s="7" t="s">
        <v>106</v>
      </c>
      <c r="E44" s="7" t="s">
        <v>37</v>
      </c>
      <c r="F44" s="7" t="s">
        <v>110</v>
      </c>
      <c r="G44" s="7">
        <v>2021</v>
      </c>
      <c r="H44" s="7" t="str">
        <f>CONCATENATE("14241015065")</f>
        <v>14241015065</v>
      </c>
      <c r="I44" s="7" t="s">
        <v>30</v>
      </c>
      <c r="J44" s="7" t="s">
        <v>31</v>
      </c>
      <c r="K44" s="7" t="str">
        <f>CONCATENATE("")</f>
        <v/>
      </c>
      <c r="L44" s="7" t="str">
        <f>CONCATENATE("11 11.2 4b")</f>
        <v>11 11.2 4b</v>
      </c>
      <c r="M44" s="7" t="str">
        <f>CONCATENATE("RSNNDR75D11F347Q")</f>
        <v>RSNNDR75D11F347Q</v>
      </c>
      <c r="N44" s="7" t="s">
        <v>111</v>
      </c>
      <c r="O44" s="7" t="s">
        <v>112</v>
      </c>
      <c r="P44" s="8">
        <v>44589</v>
      </c>
      <c r="Q44" s="7" t="s">
        <v>32</v>
      </c>
      <c r="R44" s="7" t="s">
        <v>36</v>
      </c>
      <c r="S44" s="7" t="s">
        <v>33</v>
      </c>
      <c r="T44" s="7"/>
      <c r="U44" s="7" t="s">
        <v>34</v>
      </c>
      <c r="V44" s="7">
        <v>107.29</v>
      </c>
      <c r="W44" s="7">
        <v>46.26</v>
      </c>
      <c r="X44" s="7">
        <v>42.72</v>
      </c>
      <c r="Y44" s="7">
        <v>0</v>
      </c>
      <c r="Z44" s="7">
        <v>18.309999999999999</v>
      </c>
    </row>
    <row r="45" spans="1:26" x14ac:dyDescent="0.35">
      <c r="A45" s="7" t="s">
        <v>27</v>
      </c>
      <c r="B45" s="7" t="s">
        <v>40</v>
      </c>
      <c r="C45" s="7" t="s">
        <v>45</v>
      </c>
      <c r="D45" s="7" t="s">
        <v>106</v>
      </c>
      <c r="E45" s="7" t="s">
        <v>37</v>
      </c>
      <c r="F45" s="7" t="s">
        <v>110</v>
      </c>
      <c r="G45" s="7">
        <v>2021</v>
      </c>
      <c r="H45" s="7" t="str">
        <f>CONCATENATE("14241015180")</f>
        <v>14241015180</v>
      </c>
      <c r="I45" s="7" t="s">
        <v>30</v>
      </c>
      <c r="J45" s="7" t="s">
        <v>31</v>
      </c>
      <c r="K45" s="7" t="str">
        <f>CONCATENATE("")</f>
        <v/>
      </c>
      <c r="L45" s="7" t="str">
        <f>CONCATENATE("11 11.2 4b")</f>
        <v>11 11.2 4b</v>
      </c>
      <c r="M45" s="7" t="str">
        <f>CONCATENATE("RSNNDR75D11F347Q")</f>
        <v>RSNNDR75D11F347Q</v>
      </c>
      <c r="N45" s="7" t="s">
        <v>111</v>
      </c>
      <c r="O45" s="7" t="s">
        <v>112</v>
      </c>
      <c r="P45" s="8">
        <v>44589</v>
      </c>
      <c r="Q45" s="7" t="s">
        <v>32</v>
      </c>
      <c r="R45" s="7" t="s">
        <v>36</v>
      </c>
      <c r="S45" s="7" t="s">
        <v>33</v>
      </c>
      <c r="T45" s="7"/>
      <c r="U45" s="7" t="s">
        <v>34</v>
      </c>
      <c r="V45" s="7">
        <v>564.33000000000004</v>
      </c>
      <c r="W45" s="7">
        <v>243.34</v>
      </c>
      <c r="X45" s="7">
        <v>224.72</v>
      </c>
      <c r="Y45" s="7">
        <v>0</v>
      </c>
      <c r="Z45" s="7">
        <v>96.27</v>
      </c>
    </row>
    <row r="46" spans="1:26" ht="17.5" x14ac:dyDescent="0.35">
      <c r="A46" s="7" t="s">
        <v>27</v>
      </c>
      <c r="B46" s="7" t="s">
        <v>40</v>
      </c>
      <c r="C46" s="7" t="s">
        <v>45</v>
      </c>
      <c r="D46" s="7" t="s">
        <v>106</v>
      </c>
      <c r="E46" s="7" t="s">
        <v>37</v>
      </c>
      <c r="F46" s="7" t="s">
        <v>107</v>
      </c>
      <c r="G46" s="7">
        <v>2021</v>
      </c>
      <c r="H46" s="7" t="str">
        <f>CONCATENATE("14240320490")</f>
        <v>14240320490</v>
      </c>
      <c r="I46" s="7" t="s">
        <v>30</v>
      </c>
      <c r="J46" s="7" t="s">
        <v>31</v>
      </c>
      <c r="K46" s="7" t="str">
        <f>CONCATENATE("")</f>
        <v/>
      </c>
      <c r="L46" s="7" t="str">
        <f>CONCATENATE("11 11.2 4b")</f>
        <v>11 11.2 4b</v>
      </c>
      <c r="M46" s="7" t="str">
        <f>CONCATENATE("00362580417")</f>
        <v>00362580417</v>
      </c>
      <c r="N46" s="7" t="s">
        <v>113</v>
      </c>
      <c r="O46" s="7" t="s">
        <v>112</v>
      </c>
      <c r="P46" s="8">
        <v>44589</v>
      </c>
      <c r="Q46" s="7" t="s">
        <v>32</v>
      </c>
      <c r="R46" s="7" t="s">
        <v>36</v>
      </c>
      <c r="S46" s="7" t="s">
        <v>33</v>
      </c>
      <c r="T46" s="7"/>
      <c r="U46" s="7" t="s">
        <v>34</v>
      </c>
      <c r="V46" s="9">
        <v>1364.42</v>
      </c>
      <c r="W46" s="7">
        <v>588.34</v>
      </c>
      <c r="X46" s="7">
        <v>543.30999999999995</v>
      </c>
      <c r="Y46" s="7">
        <v>0</v>
      </c>
      <c r="Z46" s="7">
        <v>232.77</v>
      </c>
    </row>
    <row r="47" spans="1:26" x14ac:dyDescent="0.35">
      <c r="A47" s="7" t="s">
        <v>27</v>
      </c>
      <c r="B47" s="7" t="s">
        <v>40</v>
      </c>
      <c r="C47" s="7" t="s">
        <v>45</v>
      </c>
      <c r="D47" s="7" t="s">
        <v>106</v>
      </c>
      <c r="E47" s="7" t="s">
        <v>41</v>
      </c>
      <c r="F47" s="7" t="s">
        <v>114</v>
      </c>
      <c r="G47" s="7">
        <v>2021</v>
      </c>
      <c r="H47" s="7" t="str">
        <f>CONCATENATE("14240866088")</f>
        <v>14240866088</v>
      </c>
      <c r="I47" s="7" t="s">
        <v>30</v>
      </c>
      <c r="J47" s="7" t="s">
        <v>31</v>
      </c>
      <c r="K47" s="7" t="str">
        <f>CONCATENATE("")</f>
        <v/>
      </c>
      <c r="L47" s="7" t="str">
        <f>CONCATENATE("11 11.2 4b")</f>
        <v>11 11.2 4b</v>
      </c>
      <c r="M47" s="7" t="str">
        <f>CONCATENATE("BNCSFN71B18L500V")</f>
        <v>BNCSFN71B18L500V</v>
      </c>
      <c r="N47" s="7" t="s">
        <v>115</v>
      </c>
      <c r="O47" s="7" t="s">
        <v>112</v>
      </c>
      <c r="P47" s="8">
        <v>44589</v>
      </c>
      <c r="Q47" s="7" t="s">
        <v>32</v>
      </c>
      <c r="R47" s="7" t="s">
        <v>36</v>
      </c>
      <c r="S47" s="7" t="s">
        <v>33</v>
      </c>
      <c r="T47" s="7"/>
      <c r="U47" s="7" t="s">
        <v>34</v>
      </c>
      <c r="V47" s="9">
        <v>1025.8599999999999</v>
      </c>
      <c r="W47" s="7">
        <v>442.35</v>
      </c>
      <c r="X47" s="7">
        <v>408.5</v>
      </c>
      <c r="Y47" s="7">
        <v>0</v>
      </c>
      <c r="Z47" s="7">
        <v>175.01</v>
      </c>
    </row>
    <row r="48" spans="1:26" x14ac:dyDescent="0.35">
      <c r="A48" s="7" t="s">
        <v>27</v>
      </c>
      <c r="B48" s="7" t="s">
        <v>40</v>
      </c>
      <c r="C48" s="7" t="s">
        <v>45</v>
      </c>
      <c r="D48" s="7" t="s">
        <v>106</v>
      </c>
      <c r="E48" s="7" t="s">
        <v>37</v>
      </c>
      <c r="F48" s="7" t="s">
        <v>116</v>
      </c>
      <c r="G48" s="7">
        <v>2021</v>
      </c>
      <c r="H48" s="7" t="str">
        <f>CONCATENATE("14240654096")</f>
        <v>14240654096</v>
      </c>
      <c r="I48" s="7" t="s">
        <v>30</v>
      </c>
      <c r="J48" s="7" t="s">
        <v>31</v>
      </c>
      <c r="K48" s="7" t="str">
        <f>CONCATENATE("")</f>
        <v/>
      </c>
      <c r="L48" s="7" t="str">
        <f>CONCATENATE("11 11.2 4b")</f>
        <v>11 11.2 4b</v>
      </c>
      <c r="M48" s="7" t="str">
        <f>CONCATENATE("SCRSNL54M57D749R")</f>
        <v>SCRSNL54M57D749R</v>
      </c>
      <c r="N48" s="7" t="s">
        <v>117</v>
      </c>
      <c r="O48" s="7" t="s">
        <v>112</v>
      </c>
      <c r="P48" s="8">
        <v>44589</v>
      </c>
      <c r="Q48" s="7" t="s">
        <v>32</v>
      </c>
      <c r="R48" s="7" t="s">
        <v>36</v>
      </c>
      <c r="S48" s="7" t="s">
        <v>33</v>
      </c>
      <c r="T48" s="7"/>
      <c r="U48" s="7" t="s">
        <v>34</v>
      </c>
      <c r="V48" s="9">
        <v>1093.77</v>
      </c>
      <c r="W48" s="7">
        <v>471.63</v>
      </c>
      <c r="X48" s="7">
        <v>435.54</v>
      </c>
      <c r="Y48" s="7">
        <v>0</v>
      </c>
      <c r="Z48" s="7">
        <v>186.6</v>
      </c>
    </row>
    <row r="49" spans="1:26" x14ac:dyDescent="0.35">
      <c r="A49" s="7" t="s">
        <v>27</v>
      </c>
      <c r="B49" s="7" t="s">
        <v>40</v>
      </c>
      <c r="C49" s="7" t="s">
        <v>45</v>
      </c>
      <c r="D49" s="7" t="s">
        <v>106</v>
      </c>
      <c r="E49" s="7" t="s">
        <v>42</v>
      </c>
      <c r="F49" s="7" t="s">
        <v>118</v>
      </c>
      <c r="G49" s="7">
        <v>2021</v>
      </c>
      <c r="H49" s="7" t="str">
        <f>CONCATENATE("14241329474")</f>
        <v>14241329474</v>
      </c>
      <c r="I49" s="7" t="s">
        <v>30</v>
      </c>
      <c r="J49" s="7" t="s">
        <v>31</v>
      </c>
      <c r="K49" s="7" t="str">
        <f>CONCATENATE("")</f>
        <v/>
      </c>
      <c r="L49" s="7" t="str">
        <f>CONCATENATE("11 11.2 4b")</f>
        <v>11 11.2 4b</v>
      </c>
      <c r="M49" s="7" t="str">
        <f>CONCATENATE("GSPNTN31C16G089L")</f>
        <v>GSPNTN31C16G089L</v>
      </c>
      <c r="N49" s="7" t="s">
        <v>119</v>
      </c>
      <c r="O49" s="7" t="s">
        <v>112</v>
      </c>
      <c r="P49" s="8">
        <v>44589</v>
      </c>
      <c r="Q49" s="7" t="s">
        <v>32</v>
      </c>
      <c r="R49" s="7" t="s">
        <v>36</v>
      </c>
      <c r="S49" s="7" t="s">
        <v>33</v>
      </c>
      <c r="T49" s="7"/>
      <c r="U49" s="7" t="s">
        <v>34</v>
      </c>
      <c r="V49" s="9">
        <v>8171.94</v>
      </c>
      <c r="W49" s="9">
        <v>3523.74</v>
      </c>
      <c r="X49" s="9">
        <v>3254.07</v>
      </c>
      <c r="Y49" s="7">
        <v>0</v>
      </c>
      <c r="Z49" s="9">
        <v>1394.13</v>
      </c>
    </row>
    <row r="50" spans="1:26" x14ac:dyDescent="0.35">
      <c r="A50" s="7" t="s">
        <v>27</v>
      </c>
      <c r="B50" s="7" t="s">
        <v>40</v>
      </c>
      <c r="C50" s="7" t="s">
        <v>45</v>
      </c>
      <c r="D50" s="7" t="s">
        <v>106</v>
      </c>
      <c r="E50" s="7" t="s">
        <v>38</v>
      </c>
      <c r="F50" s="7" t="s">
        <v>120</v>
      </c>
      <c r="G50" s="7">
        <v>2021</v>
      </c>
      <c r="H50" s="7" t="str">
        <f>CONCATENATE("14241356105")</f>
        <v>14241356105</v>
      </c>
      <c r="I50" s="7" t="s">
        <v>30</v>
      </c>
      <c r="J50" s="7" t="s">
        <v>31</v>
      </c>
      <c r="K50" s="7" t="str">
        <f>CONCATENATE("")</f>
        <v/>
      </c>
      <c r="L50" s="7" t="str">
        <f>CONCATENATE("11 11.2 4b")</f>
        <v>11 11.2 4b</v>
      </c>
      <c r="M50" s="7" t="str">
        <f>CONCATENATE("DTLNDR80A02D488B")</f>
        <v>DTLNDR80A02D488B</v>
      </c>
      <c r="N50" s="7" t="s">
        <v>121</v>
      </c>
      <c r="O50" s="7" t="s">
        <v>112</v>
      </c>
      <c r="P50" s="8">
        <v>44589</v>
      </c>
      <c r="Q50" s="7" t="s">
        <v>32</v>
      </c>
      <c r="R50" s="7" t="s">
        <v>36</v>
      </c>
      <c r="S50" s="7" t="s">
        <v>33</v>
      </c>
      <c r="T50" s="7"/>
      <c r="U50" s="7" t="s">
        <v>34</v>
      </c>
      <c r="V50" s="9">
        <v>1386.42</v>
      </c>
      <c r="W50" s="7">
        <v>597.82000000000005</v>
      </c>
      <c r="X50" s="7">
        <v>552.07000000000005</v>
      </c>
      <c r="Y50" s="7">
        <v>0</v>
      </c>
      <c r="Z50" s="7">
        <v>236.53</v>
      </c>
    </row>
    <row r="51" spans="1:26" x14ac:dyDescent="0.35">
      <c r="A51" s="7" t="s">
        <v>27</v>
      </c>
      <c r="B51" s="7" t="s">
        <v>40</v>
      </c>
      <c r="C51" s="7" t="s">
        <v>45</v>
      </c>
      <c r="D51" s="7" t="s">
        <v>51</v>
      </c>
      <c r="E51" s="7" t="s">
        <v>29</v>
      </c>
      <c r="F51" s="7" t="s">
        <v>67</v>
      </c>
      <c r="G51" s="7">
        <v>2021</v>
      </c>
      <c r="H51" s="7" t="str">
        <f>CONCATENATE("14240455312")</f>
        <v>14240455312</v>
      </c>
      <c r="I51" s="7" t="s">
        <v>30</v>
      </c>
      <c r="J51" s="7" t="s">
        <v>31</v>
      </c>
      <c r="K51" s="7" t="str">
        <f>CONCATENATE("")</f>
        <v/>
      </c>
      <c r="L51" s="7" t="str">
        <f>CONCATENATE("11 11.2 4b")</f>
        <v>11 11.2 4b</v>
      </c>
      <c r="M51" s="7" t="str">
        <f>CONCATENATE("TNTGRG75S17E388V")</f>
        <v>TNTGRG75S17E388V</v>
      </c>
      <c r="N51" s="7" t="s">
        <v>122</v>
      </c>
      <c r="O51" s="7" t="s">
        <v>112</v>
      </c>
      <c r="P51" s="8">
        <v>44589</v>
      </c>
      <c r="Q51" s="7" t="s">
        <v>32</v>
      </c>
      <c r="R51" s="7" t="s">
        <v>36</v>
      </c>
      <c r="S51" s="7" t="s">
        <v>33</v>
      </c>
      <c r="T51" s="7"/>
      <c r="U51" s="7" t="s">
        <v>34</v>
      </c>
      <c r="V51" s="9">
        <v>2833.68</v>
      </c>
      <c r="W51" s="9">
        <v>1221.8800000000001</v>
      </c>
      <c r="X51" s="9">
        <v>1128.3699999999999</v>
      </c>
      <c r="Y51" s="7">
        <v>0</v>
      </c>
      <c r="Z51" s="7">
        <v>483.43</v>
      </c>
    </row>
    <row r="52" spans="1:26" x14ac:dyDescent="0.35">
      <c r="A52" s="7" t="s">
        <v>27</v>
      </c>
      <c r="B52" s="7" t="s">
        <v>40</v>
      </c>
      <c r="C52" s="7" t="s">
        <v>45</v>
      </c>
      <c r="D52" s="7" t="s">
        <v>51</v>
      </c>
      <c r="E52" s="7" t="s">
        <v>29</v>
      </c>
      <c r="F52" s="7" t="s">
        <v>67</v>
      </c>
      <c r="G52" s="7">
        <v>2021</v>
      </c>
      <c r="H52" s="7" t="str">
        <f>CONCATENATE("14240431396")</f>
        <v>14240431396</v>
      </c>
      <c r="I52" s="7" t="s">
        <v>30</v>
      </c>
      <c r="J52" s="7" t="s">
        <v>31</v>
      </c>
      <c r="K52" s="7" t="str">
        <f>CONCATENATE("")</f>
        <v/>
      </c>
      <c r="L52" s="7" t="str">
        <f>CONCATENATE("11 11.2 4b")</f>
        <v>11 11.2 4b</v>
      </c>
      <c r="M52" s="7" t="str">
        <f>CONCATENATE("GRLBRC86E51E388U")</f>
        <v>GRLBRC86E51E388U</v>
      </c>
      <c r="N52" s="7" t="s">
        <v>123</v>
      </c>
      <c r="O52" s="7" t="s">
        <v>112</v>
      </c>
      <c r="P52" s="8">
        <v>44589</v>
      </c>
      <c r="Q52" s="7" t="s">
        <v>32</v>
      </c>
      <c r="R52" s="7" t="s">
        <v>36</v>
      </c>
      <c r="S52" s="7" t="s">
        <v>33</v>
      </c>
      <c r="T52" s="7"/>
      <c r="U52" s="7" t="s">
        <v>34</v>
      </c>
      <c r="V52" s="7">
        <v>396.23</v>
      </c>
      <c r="W52" s="7">
        <v>170.85</v>
      </c>
      <c r="X52" s="7">
        <v>157.78</v>
      </c>
      <c r="Y52" s="7">
        <v>0</v>
      </c>
      <c r="Z52" s="7">
        <v>67.599999999999994</v>
      </c>
    </row>
    <row r="53" spans="1:26" x14ac:dyDescent="0.35">
      <c r="A53" s="7" t="s">
        <v>27</v>
      </c>
      <c r="B53" s="7" t="s">
        <v>40</v>
      </c>
      <c r="C53" s="7" t="s">
        <v>45</v>
      </c>
      <c r="D53" s="7" t="s">
        <v>51</v>
      </c>
      <c r="E53" s="7" t="s">
        <v>29</v>
      </c>
      <c r="F53" s="7" t="s">
        <v>124</v>
      </c>
      <c r="G53" s="7">
        <v>2021</v>
      </c>
      <c r="H53" s="7" t="str">
        <f>CONCATENATE("14240499195")</f>
        <v>14240499195</v>
      </c>
      <c r="I53" s="7" t="s">
        <v>30</v>
      </c>
      <c r="J53" s="7" t="s">
        <v>31</v>
      </c>
      <c r="K53" s="7" t="str">
        <f>CONCATENATE("")</f>
        <v/>
      </c>
      <c r="L53" s="7" t="str">
        <f>CONCATENATE("11 11.2 4b")</f>
        <v>11 11.2 4b</v>
      </c>
      <c r="M53" s="7" t="str">
        <f>CONCATENATE("02556970420")</f>
        <v>02556970420</v>
      </c>
      <c r="N53" s="7" t="s">
        <v>125</v>
      </c>
      <c r="O53" s="7" t="s">
        <v>112</v>
      </c>
      <c r="P53" s="8">
        <v>44589</v>
      </c>
      <c r="Q53" s="7" t="s">
        <v>32</v>
      </c>
      <c r="R53" s="7" t="s">
        <v>36</v>
      </c>
      <c r="S53" s="7" t="s">
        <v>33</v>
      </c>
      <c r="T53" s="7"/>
      <c r="U53" s="7" t="s">
        <v>34</v>
      </c>
      <c r="V53" s="7">
        <v>695.49</v>
      </c>
      <c r="W53" s="7">
        <v>299.89999999999998</v>
      </c>
      <c r="X53" s="7">
        <v>276.94</v>
      </c>
      <c r="Y53" s="7">
        <v>0</v>
      </c>
      <c r="Z53" s="7">
        <v>118.65</v>
      </c>
    </row>
    <row r="54" spans="1:26" x14ac:dyDescent="0.35">
      <c r="A54" s="7" t="s">
        <v>27</v>
      </c>
      <c r="B54" s="7" t="s">
        <v>40</v>
      </c>
      <c r="C54" s="7" t="s">
        <v>45</v>
      </c>
      <c r="D54" s="7" t="s">
        <v>51</v>
      </c>
      <c r="E54" s="7" t="s">
        <v>38</v>
      </c>
      <c r="F54" s="7" t="s">
        <v>126</v>
      </c>
      <c r="G54" s="7">
        <v>2021</v>
      </c>
      <c r="H54" s="7" t="str">
        <f>CONCATENATE("14241320424")</f>
        <v>14241320424</v>
      </c>
      <c r="I54" s="7" t="s">
        <v>30</v>
      </c>
      <c r="J54" s="7" t="s">
        <v>31</v>
      </c>
      <c r="K54" s="7" t="str">
        <f>CONCATENATE("")</f>
        <v/>
      </c>
      <c r="L54" s="7" t="str">
        <f>CONCATENATE("11 11.2 4b")</f>
        <v>11 11.2 4b</v>
      </c>
      <c r="M54" s="7" t="str">
        <f>CONCATENATE("STGLCN57S22L506X")</f>
        <v>STGLCN57S22L506X</v>
      </c>
      <c r="N54" s="7" t="s">
        <v>127</v>
      </c>
      <c r="O54" s="7" t="s">
        <v>112</v>
      </c>
      <c r="P54" s="8">
        <v>44589</v>
      </c>
      <c r="Q54" s="7" t="s">
        <v>32</v>
      </c>
      <c r="R54" s="7" t="s">
        <v>36</v>
      </c>
      <c r="S54" s="7" t="s">
        <v>33</v>
      </c>
      <c r="T54" s="7"/>
      <c r="U54" s="7" t="s">
        <v>34</v>
      </c>
      <c r="V54" s="7">
        <v>911.38</v>
      </c>
      <c r="W54" s="7">
        <v>392.99</v>
      </c>
      <c r="X54" s="7">
        <v>362.91</v>
      </c>
      <c r="Y54" s="7">
        <v>0</v>
      </c>
      <c r="Z54" s="7">
        <v>155.47999999999999</v>
      </c>
    </row>
    <row r="55" spans="1:26" x14ac:dyDescent="0.35">
      <c r="A55" s="7" t="s">
        <v>27</v>
      </c>
      <c r="B55" s="7" t="s">
        <v>40</v>
      </c>
      <c r="C55" s="7" t="s">
        <v>45</v>
      </c>
      <c r="D55" s="7" t="s">
        <v>51</v>
      </c>
      <c r="E55" s="7" t="s">
        <v>29</v>
      </c>
      <c r="F55" s="7" t="s">
        <v>128</v>
      </c>
      <c r="G55" s="7">
        <v>2021</v>
      </c>
      <c r="H55" s="7" t="str">
        <f>CONCATENATE("14240743659")</f>
        <v>14240743659</v>
      </c>
      <c r="I55" s="7" t="s">
        <v>30</v>
      </c>
      <c r="J55" s="7" t="s">
        <v>31</v>
      </c>
      <c r="K55" s="7" t="str">
        <f>CONCATENATE("")</f>
        <v/>
      </c>
      <c r="L55" s="7" t="str">
        <f>CONCATENATE("11 11.2 4b")</f>
        <v>11 11.2 4b</v>
      </c>
      <c r="M55" s="7" t="str">
        <f>CONCATENATE("TSSMRT50B04I461Y")</f>
        <v>TSSMRT50B04I461Y</v>
      </c>
      <c r="N55" s="7" t="s">
        <v>129</v>
      </c>
      <c r="O55" s="7" t="s">
        <v>112</v>
      </c>
      <c r="P55" s="8">
        <v>44589</v>
      </c>
      <c r="Q55" s="7" t="s">
        <v>32</v>
      </c>
      <c r="R55" s="7" t="s">
        <v>36</v>
      </c>
      <c r="S55" s="7" t="s">
        <v>33</v>
      </c>
      <c r="T55" s="7"/>
      <c r="U55" s="7" t="s">
        <v>34</v>
      </c>
      <c r="V55" s="7">
        <v>774.38</v>
      </c>
      <c r="W55" s="7">
        <v>333.91</v>
      </c>
      <c r="X55" s="7">
        <v>308.36</v>
      </c>
      <c r="Y55" s="7">
        <v>0</v>
      </c>
      <c r="Z55" s="7">
        <v>132.11000000000001</v>
      </c>
    </row>
    <row r="56" spans="1:26" x14ac:dyDescent="0.35">
      <c r="A56" s="7" t="s">
        <v>27</v>
      </c>
      <c r="B56" s="7" t="s">
        <v>40</v>
      </c>
      <c r="C56" s="7" t="s">
        <v>45</v>
      </c>
      <c r="D56" s="7" t="s">
        <v>46</v>
      </c>
      <c r="E56" s="7" t="s">
        <v>42</v>
      </c>
      <c r="F56" s="7" t="s">
        <v>72</v>
      </c>
      <c r="G56" s="7">
        <v>2021</v>
      </c>
      <c r="H56" s="7" t="str">
        <f>CONCATENATE("14240221987")</f>
        <v>14240221987</v>
      </c>
      <c r="I56" s="7" t="s">
        <v>30</v>
      </c>
      <c r="J56" s="7" t="s">
        <v>31</v>
      </c>
      <c r="K56" s="7" t="str">
        <f>CONCATENATE("")</f>
        <v/>
      </c>
      <c r="L56" s="7" t="str">
        <f>CONCATENATE("10 10.1 4a")</f>
        <v>10 10.1 4a</v>
      </c>
      <c r="M56" s="7" t="str">
        <f>CONCATENATE("GBRMFR62C60A335O")</f>
        <v>GBRMFR62C60A335O</v>
      </c>
      <c r="N56" s="7" t="s">
        <v>130</v>
      </c>
      <c r="O56" s="7" t="s">
        <v>105</v>
      </c>
      <c r="P56" s="8">
        <v>44589</v>
      </c>
      <c r="Q56" s="7" t="s">
        <v>32</v>
      </c>
      <c r="R56" s="7" t="s">
        <v>36</v>
      </c>
      <c r="S56" s="7" t="s">
        <v>33</v>
      </c>
      <c r="T56" s="7"/>
      <c r="U56" s="7" t="s">
        <v>34</v>
      </c>
      <c r="V56" s="9">
        <v>1384.28</v>
      </c>
      <c r="W56" s="7">
        <v>596.9</v>
      </c>
      <c r="X56" s="7">
        <v>551.22</v>
      </c>
      <c r="Y56" s="7">
        <v>0</v>
      </c>
      <c r="Z56" s="7">
        <v>236.16</v>
      </c>
    </row>
    <row r="57" spans="1:26" x14ac:dyDescent="0.35">
      <c r="A57" s="7" t="s">
        <v>27</v>
      </c>
      <c r="B57" s="7" t="s">
        <v>40</v>
      </c>
      <c r="C57" s="7" t="s">
        <v>45</v>
      </c>
      <c r="D57" s="7" t="s">
        <v>51</v>
      </c>
      <c r="E57" s="7" t="s">
        <v>42</v>
      </c>
      <c r="F57" s="7" t="s">
        <v>131</v>
      </c>
      <c r="G57" s="7">
        <v>2021</v>
      </c>
      <c r="H57" s="7" t="str">
        <f>CONCATENATE("14211327540")</f>
        <v>14211327540</v>
      </c>
      <c r="I57" s="7" t="s">
        <v>30</v>
      </c>
      <c r="J57" s="7" t="s">
        <v>31</v>
      </c>
      <c r="K57" s="7" t="str">
        <f>CONCATENATE("")</f>
        <v/>
      </c>
      <c r="L57" s="7" t="str">
        <f>CONCATENATE("12 12.1 4a")</f>
        <v>12 12.1 4a</v>
      </c>
      <c r="M57" s="7" t="str">
        <f>CONCATENATE("01964550436")</f>
        <v>01964550436</v>
      </c>
      <c r="N57" s="7" t="s">
        <v>132</v>
      </c>
      <c r="O57" s="7" t="s">
        <v>133</v>
      </c>
      <c r="P57" s="8">
        <v>44588</v>
      </c>
      <c r="Q57" s="7" t="s">
        <v>32</v>
      </c>
      <c r="R57" s="7" t="s">
        <v>36</v>
      </c>
      <c r="S57" s="7" t="s">
        <v>33</v>
      </c>
      <c r="T57" s="7"/>
      <c r="U57" s="7" t="s">
        <v>34</v>
      </c>
      <c r="V57" s="7">
        <v>650.64</v>
      </c>
      <c r="W57" s="7">
        <v>280.56</v>
      </c>
      <c r="X57" s="7">
        <v>259.08</v>
      </c>
      <c r="Y57" s="7">
        <v>0</v>
      </c>
      <c r="Z57" s="7">
        <v>111</v>
      </c>
    </row>
    <row r="58" spans="1:26" x14ac:dyDescent="0.35">
      <c r="A58" s="7" t="s">
        <v>27</v>
      </c>
      <c r="B58" s="7" t="s">
        <v>40</v>
      </c>
      <c r="C58" s="7" t="s">
        <v>45</v>
      </c>
      <c r="D58" s="7" t="s">
        <v>106</v>
      </c>
      <c r="E58" s="7" t="s">
        <v>41</v>
      </c>
      <c r="F58" s="7" t="s">
        <v>89</v>
      </c>
      <c r="G58" s="7">
        <v>2021</v>
      </c>
      <c r="H58" s="7" t="str">
        <f>CONCATENATE("14241399766")</f>
        <v>14241399766</v>
      </c>
      <c r="I58" s="7" t="s">
        <v>30</v>
      </c>
      <c r="J58" s="7" t="s">
        <v>31</v>
      </c>
      <c r="K58" s="7" t="str">
        <f>CONCATENATE("")</f>
        <v/>
      </c>
      <c r="L58" s="7" t="str">
        <f>CONCATENATE("11 11.1 4b")</f>
        <v>11 11.1 4b</v>
      </c>
      <c r="M58" s="7" t="str">
        <f>CONCATENATE("02629240413")</f>
        <v>02629240413</v>
      </c>
      <c r="N58" s="7" t="s">
        <v>134</v>
      </c>
      <c r="O58" s="7" t="s">
        <v>112</v>
      </c>
      <c r="P58" s="8">
        <v>44589</v>
      </c>
      <c r="Q58" s="7" t="s">
        <v>32</v>
      </c>
      <c r="R58" s="7" t="s">
        <v>36</v>
      </c>
      <c r="S58" s="7" t="s">
        <v>33</v>
      </c>
      <c r="T58" s="7"/>
      <c r="U58" s="7" t="s">
        <v>34</v>
      </c>
      <c r="V58" s="9">
        <v>2637.04</v>
      </c>
      <c r="W58" s="9">
        <v>1137.0899999999999</v>
      </c>
      <c r="X58" s="9">
        <v>1050.07</v>
      </c>
      <c r="Y58" s="7">
        <v>0</v>
      </c>
      <c r="Z58" s="7">
        <v>449.88</v>
      </c>
    </row>
    <row r="59" spans="1:26" x14ac:dyDescent="0.35">
      <c r="A59" s="7" t="s">
        <v>27</v>
      </c>
      <c r="B59" s="7" t="s">
        <v>40</v>
      </c>
      <c r="C59" s="7" t="s">
        <v>45</v>
      </c>
      <c r="D59" s="7" t="s">
        <v>106</v>
      </c>
      <c r="E59" s="7" t="s">
        <v>41</v>
      </c>
      <c r="F59" s="7" t="s">
        <v>89</v>
      </c>
      <c r="G59" s="7">
        <v>2021</v>
      </c>
      <c r="H59" s="7" t="str">
        <f>CONCATENATE("14241399782")</f>
        <v>14241399782</v>
      </c>
      <c r="I59" s="7" t="s">
        <v>30</v>
      </c>
      <c r="J59" s="7" t="s">
        <v>31</v>
      </c>
      <c r="K59" s="7" t="str">
        <f>CONCATENATE("")</f>
        <v/>
      </c>
      <c r="L59" s="7" t="str">
        <f>CONCATENATE("11 11.2 4b")</f>
        <v>11 11.2 4b</v>
      </c>
      <c r="M59" s="7" t="str">
        <f>CONCATENATE("02629240413")</f>
        <v>02629240413</v>
      </c>
      <c r="N59" s="7" t="s">
        <v>134</v>
      </c>
      <c r="O59" s="7" t="s">
        <v>112</v>
      </c>
      <c r="P59" s="8">
        <v>44589</v>
      </c>
      <c r="Q59" s="7" t="s">
        <v>32</v>
      </c>
      <c r="R59" s="7" t="s">
        <v>36</v>
      </c>
      <c r="S59" s="7" t="s">
        <v>33</v>
      </c>
      <c r="T59" s="7"/>
      <c r="U59" s="7" t="s">
        <v>34</v>
      </c>
      <c r="V59" s="9">
        <v>1935.16</v>
      </c>
      <c r="W59" s="7">
        <v>834.44</v>
      </c>
      <c r="X59" s="7">
        <v>770.58</v>
      </c>
      <c r="Y59" s="7">
        <v>0</v>
      </c>
      <c r="Z59" s="7">
        <v>330.14</v>
      </c>
    </row>
    <row r="60" spans="1:26" x14ac:dyDescent="0.35">
      <c r="A60" s="7" t="s">
        <v>27</v>
      </c>
      <c r="B60" s="7" t="s">
        <v>40</v>
      </c>
      <c r="C60" s="7" t="s">
        <v>45</v>
      </c>
      <c r="D60" s="7" t="s">
        <v>51</v>
      </c>
      <c r="E60" s="7" t="s">
        <v>29</v>
      </c>
      <c r="F60" s="7" t="s">
        <v>128</v>
      </c>
      <c r="G60" s="7">
        <v>2021</v>
      </c>
      <c r="H60" s="7" t="str">
        <f>CONCATENATE("14240674755")</f>
        <v>14240674755</v>
      </c>
      <c r="I60" s="7" t="s">
        <v>30</v>
      </c>
      <c r="J60" s="7" t="s">
        <v>31</v>
      </c>
      <c r="K60" s="7" t="str">
        <f>CONCATENATE("")</f>
        <v/>
      </c>
      <c r="L60" s="7" t="str">
        <f>CONCATENATE("11 11.2 4b")</f>
        <v>11 11.2 4b</v>
      </c>
      <c r="M60" s="7" t="str">
        <f>CONCATENATE("PTRSDR56M66I653J")</f>
        <v>PTRSDR56M66I653J</v>
      </c>
      <c r="N60" s="7" t="s">
        <v>135</v>
      </c>
      <c r="O60" s="7" t="s">
        <v>112</v>
      </c>
      <c r="P60" s="8">
        <v>44589</v>
      </c>
      <c r="Q60" s="7" t="s">
        <v>32</v>
      </c>
      <c r="R60" s="7" t="s">
        <v>36</v>
      </c>
      <c r="S60" s="7" t="s">
        <v>33</v>
      </c>
      <c r="T60" s="7"/>
      <c r="U60" s="7" t="s">
        <v>34</v>
      </c>
      <c r="V60" s="9">
        <v>5714.36</v>
      </c>
      <c r="W60" s="9">
        <v>2464.0300000000002</v>
      </c>
      <c r="X60" s="9">
        <v>2275.46</v>
      </c>
      <c r="Y60" s="7">
        <v>0</v>
      </c>
      <c r="Z60" s="7">
        <v>974.87</v>
      </c>
    </row>
    <row r="61" spans="1:26" x14ac:dyDescent="0.35">
      <c r="A61" s="7" t="s">
        <v>27</v>
      </c>
      <c r="B61" s="7" t="s">
        <v>40</v>
      </c>
      <c r="C61" s="7" t="s">
        <v>45</v>
      </c>
      <c r="D61" s="7" t="s">
        <v>51</v>
      </c>
      <c r="E61" s="7" t="s">
        <v>29</v>
      </c>
      <c r="F61" s="7" t="s">
        <v>100</v>
      </c>
      <c r="G61" s="7">
        <v>2021</v>
      </c>
      <c r="H61" s="7" t="str">
        <f>CONCATENATE("14210838612")</f>
        <v>14210838612</v>
      </c>
      <c r="I61" s="7" t="s">
        <v>30</v>
      </c>
      <c r="J61" s="7" t="s">
        <v>31</v>
      </c>
      <c r="K61" s="7" t="str">
        <f>CONCATENATE("")</f>
        <v/>
      </c>
      <c r="L61" s="7" t="str">
        <f>CONCATENATE("12 12.1 4a")</f>
        <v>12 12.1 4a</v>
      </c>
      <c r="M61" s="7" t="str">
        <f>CONCATENATE("LVRFBA57T06A092Y")</f>
        <v>LVRFBA57T06A092Y</v>
      </c>
      <c r="N61" s="7" t="s">
        <v>136</v>
      </c>
      <c r="O61" s="7" t="s">
        <v>133</v>
      </c>
      <c r="P61" s="8">
        <v>44588</v>
      </c>
      <c r="Q61" s="7" t="s">
        <v>32</v>
      </c>
      <c r="R61" s="7" t="s">
        <v>36</v>
      </c>
      <c r="S61" s="7" t="s">
        <v>33</v>
      </c>
      <c r="T61" s="7"/>
      <c r="U61" s="7" t="s">
        <v>34</v>
      </c>
      <c r="V61" s="7">
        <v>934.19</v>
      </c>
      <c r="W61" s="7">
        <v>402.82</v>
      </c>
      <c r="X61" s="7">
        <v>371.99</v>
      </c>
      <c r="Y61" s="7">
        <v>0</v>
      </c>
      <c r="Z61" s="7">
        <v>159.38</v>
      </c>
    </row>
    <row r="62" spans="1:26" x14ac:dyDescent="0.35">
      <c r="A62" s="7" t="s">
        <v>27</v>
      </c>
      <c r="B62" s="7" t="s">
        <v>40</v>
      </c>
      <c r="C62" s="7" t="s">
        <v>45</v>
      </c>
      <c r="D62" s="7" t="s">
        <v>106</v>
      </c>
      <c r="E62" s="7" t="s">
        <v>37</v>
      </c>
      <c r="F62" s="7" t="s">
        <v>116</v>
      </c>
      <c r="G62" s="7">
        <v>2021</v>
      </c>
      <c r="H62" s="7" t="str">
        <f>CONCATENATE("14240653940")</f>
        <v>14240653940</v>
      </c>
      <c r="I62" s="7" t="s">
        <v>30</v>
      </c>
      <c r="J62" s="7" t="s">
        <v>31</v>
      </c>
      <c r="K62" s="7" t="str">
        <f>CONCATENATE("")</f>
        <v/>
      </c>
      <c r="L62" s="7" t="str">
        <f>CONCATENATE("11 11.1 4b")</f>
        <v>11 11.1 4b</v>
      </c>
      <c r="M62" s="7" t="str">
        <f>CONCATENATE("PRDTNZ63L23D749L")</f>
        <v>PRDTNZ63L23D749L</v>
      </c>
      <c r="N62" s="7" t="s">
        <v>137</v>
      </c>
      <c r="O62" s="7" t="s">
        <v>112</v>
      </c>
      <c r="P62" s="8">
        <v>44589</v>
      </c>
      <c r="Q62" s="7" t="s">
        <v>32</v>
      </c>
      <c r="R62" s="7" t="s">
        <v>36</v>
      </c>
      <c r="S62" s="7" t="s">
        <v>33</v>
      </c>
      <c r="T62" s="7"/>
      <c r="U62" s="7" t="s">
        <v>34</v>
      </c>
      <c r="V62" s="7">
        <v>922.64</v>
      </c>
      <c r="W62" s="7">
        <v>397.84</v>
      </c>
      <c r="X62" s="7">
        <v>367.4</v>
      </c>
      <c r="Y62" s="7">
        <v>0</v>
      </c>
      <c r="Z62" s="7">
        <v>157.4</v>
      </c>
    </row>
    <row r="63" spans="1:26" x14ac:dyDescent="0.35">
      <c r="A63" s="7" t="s">
        <v>27</v>
      </c>
      <c r="B63" s="7" t="s">
        <v>40</v>
      </c>
      <c r="C63" s="7" t="s">
        <v>45</v>
      </c>
      <c r="D63" s="7" t="s">
        <v>106</v>
      </c>
      <c r="E63" s="7" t="s">
        <v>35</v>
      </c>
      <c r="F63" s="7" t="s">
        <v>35</v>
      </c>
      <c r="G63" s="7">
        <v>2021</v>
      </c>
      <c r="H63" s="7" t="str">
        <f>CONCATENATE("14240851643")</f>
        <v>14240851643</v>
      </c>
      <c r="I63" s="7" t="s">
        <v>30</v>
      </c>
      <c r="J63" s="7" t="s">
        <v>31</v>
      </c>
      <c r="K63" s="7" t="str">
        <f>CONCATENATE("")</f>
        <v/>
      </c>
      <c r="L63" s="7" t="str">
        <f>CONCATENATE("11 11.2 4b")</f>
        <v>11 11.2 4b</v>
      </c>
      <c r="M63" s="7" t="str">
        <f>CONCATENATE("01343920417")</f>
        <v>01343920417</v>
      </c>
      <c r="N63" s="7" t="s">
        <v>138</v>
      </c>
      <c r="O63" s="7" t="s">
        <v>112</v>
      </c>
      <c r="P63" s="8">
        <v>44589</v>
      </c>
      <c r="Q63" s="7" t="s">
        <v>32</v>
      </c>
      <c r="R63" s="7" t="s">
        <v>36</v>
      </c>
      <c r="S63" s="7" t="s">
        <v>33</v>
      </c>
      <c r="T63" s="7"/>
      <c r="U63" s="7" t="s">
        <v>34</v>
      </c>
      <c r="V63" s="9">
        <v>7268.6</v>
      </c>
      <c r="W63" s="9">
        <v>3134.22</v>
      </c>
      <c r="X63" s="9">
        <v>2894.36</v>
      </c>
      <c r="Y63" s="7">
        <v>0</v>
      </c>
      <c r="Z63" s="9">
        <v>1240.02</v>
      </c>
    </row>
    <row r="64" spans="1:26" x14ac:dyDescent="0.35">
      <c r="A64" s="7" t="s">
        <v>27</v>
      </c>
      <c r="B64" s="7" t="s">
        <v>40</v>
      </c>
      <c r="C64" s="7" t="s">
        <v>45</v>
      </c>
      <c r="D64" s="7" t="s">
        <v>51</v>
      </c>
      <c r="E64" s="7" t="s">
        <v>29</v>
      </c>
      <c r="F64" s="7" t="s">
        <v>139</v>
      </c>
      <c r="G64" s="7">
        <v>2021</v>
      </c>
      <c r="H64" s="7" t="str">
        <f>CONCATENATE("14241225904")</f>
        <v>14241225904</v>
      </c>
      <c r="I64" s="7" t="s">
        <v>30</v>
      </c>
      <c r="J64" s="7" t="s">
        <v>31</v>
      </c>
      <c r="K64" s="7" t="str">
        <f>CONCATENATE("")</f>
        <v/>
      </c>
      <c r="L64" s="7" t="str">
        <f>CONCATENATE("11 11.2 4b")</f>
        <v>11 11.2 4b</v>
      </c>
      <c r="M64" s="7" t="str">
        <f>CONCATENATE("TRRMCS74H52D451J")</f>
        <v>TRRMCS74H52D451J</v>
      </c>
      <c r="N64" s="7" t="s">
        <v>140</v>
      </c>
      <c r="O64" s="7" t="s">
        <v>112</v>
      </c>
      <c r="P64" s="8">
        <v>44589</v>
      </c>
      <c r="Q64" s="7" t="s">
        <v>32</v>
      </c>
      <c r="R64" s="7" t="s">
        <v>36</v>
      </c>
      <c r="S64" s="7" t="s">
        <v>33</v>
      </c>
      <c r="T64" s="7"/>
      <c r="U64" s="7" t="s">
        <v>34</v>
      </c>
      <c r="V64" s="7">
        <v>137.88999999999999</v>
      </c>
      <c r="W64" s="7">
        <v>59.46</v>
      </c>
      <c r="X64" s="7">
        <v>54.91</v>
      </c>
      <c r="Y64" s="7">
        <v>0</v>
      </c>
      <c r="Z64" s="7">
        <v>23.52</v>
      </c>
    </row>
    <row r="65" spans="1:26" x14ac:dyDescent="0.35">
      <c r="A65" s="7" t="s">
        <v>27</v>
      </c>
      <c r="B65" s="7" t="s">
        <v>40</v>
      </c>
      <c r="C65" s="7" t="s">
        <v>45</v>
      </c>
      <c r="D65" s="7" t="s">
        <v>51</v>
      </c>
      <c r="E65" s="7" t="s">
        <v>29</v>
      </c>
      <c r="F65" s="7" t="s">
        <v>67</v>
      </c>
      <c r="G65" s="7">
        <v>2021</v>
      </c>
      <c r="H65" s="7" t="str">
        <f>CONCATENATE("14241155689")</f>
        <v>14241155689</v>
      </c>
      <c r="I65" s="7" t="s">
        <v>30</v>
      </c>
      <c r="J65" s="7" t="s">
        <v>31</v>
      </c>
      <c r="K65" s="7" t="str">
        <f>CONCATENATE("")</f>
        <v/>
      </c>
      <c r="L65" s="7" t="str">
        <f>CONCATENATE("11 11.2 4b")</f>
        <v>11 11.2 4b</v>
      </c>
      <c r="M65" s="7" t="str">
        <f>CONCATENATE("SBBLCU79L21E388P")</f>
        <v>SBBLCU79L21E388P</v>
      </c>
      <c r="N65" s="7" t="s">
        <v>141</v>
      </c>
      <c r="O65" s="7" t="s">
        <v>142</v>
      </c>
      <c r="P65" s="8">
        <v>44589</v>
      </c>
      <c r="Q65" s="7" t="s">
        <v>32</v>
      </c>
      <c r="R65" s="7" t="s">
        <v>36</v>
      </c>
      <c r="S65" s="7" t="s">
        <v>33</v>
      </c>
      <c r="T65" s="7"/>
      <c r="U65" s="7" t="s">
        <v>34</v>
      </c>
      <c r="V65" s="9">
        <v>1473.72</v>
      </c>
      <c r="W65" s="7">
        <v>635.47</v>
      </c>
      <c r="X65" s="7">
        <v>586.84</v>
      </c>
      <c r="Y65" s="7">
        <v>0</v>
      </c>
      <c r="Z65" s="7">
        <v>251.41</v>
      </c>
    </row>
    <row r="66" spans="1:26" x14ac:dyDescent="0.35">
      <c r="A66" s="7" t="s">
        <v>27</v>
      </c>
      <c r="B66" s="7" t="s">
        <v>40</v>
      </c>
      <c r="C66" s="7" t="s">
        <v>45</v>
      </c>
      <c r="D66" s="7" t="s">
        <v>51</v>
      </c>
      <c r="E66" s="7" t="s">
        <v>29</v>
      </c>
      <c r="F66" s="7" t="s">
        <v>67</v>
      </c>
      <c r="G66" s="7">
        <v>2021</v>
      </c>
      <c r="H66" s="7" t="str">
        <f>CONCATENATE("14241162131")</f>
        <v>14241162131</v>
      </c>
      <c r="I66" s="7" t="s">
        <v>30</v>
      </c>
      <c r="J66" s="7" t="s">
        <v>31</v>
      </c>
      <c r="K66" s="7" t="str">
        <f>CONCATENATE("")</f>
        <v/>
      </c>
      <c r="L66" s="7" t="str">
        <f>CONCATENATE("11 11.2 4b")</f>
        <v>11 11.2 4b</v>
      </c>
      <c r="M66" s="7" t="str">
        <f>CONCATENATE("SBBLCU79L21E388P")</f>
        <v>SBBLCU79L21E388P</v>
      </c>
      <c r="N66" s="7" t="s">
        <v>141</v>
      </c>
      <c r="O66" s="7" t="s">
        <v>142</v>
      </c>
      <c r="P66" s="8">
        <v>44589</v>
      </c>
      <c r="Q66" s="7" t="s">
        <v>32</v>
      </c>
      <c r="R66" s="7" t="s">
        <v>36</v>
      </c>
      <c r="S66" s="7" t="s">
        <v>33</v>
      </c>
      <c r="T66" s="7"/>
      <c r="U66" s="7" t="s">
        <v>34</v>
      </c>
      <c r="V66" s="9">
        <v>17791.55</v>
      </c>
      <c r="W66" s="9">
        <v>7671.72</v>
      </c>
      <c r="X66" s="9">
        <v>7084.6</v>
      </c>
      <c r="Y66" s="7">
        <v>0</v>
      </c>
      <c r="Z66" s="9">
        <v>3035.23</v>
      </c>
    </row>
    <row r="67" spans="1:26" x14ac:dyDescent="0.35">
      <c r="A67" s="7" t="s">
        <v>27</v>
      </c>
      <c r="B67" s="7" t="s">
        <v>40</v>
      </c>
      <c r="C67" s="7" t="s">
        <v>45</v>
      </c>
      <c r="D67" s="7" t="s">
        <v>51</v>
      </c>
      <c r="E67" s="7" t="s">
        <v>42</v>
      </c>
      <c r="F67" s="7" t="s">
        <v>131</v>
      </c>
      <c r="G67" s="7">
        <v>2021</v>
      </c>
      <c r="H67" s="7" t="str">
        <f>CONCATENATE("14241058354")</f>
        <v>14241058354</v>
      </c>
      <c r="I67" s="7" t="s">
        <v>30</v>
      </c>
      <c r="J67" s="7" t="s">
        <v>31</v>
      </c>
      <c r="K67" s="7" t="str">
        <f>CONCATENATE("")</f>
        <v/>
      </c>
      <c r="L67" s="7" t="str">
        <f>CONCATENATE("11 11.1 4b")</f>
        <v>11 11.1 4b</v>
      </c>
      <c r="M67" s="7" t="str">
        <f>CONCATENATE("02555110424")</f>
        <v>02555110424</v>
      </c>
      <c r="N67" s="7" t="s">
        <v>143</v>
      </c>
      <c r="O67" s="7" t="s">
        <v>142</v>
      </c>
      <c r="P67" s="8">
        <v>44589</v>
      </c>
      <c r="Q67" s="7" t="s">
        <v>32</v>
      </c>
      <c r="R67" s="7" t="s">
        <v>36</v>
      </c>
      <c r="S67" s="7" t="s">
        <v>33</v>
      </c>
      <c r="T67" s="7"/>
      <c r="U67" s="7" t="s">
        <v>34</v>
      </c>
      <c r="V67" s="9">
        <v>7418.25</v>
      </c>
      <c r="W67" s="9">
        <v>3198.75</v>
      </c>
      <c r="X67" s="9">
        <v>2953.95</v>
      </c>
      <c r="Y67" s="7">
        <v>0</v>
      </c>
      <c r="Z67" s="9">
        <v>1265.55</v>
      </c>
    </row>
    <row r="68" spans="1:26" x14ac:dyDescent="0.35">
      <c r="A68" s="7" t="s">
        <v>27</v>
      </c>
      <c r="B68" s="7" t="s">
        <v>40</v>
      </c>
      <c r="C68" s="7" t="s">
        <v>45</v>
      </c>
      <c r="D68" s="7" t="s">
        <v>51</v>
      </c>
      <c r="E68" s="7" t="s">
        <v>29</v>
      </c>
      <c r="F68" s="7" t="s">
        <v>128</v>
      </c>
      <c r="G68" s="7">
        <v>2021</v>
      </c>
      <c r="H68" s="7" t="str">
        <f>CONCATENATE("14240729237")</f>
        <v>14240729237</v>
      </c>
      <c r="I68" s="7" t="s">
        <v>30</v>
      </c>
      <c r="J68" s="7" t="s">
        <v>31</v>
      </c>
      <c r="K68" s="7" t="str">
        <f>CONCATENATE("")</f>
        <v/>
      </c>
      <c r="L68" s="7" t="str">
        <f>CONCATENATE("11 11.2 4b")</f>
        <v>11 11.2 4b</v>
      </c>
      <c r="M68" s="7" t="str">
        <f>CONCATENATE("LZZLEI59L44A366R")</f>
        <v>LZZLEI59L44A366R</v>
      </c>
      <c r="N68" s="7" t="s">
        <v>144</v>
      </c>
      <c r="O68" s="7" t="s">
        <v>142</v>
      </c>
      <c r="P68" s="8">
        <v>44589</v>
      </c>
      <c r="Q68" s="7" t="s">
        <v>32</v>
      </c>
      <c r="R68" s="7" t="s">
        <v>36</v>
      </c>
      <c r="S68" s="7" t="s">
        <v>33</v>
      </c>
      <c r="T68" s="7"/>
      <c r="U68" s="7" t="s">
        <v>34</v>
      </c>
      <c r="V68" s="9">
        <v>2735.39</v>
      </c>
      <c r="W68" s="9">
        <v>1179.5</v>
      </c>
      <c r="X68" s="9">
        <v>1089.23</v>
      </c>
      <c r="Y68" s="7">
        <v>0</v>
      </c>
      <c r="Z68" s="7">
        <v>466.66</v>
      </c>
    </row>
    <row r="69" spans="1:26" x14ac:dyDescent="0.35">
      <c r="A69" s="7" t="s">
        <v>27</v>
      </c>
      <c r="B69" s="7" t="s">
        <v>40</v>
      </c>
      <c r="C69" s="7" t="s">
        <v>45</v>
      </c>
      <c r="D69" s="7" t="s">
        <v>51</v>
      </c>
      <c r="E69" s="7" t="s">
        <v>29</v>
      </c>
      <c r="F69" s="7" t="s">
        <v>67</v>
      </c>
      <c r="G69" s="7">
        <v>2021</v>
      </c>
      <c r="H69" s="7" t="str">
        <f>CONCATENATE("14241080408")</f>
        <v>14241080408</v>
      </c>
      <c r="I69" s="7" t="s">
        <v>30</v>
      </c>
      <c r="J69" s="7" t="s">
        <v>31</v>
      </c>
      <c r="K69" s="7" t="str">
        <f>CONCATENATE("")</f>
        <v/>
      </c>
      <c r="L69" s="7" t="str">
        <f>CONCATENATE("11 11.2 4b")</f>
        <v>11 11.2 4b</v>
      </c>
      <c r="M69" s="7" t="str">
        <f>CONCATENATE("LDZNDR84P23E388K")</f>
        <v>LDZNDR84P23E388K</v>
      </c>
      <c r="N69" s="7" t="s">
        <v>145</v>
      </c>
      <c r="O69" s="7" t="s">
        <v>142</v>
      </c>
      <c r="P69" s="8">
        <v>44589</v>
      </c>
      <c r="Q69" s="7" t="s">
        <v>32</v>
      </c>
      <c r="R69" s="7" t="s">
        <v>36</v>
      </c>
      <c r="S69" s="7" t="s">
        <v>33</v>
      </c>
      <c r="T69" s="7"/>
      <c r="U69" s="7" t="s">
        <v>34</v>
      </c>
      <c r="V69" s="7">
        <v>411.38</v>
      </c>
      <c r="W69" s="7">
        <v>177.39</v>
      </c>
      <c r="X69" s="7">
        <v>163.81</v>
      </c>
      <c r="Y69" s="7">
        <v>0</v>
      </c>
      <c r="Z69" s="7">
        <v>70.180000000000007</v>
      </c>
    </row>
    <row r="70" spans="1:26" x14ac:dyDescent="0.35">
      <c r="A70" s="7" t="s">
        <v>27</v>
      </c>
      <c r="B70" s="7" t="s">
        <v>40</v>
      </c>
      <c r="C70" s="7" t="s">
        <v>45</v>
      </c>
      <c r="D70" s="7" t="s">
        <v>51</v>
      </c>
      <c r="E70" s="7" t="s">
        <v>29</v>
      </c>
      <c r="F70" s="7" t="s">
        <v>128</v>
      </c>
      <c r="G70" s="7">
        <v>2021</v>
      </c>
      <c r="H70" s="7" t="str">
        <f>CONCATENATE("14240726175")</f>
        <v>14240726175</v>
      </c>
      <c r="I70" s="7" t="s">
        <v>30</v>
      </c>
      <c r="J70" s="7" t="s">
        <v>31</v>
      </c>
      <c r="K70" s="7" t="str">
        <f>CONCATENATE("")</f>
        <v/>
      </c>
      <c r="L70" s="7" t="str">
        <f>CONCATENATE("11 11.1 4b")</f>
        <v>11 11.1 4b</v>
      </c>
      <c r="M70" s="7" t="str">
        <f>CONCATENATE("SPSDNL79A55L063N")</f>
        <v>SPSDNL79A55L063N</v>
      </c>
      <c r="N70" s="7" t="s">
        <v>146</v>
      </c>
      <c r="O70" s="7" t="s">
        <v>142</v>
      </c>
      <c r="P70" s="8">
        <v>44589</v>
      </c>
      <c r="Q70" s="7" t="s">
        <v>32</v>
      </c>
      <c r="R70" s="7" t="s">
        <v>36</v>
      </c>
      <c r="S70" s="7" t="s">
        <v>33</v>
      </c>
      <c r="T70" s="7"/>
      <c r="U70" s="7" t="s">
        <v>34</v>
      </c>
      <c r="V70" s="9">
        <v>1702.28</v>
      </c>
      <c r="W70" s="7">
        <v>734.02</v>
      </c>
      <c r="X70" s="7">
        <v>677.85</v>
      </c>
      <c r="Y70" s="7">
        <v>0</v>
      </c>
      <c r="Z70" s="7">
        <v>290.41000000000003</v>
      </c>
    </row>
    <row r="71" spans="1:26" x14ac:dyDescent="0.35">
      <c r="A71" s="7" t="s">
        <v>27</v>
      </c>
      <c r="B71" s="7" t="s">
        <v>40</v>
      </c>
      <c r="C71" s="7" t="s">
        <v>45</v>
      </c>
      <c r="D71" s="7" t="s">
        <v>51</v>
      </c>
      <c r="E71" s="7" t="s">
        <v>38</v>
      </c>
      <c r="F71" s="7" t="s">
        <v>147</v>
      </c>
      <c r="G71" s="7">
        <v>2021</v>
      </c>
      <c r="H71" s="7" t="str">
        <f>CONCATENATE("14240551342")</f>
        <v>14240551342</v>
      </c>
      <c r="I71" s="7" t="s">
        <v>30</v>
      </c>
      <c r="J71" s="7" t="s">
        <v>31</v>
      </c>
      <c r="K71" s="7" t="str">
        <f>CONCATENATE("")</f>
        <v/>
      </c>
      <c r="L71" s="7" t="str">
        <f>CONCATENATE("11 11.2 4b")</f>
        <v>11 11.2 4b</v>
      </c>
      <c r="M71" s="7" t="str">
        <f>CONCATENATE("PRRMCL73A27D211B")</f>
        <v>PRRMCL73A27D211B</v>
      </c>
      <c r="N71" s="7" t="s">
        <v>148</v>
      </c>
      <c r="O71" s="7" t="s">
        <v>142</v>
      </c>
      <c r="P71" s="8">
        <v>44589</v>
      </c>
      <c r="Q71" s="7" t="s">
        <v>32</v>
      </c>
      <c r="R71" s="7" t="s">
        <v>36</v>
      </c>
      <c r="S71" s="7" t="s">
        <v>33</v>
      </c>
      <c r="T71" s="7"/>
      <c r="U71" s="7" t="s">
        <v>34</v>
      </c>
      <c r="V71" s="7">
        <v>110.58</v>
      </c>
      <c r="W71" s="7">
        <v>47.68</v>
      </c>
      <c r="X71" s="7">
        <v>44.03</v>
      </c>
      <c r="Y71" s="7">
        <v>0</v>
      </c>
      <c r="Z71" s="7">
        <v>18.87</v>
      </c>
    </row>
    <row r="72" spans="1:26" x14ac:dyDescent="0.35">
      <c r="A72" s="7" t="s">
        <v>27</v>
      </c>
      <c r="B72" s="7" t="s">
        <v>40</v>
      </c>
      <c r="C72" s="7" t="s">
        <v>45</v>
      </c>
      <c r="D72" s="7" t="s">
        <v>51</v>
      </c>
      <c r="E72" s="7" t="s">
        <v>37</v>
      </c>
      <c r="F72" s="7" t="s">
        <v>149</v>
      </c>
      <c r="G72" s="7">
        <v>2021</v>
      </c>
      <c r="H72" s="7" t="str">
        <f>CONCATENATE("14240495318")</f>
        <v>14240495318</v>
      </c>
      <c r="I72" s="7" t="s">
        <v>30</v>
      </c>
      <c r="J72" s="7" t="s">
        <v>31</v>
      </c>
      <c r="K72" s="7" t="str">
        <f>CONCATENATE("")</f>
        <v/>
      </c>
      <c r="L72" s="7" t="str">
        <f>CONCATENATE("11 11.1 4b")</f>
        <v>11 11.1 4b</v>
      </c>
      <c r="M72" s="7" t="str">
        <f>CONCATENATE("02699280422")</f>
        <v>02699280422</v>
      </c>
      <c r="N72" s="7" t="s">
        <v>150</v>
      </c>
      <c r="O72" s="7" t="s">
        <v>142</v>
      </c>
      <c r="P72" s="8">
        <v>44589</v>
      </c>
      <c r="Q72" s="7" t="s">
        <v>32</v>
      </c>
      <c r="R72" s="7" t="s">
        <v>36</v>
      </c>
      <c r="S72" s="7" t="s">
        <v>33</v>
      </c>
      <c r="T72" s="7"/>
      <c r="U72" s="7" t="s">
        <v>34</v>
      </c>
      <c r="V72" s="7">
        <v>117.04</v>
      </c>
      <c r="W72" s="7">
        <v>50.47</v>
      </c>
      <c r="X72" s="7">
        <v>46.61</v>
      </c>
      <c r="Y72" s="7">
        <v>0</v>
      </c>
      <c r="Z72" s="7">
        <v>19.96</v>
      </c>
    </row>
    <row r="73" spans="1:26" x14ac:dyDescent="0.35">
      <c r="A73" s="7" t="s">
        <v>27</v>
      </c>
      <c r="B73" s="7" t="s">
        <v>40</v>
      </c>
      <c r="C73" s="7" t="s">
        <v>45</v>
      </c>
      <c r="D73" s="7" t="s">
        <v>51</v>
      </c>
      <c r="E73" s="7" t="s">
        <v>42</v>
      </c>
      <c r="F73" s="7" t="s">
        <v>131</v>
      </c>
      <c r="G73" s="7">
        <v>2021</v>
      </c>
      <c r="H73" s="7" t="str">
        <f>CONCATENATE("14240241787")</f>
        <v>14240241787</v>
      </c>
      <c r="I73" s="7" t="s">
        <v>30</v>
      </c>
      <c r="J73" s="7" t="s">
        <v>31</v>
      </c>
      <c r="K73" s="7" t="str">
        <f>CONCATENATE("")</f>
        <v/>
      </c>
      <c r="L73" s="7" t="str">
        <f>CONCATENATE("11 11.2 4b")</f>
        <v>11 11.2 4b</v>
      </c>
      <c r="M73" s="7" t="str">
        <f>CONCATENATE("02103190423")</f>
        <v>02103190423</v>
      </c>
      <c r="N73" s="7" t="s">
        <v>151</v>
      </c>
      <c r="O73" s="7" t="s">
        <v>142</v>
      </c>
      <c r="P73" s="8">
        <v>44589</v>
      </c>
      <c r="Q73" s="7" t="s">
        <v>32</v>
      </c>
      <c r="R73" s="7" t="s">
        <v>36</v>
      </c>
      <c r="S73" s="7" t="s">
        <v>33</v>
      </c>
      <c r="T73" s="7"/>
      <c r="U73" s="7" t="s">
        <v>34</v>
      </c>
      <c r="V73" s="9">
        <v>3502.47</v>
      </c>
      <c r="W73" s="9">
        <v>1510.27</v>
      </c>
      <c r="X73" s="9">
        <v>1394.68</v>
      </c>
      <c r="Y73" s="7">
        <v>0</v>
      </c>
      <c r="Z73" s="7">
        <v>597.52</v>
      </c>
    </row>
    <row r="74" spans="1:26" x14ac:dyDescent="0.35">
      <c r="A74" s="7" t="s">
        <v>27</v>
      </c>
      <c r="B74" s="7" t="s">
        <v>40</v>
      </c>
      <c r="C74" s="7" t="s">
        <v>45</v>
      </c>
      <c r="D74" s="7" t="s">
        <v>51</v>
      </c>
      <c r="E74" s="7" t="s">
        <v>29</v>
      </c>
      <c r="F74" s="7" t="s">
        <v>152</v>
      </c>
      <c r="G74" s="7">
        <v>2021</v>
      </c>
      <c r="H74" s="7" t="str">
        <f>CONCATENATE("14240427865")</f>
        <v>14240427865</v>
      </c>
      <c r="I74" s="7" t="s">
        <v>30</v>
      </c>
      <c r="J74" s="7" t="s">
        <v>31</v>
      </c>
      <c r="K74" s="7" t="str">
        <f>CONCATENATE("")</f>
        <v/>
      </c>
      <c r="L74" s="7" t="str">
        <f>CONCATENATE("11 11.2 4b")</f>
        <v>11 11.2 4b</v>
      </c>
      <c r="M74" s="7" t="str">
        <f>CONCATENATE("GLLDRN61R20C100G")</f>
        <v>GLLDRN61R20C100G</v>
      </c>
      <c r="N74" s="7" t="s">
        <v>153</v>
      </c>
      <c r="O74" s="7" t="s">
        <v>142</v>
      </c>
      <c r="P74" s="8">
        <v>44589</v>
      </c>
      <c r="Q74" s="7" t="s">
        <v>32</v>
      </c>
      <c r="R74" s="7" t="s">
        <v>36</v>
      </c>
      <c r="S74" s="7" t="s">
        <v>33</v>
      </c>
      <c r="T74" s="7"/>
      <c r="U74" s="7" t="s">
        <v>34</v>
      </c>
      <c r="V74" s="9">
        <v>5047.0200000000004</v>
      </c>
      <c r="W74" s="9">
        <v>2176.2800000000002</v>
      </c>
      <c r="X74" s="9">
        <v>2009.72</v>
      </c>
      <c r="Y74" s="7">
        <v>0</v>
      </c>
      <c r="Z74" s="7">
        <v>861.02</v>
      </c>
    </row>
    <row r="75" spans="1:26" x14ac:dyDescent="0.35">
      <c r="A75" s="7" t="s">
        <v>27</v>
      </c>
      <c r="B75" s="7" t="s">
        <v>40</v>
      </c>
      <c r="C75" s="7" t="s">
        <v>45</v>
      </c>
      <c r="D75" s="7" t="s">
        <v>51</v>
      </c>
      <c r="E75" s="7" t="s">
        <v>29</v>
      </c>
      <c r="F75" s="7" t="s">
        <v>67</v>
      </c>
      <c r="G75" s="7">
        <v>2021</v>
      </c>
      <c r="H75" s="7" t="str">
        <f>CONCATENATE("14241085332")</f>
        <v>14241085332</v>
      </c>
      <c r="I75" s="7" t="s">
        <v>30</v>
      </c>
      <c r="J75" s="7" t="s">
        <v>31</v>
      </c>
      <c r="K75" s="7" t="str">
        <f>CONCATENATE("")</f>
        <v/>
      </c>
      <c r="L75" s="7" t="str">
        <f>CONCATENATE("11 11.1 4b")</f>
        <v>11 11.1 4b</v>
      </c>
      <c r="M75" s="7" t="str">
        <f>CONCATENATE("LDZNDR84P23E388K")</f>
        <v>LDZNDR84P23E388K</v>
      </c>
      <c r="N75" s="7" t="s">
        <v>145</v>
      </c>
      <c r="O75" s="7" t="s">
        <v>142</v>
      </c>
      <c r="P75" s="8">
        <v>44589</v>
      </c>
      <c r="Q75" s="7" t="s">
        <v>32</v>
      </c>
      <c r="R75" s="7" t="s">
        <v>36</v>
      </c>
      <c r="S75" s="7" t="s">
        <v>33</v>
      </c>
      <c r="T75" s="7"/>
      <c r="U75" s="7" t="s">
        <v>34</v>
      </c>
      <c r="V75" s="7">
        <v>308.64999999999998</v>
      </c>
      <c r="W75" s="7">
        <v>133.09</v>
      </c>
      <c r="X75" s="7">
        <v>122.9</v>
      </c>
      <c r="Y75" s="7">
        <v>0</v>
      </c>
      <c r="Z75" s="7">
        <v>52.66</v>
      </c>
    </row>
    <row r="76" spans="1:26" x14ac:dyDescent="0.35">
      <c r="A76" s="7" t="s">
        <v>27</v>
      </c>
      <c r="B76" s="7" t="s">
        <v>40</v>
      </c>
      <c r="C76" s="7" t="s">
        <v>45</v>
      </c>
      <c r="D76" s="7" t="s">
        <v>51</v>
      </c>
      <c r="E76" s="7" t="s">
        <v>29</v>
      </c>
      <c r="F76" s="7" t="s">
        <v>154</v>
      </c>
      <c r="G76" s="7">
        <v>2021</v>
      </c>
      <c r="H76" s="7" t="str">
        <f>CONCATENATE("14240740622")</f>
        <v>14240740622</v>
      </c>
      <c r="I76" s="7" t="s">
        <v>30</v>
      </c>
      <c r="J76" s="7" t="s">
        <v>31</v>
      </c>
      <c r="K76" s="7" t="str">
        <f>CONCATENATE("")</f>
        <v/>
      </c>
      <c r="L76" s="7" t="str">
        <f>CONCATENATE("11 11.1 4b")</f>
        <v>11 11.1 4b</v>
      </c>
      <c r="M76" s="7" t="str">
        <f>CONCATENATE("01912260435")</f>
        <v>01912260435</v>
      </c>
      <c r="N76" s="7" t="s">
        <v>155</v>
      </c>
      <c r="O76" s="7" t="s">
        <v>142</v>
      </c>
      <c r="P76" s="8">
        <v>44589</v>
      </c>
      <c r="Q76" s="7" t="s">
        <v>32</v>
      </c>
      <c r="R76" s="7" t="s">
        <v>36</v>
      </c>
      <c r="S76" s="7" t="s">
        <v>33</v>
      </c>
      <c r="T76" s="7"/>
      <c r="U76" s="7" t="s">
        <v>34</v>
      </c>
      <c r="V76" s="7">
        <v>793.62</v>
      </c>
      <c r="W76" s="7">
        <v>342.21</v>
      </c>
      <c r="X76" s="7">
        <v>316.02</v>
      </c>
      <c r="Y76" s="7">
        <v>0</v>
      </c>
      <c r="Z76" s="7">
        <v>135.38999999999999</v>
      </c>
    </row>
    <row r="77" spans="1:26" x14ac:dyDescent="0.35">
      <c r="A77" s="7" t="s">
        <v>27</v>
      </c>
      <c r="B77" s="7" t="s">
        <v>40</v>
      </c>
      <c r="C77" s="7" t="s">
        <v>45</v>
      </c>
      <c r="D77" s="7" t="s">
        <v>51</v>
      </c>
      <c r="E77" s="7" t="s">
        <v>41</v>
      </c>
      <c r="F77" s="7" t="s">
        <v>114</v>
      </c>
      <c r="G77" s="7">
        <v>2021</v>
      </c>
      <c r="H77" s="7" t="str">
        <f>CONCATENATE("14240577602")</f>
        <v>14240577602</v>
      </c>
      <c r="I77" s="7" t="s">
        <v>30</v>
      </c>
      <c r="J77" s="7" t="s">
        <v>31</v>
      </c>
      <c r="K77" s="7" t="str">
        <f>CONCATENATE("")</f>
        <v/>
      </c>
      <c r="L77" s="7" t="str">
        <f>CONCATENATE("11 11.2 4b")</f>
        <v>11 11.2 4b</v>
      </c>
      <c r="M77" s="7" t="str">
        <f>CONCATENATE("DTTCRD72M28D211Q")</f>
        <v>DTTCRD72M28D211Q</v>
      </c>
      <c r="N77" s="7" t="s">
        <v>156</v>
      </c>
      <c r="O77" s="7" t="s">
        <v>142</v>
      </c>
      <c r="P77" s="8">
        <v>44589</v>
      </c>
      <c r="Q77" s="7" t="s">
        <v>32</v>
      </c>
      <c r="R77" s="7" t="s">
        <v>36</v>
      </c>
      <c r="S77" s="7" t="s">
        <v>33</v>
      </c>
      <c r="T77" s="7"/>
      <c r="U77" s="7" t="s">
        <v>34</v>
      </c>
      <c r="V77" s="7">
        <v>52.9</v>
      </c>
      <c r="W77" s="7">
        <v>22.81</v>
      </c>
      <c r="X77" s="7">
        <v>21.06</v>
      </c>
      <c r="Y77" s="7">
        <v>0</v>
      </c>
      <c r="Z77" s="7">
        <v>9.0299999999999994</v>
      </c>
    </row>
    <row r="78" spans="1:26" x14ac:dyDescent="0.35">
      <c r="A78" s="7" t="s">
        <v>27</v>
      </c>
      <c r="B78" s="7" t="s">
        <v>28</v>
      </c>
      <c r="C78" s="7" t="s">
        <v>45</v>
      </c>
      <c r="D78" s="7" t="s">
        <v>46</v>
      </c>
      <c r="E78" s="7" t="s">
        <v>38</v>
      </c>
      <c r="F78" s="7" t="s">
        <v>157</v>
      </c>
      <c r="G78" s="7">
        <v>2017</v>
      </c>
      <c r="H78" s="7" t="str">
        <f>CONCATENATE("14270363162")</f>
        <v>14270363162</v>
      </c>
      <c r="I78" s="7" t="s">
        <v>30</v>
      </c>
      <c r="J78" s="7" t="s">
        <v>31</v>
      </c>
      <c r="K78" s="7" t="str">
        <f>CONCATENATE("")</f>
        <v/>
      </c>
      <c r="L78" s="7" t="str">
        <f>CONCATENATE("16 16.1 2a")</f>
        <v>16 16.1 2a</v>
      </c>
      <c r="M78" s="7" t="str">
        <f>CONCATENATE("DMLRRT67H08D635D")</f>
        <v>DMLRRT67H08D635D</v>
      </c>
      <c r="N78" s="7" t="s">
        <v>158</v>
      </c>
      <c r="O78" s="7" t="s">
        <v>159</v>
      </c>
      <c r="P78" s="8">
        <v>44589</v>
      </c>
      <c r="Q78" s="7" t="s">
        <v>32</v>
      </c>
      <c r="R78" s="7" t="s">
        <v>44</v>
      </c>
      <c r="S78" s="7" t="s">
        <v>33</v>
      </c>
      <c r="T78" s="7"/>
      <c r="U78" s="7" t="s">
        <v>34</v>
      </c>
      <c r="V78" s="9">
        <v>190054.15</v>
      </c>
      <c r="W78" s="9">
        <v>81951.350000000006</v>
      </c>
      <c r="X78" s="9">
        <v>75679.56</v>
      </c>
      <c r="Y78" s="7">
        <v>0</v>
      </c>
      <c r="Z78" s="9">
        <v>32423.24</v>
      </c>
    </row>
    <row r="79" spans="1:26" x14ac:dyDescent="0.35">
      <c r="A79" s="7" t="s">
        <v>27</v>
      </c>
      <c r="B79" s="7" t="s">
        <v>40</v>
      </c>
      <c r="C79" s="7" t="s">
        <v>45</v>
      </c>
      <c r="D79" s="7" t="s">
        <v>51</v>
      </c>
      <c r="E79" s="7" t="s">
        <v>29</v>
      </c>
      <c r="F79" s="7" t="s">
        <v>128</v>
      </c>
      <c r="G79" s="7">
        <v>2021</v>
      </c>
      <c r="H79" s="7" t="str">
        <f>CONCATENATE("14241234310")</f>
        <v>14241234310</v>
      </c>
      <c r="I79" s="7" t="s">
        <v>30</v>
      </c>
      <c r="J79" s="7" t="s">
        <v>31</v>
      </c>
      <c r="K79" s="7" t="str">
        <f>CONCATENATE("")</f>
        <v/>
      </c>
      <c r="L79" s="7" t="str">
        <f>CONCATENATE("10 10.1 4a")</f>
        <v>10 10.1 4a</v>
      </c>
      <c r="M79" s="7" t="str">
        <f>CONCATENATE("CRBDNN53D02A366K")</f>
        <v>CRBDNN53D02A366K</v>
      </c>
      <c r="N79" s="7" t="s">
        <v>160</v>
      </c>
      <c r="O79" s="7" t="s">
        <v>161</v>
      </c>
      <c r="P79" s="8">
        <v>44589</v>
      </c>
      <c r="Q79" s="7" t="s">
        <v>32</v>
      </c>
      <c r="R79" s="7" t="s">
        <v>36</v>
      </c>
      <c r="S79" s="7" t="s">
        <v>33</v>
      </c>
      <c r="T79" s="7"/>
      <c r="U79" s="7" t="s">
        <v>34</v>
      </c>
      <c r="V79" s="7">
        <v>479.24</v>
      </c>
      <c r="W79" s="7">
        <v>206.65</v>
      </c>
      <c r="X79" s="7">
        <v>190.83</v>
      </c>
      <c r="Y79" s="7">
        <v>0</v>
      </c>
      <c r="Z79" s="7">
        <v>81.760000000000005</v>
      </c>
    </row>
    <row r="80" spans="1:26" x14ac:dyDescent="0.35">
      <c r="A80" s="7" t="s">
        <v>27</v>
      </c>
      <c r="B80" s="7" t="s">
        <v>40</v>
      </c>
      <c r="C80" s="7" t="s">
        <v>45</v>
      </c>
      <c r="D80" s="7" t="s">
        <v>51</v>
      </c>
      <c r="E80" s="7" t="s">
        <v>29</v>
      </c>
      <c r="F80" s="7" t="s">
        <v>139</v>
      </c>
      <c r="G80" s="7">
        <v>2021</v>
      </c>
      <c r="H80" s="7" t="str">
        <f>CONCATENATE("14240550187")</f>
        <v>14240550187</v>
      </c>
      <c r="I80" s="7" t="s">
        <v>30</v>
      </c>
      <c r="J80" s="7" t="s">
        <v>31</v>
      </c>
      <c r="K80" s="7" t="str">
        <f>CONCATENATE("")</f>
        <v/>
      </c>
      <c r="L80" s="7" t="str">
        <f>CONCATENATE("11 11.2 4b")</f>
        <v>11 11.2 4b</v>
      </c>
      <c r="M80" s="7" t="str">
        <f>CONCATENATE("PTOFNC50C24D451C")</f>
        <v>PTOFNC50C24D451C</v>
      </c>
      <c r="N80" s="7" t="s">
        <v>162</v>
      </c>
      <c r="O80" s="7" t="s">
        <v>142</v>
      </c>
      <c r="P80" s="8">
        <v>44589</v>
      </c>
      <c r="Q80" s="7" t="s">
        <v>32</v>
      </c>
      <c r="R80" s="7" t="s">
        <v>36</v>
      </c>
      <c r="S80" s="7" t="s">
        <v>33</v>
      </c>
      <c r="T80" s="7"/>
      <c r="U80" s="7" t="s">
        <v>34</v>
      </c>
      <c r="V80" s="9">
        <v>20943.28</v>
      </c>
      <c r="W80" s="9">
        <v>9030.74</v>
      </c>
      <c r="X80" s="9">
        <v>8339.61</v>
      </c>
      <c r="Y80" s="7">
        <v>0</v>
      </c>
      <c r="Z80" s="9">
        <v>3572.93</v>
      </c>
    </row>
    <row r="81" spans="1:26" x14ac:dyDescent="0.35">
      <c r="A81" s="7" t="s">
        <v>27</v>
      </c>
      <c r="B81" s="7" t="s">
        <v>40</v>
      </c>
      <c r="C81" s="7" t="s">
        <v>45</v>
      </c>
      <c r="D81" s="7" t="s">
        <v>51</v>
      </c>
      <c r="E81" s="7" t="s">
        <v>37</v>
      </c>
      <c r="F81" s="7" t="s">
        <v>163</v>
      </c>
      <c r="G81" s="7">
        <v>2021</v>
      </c>
      <c r="H81" s="7" t="str">
        <f>CONCATENATE("14240265240")</f>
        <v>14240265240</v>
      </c>
      <c r="I81" s="7" t="s">
        <v>30</v>
      </c>
      <c r="J81" s="7" t="s">
        <v>31</v>
      </c>
      <c r="K81" s="7" t="str">
        <f>CONCATENATE("")</f>
        <v/>
      </c>
      <c r="L81" s="7" t="str">
        <f>CONCATENATE("11 11.1 4b")</f>
        <v>11 11.1 4b</v>
      </c>
      <c r="M81" s="7" t="str">
        <f>CONCATENATE("CPPNRC73P28I461J")</f>
        <v>CPPNRC73P28I461J</v>
      </c>
      <c r="N81" s="7" t="s">
        <v>164</v>
      </c>
      <c r="O81" s="7" t="s">
        <v>142</v>
      </c>
      <c r="P81" s="8">
        <v>44589</v>
      </c>
      <c r="Q81" s="7" t="s">
        <v>32</v>
      </c>
      <c r="R81" s="7" t="s">
        <v>36</v>
      </c>
      <c r="S81" s="7" t="s">
        <v>33</v>
      </c>
      <c r="T81" s="7"/>
      <c r="U81" s="7" t="s">
        <v>34</v>
      </c>
      <c r="V81" s="7">
        <v>636.24</v>
      </c>
      <c r="W81" s="7">
        <v>274.35000000000002</v>
      </c>
      <c r="X81" s="7">
        <v>253.35</v>
      </c>
      <c r="Y81" s="7">
        <v>0</v>
      </c>
      <c r="Z81" s="7">
        <v>108.54</v>
      </c>
    </row>
    <row r="82" spans="1:26" x14ac:dyDescent="0.35">
      <c r="A82" s="7" t="s">
        <v>27</v>
      </c>
      <c r="B82" s="7" t="s">
        <v>40</v>
      </c>
      <c r="C82" s="7" t="s">
        <v>45</v>
      </c>
      <c r="D82" s="7" t="s">
        <v>51</v>
      </c>
      <c r="E82" s="7" t="s">
        <v>42</v>
      </c>
      <c r="F82" s="7" t="s">
        <v>131</v>
      </c>
      <c r="G82" s="7">
        <v>2021</v>
      </c>
      <c r="H82" s="7" t="str">
        <f>CONCATENATE("14240085960")</f>
        <v>14240085960</v>
      </c>
      <c r="I82" s="7" t="s">
        <v>30</v>
      </c>
      <c r="J82" s="7" t="s">
        <v>31</v>
      </c>
      <c r="K82" s="7" t="str">
        <f>CONCATENATE("")</f>
        <v/>
      </c>
      <c r="L82" s="7" t="str">
        <f>CONCATENATE("11 11.2 4b")</f>
        <v>11 11.2 4b</v>
      </c>
      <c r="M82" s="7" t="str">
        <f>CONCATENATE("02183890421")</f>
        <v>02183890421</v>
      </c>
      <c r="N82" s="7" t="s">
        <v>165</v>
      </c>
      <c r="O82" s="7" t="s">
        <v>142</v>
      </c>
      <c r="P82" s="8">
        <v>44589</v>
      </c>
      <c r="Q82" s="7" t="s">
        <v>32</v>
      </c>
      <c r="R82" s="7" t="s">
        <v>36</v>
      </c>
      <c r="S82" s="7" t="s">
        <v>33</v>
      </c>
      <c r="T82" s="7"/>
      <c r="U82" s="7" t="s">
        <v>34</v>
      </c>
      <c r="V82" s="9">
        <v>2660.07</v>
      </c>
      <c r="W82" s="9">
        <v>1147.02</v>
      </c>
      <c r="X82" s="9">
        <v>1059.24</v>
      </c>
      <c r="Y82" s="7">
        <v>0</v>
      </c>
      <c r="Z82" s="7">
        <v>453.81</v>
      </c>
    </row>
    <row r="83" spans="1:26" x14ac:dyDescent="0.35">
      <c r="A83" s="7" t="s">
        <v>27</v>
      </c>
      <c r="B83" s="7" t="s">
        <v>40</v>
      </c>
      <c r="C83" s="7" t="s">
        <v>45</v>
      </c>
      <c r="D83" s="7" t="s">
        <v>51</v>
      </c>
      <c r="E83" s="7" t="s">
        <v>37</v>
      </c>
      <c r="F83" s="7" t="s">
        <v>163</v>
      </c>
      <c r="G83" s="7">
        <v>2021</v>
      </c>
      <c r="H83" s="7" t="str">
        <f>CONCATENATE("14240861170")</f>
        <v>14240861170</v>
      </c>
      <c r="I83" s="7" t="s">
        <v>30</v>
      </c>
      <c r="J83" s="7" t="s">
        <v>31</v>
      </c>
      <c r="K83" s="7" t="str">
        <f>CONCATENATE("")</f>
        <v/>
      </c>
      <c r="L83" s="7" t="str">
        <f>CONCATENATE("11 11.1 4b")</f>
        <v>11 11.1 4b</v>
      </c>
      <c r="M83" s="7" t="str">
        <f>CONCATENATE("02880810425")</f>
        <v>02880810425</v>
      </c>
      <c r="N83" s="7" t="s">
        <v>166</v>
      </c>
      <c r="O83" s="7" t="s">
        <v>142</v>
      </c>
      <c r="P83" s="8">
        <v>44589</v>
      </c>
      <c r="Q83" s="7" t="s">
        <v>32</v>
      </c>
      <c r="R83" s="7" t="s">
        <v>36</v>
      </c>
      <c r="S83" s="7" t="s">
        <v>33</v>
      </c>
      <c r="T83" s="7"/>
      <c r="U83" s="7" t="s">
        <v>34</v>
      </c>
      <c r="V83" s="9">
        <v>1203.68</v>
      </c>
      <c r="W83" s="7">
        <v>519.03</v>
      </c>
      <c r="X83" s="7">
        <v>479.31</v>
      </c>
      <c r="Y83" s="7">
        <v>0</v>
      </c>
      <c r="Z83" s="7">
        <v>205.34</v>
      </c>
    </row>
    <row r="84" spans="1:26" x14ac:dyDescent="0.35">
      <c r="A84" s="7" t="s">
        <v>27</v>
      </c>
      <c r="B84" s="7" t="s">
        <v>40</v>
      </c>
      <c r="C84" s="7" t="s">
        <v>45</v>
      </c>
      <c r="D84" s="7" t="s">
        <v>51</v>
      </c>
      <c r="E84" s="7" t="s">
        <v>42</v>
      </c>
      <c r="F84" s="7" t="s">
        <v>131</v>
      </c>
      <c r="G84" s="7">
        <v>2021</v>
      </c>
      <c r="H84" s="7" t="str">
        <f>CONCATENATE("14240030354")</f>
        <v>14240030354</v>
      </c>
      <c r="I84" s="7" t="s">
        <v>30</v>
      </c>
      <c r="J84" s="7" t="s">
        <v>31</v>
      </c>
      <c r="K84" s="7" t="str">
        <f>CONCATENATE("")</f>
        <v/>
      </c>
      <c r="L84" s="7" t="str">
        <f>CONCATENATE("11 11.2 4b")</f>
        <v>11 11.2 4b</v>
      </c>
      <c r="M84" s="7" t="str">
        <f>CONCATENATE("BSCSVN67T13G157G")</f>
        <v>BSCSVN67T13G157G</v>
      </c>
      <c r="N84" s="7" t="s">
        <v>167</v>
      </c>
      <c r="O84" s="7" t="s">
        <v>142</v>
      </c>
      <c r="P84" s="8">
        <v>44589</v>
      </c>
      <c r="Q84" s="7" t="s">
        <v>32</v>
      </c>
      <c r="R84" s="7" t="s">
        <v>36</v>
      </c>
      <c r="S84" s="7" t="s">
        <v>33</v>
      </c>
      <c r="T84" s="7"/>
      <c r="U84" s="7" t="s">
        <v>34</v>
      </c>
      <c r="V84" s="9">
        <v>1722.91</v>
      </c>
      <c r="W84" s="7">
        <v>742.92</v>
      </c>
      <c r="X84" s="7">
        <v>686.06</v>
      </c>
      <c r="Y84" s="7">
        <v>0</v>
      </c>
      <c r="Z84" s="7">
        <v>293.93</v>
      </c>
    </row>
    <row r="85" spans="1:26" ht="17.5" x14ac:dyDescent="0.35">
      <c r="A85" s="7" t="s">
        <v>27</v>
      </c>
      <c r="B85" s="7" t="s">
        <v>40</v>
      </c>
      <c r="C85" s="7" t="s">
        <v>45</v>
      </c>
      <c r="D85" s="7" t="s">
        <v>51</v>
      </c>
      <c r="E85" s="7" t="s">
        <v>29</v>
      </c>
      <c r="F85" s="7" t="s">
        <v>124</v>
      </c>
      <c r="G85" s="7">
        <v>2021</v>
      </c>
      <c r="H85" s="7" t="str">
        <f>CONCATENATE("14240515305")</f>
        <v>14240515305</v>
      </c>
      <c r="I85" s="7" t="s">
        <v>30</v>
      </c>
      <c r="J85" s="7" t="s">
        <v>31</v>
      </c>
      <c r="K85" s="7" t="str">
        <f>CONCATENATE("")</f>
        <v/>
      </c>
      <c r="L85" s="7" t="str">
        <f>CONCATENATE("11 11.2 4b")</f>
        <v>11 11.2 4b</v>
      </c>
      <c r="M85" s="7" t="str">
        <f>CONCATENATE("02150060420")</f>
        <v>02150060420</v>
      </c>
      <c r="N85" s="7" t="s">
        <v>168</v>
      </c>
      <c r="O85" s="7" t="s">
        <v>142</v>
      </c>
      <c r="P85" s="8">
        <v>44589</v>
      </c>
      <c r="Q85" s="7" t="s">
        <v>32</v>
      </c>
      <c r="R85" s="7" t="s">
        <v>36</v>
      </c>
      <c r="S85" s="7" t="s">
        <v>33</v>
      </c>
      <c r="T85" s="7"/>
      <c r="U85" s="7" t="s">
        <v>34</v>
      </c>
      <c r="V85" s="7">
        <v>832.99</v>
      </c>
      <c r="W85" s="7">
        <v>359.19</v>
      </c>
      <c r="X85" s="7">
        <v>331.7</v>
      </c>
      <c r="Y85" s="7">
        <v>0</v>
      </c>
      <c r="Z85" s="7">
        <v>142.1</v>
      </c>
    </row>
    <row r="86" spans="1:26" x14ac:dyDescent="0.35">
      <c r="A86" s="7" t="s">
        <v>27</v>
      </c>
      <c r="B86" s="7" t="s">
        <v>40</v>
      </c>
      <c r="C86" s="7" t="s">
        <v>45</v>
      </c>
      <c r="D86" s="7" t="s">
        <v>51</v>
      </c>
      <c r="E86" s="7" t="s">
        <v>29</v>
      </c>
      <c r="F86" s="7" t="s">
        <v>124</v>
      </c>
      <c r="G86" s="7">
        <v>2021</v>
      </c>
      <c r="H86" s="7" t="str">
        <f>CONCATENATE("14241368639")</f>
        <v>14241368639</v>
      </c>
      <c r="I86" s="7" t="s">
        <v>30</v>
      </c>
      <c r="J86" s="7" t="s">
        <v>31</v>
      </c>
      <c r="K86" s="7" t="str">
        <f>CONCATENATE("")</f>
        <v/>
      </c>
      <c r="L86" s="7" t="str">
        <f>CONCATENATE("11 11.1 4b")</f>
        <v>11 11.1 4b</v>
      </c>
      <c r="M86" s="7" t="str">
        <f>CONCATENATE("01776160432")</f>
        <v>01776160432</v>
      </c>
      <c r="N86" s="7" t="s">
        <v>169</v>
      </c>
      <c r="O86" s="7" t="s">
        <v>142</v>
      </c>
      <c r="P86" s="8">
        <v>44589</v>
      </c>
      <c r="Q86" s="7" t="s">
        <v>32</v>
      </c>
      <c r="R86" s="7" t="s">
        <v>36</v>
      </c>
      <c r="S86" s="7" t="s">
        <v>33</v>
      </c>
      <c r="T86" s="7"/>
      <c r="U86" s="7" t="s">
        <v>34</v>
      </c>
      <c r="V86" s="9">
        <v>5955.67</v>
      </c>
      <c r="W86" s="9">
        <v>2568.08</v>
      </c>
      <c r="X86" s="9">
        <v>2371.5500000000002</v>
      </c>
      <c r="Y86" s="7">
        <v>0</v>
      </c>
      <c r="Z86" s="9">
        <v>1016.04</v>
      </c>
    </row>
    <row r="87" spans="1:26" x14ac:dyDescent="0.35">
      <c r="A87" s="7" t="s">
        <v>27</v>
      </c>
      <c r="B87" s="7" t="s">
        <v>40</v>
      </c>
      <c r="C87" s="7" t="s">
        <v>45</v>
      </c>
      <c r="D87" s="7" t="s">
        <v>51</v>
      </c>
      <c r="E87" s="7" t="s">
        <v>37</v>
      </c>
      <c r="F87" s="7" t="s">
        <v>163</v>
      </c>
      <c r="G87" s="7">
        <v>2021</v>
      </c>
      <c r="H87" s="7" t="str">
        <f>CONCATENATE("14240289349")</f>
        <v>14240289349</v>
      </c>
      <c r="I87" s="7" t="s">
        <v>30</v>
      </c>
      <c r="J87" s="7" t="s">
        <v>31</v>
      </c>
      <c r="K87" s="7" t="str">
        <f>CONCATENATE("")</f>
        <v/>
      </c>
      <c r="L87" s="7" t="str">
        <f>CONCATENATE("11 11.1 4b")</f>
        <v>11 11.1 4b</v>
      </c>
      <c r="M87" s="7" t="str">
        <f>CONCATENATE("02426390429")</f>
        <v>02426390429</v>
      </c>
      <c r="N87" s="7" t="s">
        <v>170</v>
      </c>
      <c r="O87" s="7" t="s">
        <v>142</v>
      </c>
      <c r="P87" s="8">
        <v>44589</v>
      </c>
      <c r="Q87" s="7" t="s">
        <v>32</v>
      </c>
      <c r="R87" s="7" t="s">
        <v>36</v>
      </c>
      <c r="S87" s="7" t="s">
        <v>33</v>
      </c>
      <c r="T87" s="7"/>
      <c r="U87" s="7" t="s">
        <v>34</v>
      </c>
      <c r="V87" s="7">
        <v>496.81</v>
      </c>
      <c r="W87" s="7">
        <v>214.22</v>
      </c>
      <c r="X87" s="7">
        <v>197.83</v>
      </c>
      <c r="Y87" s="7">
        <v>0</v>
      </c>
      <c r="Z87" s="7">
        <v>84.76</v>
      </c>
    </row>
    <row r="88" spans="1:26" x14ac:dyDescent="0.35">
      <c r="A88" s="7" t="s">
        <v>27</v>
      </c>
      <c r="B88" s="7" t="s">
        <v>40</v>
      </c>
      <c r="C88" s="7" t="s">
        <v>45</v>
      </c>
      <c r="D88" s="7" t="s">
        <v>51</v>
      </c>
      <c r="E88" s="7" t="s">
        <v>29</v>
      </c>
      <c r="F88" s="7" t="s">
        <v>100</v>
      </c>
      <c r="G88" s="7">
        <v>2021</v>
      </c>
      <c r="H88" s="7" t="str">
        <f>CONCATENATE("14241290700")</f>
        <v>14241290700</v>
      </c>
      <c r="I88" s="7" t="s">
        <v>30</v>
      </c>
      <c r="J88" s="7" t="s">
        <v>31</v>
      </c>
      <c r="K88" s="7" t="str">
        <f>CONCATENATE("")</f>
        <v/>
      </c>
      <c r="L88" s="7" t="str">
        <f>CONCATENATE("11 11.2 4b")</f>
        <v>11 11.2 4b</v>
      </c>
      <c r="M88" s="7" t="str">
        <f>CONCATENATE("00971470422")</f>
        <v>00971470422</v>
      </c>
      <c r="N88" s="7" t="s">
        <v>171</v>
      </c>
      <c r="O88" s="7" t="s">
        <v>142</v>
      </c>
      <c r="P88" s="8">
        <v>44589</v>
      </c>
      <c r="Q88" s="7" t="s">
        <v>32</v>
      </c>
      <c r="R88" s="7" t="s">
        <v>36</v>
      </c>
      <c r="S88" s="7" t="s">
        <v>33</v>
      </c>
      <c r="T88" s="7"/>
      <c r="U88" s="7" t="s">
        <v>34</v>
      </c>
      <c r="V88" s="7">
        <v>200.11</v>
      </c>
      <c r="W88" s="7">
        <v>86.29</v>
      </c>
      <c r="X88" s="7">
        <v>79.680000000000007</v>
      </c>
      <c r="Y88" s="7">
        <v>0</v>
      </c>
      <c r="Z88" s="7">
        <v>34.14</v>
      </c>
    </row>
    <row r="89" spans="1:26" x14ac:dyDescent="0.35">
      <c r="A89" s="7" t="s">
        <v>27</v>
      </c>
      <c r="B89" s="7" t="s">
        <v>40</v>
      </c>
      <c r="C89" s="7" t="s">
        <v>45</v>
      </c>
      <c r="D89" s="7" t="s">
        <v>51</v>
      </c>
      <c r="E89" s="7" t="s">
        <v>29</v>
      </c>
      <c r="F89" s="7" t="s">
        <v>139</v>
      </c>
      <c r="G89" s="7">
        <v>2021</v>
      </c>
      <c r="H89" s="7" t="str">
        <f>CONCATENATE("14240668997")</f>
        <v>14240668997</v>
      </c>
      <c r="I89" s="7" t="s">
        <v>30</v>
      </c>
      <c r="J89" s="7" t="s">
        <v>31</v>
      </c>
      <c r="K89" s="7" t="str">
        <f>CONCATENATE("")</f>
        <v/>
      </c>
      <c r="L89" s="7" t="str">
        <f>CONCATENATE("11 11.1 4b")</f>
        <v>11 11.1 4b</v>
      </c>
      <c r="M89" s="7" t="str">
        <f>CONCATENATE("CPPSNT59L46D451M")</f>
        <v>CPPSNT59L46D451M</v>
      </c>
      <c r="N89" s="7" t="s">
        <v>172</v>
      </c>
      <c r="O89" s="7" t="s">
        <v>142</v>
      </c>
      <c r="P89" s="8">
        <v>44589</v>
      </c>
      <c r="Q89" s="7" t="s">
        <v>32</v>
      </c>
      <c r="R89" s="7" t="s">
        <v>36</v>
      </c>
      <c r="S89" s="7" t="s">
        <v>33</v>
      </c>
      <c r="T89" s="7"/>
      <c r="U89" s="7" t="s">
        <v>34</v>
      </c>
      <c r="V89" s="9">
        <v>2329.2399999999998</v>
      </c>
      <c r="W89" s="9">
        <v>1004.37</v>
      </c>
      <c r="X89" s="7">
        <v>927.5</v>
      </c>
      <c r="Y89" s="7">
        <v>0</v>
      </c>
      <c r="Z89" s="7">
        <v>397.37</v>
      </c>
    </row>
    <row r="90" spans="1:26" x14ac:dyDescent="0.35">
      <c r="A90" s="7" t="s">
        <v>27</v>
      </c>
      <c r="B90" s="7" t="s">
        <v>40</v>
      </c>
      <c r="C90" s="7" t="s">
        <v>45</v>
      </c>
      <c r="D90" s="7" t="s">
        <v>51</v>
      </c>
      <c r="E90" s="7" t="s">
        <v>37</v>
      </c>
      <c r="F90" s="7" t="s">
        <v>149</v>
      </c>
      <c r="G90" s="7">
        <v>2021</v>
      </c>
      <c r="H90" s="7" t="str">
        <f>CONCATENATE("14240895590")</f>
        <v>14240895590</v>
      </c>
      <c r="I90" s="7" t="s">
        <v>30</v>
      </c>
      <c r="J90" s="7" t="s">
        <v>31</v>
      </c>
      <c r="K90" s="7" t="str">
        <f>CONCATENATE("")</f>
        <v/>
      </c>
      <c r="L90" s="7" t="str">
        <f>CONCATENATE("11 11.1 4b")</f>
        <v>11 11.1 4b</v>
      </c>
      <c r="M90" s="7" t="str">
        <f>CONCATENATE("LNRRRT74T47A271H")</f>
        <v>LNRRRT74T47A271H</v>
      </c>
      <c r="N90" s="7" t="s">
        <v>173</v>
      </c>
      <c r="O90" s="7" t="s">
        <v>142</v>
      </c>
      <c r="P90" s="8">
        <v>44589</v>
      </c>
      <c r="Q90" s="7" t="s">
        <v>32</v>
      </c>
      <c r="R90" s="7" t="s">
        <v>36</v>
      </c>
      <c r="S90" s="7" t="s">
        <v>33</v>
      </c>
      <c r="T90" s="7"/>
      <c r="U90" s="7" t="s">
        <v>34</v>
      </c>
      <c r="V90" s="7">
        <v>86.87</v>
      </c>
      <c r="W90" s="7">
        <v>37.46</v>
      </c>
      <c r="X90" s="7">
        <v>34.590000000000003</v>
      </c>
      <c r="Y90" s="7">
        <v>0</v>
      </c>
      <c r="Z90" s="7">
        <v>14.82</v>
      </c>
    </row>
    <row r="91" spans="1:26" x14ac:dyDescent="0.35">
      <c r="A91" s="7" t="s">
        <v>27</v>
      </c>
      <c r="B91" s="7" t="s">
        <v>40</v>
      </c>
      <c r="C91" s="7" t="s">
        <v>45</v>
      </c>
      <c r="D91" s="7" t="s">
        <v>51</v>
      </c>
      <c r="E91" s="7" t="s">
        <v>29</v>
      </c>
      <c r="F91" s="7" t="s">
        <v>67</v>
      </c>
      <c r="G91" s="7">
        <v>2021</v>
      </c>
      <c r="H91" s="7" t="str">
        <f>CONCATENATE("14240125923")</f>
        <v>14240125923</v>
      </c>
      <c r="I91" s="7" t="s">
        <v>30</v>
      </c>
      <c r="J91" s="7" t="s">
        <v>31</v>
      </c>
      <c r="K91" s="7" t="str">
        <f>CONCATENATE("")</f>
        <v/>
      </c>
      <c r="L91" s="7" t="str">
        <f>CONCATENATE("10 10.1 4a")</f>
        <v>10 10.1 4a</v>
      </c>
      <c r="M91" s="7" t="str">
        <f>CONCATENATE("BFNMNL80S13E388P")</f>
        <v>BFNMNL80S13E388P</v>
      </c>
      <c r="N91" s="7" t="s">
        <v>174</v>
      </c>
      <c r="O91" s="7" t="s">
        <v>161</v>
      </c>
      <c r="P91" s="8">
        <v>44589</v>
      </c>
      <c r="Q91" s="7" t="s">
        <v>32</v>
      </c>
      <c r="R91" s="7" t="s">
        <v>36</v>
      </c>
      <c r="S91" s="7" t="s">
        <v>33</v>
      </c>
      <c r="T91" s="7"/>
      <c r="U91" s="7" t="s">
        <v>34</v>
      </c>
      <c r="V91" s="7">
        <v>440</v>
      </c>
      <c r="W91" s="7">
        <v>189.73</v>
      </c>
      <c r="X91" s="7">
        <v>175.21</v>
      </c>
      <c r="Y91" s="7">
        <v>0</v>
      </c>
      <c r="Z91" s="7">
        <v>75.06</v>
      </c>
    </row>
    <row r="92" spans="1:26" x14ac:dyDescent="0.35">
      <c r="A92" s="7" t="s">
        <v>27</v>
      </c>
      <c r="B92" s="7" t="s">
        <v>40</v>
      </c>
      <c r="C92" s="7" t="s">
        <v>45</v>
      </c>
      <c r="D92" s="7" t="s">
        <v>51</v>
      </c>
      <c r="E92" s="7" t="s">
        <v>29</v>
      </c>
      <c r="F92" s="7" t="s">
        <v>124</v>
      </c>
      <c r="G92" s="7">
        <v>2021</v>
      </c>
      <c r="H92" s="7" t="str">
        <f>CONCATENATE("14240354929")</f>
        <v>14240354929</v>
      </c>
      <c r="I92" s="7" t="s">
        <v>30</v>
      </c>
      <c r="J92" s="7" t="s">
        <v>31</v>
      </c>
      <c r="K92" s="7" t="str">
        <f>CONCATENATE("")</f>
        <v/>
      </c>
      <c r="L92" s="7" t="str">
        <f>CONCATENATE("11 11.2 4b")</f>
        <v>11 11.2 4b</v>
      </c>
      <c r="M92" s="7" t="str">
        <f>CONCATENATE("GSTPFR57A27I849C")</f>
        <v>GSTPFR57A27I849C</v>
      </c>
      <c r="N92" s="7" t="s">
        <v>175</v>
      </c>
      <c r="O92" s="7" t="s">
        <v>142</v>
      </c>
      <c r="P92" s="8">
        <v>44589</v>
      </c>
      <c r="Q92" s="7" t="s">
        <v>32</v>
      </c>
      <c r="R92" s="7" t="s">
        <v>36</v>
      </c>
      <c r="S92" s="7" t="s">
        <v>33</v>
      </c>
      <c r="T92" s="7"/>
      <c r="U92" s="7" t="s">
        <v>34</v>
      </c>
      <c r="V92" s="9">
        <v>2174.84</v>
      </c>
      <c r="W92" s="7">
        <v>937.79</v>
      </c>
      <c r="X92" s="7">
        <v>866.02</v>
      </c>
      <c r="Y92" s="7">
        <v>0</v>
      </c>
      <c r="Z92" s="7">
        <v>371.03</v>
      </c>
    </row>
    <row r="93" spans="1:26" x14ac:dyDescent="0.35">
      <c r="A93" s="7" t="s">
        <v>27</v>
      </c>
      <c r="B93" s="7" t="s">
        <v>40</v>
      </c>
      <c r="C93" s="7" t="s">
        <v>45</v>
      </c>
      <c r="D93" s="7" t="s">
        <v>51</v>
      </c>
      <c r="E93" s="7" t="s">
        <v>29</v>
      </c>
      <c r="F93" s="7" t="s">
        <v>124</v>
      </c>
      <c r="G93" s="7">
        <v>2021</v>
      </c>
      <c r="H93" s="7" t="str">
        <f>CONCATENATE("14240572389")</f>
        <v>14240572389</v>
      </c>
      <c r="I93" s="7" t="s">
        <v>30</v>
      </c>
      <c r="J93" s="7" t="s">
        <v>31</v>
      </c>
      <c r="K93" s="7" t="str">
        <f>CONCATENATE("")</f>
        <v/>
      </c>
      <c r="L93" s="7" t="str">
        <f>CONCATENATE("11 11.2 4b")</f>
        <v>11 11.2 4b</v>
      </c>
      <c r="M93" s="7" t="str">
        <f>CONCATENATE("CCENDR88P03E388Y")</f>
        <v>CCENDR88P03E388Y</v>
      </c>
      <c r="N93" s="7" t="s">
        <v>176</v>
      </c>
      <c r="O93" s="7" t="s">
        <v>142</v>
      </c>
      <c r="P93" s="8">
        <v>44589</v>
      </c>
      <c r="Q93" s="7" t="s">
        <v>32</v>
      </c>
      <c r="R93" s="7" t="s">
        <v>36</v>
      </c>
      <c r="S93" s="7" t="s">
        <v>33</v>
      </c>
      <c r="T93" s="7"/>
      <c r="U93" s="7" t="s">
        <v>34</v>
      </c>
      <c r="V93" s="9">
        <v>1383.71</v>
      </c>
      <c r="W93" s="7">
        <v>596.66</v>
      </c>
      <c r="X93" s="7">
        <v>550.99</v>
      </c>
      <c r="Y93" s="7">
        <v>0</v>
      </c>
      <c r="Z93" s="7">
        <v>236.06</v>
      </c>
    </row>
    <row r="94" spans="1:26" x14ac:dyDescent="0.35">
      <c r="A94" s="7" t="s">
        <v>27</v>
      </c>
      <c r="B94" s="7" t="s">
        <v>40</v>
      </c>
      <c r="C94" s="7" t="s">
        <v>45</v>
      </c>
      <c r="D94" s="7" t="s">
        <v>51</v>
      </c>
      <c r="E94" s="7" t="s">
        <v>29</v>
      </c>
      <c r="F94" s="7" t="s">
        <v>124</v>
      </c>
      <c r="G94" s="7">
        <v>2021</v>
      </c>
      <c r="H94" s="7" t="str">
        <f>CONCATENATE("14240126244")</f>
        <v>14240126244</v>
      </c>
      <c r="I94" s="7" t="s">
        <v>30</v>
      </c>
      <c r="J94" s="7" t="s">
        <v>31</v>
      </c>
      <c r="K94" s="7" t="str">
        <f>CONCATENATE("")</f>
        <v/>
      </c>
      <c r="L94" s="7" t="str">
        <f>CONCATENATE("11 11.1 4b")</f>
        <v>11 11.1 4b</v>
      </c>
      <c r="M94" s="7" t="str">
        <f>CONCATENATE("GSPGLN53S55I156D")</f>
        <v>GSPGLN53S55I156D</v>
      </c>
      <c r="N94" s="7" t="s">
        <v>177</v>
      </c>
      <c r="O94" s="7" t="s">
        <v>142</v>
      </c>
      <c r="P94" s="8">
        <v>44589</v>
      </c>
      <c r="Q94" s="7" t="s">
        <v>32</v>
      </c>
      <c r="R94" s="7" t="s">
        <v>36</v>
      </c>
      <c r="S94" s="7" t="s">
        <v>33</v>
      </c>
      <c r="T94" s="7"/>
      <c r="U94" s="7" t="s">
        <v>34</v>
      </c>
      <c r="V94" s="7">
        <v>374.15</v>
      </c>
      <c r="W94" s="7">
        <v>161.33000000000001</v>
      </c>
      <c r="X94" s="7">
        <v>148.99</v>
      </c>
      <c r="Y94" s="7">
        <v>0</v>
      </c>
      <c r="Z94" s="7">
        <v>63.83</v>
      </c>
    </row>
    <row r="95" spans="1:26" x14ac:dyDescent="0.35">
      <c r="A95" s="7" t="s">
        <v>27</v>
      </c>
      <c r="B95" s="7" t="s">
        <v>40</v>
      </c>
      <c r="C95" s="7" t="s">
        <v>45</v>
      </c>
      <c r="D95" s="7" t="s">
        <v>51</v>
      </c>
      <c r="E95" s="7" t="s">
        <v>29</v>
      </c>
      <c r="F95" s="7" t="s">
        <v>124</v>
      </c>
      <c r="G95" s="7">
        <v>2021</v>
      </c>
      <c r="H95" s="7" t="str">
        <f>CONCATENATE("14241053850")</f>
        <v>14241053850</v>
      </c>
      <c r="I95" s="7" t="s">
        <v>30</v>
      </c>
      <c r="J95" s="7" t="s">
        <v>31</v>
      </c>
      <c r="K95" s="7" t="str">
        <f>CONCATENATE("")</f>
        <v/>
      </c>
      <c r="L95" s="7" t="str">
        <f>CONCATENATE("11 11.2 4b")</f>
        <v>11 11.2 4b</v>
      </c>
      <c r="M95" s="7" t="str">
        <f>CONCATENATE("MLTMSS77E51I461Q")</f>
        <v>MLTMSS77E51I461Q</v>
      </c>
      <c r="N95" s="7" t="s">
        <v>178</v>
      </c>
      <c r="O95" s="7" t="s">
        <v>142</v>
      </c>
      <c r="P95" s="8">
        <v>44589</v>
      </c>
      <c r="Q95" s="7" t="s">
        <v>32</v>
      </c>
      <c r="R95" s="7" t="s">
        <v>36</v>
      </c>
      <c r="S95" s="7" t="s">
        <v>33</v>
      </c>
      <c r="T95" s="7"/>
      <c r="U95" s="7" t="s">
        <v>34</v>
      </c>
      <c r="V95" s="7">
        <v>684.98</v>
      </c>
      <c r="W95" s="7">
        <v>295.36</v>
      </c>
      <c r="X95" s="7">
        <v>272.76</v>
      </c>
      <c r="Y95" s="7">
        <v>0</v>
      </c>
      <c r="Z95" s="7">
        <v>116.86</v>
      </c>
    </row>
    <row r="96" spans="1:26" x14ac:dyDescent="0.35">
      <c r="A96" s="7" t="s">
        <v>27</v>
      </c>
      <c r="B96" s="7" t="s">
        <v>40</v>
      </c>
      <c r="C96" s="7" t="s">
        <v>45</v>
      </c>
      <c r="D96" s="7" t="s">
        <v>51</v>
      </c>
      <c r="E96" s="7" t="s">
        <v>29</v>
      </c>
      <c r="F96" s="7" t="s">
        <v>179</v>
      </c>
      <c r="G96" s="7">
        <v>2021</v>
      </c>
      <c r="H96" s="7" t="str">
        <f>CONCATENATE("14240294174")</f>
        <v>14240294174</v>
      </c>
      <c r="I96" s="7" t="s">
        <v>30</v>
      </c>
      <c r="J96" s="7" t="s">
        <v>31</v>
      </c>
      <c r="K96" s="7" t="str">
        <f>CONCATENATE("")</f>
        <v/>
      </c>
      <c r="L96" s="7" t="str">
        <f>CONCATENATE("11 11.2 4b")</f>
        <v>11 11.2 4b</v>
      </c>
      <c r="M96" s="7" t="str">
        <f>CONCATENATE("CMPMRC88E15I608E")</f>
        <v>CMPMRC88E15I608E</v>
      </c>
      <c r="N96" s="7" t="s">
        <v>180</v>
      </c>
      <c r="O96" s="7" t="s">
        <v>142</v>
      </c>
      <c r="P96" s="8">
        <v>44589</v>
      </c>
      <c r="Q96" s="7" t="s">
        <v>32</v>
      </c>
      <c r="R96" s="7" t="s">
        <v>36</v>
      </c>
      <c r="S96" s="7" t="s">
        <v>33</v>
      </c>
      <c r="T96" s="7"/>
      <c r="U96" s="7" t="s">
        <v>34</v>
      </c>
      <c r="V96" s="7">
        <v>625.14</v>
      </c>
      <c r="W96" s="7">
        <v>269.56</v>
      </c>
      <c r="X96" s="7">
        <v>248.93</v>
      </c>
      <c r="Y96" s="7">
        <v>0</v>
      </c>
      <c r="Z96" s="7">
        <v>106.65</v>
      </c>
    </row>
    <row r="97" spans="1:26" x14ac:dyDescent="0.35">
      <c r="A97" s="7" t="s">
        <v>27</v>
      </c>
      <c r="B97" s="7" t="s">
        <v>40</v>
      </c>
      <c r="C97" s="7" t="s">
        <v>45</v>
      </c>
      <c r="D97" s="7" t="s">
        <v>51</v>
      </c>
      <c r="E97" s="7" t="s">
        <v>38</v>
      </c>
      <c r="F97" s="7" t="s">
        <v>147</v>
      </c>
      <c r="G97" s="7">
        <v>2021</v>
      </c>
      <c r="H97" s="7" t="str">
        <f>CONCATENATE("14240287863")</f>
        <v>14240287863</v>
      </c>
      <c r="I97" s="7" t="s">
        <v>30</v>
      </c>
      <c r="J97" s="7" t="s">
        <v>31</v>
      </c>
      <c r="K97" s="7" t="str">
        <f>CONCATENATE("")</f>
        <v/>
      </c>
      <c r="L97" s="7" t="str">
        <f>CONCATENATE("11 11.2 4b")</f>
        <v>11 11.2 4b</v>
      </c>
      <c r="M97" s="7" t="str">
        <f>CONCATENATE("FRNGLI85A69F205N")</f>
        <v>FRNGLI85A69F205N</v>
      </c>
      <c r="N97" s="7" t="s">
        <v>181</v>
      </c>
      <c r="O97" s="7" t="s">
        <v>142</v>
      </c>
      <c r="P97" s="8">
        <v>44589</v>
      </c>
      <c r="Q97" s="7" t="s">
        <v>32</v>
      </c>
      <c r="R97" s="7" t="s">
        <v>36</v>
      </c>
      <c r="S97" s="7" t="s">
        <v>33</v>
      </c>
      <c r="T97" s="7"/>
      <c r="U97" s="7" t="s">
        <v>34</v>
      </c>
      <c r="V97" s="7">
        <v>304.81</v>
      </c>
      <c r="W97" s="7">
        <v>131.43</v>
      </c>
      <c r="X97" s="7">
        <v>121.38</v>
      </c>
      <c r="Y97" s="7">
        <v>0</v>
      </c>
      <c r="Z97" s="7">
        <v>52</v>
      </c>
    </row>
  </sheetData>
  <mergeCells count="2">
    <mergeCell ref="A1:Y1"/>
    <mergeCell ref="A2:Y2"/>
  </mergeCells>
  <pageMargins left="0.75" right="0.75" top="1" bottom="1" header="0.5" footer="0.5"/>
  <pageSetup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29599</vt:lpwstr>
  </property>
  <property fmtid="{D5CDD505-2E9C-101B-9397-08002B2CF9AE}" pid="4" name="OptimizationTime">
    <vt:lpwstr>20220211_1815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2022-02-08T14:05:22Z</dcterms:created>
  <dcterms:modified xsi:type="dcterms:W3CDTF">2022-02-08T14:06:00Z</dcterms:modified>
</cp:coreProperties>
</file>