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97/"/>
    </mc:Choice>
  </mc:AlternateContent>
  <xr:revisionPtr revIDLastSave="0" documentId="8_{37C3116E-0416-4CE2-9B08-BE6D20C07BAC}" xr6:coauthVersionLast="46" xr6:coauthVersionMax="46" xr10:uidLastSave="{00000000-0000-0000-0000-000000000000}"/>
  <bookViews>
    <workbookView xWindow="-110" yWindow="-110" windowWidth="19420" windowHeight="10420" xr2:uid="{EFEA44E4-3424-4000-BA27-89DBF5C475C6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1" l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<sst xmlns="http://schemas.openxmlformats.org/spreadsheetml/2006/main" count="671" uniqueCount="124">
  <si>
    <t>Dettaglio Domande Pagabili Decreto 497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</si>
  <si>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</si>
  <si>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</si>
  <si>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</si>
  <si>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</si>
  <si>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</si>
  <si>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</si>
  <si>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</si>
  <si>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</si>
  <si>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</si>
  <si>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</si>
  <si>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</si>
  <si>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</si>
  <si>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</si>
  <si>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</si>
  <si>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</si>
  <si>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</si>
  <si>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</si>
  <si>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</si>
  <si>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</si>
  <si>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</si>
  <si>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</si>
  <si>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</si>
  <si>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</si>
  <si>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</si>
  <si>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</si>
  <si>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</si>
  <si>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</si>
  <si>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</si>
  <si>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NO</t>
  </si>
  <si>
    <t>Nuova Programmazione</t>
  </si>
  <si>
    <t>In Liquidazione</t>
  </si>
  <si>
    <t>Saldo</t>
  </si>
  <si>
    <t>Co-Finanziato</t>
  </si>
  <si>
    <t>Ordinario</t>
  </si>
  <si>
    <t>IN PROPRIO</t>
  </si>
  <si>
    <t>SI</t>
  </si>
  <si>
    <t>SAL</t>
  </si>
  <si>
    <t>CAA UNICAA srl</t>
  </si>
  <si>
    <t>CAA CIA srl</t>
  </si>
  <si>
    <t>CAA Coldiretti srl</t>
  </si>
  <si>
    <t>CAA-CAF AGRI S.R.L.</t>
  </si>
  <si>
    <t>CAA LiberiAgricoltori srl già CAA AGCI srl</t>
  </si>
  <si>
    <t>Anticipo</t>
  </si>
  <si>
    <t>MARCHE</t>
  </si>
  <si>
    <t>SERV. DEC. AGRICOLTURA E ALIM. - MACERATA</t>
  </si>
  <si>
    <t>FIECCHI MASSIMO</t>
  </si>
  <si>
    <t>AGEA.ASR.2021.1268687</t>
  </si>
  <si>
    <t>SERV. DEC. AGRICOLTURA E ALIM. -ASCOLI PICENO</t>
  </si>
  <si>
    <t>COMUNE DI AMANDOLA</t>
  </si>
  <si>
    <t>AGEA.ASR.2021.1284041</t>
  </si>
  <si>
    <t>COMUNE DI MONTE ROBERTO</t>
  </si>
  <si>
    <t>AGEA.ASR.2021.1255256</t>
  </si>
  <si>
    <t>AGEA.ASR.2021.1268662</t>
  </si>
  <si>
    <t>SERV. DEC. AGRICOLTURA E ALIMENTAZIONE - PESARO</t>
  </si>
  <si>
    <t>CAA LiberiAgricoltori - PESARO E URBINO - 001</t>
  </si>
  <si>
    <t>TERRA BIO CONSORZIO AGRICOLTORI BIOLOGICI SOCIETA' COOPERATIVA</t>
  </si>
  <si>
    <t>AGEA.ASR.2021.1268607</t>
  </si>
  <si>
    <t>COMUNE DI COLMURANO</t>
  </si>
  <si>
    <t>AGEA.ASR.2021.1255261</t>
  </si>
  <si>
    <t>COMUNE DI MONTE SAN MARTINO</t>
  </si>
  <si>
    <t>COMUNE DI GAGLIOLE</t>
  </si>
  <si>
    <t>CAA CIA - ANCONA - 002</t>
  </si>
  <si>
    <t>ALBERTI MATTEO</t>
  </si>
  <si>
    <t>AGEA.ASR.2021.1260112</t>
  </si>
  <si>
    <t>CAA Coldiretti - MACERATA - 017</t>
  </si>
  <si>
    <t>CRISPICIANI SARA</t>
  </si>
  <si>
    <t>SERV. DEC. AGRICOLTURA E ALIMENTAZIONE - ANCONA</t>
  </si>
  <si>
    <t>ENTE REGIONE MARCHE</t>
  </si>
  <si>
    <t>AGEA.ASR.2021.1273348</t>
  </si>
  <si>
    <t>COMUNE DI BARBARA</t>
  </si>
  <si>
    <t>AGEA.ASR.2021.1255234</t>
  </si>
  <si>
    <t>COMUNE DI CASTELLEONE DI SUASA</t>
  </si>
  <si>
    <t>COMUNE DI MAIOLATI SPONTINI</t>
  </si>
  <si>
    <t>AGEA.ASR.2021.1260100</t>
  </si>
  <si>
    <t>FATTORIA FORANO DI LUCANGELI GIOVANNI BATTISTA SOCIETA' AGRICOLA SOCIE</t>
  </si>
  <si>
    <t>AGEA.ASR.2021.1283666</t>
  </si>
  <si>
    <t>CAA Coldiretti - FERMO - 001</t>
  </si>
  <si>
    <t>MALERBA MARIA</t>
  </si>
  <si>
    <t>MONDOMINI SOCIETA' AGRICOLA SEMPLICE</t>
  </si>
  <si>
    <t>"AZIENDA 4 M - SOCIETA' AGRICOLA SEMPLICE DI MILIOZZI UMBERTO E C."</t>
  </si>
  <si>
    <t>AGEA.ASR.2021.1284371</t>
  </si>
  <si>
    <t>SANTONI FRANCESCO</t>
  </si>
  <si>
    <t>AGEA.ASR.2021.1260222</t>
  </si>
  <si>
    <t>AGEA.ASR.2021.1260235</t>
  </si>
  <si>
    <t>CAA CIA - ASCOLI PICENO - 001</t>
  </si>
  <si>
    <t>C.I.A. SERVICE GROUP S.R.L.</t>
  </si>
  <si>
    <t>AGEA.ASR.2021.1283678</t>
  </si>
  <si>
    <t>SOCIETA' AGRICOLA VILLA MANU' DI ALLEGRINI SOC. SEMPLICE</t>
  </si>
  <si>
    <t>AGEA.ASR.2021.1259917</t>
  </si>
  <si>
    <t>COMUNE DI SAN GINESIO</t>
  </si>
  <si>
    <t>AGEA.ASR.2021.1265704</t>
  </si>
  <si>
    <t>CONSORZIO DI BONIFICA DELLE MARCHE</t>
  </si>
  <si>
    <t>AGEA.ASR.2021.1260186</t>
  </si>
  <si>
    <t>PETRACCI NICOLA</t>
  </si>
  <si>
    <t>AGEA.ASR.2021.1259709</t>
  </si>
  <si>
    <t>COMUNE DI PENNA SAN GIOVANNI</t>
  </si>
  <si>
    <t>AGEA.ASR.2021.1255242</t>
  </si>
  <si>
    <t>CAA CAF AGRI - PESARO E URBINO - 221</t>
  </si>
  <si>
    <t>FANESI ANDREA</t>
  </si>
  <si>
    <t>COUNTRY PIG SOCIETA' AGRICOLA SEMPLICE DI BASTIANELLI MAURO E BASTIANE</t>
  </si>
  <si>
    <t>CAA UNICAA - ASCOLI PICENO - 004</t>
  </si>
  <si>
    <t>AZIENDA AGRICOLA MORESCHINI DI MORESCHINI PATRIZIO E PIERLUIGI SO CIET</t>
  </si>
  <si>
    <t>AGEA.ASR.2021.1285222</t>
  </si>
  <si>
    <t>OCCHIODORO VINCENZO</t>
  </si>
  <si>
    <t>UNIONE MONTANA DEI MONTI AZZURRI</t>
  </si>
  <si>
    <t>AGEA.ASR.2021.1256161</t>
  </si>
  <si>
    <t>COMUNE DI BELFORTE DEL CHIENTI</t>
  </si>
  <si>
    <t>AGEA.ASR.2021.1255222</t>
  </si>
  <si>
    <t>COMUNE DI SANT'ANGELO IN PONTANO</t>
  </si>
  <si>
    <t>COMUNE DI SARNANO</t>
  </si>
  <si>
    <t>AGEA.ASR.2021.1261160</t>
  </si>
  <si>
    <t>AGEA.ASR.2021.1283453</t>
  </si>
  <si>
    <t>AGEA.ASR.2021.1260109</t>
  </si>
  <si>
    <t>CAA Copagri srl</t>
  </si>
  <si>
    <t>CAA Copagri - ANCONA - 502</t>
  </si>
  <si>
    <t>CESARONI CLAUDIO</t>
  </si>
  <si>
    <t>AGEA.ASR.2021.1285627</t>
  </si>
  <si>
    <t>FLAMINIA CESANO S.R.L.</t>
  </si>
  <si>
    <t>AGEA.ASR.2021.1284149</t>
  </si>
  <si>
    <t>COMUNE DI OSTRA</t>
  </si>
  <si>
    <t>AGEA.ASR.2021.1255266</t>
  </si>
  <si>
    <t>COMUNANZA AGRARIA DI TORRICCHIO</t>
  </si>
  <si>
    <t>AGEA.ASR.2021.1265941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</si>
</sst>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25F43-DD7C-4873-ABF7-4EDA3D688D27}">
  <dimension ref="A1:Z49"/>
  <sheetViews>
    <sheetView showGridLines="0" tabSelected="1" workbookViewId="0">
      <selection activeCell="F53" sqref="F53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7.7265625" bestFit="1" customWidth="1"/>
    <col min="4" max="4" width="27.54296875" bestFit="1" customWidth="1"/>
    <col min="5" max="5" width="20.36328125" bestFit="1" customWidth="1"/>
    <col min="6" max="6" width="22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63281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44</v>
      </c>
      <c r="D4" s="7" t="s">
        <v>45</v>
      </c>
      <c r="E4" s="7" t="s">
        <v>35</v>
      </c>
      <c r="F4" s="7" t="s">
        <v>35</v>
      </c>
      <c r="G4" s="7">
        <v>2017</v>
      </c>
      <c r="H4" s="7" t="str">
        <f>CONCATENATE("14270309645")</f>
        <v>14270309645</v>
      </c>
      <c r="I4" s="7" t="s">
        <v>29</v>
      </c>
      <c r="J4" s="7" t="s">
        <v>30</v>
      </c>
      <c r="K4" s="7" t="str">
        <f>CONCATENATE("")</f>
        <v/>
      </c>
      <c r="L4" s="7" t="str">
        <f>CONCATENATE("4 4.1 2a")</f>
        <v>4 4.1 2a</v>
      </c>
      <c r="M4" s="7" t="str">
        <f>CONCATENATE("FCCMSM81R24B474R")</f>
        <v>FCCMSM81R24B474R</v>
      </c>
      <c r="N4" s="7" t="s">
        <v>46</v>
      </c>
      <c r="O4" s="7" t="s">
        <v>47</v>
      </c>
      <c r="P4" s="8">
        <v>44512</v>
      </c>
      <c r="Q4" s="7" t="s">
        <v>31</v>
      </c>
      <c r="R4" s="7" t="s">
        <v>32</v>
      </c>
      <c r="S4" s="7" t="s">
        <v>33</v>
      </c>
      <c r="T4" s="7"/>
      <c r="U4" s="7" t="s">
        <v>34</v>
      </c>
      <c r="V4" s="9">
        <v>61558.09</v>
      </c>
      <c r="W4" s="9">
        <v>26543.85</v>
      </c>
      <c r="X4" s="9">
        <v>24512.43</v>
      </c>
      <c r="Y4" s="7">
        <v>0</v>
      </c>
      <c r="Z4" s="9">
        <v>10501.81</v>
      </c>
    </row>
    <row r="5" spans="1:26" x14ac:dyDescent="0.35">
      <c r="A5" s="7" t="s">
        <v>27</v>
      </c>
      <c r="B5" s="7" t="s">
        <v>28</v>
      </c>
      <c r="C5" s="7" t="s">
        <v>44</v>
      </c>
      <c r="D5" s="7" t="s">
        <v>48</v>
      </c>
      <c r="E5" s="7" t="s">
        <v>35</v>
      </c>
      <c r="F5" s="7" t="s">
        <v>35</v>
      </c>
      <c r="G5" s="7">
        <v>2017</v>
      </c>
      <c r="H5" s="7" t="str">
        <f>CONCATENATE("14270312193")</f>
        <v>14270312193</v>
      </c>
      <c r="I5" s="7" t="s">
        <v>29</v>
      </c>
      <c r="J5" s="7" t="s">
        <v>30</v>
      </c>
      <c r="K5" s="7" t="str">
        <f>CONCATENATE("")</f>
        <v/>
      </c>
      <c r="L5" s="7" t="str">
        <f>CONCATENATE("4 4.3 2a")</f>
        <v>4 4.3 2a</v>
      </c>
      <c r="M5" s="7" t="str">
        <f>CONCATENATE("80001030446")</f>
        <v>80001030446</v>
      </c>
      <c r="N5" s="7" t="s">
        <v>49</v>
      </c>
      <c r="O5" s="7" t="s">
        <v>50</v>
      </c>
      <c r="P5" s="8">
        <v>44515</v>
      </c>
      <c r="Q5" s="7" t="s">
        <v>31</v>
      </c>
      <c r="R5" s="7" t="s">
        <v>43</v>
      </c>
      <c r="S5" s="7" t="s">
        <v>33</v>
      </c>
      <c r="T5" s="7"/>
      <c r="U5" s="7" t="s">
        <v>34</v>
      </c>
      <c r="V5" s="9">
        <v>75334.679999999993</v>
      </c>
      <c r="W5" s="9">
        <v>32484.31</v>
      </c>
      <c r="X5" s="9">
        <v>29998.27</v>
      </c>
      <c r="Y5" s="7">
        <v>0</v>
      </c>
      <c r="Z5" s="9">
        <v>12852.1</v>
      </c>
    </row>
    <row r="6" spans="1:26" x14ac:dyDescent="0.35">
      <c r="A6" s="7" t="s">
        <v>27</v>
      </c>
      <c r="B6" s="7" t="s">
        <v>28</v>
      </c>
      <c r="C6" s="7" t="s">
        <v>44</v>
      </c>
      <c r="D6" s="7" t="s">
        <v>44</v>
      </c>
      <c r="E6" s="7" t="s">
        <v>35</v>
      </c>
      <c r="F6" s="7" t="s">
        <v>35</v>
      </c>
      <c r="G6" s="7">
        <v>2017</v>
      </c>
      <c r="H6" s="7" t="str">
        <f>CONCATENATE("14270300974")</f>
        <v>14270300974</v>
      </c>
      <c r="I6" s="7" t="s">
        <v>29</v>
      </c>
      <c r="J6" s="7" t="s">
        <v>30</v>
      </c>
      <c r="K6" s="7" t="str">
        <f>CONCATENATE("")</f>
        <v/>
      </c>
      <c r="L6" s="7" t="str">
        <f>CONCATENATE("19 19.2 6b")</f>
        <v>19 19.2 6b</v>
      </c>
      <c r="M6" s="7" t="str">
        <f>CONCATENATE("82002210423")</f>
        <v>82002210423</v>
      </c>
      <c r="N6" s="7" t="s">
        <v>51</v>
      </c>
      <c r="O6" s="7" t="s">
        <v>52</v>
      </c>
      <c r="P6" s="8">
        <v>44508</v>
      </c>
      <c r="Q6" s="7" t="s">
        <v>31</v>
      </c>
      <c r="R6" s="7" t="s">
        <v>43</v>
      </c>
      <c r="S6" s="7" t="s">
        <v>33</v>
      </c>
      <c r="T6" s="7"/>
      <c r="U6" s="7" t="s">
        <v>34</v>
      </c>
      <c r="V6" s="9">
        <v>60000</v>
      </c>
      <c r="W6" s="9">
        <v>25872</v>
      </c>
      <c r="X6" s="9">
        <v>23892</v>
      </c>
      <c r="Y6" s="7">
        <v>0</v>
      </c>
      <c r="Z6" s="9">
        <v>10236</v>
      </c>
    </row>
    <row r="7" spans="1:26" x14ac:dyDescent="0.35">
      <c r="A7" s="7" t="s">
        <v>27</v>
      </c>
      <c r="B7" s="7" t="s">
        <v>28</v>
      </c>
      <c r="C7" s="7" t="s">
        <v>44</v>
      </c>
      <c r="D7" s="7" t="s">
        <v>45</v>
      </c>
      <c r="E7" s="7" t="s">
        <v>35</v>
      </c>
      <c r="F7" s="7" t="s">
        <v>35</v>
      </c>
      <c r="G7" s="7">
        <v>2017</v>
      </c>
      <c r="H7" s="7" t="str">
        <f>CONCATENATE("14270309637")</f>
        <v>14270309637</v>
      </c>
      <c r="I7" s="7" t="s">
        <v>29</v>
      </c>
      <c r="J7" s="7" t="s">
        <v>30</v>
      </c>
      <c r="K7" s="7" t="str">
        <f>CONCATENATE("")</f>
        <v/>
      </c>
      <c r="L7" s="7" t="str">
        <f>CONCATENATE("6 6.1 2b")</f>
        <v>6 6.1 2b</v>
      </c>
      <c r="M7" s="7" t="str">
        <f>CONCATENATE("FCCMSM81R24B474R")</f>
        <v>FCCMSM81R24B474R</v>
      </c>
      <c r="N7" s="7" t="s">
        <v>46</v>
      </c>
      <c r="O7" s="7" t="s">
        <v>53</v>
      </c>
      <c r="P7" s="8">
        <v>44512</v>
      </c>
      <c r="Q7" s="7" t="s">
        <v>31</v>
      </c>
      <c r="R7" s="7" t="s">
        <v>32</v>
      </c>
      <c r="S7" s="7" t="s">
        <v>33</v>
      </c>
      <c r="T7" s="7"/>
      <c r="U7" s="7" t="s">
        <v>34</v>
      </c>
      <c r="V7" s="9">
        <v>18000</v>
      </c>
      <c r="W7" s="9">
        <v>7761.6</v>
      </c>
      <c r="X7" s="9">
        <v>7167.6</v>
      </c>
      <c r="Y7" s="7">
        <v>0</v>
      </c>
      <c r="Z7" s="9">
        <v>3070.8</v>
      </c>
    </row>
    <row r="8" spans="1:26" ht="17.5" x14ac:dyDescent="0.35">
      <c r="A8" s="7" t="s">
        <v>27</v>
      </c>
      <c r="B8" s="7" t="s">
        <v>28</v>
      </c>
      <c r="C8" s="7" t="s">
        <v>44</v>
      </c>
      <c r="D8" s="7" t="s">
        <v>54</v>
      </c>
      <c r="E8" s="7" t="s">
        <v>42</v>
      </c>
      <c r="F8" s="7" t="s">
        <v>55</v>
      </c>
      <c r="G8" s="7">
        <v>2017</v>
      </c>
      <c r="H8" s="7" t="str">
        <f>CONCATENATE("14270307706")</f>
        <v>14270307706</v>
      </c>
      <c r="I8" s="7" t="s">
        <v>29</v>
      </c>
      <c r="J8" s="7" t="s">
        <v>30</v>
      </c>
      <c r="K8" s="7" t="str">
        <f>CONCATENATE("")</f>
        <v/>
      </c>
      <c r="L8" s="7" t="str">
        <f>CONCATENATE("3 3.2 3a")</f>
        <v>3 3.2 3a</v>
      </c>
      <c r="M8" s="7" t="str">
        <f>CONCATENATE("01403850413")</f>
        <v>01403850413</v>
      </c>
      <c r="N8" s="7" t="s">
        <v>56</v>
      </c>
      <c r="O8" s="7" t="s">
        <v>57</v>
      </c>
      <c r="P8" s="8">
        <v>44512</v>
      </c>
      <c r="Q8" s="7" t="s">
        <v>31</v>
      </c>
      <c r="R8" s="7" t="s">
        <v>32</v>
      </c>
      <c r="S8" s="7" t="s">
        <v>33</v>
      </c>
      <c r="T8" s="7"/>
      <c r="U8" s="7" t="s">
        <v>34</v>
      </c>
      <c r="V8" s="9">
        <v>5033</v>
      </c>
      <c r="W8" s="9">
        <v>2170.23</v>
      </c>
      <c r="X8" s="9">
        <v>2004.14</v>
      </c>
      <c r="Y8" s="7">
        <v>0</v>
      </c>
      <c r="Z8" s="7">
        <v>858.63</v>
      </c>
    </row>
    <row r="9" spans="1:26" x14ac:dyDescent="0.35">
      <c r="A9" s="7" t="s">
        <v>27</v>
      </c>
      <c r="B9" s="7" t="s">
        <v>28</v>
      </c>
      <c r="C9" s="7" t="s">
        <v>44</v>
      </c>
      <c r="D9" s="7" t="s">
        <v>44</v>
      </c>
      <c r="E9" s="7" t="s">
        <v>35</v>
      </c>
      <c r="F9" s="7" t="s">
        <v>35</v>
      </c>
      <c r="G9" s="7">
        <v>2017</v>
      </c>
      <c r="H9" s="7" t="str">
        <f>CONCATENATE("14270290571")</f>
        <v>14270290571</v>
      </c>
      <c r="I9" s="7" t="s">
        <v>29</v>
      </c>
      <c r="J9" s="7" t="s">
        <v>30</v>
      </c>
      <c r="K9" s="7" t="str">
        <f>CONCATENATE("")</f>
        <v/>
      </c>
      <c r="L9" s="7" t="str">
        <f>CONCATENATE("19 19.2 6b")</f>
        <v>19 19.2 6b</v>
      </c>
      <c r="M9" s="7" t="str">
        <f>CONCATENATE("00267160430")</f>
        <v>00267160430</v>
      </c>
      <c r="N9" s="7" t="s">
        <v>58</v>
      </c>
      <c r="O9" s="7" t="s">
        <v>59</v>
      </c>
      <c r="P9" s="8">
        <v>44508</v>
      </c>
      <c r="Q9" s="7" t="s">
        <v>31</v>
      </c>
      <c r="R9" s="7" t="s">
        <v>43</v>
      </c>
      <c r="S9" s="7" t="s">
        <v>33</v>
      </c>
      <c r="T9" s="7"/>
      <c r="U9" s="7" t="s">
        <v>34</v>
      </c>
      <c r="V9" s="9">
        <v>21340.71</v>
      </c>
      <c r="W9" s="9">
        <v>9202.11</v>
      </c>
      <c r="X9" s="9">
        <v>8497.8700000000008</v>
      </c>
      <c r="Y9" s="7">
        <v>0</v>
      </c>
      <c r="Z9" s="9">
        <v>3640.73</v>
      </c>
    </row>
    <row r="10" spans="1:26" x14ac:dyDescent="0.35">
      <c r="A10" s="7" t="s">
        <v>27</v>
      </c>
      <c r="B10" s="7" t="s">
        <v>28</v>
      </c>
      <c r="C10" s="7" t="s">
        <v>44</v>
      </c>
      <c r="D10" s="7" t="s">
        <v>44</v>
      </c>
      <c r="E10" s="7" t="s">
        <v>35</v>
      </c>
      <c r="F10" s="7" t="s">
        <v>35</v>
      </c>
      <c r="G10" s="7">
        <v>2017</v>
      </c>
      <c r="H10" s="7" t="str">
        <f>CONCATENATE("14270287312")</f>
        <v>14270287312</v>
      </c>
      <c r="I10" s="7" t="s">
        <v>29</v>
      </c>
      <c r="J10" s="7" t="s">
        <v>30</v>
      </c>
      <c r="K10" s="7" t="str">
        <f>CONCATENATE("")</f>
        <v/>
      </c>
      <c r="L10" s="7" t="str">
        <f>CONCATENATE("19 19.2 6b")</f>
        <v>19 19.2 6b</v>
      </c>
      <c r="M10" s="7" t="str">
        <f>CONCATENATE("83002470439")</f>
        <v>83002470439</v>
      </c>
      <c r="N10" s="7" t="s">
        <v>60</v>
      </c>
      <c r="O10" s="7" t="s">
        <v>59</v>
      </c>
      <c r="P10" s="8">
        <v>44508</v>
      </c>
      <c r="Q10" s="7" t="s">
        <v>31</v>
      </c>
      <c r="R10" s="7" t="s">
        <v>43</v>
      </c>
      <c r="S10" s="7" t="s">
        <v>33</v>
      </c>
      <c r="T10" s="7"/>
      <c r="U10" s="7" t="s">
        <v>34</v>
      </c>
      <c r="V10" s="9">
        <v>42370.14</v>
      </c>
      <c r="W10" s="9">
        <v>18270</v>
      </c>
      <c r="X10" s="9">
        <v>16871.79</v>
      </c>
      <c r="Y10" s="7">
        <v>0</v>
      </c>
      <c r="Z10" s="9">
        <v>7228.35</v>
      </c>
    </row>
    <row r="11" spans="1:26" x14ac:dyDescent="0.35">
      <c r="A11" s="7" t="s">
        <v>27</v>
      </c>
      <c r="B11" s="7" t="s">
        <v>28</v>
      </c>
      <c r="C11" s="7" t="s">
        <v>44</v>
      </c>
      <c r="D11" s="7" t="s">
        <v>44</v>
      </c>
      <c r="E11" s="7" t="s">
        <v>35</v>
      </c>
      <c r="F11" s="7" t="s">
        <v>35</v>
      </c>
      <c r="G11" s="7">
        <v>2017</v>
      </c>
      <c r="H11" s="7" t="str">
        <f>CONCATENATE("14270287320")</f>
        <v>14270287320</v>
      </c>
      <c r="I11" s="7" t="s">
        <v>29</v>
      </c>
      <c r="J11" s="7" t="s">
        <v>30</v>
      </c>
      <c r="K11" s="7" t="str">
        <f>CONCATENATE("")</f>
        <v/>
      </c>
      <c r="L11" s="7" t="str">
        <f>CONCATENATE("19 19.2 6b")</f>
        <v>19 19.2 6b</v>
      </c>
      <c r="M11" s="7" t="str">
        <f>CONCATENATE("00268590437")</f>
        <v>00268590437</v>
      </c>
      <c r="N11" s="7" t="s">
        <v>61</v>
      </c>
      <c r="O11" s="7" t="s">
        <v>59</v>
      </c>
      <c r="P11" s="8">
        <v>44508</v>
      </c>
      <c r="Q11" s="7" t="s">
        <v>31</v>
      </c>
      <c r="R11" s="7" t="s">
        <v>43</v>
      </c>
      <c r="S11" s="7" t="s">
        <v>33</v>
      </c>
      <c r="T11" s="7"/>
      <c r="U11" s="7" t="s">
        <v>34</v>
      </c>
      <c r="V11" s="9">
        <v>38892.9</v>
      </c>
      <c r="W11" s="9">
        <v>16770.62</v>
      </c>
      <c r="X11" s="9">
        <v>15487.15</v>
      </c>
      <c r="Y11" s="7">
        <v>0</v>
      </c>
      <c r="Z11" s="9">
        <v>6635.13</v>
      </c>
    </row>
    <row r="12" spans="1:26" x14ac:dyDescent="0.35">
      <c r="A12" s="7" t="s">
        <v>27</v>
      </c>
      <c r="B12" s="7" t="s">
        <v>28</v>
      </c>
      <c r="C12" s="7" t="s">
        <v>44</v>
      </c>
      <c r="D12" s="7" t="s">
        <v>45</v>
      </c>
      <c r="E12" s="7" t="s">
        <v>39</v>
      </c>
      <c r="F12" s="7" t="s">
        <v>62</v>
      </c>
      <c r="G12" s="7">
        <v>2017</v>
      </c>
      <c r="H12" s="7" t="str">
        <f>CONCATENATE("14270307698")</f>
        <v>14270307698</v>
      </c>
      <c r="I12" s="7" t="s">
        <v>29</v>
      </c>
      <c r="J12" s="7" t="s">
        <v>30</v>
      </c>
      <c r="K12" s="7" t="str">
        <f>CONCATENATE("")</f>
        <v/>
      </c>
      <c r="L12" s="7" t="str">
        <f>CONCATENATE("4 4.1 2a")</f>
        <v>4 4.1 2a</v>
      </c>
      <c r="M12" s="7" t="str">
        <f>CONCATENATE("LBRMTT93P26A465A")</f>
        <v>LBRMTT93P26A465A</v>
      </c>
      <c r="N12" s="7" t="s">
        <v>63</v>
      </c>
      <c r="O12" s="7" t="s">
        <v>64</v>
      </c>
      <c r="P12" s="8">
        <v>44511</v>
      </c>
      <c r="Q12" s="7" t="s">
        <v>31</v>
      </c>
      <c r="R12" s="7" t="s">
        <v>32</v>
      </c>
      <c r="S12" s="7" t="s">
        <v>33</v>
      </c>
      <c r="T12" s="7"/>
      <c r="U12" s="7" t="s">
        <v>34</v>
      </c>
      <c r="V12" s="9">
        <v>4813.92</v>
      </c>
      <c r="W12" s="9">
        <v>2075.7600000000002</v>
      </c>
      <c r="X12" s="9">
        <v>1916.9</v>
      </c>
      <c r="Y12" s="7">
        <v>0</v>
      </c>
      <c r="Z12" s="7">
        <v>821.26</v>
      </c>
    </row>
    <row r="13" spans="1:26" x14ac:dyDescent="0.35">
      <c r="A13" s="7" t="s">
        <v>27</v>
      </c>
      <c r="B13" s="7" t="s">
        <v>28</v>
      </c>
      <c r="C13" s="7" t="s">
        <v>44</v>
      </c>
      <c r="D13" s="7" t="s">
        <v>45</v>
      </c>
      <c r="E13" s="7" t="s">
        <v>40</v>
      </c>
      <c r="F13" s="7" t="s">
        <v>65</v>
      </c>
      <c r="G13" s="7">
        <v>2017</v>
      </c>
      <c r="H13" s="7" t="str">
        <f>CONCATENATE("14270307664")</f>
        <v>14270307664</v>
      </c>
      <c r="I13" s="7" t="s">
        <v>29</v>
      </c>
      <c r="J13" s="7" t="s">
        <v>30</v>
      </c>
      <c r="K13" s="7" t="str">
        <f>CONCATENATE("")</f>
        <v/>
      </c>
      <c r="L13" s="7" t="str">
        <f>CONCATENATE("4 4.1 2a")</f>
        <v>4 4.1 2a</v>
      </c>
      <c r="M13" s="7" t="str">
        <f>CONCATENATE("CRSSRA89H64B474Q")</f>
        <v>CRSSRA89H64B474Q</v>
      </c>
      <c r="N13" s="7" t="s">
        <v>66</v>
      </c>
      <c r="O13" s="7" t="s">
        <v>64</v>
      </c>
      <c r="P13" s="8">
        <v>44511</v>
      </c>
      <c r="Q13" s="7" t="s">
        <v>31</v>
      </c>
      <c r="R13" s="7" t="s">
        <v>32</v>
      </c>
      <c r="S13" s="7" t="s">
        <v>33</v>
      </c>
      <c r="T13" s="7"/>
      <c r="U13" s="7" t="s">
        <v>34</v>
      </c>
      <c r="V13" s="9">
        <v>233529.91</v>
      </c>
      <c r="W13" s="9">
        <v>100698.1</v>
      </c>
      <c r="X13" s="9">
        <v>92991.61</v>
      </c>
      <c r="Y13" s="7">
        <v>0</v>
      </c>
      <c r="Z13" s="9">
        <v>39840.199999999997</v>
      </c>
    </row>
    <row r="14" spans="1:26" x14ac:dyDescent="0.35">
      <c r="A14" s="7" t="s">
        <v>27</v>
      </c>
      <c r="B14" s="7" t="s">
        <v>28</v>
      </c>
      <c r="C14" s="7" t="s">
        <v>44</v>
      </c>
      <c r="D14" s="7" t="s">
        <v>67</v>
      </c>
      <c r="E14" s="7" t="s">
        <v>35</v>
      </c>
      <c r="F14" s="7" t="s">
        <v>35</v>
      </c>
      <c r="G14" s="7">
        <v>2017</v>
      </c>
      <c r="H14" s="7" t="str">
        <f>CONCATENATE("14270307771")</f>
        <v>14270307771</v>
      </c>
      <c r="I14" s="7" t="s">
        <v>29</v>
      </c>
      <c r="J14" s="7" t="s">
        <v>30</v>
      </c>
      <c r="K14" s="7" t="str">
        <f>CONCATENATE("")</f>
        <v/>
      </c>
      <c r="L14" s="7" t="str">
        <f>CONCATENATE("20 20.1 ")</f>
        <v xml:space="preserve">20 20.1 </v>
      </c>
      <c r="M14" s="7" t="str">
        <f>CONCATENATE("80008630420")</f>
        <v>80008630420</v>
      </c>
      <c r="N14" s="7" t="s">
        <v>68</v>
      </c>
      <c r="O14" s="7" t="s">
        <v>69</v>
      </c>
      <c r="P14" s="8">
        <v>44512</v>
      </c>
      <c r="Q14" s="7" t="s">
        <v>31</v>
      </c>
      <c r="R14" s="7" t="s">
        <v>32</v>
      </c>
      <c r="S14" s="7" t="s">
        <v>33</v>
      </c>
      <c r="T14" s="7"/>
      <c r="U14" s="7" t="s">
        <v>34</v>
      </c>
      <c r="V14" s="9">
        <v>224771.91</v>
      </c>
      <c r="W14" s="9">
        <v>96921.65</v>
      </c>
      <c r="X14" s="9">
        <v>89504.17</v>
      </c>
      <c r="Y14" s="7">
        <v>0</v>
      </c>
      <c r="Z14" s="9">
        <v>38346.089999999997</v>
      </c>
    </row>
    <row r="15" spans="1:26" x14ac:dyDescent="0.35">
      <c r="A15" s="7" t="s">
        <v>27</v>
      </c>
      <c r="B15" s="7" t="s">
        <v>28</v>
      </c>
      <c r="C15" s="7" t="s">
        <v>44</v>
      </c>
      <c r="D15" s="7" t="s">
        <v>67</v>
      </c>
      <c r="E15" s="7" t="s">
        <v>35</v>
      </c>
      <c r="F15" s="7" t="s">
        <v>35</v>
      </c>
      <c r="G15" s="7">
        <v>2017</v>
      </c>
      <c r="H15" s="7" t="str">
        <f>CONCATENATE("14270307763")</f>
        <v>14270307763</v>
      </c>
      <c r="I15" s="7" t="s">
        <v>29</v>
      </c>
      <c r="J15" s="7" t="s">
        <v>30</v>
      </c>
      <c r="K15" s="7" t="str">
        <f>CONCATENATE("")</f>
        <v/>
      </c>
      <c r="L15" s="7" t="str">
        <f>CONCATENATE("20 20.1 ")</f>
        <v xml:space="preserve">20 20.1 </v>
      </c>
      <c r="M15" s="7" t="str">
        <f>CONCATENATE("80008630420")</f>
        <v>80008630420</v>
      </c>
      <c r="N15" s="7" t="s">
        <v>68</v>
      </c>
      <c r="O15" s="7" t="s">
        <v>69</v>
      </c>
      <c r="P15" s="8">
        <v>44512</v>
      </c>
      <c r="Q15" s="7" t="s">
        <v>31</v>
      </c>
      <c r="R15" s="7" t="s">
        <v>37</v>
      </c>
      <c r="S15" s="7" t="s">
        <v>33</v>
      </c>
      <c r="T15" s="7"/>
      <c r="U15" s="7" t="s">
        <v>34</v>
      </c>
      <c r="V15" s="9">
        <v>1110428.1100000001</v>
      </c>
      <c r="W15" s="9">
        <v>478816.6</v>
      </c>
      <c r="X15" s="9">
        <v>442172.47</v>
      </c>
      <c r="Y15" s="7">
        <v>0</v>
      </c>
      <c r="Z15" s="9">
        <v>189439.04</v>
      </c>
    </row>
    <row r="16" spans="1:26" x14ac:dyDescent="0.35">
      <c r="A16" s="7" t="s">
        <v>27</v>
      </c>
      <c r="B16" s="7" t="s">
        <v>28</v>
      </c>
      <c r="C16" s="7" t="s">
        <v>44</v>
      </c>
      <c r="D16" s="7" t="s">
        <v>44</v>
      </c>
      <c r="E16" s="7" t="s">
        <v>35</v>
      </c>
      <c r="F16" s="7" t="s">
        <v>35</v>
      </c>
      <c r="G16" s="7">
        <v>2017</v>
      </c>
      <c r="H16" s="7" t="str">
        <f>CONCATENATE("14270300941")</f>
        <v>14270300941</v>
      </c>
      <c r="I16" s="7" t="s">
        <v>29</v>
      </c>
      <c r="J16" s="7" t="s">
        <v>30</v>
      </c>
      <c r="K16" s="7" t="str">
        <f>CONCATENATE("")</f>
        <v/>
      </c>
      <c r="L16" s="7" t="str">
        <f>CONCATENATE("19 19.2 6b")</f>
        <v>19 19.2 6b</v>
      </c>
      <c r="M16" s="7" t="str">
        <f>CONCATENATE("00176320422")</f>
        <v>00176320422</v>
      </c>
      <c r="N16" s="7" t="s">
        <v>70</v>
      </c>
      <c r="O16" s="7" t="s">
        <v>71</v>
      </c>
      <c r="P16" s="8">
        <v>44508</v>
      </c>
      <c r="Q16" s="7" t="s">
        <v>31</v>
      </c>
      <c r="R16" s="7" t="s">
        <v>43</v>
      </c>
      <c r="S16" s="7" t="s">
        <v>33</v>
      </c>
      <c r="T16" s="7"/>
      <c r="U16" s="7" t="s">
        <v>34</v>
      </c>
      <c r="V16" s="9">
        <v>59601.65</v>
      </c>
      <c r="W16" s="9">
        <v>25700.23</v>
      </c>
      <c r="X16" s="9">
        <v>23733.38</v>
      </c>
      <c r="Y16" s="7">
        <v>0</v>
      </c>
      <c r="Z16" s="9">
        <v>10168.040000000001</v>
      </c>
    </row>
    <row r="17" spans="1:26" x14ac:dyDescent="0.35">
      <c r="A17" s="7" t="s">
        <v>27</v>
      </c>
      <c r="B17" s="7" t="s">
        <v>28</v>
      </c>
      <c r="C17" s="7" t="s">
        <v>44</v>
      </c>
      <c r="D17" s="7" t="s">
        <v>44</v>
      </c>
      <c r="E17" s="7" t="s">
        <v>35</v>
      </c>
      <c r="F17" s="7" t="s">
        <v>35</v>
      </c>
      <c r="G17" s="7">
        <v>2017</v>
      </c>
      <c r="H17" s="7" t="str">
        <f>CONCATENATE("14270300958")</f>
        <v>14270300958</v>
      </c>
      <c r="I17" s="7" t="s">
        <v>29</v>
      </c>
      <c r="J17" s="7" t="s">
        <v>30</v>
      </c>
      <c r="K17" s="7" t="str">
        <f>CONCATENATE("")</f>
        <v/>
      </c>
      <c r="L17" s="7" t="str">
        <f>CONCATENATE("19 19.2 6b")</f>
        <v>19 19.2 6b</v>
      </c>
      <c r="M17" s="7" t="str">
        <f>CONCATENATE("00176190429")</f>
        <v>00176190429</v>
      </c>
      <c r="N17" s="7" t="s">
        <v>72</v>
      </c>
      <c r="O17" s="7" t="s">
        <v>71</v>
      </c>
      <c r="P17" s="8">
        <v>44508</v>
      </c>
      <c r="Q17" s="7" t="s">
        <v>31</v>
      </c>
      <c r="R17" s="7" t="s">
        <v>43</v>
      </c>
      <c r="S17" s="7" t="s">
        <v>33</v>
      </c>
      <c r="T17" s="7"/>
      <c r="U17" s="7" t="s">
        <v>34</v>
      </c>
      <c r="V17" s="9">
        <v>43993.66</v>
      </c>
      <c r="W17" s="9">
        <v>18970.07</v>
      </c>
      <c r="X17" s="9">
        <v>17518.28</v>
      </c>
      <c r="Y17" s="7">
        <v>0</v>
      </c>
      <c r="Z17" s="9">
        <v>7505.31</v>
      </c>
    </row>
    <row r="18" spans="1:26" x14ac:dyDescent="0.35">
      <c r="A18" s="7" t="s">
        <v>27</v>
      </c>
      <c r="B18" s="7" t="s">
        <v>28</v>
      </c>
      <c r="C18" s="7" t="s">
        <v>44</v>
      </c>
      <c r="D18" s="7" t="s">
        <v>44</v>
      </c>
      <c r="E18" s="7" t="s">
        <v>35</v>
      </c>
      <c r="F18" s="7" t="s">
        <v>35</v>
      </c>
      <c r="G18" s="7">
        <v>2017</v>
      </c>
      <c r="H18" s="7" t="str">
        <f>CONCATENATE("14270300966")</f>
        <v>14270300966</v>
      </c>
      <c r="I18" s="7" t="s">
        <v>29</v>
      </c>
      <c r="J18" s="7" t="s">
        <v>30</v>
      </c>
      <c r="K18" s="7" t="str">
        <f>CONCATENATE("")</f>
        <v/>
      </c>
      <c r="L18" s="7" t="str">
        <f>CONCATENATE("19 19.2 6b")</f>
        <v>19 19.2 6b</v>
      </c>
      <c r="M18" s="7" t="str">
        <f>CONCATENATE("00188950422")</f>
        <v>00188950422</v>
      </c>
      <c r="N18" s="7" t="s">
        <v>73</v>
      </c>
      <c r="O18" s="7" t="s">
        <v>71</v>
      </c>
      <c r="P18" s="8">
        <v>44508</v>
      </c>
      <c r="Q18" s="7" t="s">
        <v>31</v>
      </c>
      <c r="R18" s="7" t="s">
        <v>43</v>
      </c>
      <c r="S18" s="7" t="s">
        <v>33</v>
      </c>
      <c r="T18" s="7"/>
      <c r="U18" s="7" t="s">
        <v>34</v>
      </c>
      <c r="V18" s="9">
        <v>64800</v>
      </c>
      <c r="W18" s="9">
        <v>27941.759999999998</v>
      </c>
      <c r="X18" s="9">
        <v>25803.360000000001</v>
      </c>
      <c r="Y18" s="7">
        <v>0</v>
      </c>
      <c r="Z18" s="9">
        <v>11054.88</v>
      </c>
    </row>
    <row r="19" spans="1:26" x14ac:dyDescent="0.35">
      <c r="A19" s="7" t="s">
        <v>27</v>
      </c>
      <c r="B19" s="7" t="s">
        <v>28</v>
      </c>
      <c r="C19" s="7" t="s">
        <v>44</v>
      </c>
      <c r="D19" s="7" t="s">
        <v>45</v>
      </c>
      <c r="E19" s="7" t="s">
        <v>39</v>
      </c>
      <c r="F19" s="7" t="s">
        <v>62</v>
      </c>
      <c r="G19" s="7">
        <v>2017</v>
      </c>
      <c r="H19" s="7" t="str">
        <f>CONCATENATE("14270307672")</f>
        <v>14270307672</v>
      </c>
      <c r="I19" s="7" t="s">
        <v>29</v>
      </c>
      <c r="J19" s="7" t="s">
        <v>30</v>
      </c>
      <c r="K19" s="7" t="str">
        <f>CONCATENATE("")</f>
        <v/>
      </c>
      <c r="L19" s="7" t="str">
        <f>CONCATENATE("6 6.1 2b")</f>
        <v>6 6.1 2b</v>
      </c>
      <c r="M19" s="7" t="str">
        <f>CONCATENATE("LBRMTT93P26A465A")</f>
        <v>LBRMTT93P26A465A</v>
      </c>
      <c r="N19" s="7" t="s">
        <v>63</v>
      </c>
      <c r="O19" s="7" t="s">
        <v>74</v>
      </c>
      <c r="P19" s="8">
        <v>44511</v>
      </c>
      <c r="Q19" s="7" t="s">
        <v>31</v>
      </c>
      <c r="R19" s="7" t="s">
        <v>32</v>
      </c>
      <c r="S19" s="7" t="s">
        <v>33</v>
      </c>
      <c r="T19" s="7"/>
      <c r="U19" s="7" t="s">
        <v>34</v>
      </c>
      <c r="V19" s="9">
        <v>21000</v>
      </c>
      <c r="W19" s="9">
        <v>9055.2000000000007</v>
      </c>
      <c r="X19" s="9">
        <v>8362.2000000000007</v>
      </c>
      <c r="Y19" s="7">
        <v>0</v>
      </c>
      <c r="Z19" s="9">
        <v>3582.6</v>
      </c>
    </row>
    <row r="20" spans="1:26" x14ac:dyDescent="0.35">
      <c r="A20" s="7" t="s">
        <v>27</v>
      </c>
      <c r="B20" s="7" t="s">
        <v>28</v>
      </c>
      <c r="C20" s="7" t="s">
        <v>44</v>
      </c>
      <c r="D20" s="7" t="s">
        <v>45</v>
      </c>
      <c r="E20" s="7" t="s">
        <v>40</v>
      </c>
      <c r="F20" s="7" t="s">
        <v>65</v>
      </c>
      <c r="G20" s="7">
        <v>2017</v>
      </c>
      <c r="H20" s="7" t="str">
        <f>CONCATENATE("14270307656")</f>
        <v>14270307656</v>
      </c>
      <c r="I20" s="7" t="s">
        <v>29</v>
      </c>
      <c r="J20" s="7" t="s">
        <v>30</v>
      </c>
      <c r="K20" s="7" t="str">
        <f>CONCATENATE("")</f>
        <v/>
      </c>
      <c r="L20" s="7" t="str">
        <f>CONCATENATE("6 6.1 2b")</f>
        <v>6 6.1 2b</v>
      </c>
      <c r="M20" s="7" t="str">
        <f>CONCATENATE("CRSSRA89H64B474Q")</f>
        <v>CRSSRA89H64B474Q</v>
      </c>
      <c r="N20" s="7" t="s">
        <v>66</v>
      </c>
      <c r="O20" s="7" t="s">
        <v>74</v>
      </c>
      <c r="P20" s="8">
        <v>44511</v>
      </c>
      <c r="Q20" s="7" t="s">
        <v>31</v>
      </c>
      <c r="R20" s="7" t="s">
        <v>32</v>
      </c>
      <c r="S20" s="7" t="s">
        <v>33</v>
      </c>
      <c r="T20" s="7"/>
      <c r="U20" s="7" t="s">
        <v>34</v>
      </c>
      <c r="V20" s="9">
        <v>20370</v>
      </c>
      <c r="W20" s="9">
        <v>8783.5400000000009</v>
      </c>
      <c r="X20" s="9">
        <v>8111.33</v>
      </c>
      <c r="Y20" s="7">
        <v>0</v>
      </c>
      <c r="Z20" s="9">
        <v>3475.13</v>
      </c>
    </row>
    <row r="21" spans="1:26" ht="17.5" x14ac:dyDescent="0.35">
      <c r="A21" s="7" t="s">
        <v>27</v>
      </c>
      <c r="B21" s="7" t="s">
        <v>28</v>
      </c>
      <c r="C21" s="7" t="s">
        <v>44</v>
      </c>
      <c r="D21" s="7" t="s">
        <v>45</v>
      </c>
      <c r="E21" s="7" t="s">
        <v>35</v>
      </c>
      <c r="F21" s="7" t="s">
        <v>35</v>
      </c>
      <c r="G21" s="7">
        <v>2017</v>
      </c>
      <c r="H21" s="7" t="str">
        <f>CONCATENATE("14270312169")</f>
        <v>14270312169</v>
      </c>
      <c r="I21" s="7" t="s">
        <v>36</v>
      </c>
      <c r="J21" s="7" t="s">
        <v>30</v>
      </c>
      <c r="K21" s="7" t="str">
        <f>CONCATENATE("")</f>
        <v/>
      </c>
      <c r="L21" s="7" t="str">
        <f>CONCATENATE("21 21.1 2a")</f>
        <v>21 21.1 2a</v>
      </c>
      <c r="M21" s="7" t="str">
        <f>CONCATENATE("01695320430")</f>
        <v>01695320430</v>
      </c>
      <c r="N21" s="7" t="s">
        <v>75</v>
      </c>
      <c r="O21" s="7" t="s">
        <v>76</v>
      </c>
      <c r="P21" s="8">
        <v>44515</v>
      </c>
      <c r="Q21" s="7" t="s">
        <v>31</v>
      </c>
      <c r="R21" s="7" t="s">
        <v>32</v>
      </c>
      <c r="S21" s="7" t="s">
        <v>33</v>
      </c>
      <c r="T21" s="7"/>
      <c r="U21" s="7" t="s">
        <v>34</v>
      </c>
      <c r="V21" s="9">
        <v>5440.81</v>
      </c>
      <c r="W21" s="9">
        <v>2346.08</v>
      </c>
      <c r="X21" s="9">
        <v>2166.5300000000002</v>
      </c>
      <c r="Y21" s="7">
        <v>0</v>
      </c>
      <c r="Z21" s="7">
        <v>928.2</v>
      </c>
    </row>
    <row r="22" spans="1:26" x14ac:dyDescent="0.35">
      <c r="A22" s="7" t="s">
        <v>27</v>
      </c>
      <c r="B22" s="7" t="s">
        <v>28</v>
      </c>
      <c r="C22" s="7" t="s">
        <v>44</v>
      </c>
      <c r="D22" s="7" t="s">
        <v>48</v>
      </c>
      <c r="E22" s="7" t="s">
        <v>40</v>
      </c>
      <c r="F22" s="7" t="s">
        <v>77</v>
      </c>
      <c r="G22" s="7">
        <v>2017</v>
      </c>
      <c r="H22" s="7" t="str">
        <f>CONCATENATE("14270312151")</f>
        <v>14270312151</v>
      </c>
      <c r="I22" s="7" t="s">
        <v>29</v>
      </c>
      <c r="J22" s="7" t="s">
        <v>30</v>
      </c>
      <c r="K22" s="7" t="str">
        <f>CONCATENATE("")</f>
        <v/>
      </c>
      <c r="L22" s="7" t="str">
        <f>CONCATENATE("21 21.1 2a")</f>
        <v>21 21.1 2a</v>
      </c>
      <c r="M22" s="7" t="str">
        <f>CONCATENATE("MLRMRA51E43F415P")</f>
        <v>MLRMRA51E43F415P</v>
      </c>
      <c r="N22" s="7" t="s">
        <v>78</v>
      </c>
      <c r="O22" s="7" t="s">
        <v>76</v>
      </c>
      <c r="P22" s="8">
        <v>44515</v>
      </c>
      <c r="Q22" s="7" t="s">
        <v>31</v>
      </c>
      <c r="R22" s="7" t="s">
        <v>32</v>
      </c>
      <c r="S22" s="7" t="s">
        <v>33</v>
      </c>
      <c r="T22" s="7"/>
      <c r="U22" s="7" t="s">
        <v>34</v>
      </c>
      <c r="V22" s="9">
        <v>7000</v>
      </c>
      <c r="W22" s="9">
        <v>3018.4</v>
      </c>
      <c r="X22" s="9">
        <v>2787.4</v>
      </c>
      <c r="Y22" s="7">
        <v>0</v>
      </c>
      <c r="Z22" s="9">
        <v>1194.2</v>
      </c>
    </row>
    <row r="23" spans="1:26" x14ac:dyDescent="0.35">
      <c r="A23" s="7" t="s">
        <v>27</v>
      </c>
      <c r="B23" s="7" t="s">
        <v>28</v>
      </c>
      <c r="C23" s="7" t="s">
        <v>44</v>
      </c>
      <c r="D23" s="7" t="s">
        <v>48</v>
      </c>
      <c r="E23" s="7" t="s">
        <v>35</v>
      </c>
      <c r="F23" s="7" t="s">
        <v>35</v>
      </c>
      <c r="G23" s="7">
        <v>2017</v>
      </c>
      <c r="H23" s="7" t="str">
        <f>CONCATENATE("14270312144")</f>
        <v>14270312144</v>
      </c>
      <c r="I23" s="7" t="s">
        <v>36</v>
      </c>
      <c r="J23" s="7" t="s">
        <v>30</v>
      </c>
      <c r="K23" s="7" t="str">
        <f>CONCATENATE("")</f>
        <v/>
      </c>
      <c r="L23" s="7" t="str">
        <f>CONCATENATE("21 21.1 2a")</f>
        <v>21 21.1 2a</v>
      </c>
      <c r="M23" s="7" t="str">
        <f>CONCATENATE("14446391006")</f>
        <v>14446391006</v>
      </c>
      <c r="N23" s="7" t="s">
        <v>79</v>
      </c>
      <c r="O23" s="7" t="s">
        <v>76</v>
      </c>
      <c r="P23" s="8">
        <v>44515</v>
      </c>
      <c r="Q23" s="7" t="s">
        <v>31</v>
      </c>
      <c r="R23" s="7" t="s">
        <v>32</v>
      </c>
      <c r="S23" s="7" t="s">
        <v>33</v>
      </c>
      <c r="T23" s="7"/>
      <c r="U23" s="7" t="s">
        <v>34</v>
      </c>
      <c r="V23" s="9">
        <v>1000</v>
      </c>
      <c r="W23" s="7">
        <v>431.2</v>
      </c>
      <c r="X23" s="7">
        <v>398.2</v>
      </c>
      <c r="Y23" s="7">
        <v>0</v>
      </c>
      <c r="Z23" s="7">
        <v>170.6</v>
      </c>
    </row>
    <row r="24" spans="1:26" ht="17.5" x14ac:dyDescent="0.35">
      <c r="A24" s="7" t="s">
        <v>27</v>
      </c>
      <c r="B24" s="7" t="s">
        <v>28</v>
      </c>
      <c r="C24" s="7" t="s">
        <v>44</v>
      </c>
      <c r="D24" s="7" t="s">
        <v>45</v>
      </c>
      <c r="E24" s="7" t="s">
        <v>39</v>
      </c>
      <c r="F24" s="7" t="s">
        <v>62</v>
      </c>
      <c r="G24" s="7">
        <v>2017</v>
      </c>
      <c r="H24" s="7" t="str">
        <f>CONCATENATE("14270312466")</f>
        <v>14270312466</v>
      </c>
      <c r="I24" s="7" t="s">
        <v>29</v>
      </c>
      <c r="J24" s="7" t="s">
        <v>30</v>
      </c>
      <c r="K24" s="7" t="str">
        <f>CONCATENATE("")</f>
        <v/>
      </c>
      <c r="L24" s="7" t="str">
        <f>CONCATENATE("4 4.1 2a")</f>
        <v>4 4.1 2a</v>
      </c>
      <c r="M24" s="7" t="str">
        <f>CONCATENATE("00884880436")</f>
        <v>00884880436</v>
      </c>
      <c r="N24" s="7" t="s">
        <v>80</v>
      </c>
      <c r="O24" s="7" t="s">
        <v>81</v>
      </c>
      <c r="P24" s="8">
        <v>44515</v>
      </c>
      <c r="Q24" s="7" t="s">
        <v>31</v>
      </c>
      <c r="R24" s="7" t="s">
        <v>32</v>
      </c>
      <c r="S24" s="7" t="s">
        <v>33</v>
      </c>
      <c r="T24" s="7"/>
      <c r="U24" s="7" t="s">
        <v>34</v>
      </c>
      <c r="V24" s="9">
        <v>25752.38</v>
      </c>
      <c r="W24" s="9">
        <v>11104.43</v>
      </c>
      <c r="X24" s="9">
        <v>10254.6</v>
      </c>
      <c r="Y24" s="7">
        <v>0</v>
      </c>
      <c r="Z24" s="9">
        <v>4393.3500000000004</v>
      </c>
    </row>
    <row r="25" spans="1:26" x14ac:dyDescent="0.35">
      <c r="A25" s="7" t="s">
        <v>27</v>
      </c>
      <c r="B25" s="7" t="s">
        <v>28</v>
      </c>
      <c r="C25" s="7" t="s">
        <v>44</v>
      </c>
      <c r="D25" s="7" t="s">
        <v>48</v>
      </c>
      <c r="E25" s="7" t="s">
        <v>35</v>
      </c>
      <c r="F25" s="7" t="s">
        <v>35</v>
      </c>
      <c r="G25" s="7">
        <v>2017</v>
      </c>
      <c r="H25" s="7" t="str">
        <f>CONCATENATE("14270307755")</f>
        <v>14270307755</v>
      </c>
      <c r="I25" s="7" t="s">
        <v>29</v>
      </c>
      <c r="J25" s="7" t="s">
        <v>30</v>
      </c>
      <c r="K25" s="7" t="str">
        <f>CONCATENATE("")</f>
        <v/>
      </c>
      <c r="L25" s="7" t="str">
        <f>CONCATENATE("6 6.1 2b")</f>
        <v>6 6.1 2b</v>
      </c>
      <c r="M25" s="7" t="str">
        <f>CONCATENATE("SNTFNC97A23I324A")</f>
        <v>SNTFNC97A23I324A</v>
      </c>
      <c r="N25" s="7" t="s">
        <v>82</v>
      </c>
      <c r="O25" s="7" t="s">
        <v>83</v>
      </c>
      <c r="P25" s="8">
        <v>44511</v>
      </c>
      <c r="Q25" s="7" t="s">
        <v>31</v>
      </c>
      <c r="R25" s="7" t="s">
        <v>32</v>
      </c>
      <c r="S25" s="7" t="s">
        <v>33</v>
      </c>
      <c r="T25" s="7"/>
      <c r="U25" s="7" t="s">
        <v>34</v>
      </c>
      <c r="V25" s="9">
        <v>10185</v>
      </c>
      <c r="W25" s="9">
        <v>4391.7700000000004</v>
      </c>
      <c r="X25" s="9">
        <v>4055.67</v>
      </c>
      <c r="Y25" s="7">
        <v>0</v>
      </c>
      <c r="Z25" s="9">
        <v>1737.56</v>
      </c>
    </row>
    <row r="26" spans="1:26" x14ac:dyDescent="0.35">
      <c r="A26" s="7" t="s">
        <v>27</v>
      </c>
      <c r="B26" s="7" t="s">
        <v>28</v>
      </c>
      <c r="C26" s="7" t="s">
        <v>44</v>
      </c>
      <c r="D26" s="7" t="s">
        <v>48</v>
      </c>
      <c r="E26" s="7" t="s">
        <v>35</v>
      </c>
      <c r="F26" s="7" t="s">
        <v>35</v>
      </c>
      <c r="G26" s="7">
        <v>2017</v>
      </c>
      <c r="H26" s="7" t="str">
        <f>CONCATENATE("14270307748")</f>
        <v>14270307748</v>
      </c>
      <c r="I26" s="7" t="s">
        <v>29</v>
      </c>
      <c r="J26" s="7" t="s">
        <v>30</v>
      </c>
      <c r="K26" s="7" t="str">
        <f>CONCATENATE("")</f>
        <v/>
      </c>
      <c r="L26" s="7" t="str">
        <f>CONCATENATE("4 4.1 2a")</f>
        <v>4 4.1 2a</v>
      </c>
      <c r="M26" s="7" t="str">
        <f>CONCATENATE("SNTFNC97A23I324A")</f>
        <v>SNTFNC97A23I324A</v>
      </c>
      <c r="N26" s="7" t="s">
        <v>82</v>
      </c>
      <c r="O26" s="7" t="s">
        <v>84</v>
      </c>
      <c r="P26" s="8">
        <v>44511</v>
      </c>
      <c r="Q26" s="7" t="s">
        <v>31</v>
      </c>
      <c r="R26" s="7" t="s">
        <v>32</v>
      </c>
      <c r="S26" s="7" t="s">
        <v>33</v>
      </c>
      <c r="T26" s="7"/>
      <c r="U26" s="7" t="s">
        <v>34</v>
      </c>
      <c r="V26" s="9">
        <v>21277.52</v>
      </c>
      <c r="W26" s="9">
        <v>9174.8700000000008</v>
      </c>
      <c r="X26" s="9">
        <v>8472.7099999999991</v>
      </c>
      <c r="Y26" s="7">
        <v>0</v>
      </c>
      <c r="Z26" s="9">
        <v>3629.94</v>
      </c>
    </row>
    <row r="27" spans="1:26" x14ac:dyDescent="0.35">
      <c r="A27" s="7" t="s">
        <v>27</v>
      </c>
      <c r="B27" s="7" t="s">
        <v>28</v>
      </c>
      <c r="C27" s="7" t="s">
        <v>44</v>
      </c>
      <c r="D27" s="7" t="s">
        <v>48</v>
      </c>
      <c r="E27" s="7" t="s">
        <v>39</v>
      </c>
      <c r="F27" s="7" t="s">
        <v>85</v>
      </c>
      <c r="G27" s="7">
        <v>2017</v>
      </c>
      <c r="H27" s="7" t="str">
        <f>CONCATENATE("14270312474")</f>
        <v>14270312474</v>
      </c>
      <c r="I27" s="7" t="s">
        <v>29</v>
      </c>
      <c r="J27" s="7" t="s">
        <v>30</v>
      </c>
      <c r="K27" s="7" t="str">
        <f>CONCATENATE("")</f>
        <v/>
      </c>
      <c r="L27" s="7" t="str">
        <f>CONCATENATE("1 1.1 2a")</f>
        <v>1 1.1 2a</v>
      </c>
      <c r="M27" s="7" t="str">
        <f>CONCATENATE("01632720445")</f>
        <v>01632720445</v>
      </c>
      <c r="N27" s="7" t="s">
        <v>86</v>
      </c>
      <c r="O27" s="7" t="s">
        <v>87</v>
      </c>
      <c r="P27" s="8">
        <v>44515</v>
      </c>
      <c r="Q27" s="7" t="s">
        <v>31</v>
      </c>
      <c r="R27" s="7" t="s">
        <v>32</v>
      </c>
      <c r="S27" s="7" t="s">
        <v>33</v>
      </c>
      <c r="T27" s="7"/>
      <c r="U27" s="7" t="s">
        <v>34</v>
      </c>
      <c r="V27" s="9">
        <v>7040</v>
      </c>
      <c r="W27" s="9">
        <v>3035.65</v>
      </c>
      <c r="X27" s="9">
        <v>2803.33</v>
      </c>
      <c r="Y27" s="7">
        <v>0</v>
      </c>
      <c r="Z27" s="9">
        <v>1201.02</v>
      </c>
    </row>
    <row r="28" spans="1:26" x14ac:dyDescent="0.35">
      <c r="A28" s="7" t="s">
        <v>27</v>
      </c>
      <c r="B28" s="7" t="s">
        <v>28</v>
      </c>
      <c r="C28" s="7" t="s">
        <v>44</v>
      </c>
      <c r="D28" s="7" t="s">
        <v>48</v>
      </c>
      <c r="E28" s="7" t="s">
        <v>35</v>
      </c>
      <c r="F28" s="7" t="s">
        <v>35</v>
      </c>
      <c r="G28" s="7">
        <v>2017</v>
      </c>
      <c r="H28" s="7" t="str">
        <f>CONCATENATE("14270242648")</f>
        <v>14270242648</v>
      </c>
      <c r="I28" s="7" t="s">
        <v>29</v>
      </c>
      <c r="J28" s="7" t="s">
        <v>30</v>
      </c>
      <c r="K28" s="7" t="str">
        <f>CONCATENATE("")</f>
        <v/>
      </c>
      <c r="L28" s="7" t="str">
        <f>CONCATENATE("4 4.1 2a")</f>
        <v>4 4.1 2a</v>
      </c>
      <c r="M28" s="7" t="str">
        <f>CONCATENATE("01861420444")</f>
        <v>01861420444</v>
      </c>
      <c r="N28" s="7" t="s">
        <v>88</v>
      </c>
      <c r="O28" s="7" t="s">
        <v>89</v>
      </c>
      <c r="P28" s="8">
        <v>44510</v>
      </c>
      <c r="Q28" s="7" t="s">
        <v>31</v>
      </c>
      <c r="R28" s="7" t="s">
        <v>32</v>
      </c>
      <c r="S28" s="7" t="s">
        <v>33</v>
      </c>
      <c r="T28" s="7"/>
      <c r="U28" s="7" t="s">
        <v>34</v>
      </c>
      <c r="V28" s="9">
        <v>31525.18</v>
      </c>
      <c r="W28" s="9">
        <v>13593.66</v>
      </c>
      <c r="X28" s="9">
        <v>12553.33</v>
      </c>
      <c r="Y28" s="7">
        <v>0</v>
      </c>
      <c r="Z28" s="9">
        <v>5378.19</v>
      </c>
    </row>
    <row r="29" spans="1:26" x14ac:dyDescent="0.35">
      <c r="A29" s="7" t="s">
        <v>27</v>
      </c>
      <c r="B29" s="7" t="s">
        <v>28</v>
      </c>
      <c r="C29" s="7" t="s">
        <v>44</v>
      </c>
      <c r="D29" s="7" t="s">
        <v>45</v>
      </c>
      <c r="E29" s="7" t="s">
        <v>35</v>
      </c>
      <c r="F29" s="7" t="s">
        <v>35</v>
      </c>
      <c r="G29" s="7">
        <v>2017</v>
      </c>
      <c r="H29" s="7" t="str">
        <f>CONCATENATE("14270309843")</f>
        <v>14270309843</v>
      </c>
      <c r="I29" s="7" t="s">
        <v>29</v>
      </c>
      <c r="J29" s="7" t="s">
        <v>30</v>
      </c>
      <c r="K29" s="7" t="str">
        <f>CONCATENATE("")</f>
        <v/>
      </c>
      <c r="L29" s="7" t="str">
        <f>CONCATENATE("4 4.3 2a")</f>
        <v>4 4.3 2a</v>
      </c>
      <c r="M29" s="7" t="str">
        <f>CONCATENATE("00215270430")</f>
        <v>00215270430</v>
      </c>
      <c r="N29" s="7" t="s">
        <v>90</v>
      </c>
      <c r="O29" s="7" t="s">
        <v>91</v>
      </c>
      <c r="P29" s="8">
        <v>44515</v>
      </c>
      <c r="Q29" s="7" t="s">
        <v>31</v>
      </c>
      <c r="R29" s="7" t="s">
        <v>43</v>
      </c>
      <c r="S29" s="7" t="s">
        <v>33</v>
      </c>
      <c r="T29" s="7"/>
      <c r="U29" s="7" t="s">
        <v>34</v>
      </c>
      <c r="V29" s="9">
        <v>46249.93</v>
      </c>
      <c r="W29" s="9">
        <v>19942.97</v>
      </c>
      <c r="X29" s="9">
        <v>18416.72</v>
      </c>
      <c r="Y29" s="7">
        <v>0</v>
      </c>
      <c r="Z29" s="9">
        <v>7890.24</v>
      </c>
    </row>
    <row r="30" spans="1:26" x14ac:dyDescent="0.35">
      <c r="A30" s="7" t="s">
        <v>27</v>
      </c>
      <c r="B30" s="7" t="s">
        <v>28</v>
      </c>
      <c r="C30" s="7" t="s">
        <v>44</v>
      </c>
      <c r="D30" s="7" t="s">
        <v>48</v>
      </c>
      <c r="E30" s="7" t="s">
        <v>35</v>
      </c>
      <c r="F30" s="7" t="s">
        <v>35</v>
      </c>
      <c r="G30" s="7">
        <v>2017</v>
      </c>
      <c r="H30" s="7" t="str">
        <f>CONCATENATE("14270308175")</f>
        <v>14270308175</v>
      </c>
      <c r="I30" s="7" t="s">
        <v>29</v>
      </c>
      <c r="J30" s="7" t="s">
        <v>30</v>
      </c>
      <c r="K30" s="7" t="str">
        <f>CONCATENATE("")</f>
        <v/>
      </c>
      <c r="L30" s="7" t="str">
        <f>CONCATENATE("4 4.3 5a")</f>
        <v>4 4.3 5a</v>
      </c>
      <c r="M30" s="7" t="str">
        <f>CONCATENATE("92049990416")</f>
        <v>92049990416</v>
      </c>
      <c r="N30" s="7" t="s">
        <v>92</v>
      </c>
      <c r="O30" s="7" t="s">
        <v>93</v>
      </c>
      <c r="P30" s="8">
        <v>44511</v>
      </c>
      <c r="Q30" s="7" t="s">
        <v>31</v>
      </c>
      <c r="R30" s="7" t="s">
        <v>43</v>
      </c>
      <c r="S30" s="7" t="s">
        <v>33</v>
      </c>
      <c r="T30" s="7"/>
      <c r="U30" s="7" t="s">
        <v>34</v>
      </c>
      <c r="V30" s="9">
        <v>4520250</v>
      </c>
      <c r="W30" s="9">
        <v>1949131.8</v>
      </c>
      <c r="X30" s="9">
        <v>1799963.55</v>
      </c>
      <c r="Y30" s="7">
        <v>0</v>
      </c>
      <c r="Z30" s="9">
        <v>771154.65</v>
      </c>
    </row>
    <row r="31" spans="1:26" x14ac:dyDescent="0.35">
      <c r="A31" s="7" t="s">
        <v>27</v>
      </c>
      <c r="B31" s="7" t="s">
        <v>28</v>
      </c>
      <c r="C31" s="7" t="s">
        <v>44</v>
      </c>
      <c r="D31" s="7" t="s">
        <v>54</v>
      </c>
      <c r="E31" s="7" t="s">
        <v>35</v>
      </c>
      <c r="F31" s="7" t="s">
        <v>35</v>
      </c>
      <c r="G31" s="7">
        <v>2017</v>
      </c>
      <c r="H31" s="7" t="str">
        <f>CONCATENATE("14270215420")</f>
        <v>14270215420</v>
      </c>
      <c r="I31" s="7" t="s">
        <v>29</v>
      </c>
      <c r="J31" s="7" t="s">
        <v>30</v>
      </c>
      <c r="K31" s="7" t="str">
        <f>CONCATENATE("")</f>
        <v/>
      </c>
      <c r="L31" s="7" t="str">
        <f>CONCATENATE("6 6.1 2b")</f>
        <v>6 6.1 2b</v>
      </c>
      <c r="M31" s="7" t="str">
        <f>CONCATENATE("PTRNCL96E03B474Y")</f>
        <v>PTRNCL96E03B474Y</v>
      </c>
      <c r="N31" s="7" t="s">
        <v>94</v>
      </c>
      <c r="O31" s="7" t="s">
        <v>95</v>
      </c>
      <c r="P31" s="8">
        <v>44511</v>
      </c>
      <c r="Q31" s="7" t="s">
        <v>31</v>
      </c>
      <c r="R31" s="7" t="s">
        <v>37</v>
      </c>
      <c r="S31" s="7" t="s">
        <v>33</v>
      </c>
      <c r="T31" s="7"/>
      <c r="U31" s="7" t="s">
        <v>34</v>
      </c>
      <c r="V31" s="9">
        <v>28000</v>
      </c>
      <c r="W31" s="9">
        <v>12073.6</v>
      </c>
      <c r="X31" s="9">
        <v>11149.6</v>
      </c>
      <c r="Y31" s="7">
        <v>0</v>
      </c>
      <c r="Z31" s="9">
        <v>4776.8</v>
      </c>
    </row>
    <row r="32" spans="1:26" x14ac:dyDescent="0.35">
      <c r="A32" s="7" t="s">
        <v>27</v>
      </c>
      <c r="B32" s="7" t="s">
        <v>28</v>
      </c>
      <c r="C32" s="7" t="s">
        <v>44</v>
      </c>
      <c r="D32" s="7" t="s">
        <v>44</v>
      </c>
      <c r="E32" s="7" t="s">
        <v>35</v>
      </c>
      <c r="F32" s="7" t="s">
        <v>35</v>
      </c>
      <c r="G32" s="7">
        <v>2017</v>
      </c>
      <c r="H32" s="7" t="str">
        <f>CONCATENATE("14270283972")</f>
        <v>14270283972</v>
      </c>
      <c r="I32" s="7" t="s">
        <v>29</v>
      </c>
      <c r="J32" s="7" t="s">
        <v>30</v>
      </c>
      <c r="K32" s="7" t="str">
        <f>CONCATENATE("")</f>
        <v/>
      </c>
      <c r="L32" s="7" t="str">
        <f>CONCATENATE("19 19.2 6b")</f>
        <v>19 19.2 6b</v>
      </c>
      <c r="M32" s="7" t="str">
        <f>CONCATENATE("83002570436")</f>
        <v>83002570436</v>
      </c>
      <c r="N32" s="7" t="s">
        <v>96</v>
      </c>
      <c r="O32" s="7" t="s">
        <v>97</v>
      </c>
      <c r="P32" s="8">
        <v>44508</v>
      </c>
      <c r="Q32" s="7" t="s">
        <v>31</v>
      </c>
      <c r="R32" s="7" t="s">
        <v>43</v>
      </c>
      <c r="S32" s="7" t="s">
        <v>33</v>
      </c>
      <c r="T32" s="7"/>
      <c r="U32" s="7" t="s">
        <v>34</v>
      </c>
      <c r="V32" s="9">
        <v>39309.72</v>
      </c>
      <c r="W32" s="9">
        <v>16950.349999999999</v>
      </c>
      <c r="X32" s="9">
        <v>15653.13</v>
      </c>
      <c r="Y32" s="7">
        <v>0</v>
      </c>
      <c r="Z32" s="9">
        <v>6706.24</v>
      </c>
    </row>
    <row r="33" spans="1:26" x14ac:dyDescent="0.35">
      <c r="A33" s="7" t="s">
        <v>27</v>
      </c>
      <c r="B33" s="7" t="s">
        <v>28</v>
      </c>
      <c r="C33" s="7" t="s">
        <v>44</v>
      </c>
      <c r="D33" s="7" t="s">
        <v>54</v>
      </c>
      <c r="E33" s="7" t="s">
        <v>41</v>
      </c>
      <c r="F33" s="7" t="s">
        <v>98</v>
      </c>
      <c r="G33" s="7">
        <v>2017</v>
      </c>
      <c r="H33" s="7" t="str">
        <f>CONCATENATE("14270312177")</f>
        <v>14270312177</v>
      </c>
      <c r="I33" s="7" t="s">
        <v>29</v>
      </c>
      <c r="J33" s="7" t="s">
        <v>30</v>
      </c>
      <c r="K33" s="7" t="str">
        <f>CONCATENATE("")</f>
        <v/>
      </c>
      <c r="L33" s="7" t="str">
        <f>CONCATENATE("21 21.1 2a")</f>
        <v>21 21.1 2a</v>
      </c>
      <c r="M33" s="7" t="str">
        <f>CONCATENATE("FNSNDR77R25D488F")</f>
        <v>FNSNDR77R25D488F</v>
      </c>
      <c r="N33" s="7" t="s">
        <v>99</v>
      </c>
      <c r="O33" s="7" t="s">
        <v>76</v>
      </c>
      <c r="P33" s="8">
        <v>44515</v>
      </c>
      <c r="Q33" s="7" t="s">
        <v>31</v>
      </c>
      <c r="R33" s="7" t="s">
        <v>32</v>
      </c>
      <c r="S33" s="7" t="s">
        <v>33</v>
      </c>
      <c r="T33" s="7"/>
      <c r="U33" s="7" t="s">
        <v>34</v>
      </c>
      <c r="V33" s="9">
        <v>4056.16</v>
      </c>
      <c r="W33" s="9">
        <v>1749.02</v>
      </c>
      <c r="X33" s="9">
        <v>1615.16</v>
      </c>
      <c r="Y33" s="7">
        <v>0</v>
      </c>
      <c r="Z33" s="7">
        <v>691.98</v>
      </c>
    </row>
    <row r="34" spans="1:26" ht="17.5" x14ac:dyDescent="0.35">
      <c r="A34" s="7" t="s">
        <v>27</v>
      </c>
      <c r="B34" s="7" t="s">
        <v>28</v>
      </c>
      <c r="C34" s="7" t="s">
        <v>44</v>
      </c>
      <c r="D34" s="7" t="s">
        <v>48</v>
      </c>
      <c r="E34" s="7" t="s">
        <v>35</v>
      </c>
      <c r="F34" s="7" t="s">
        <v>35</v>
      </c>
      <c r="G34" s="7">
        <v>2017</v>
      </c>
      <c r="H34" s="7" t="str">
        <f>CONCATENATE("14270243364")</f>
        <v>14270243364</v>
      </c>
      <c r="I34" s="7" t="s">
        <v>29</v>
      </c>
      <c r="J34" s="7" t="s">
        <v>30</v>
      </c>
      <c r="K34" s="7" t="str">
        <f>CONCATENATE("")</f>
        <v/>
      </c>
      <c r="L34" s="7" t="str">
        <f>CONCATENATE("4 4.1 2a")</f>
        <v>4 4.1 2a</v>
      </c>
      <c r="M34" s="7" t="str">
        <f>CONCATENATE("02364830444")</f>
        <v>02364830444</v>
      </c>
      <c r="N34" s="7" t="s">
        <v>100</v>
      </c>
      <c r="O34" s="7" t="s">
        <v>89</v>
      </c>
      <c r="P34" s="8">
        <v>44510</v>
      </c>
      <c r="Q34" s="7" t="s">
        <v>31</v>
      </c>
      <c r="R34" s="7" t="s">
        <v>32</v>
      </c>
      <c r="S34" s="7" t="s">
        <v>33</v>
      </c>
      <c r="T34" s="7"/>
      <c r="U34" s="7" t="s">
        <v>34</v>
      </c>
      <c r="V34" s="9">
        <v>11051.87</v>
      </c>
      <c r="W34" s="9">
        <v>4765.57</v>
      </c>
      <c r="X34" s="9">
        <v>4400.8500000000004</v>
      </c>
      <c r="Y34" s="7">
        <v>0</v>
      </c>
      <c r="Z34" s="9">
        <v>1885.45</v>
      </c>
    </row>
    <row r="35" spans="1:26" ht="17.5" x14ac:dyDescent="0.35">
      <c r="A35" s="7" t="s">
        <v>27</v>
      </c>
      <c r="B35" s="7" t="s">
        <v>28</v>
      </c>
      <c r="C35" s="7" t="s">
        <v>44</v>
      </c>
      <c r="D35" s="7" t="s">
        <v>48</v>
      </c>
      <c r="E35" s="7" t="s">
        <v>38</v>
      </c>
      <c r="F35" s="7" t="s">
        <v>101</v>
      </c>
      <c r="G35" s="7">
        <v>2017</v>
      </c>
      <c r="H35" s="7" t="str">
        <f>CONCATENATE("14270312490")</f>
        <v>14270312490</v>
      </c>
      <c r="I35" s="7" t="s">
        <v>29</v>
      </c>
      <c r="J35" s="7" t="s">
        <v>30</v>
      </c>
      <c r="K35" s="7" t="str">
        <f>CONCATENATE("")</f>
        <v/>
      </c>
      <c r="L35" s="7" t="str">
        <f>CONCATENATE("4 4.1 2a")</f>
        <v>4 4.1 2a</v>
      </c>
      <c r="M35" s="7" t="str">
        <f>CONCATENATE("01968650448")</f>
        <v>01968650448</v>
      </c>
      <c r="N35" s="7" t="s">
        <v>102</v>
      </c>
      <c r="O35" s="7" t="s">
        <v>103</v>
      </c>
      <c r="P35" s="8">
        <v>44515</v>
      </c>
      <c r="Q35" s="7" t="s">
        <v>31</v>
      </c>
      <c r="R35" s="7" t="s">
        <v>32</v>
      </c>
      <c r="S35" s="7" t="s">
        <v>33</v>
      </c>
      <c r="T35" s="7"/>
      <c r="U35" s="7" t="s">
        <v>34</v>
      </c>
      <c r="V35" s="9">
        <v>41345.54</v>
      </c>
      <c r="W35" s="9">
        <v>17828.2</v>
      </c>
      <c r="X35" s="9">
        <v>16463.79</v>
      </c>
      <c r="Y35" s="7">
        <v>0</v>
      </c>
      <c r="Z35" s="9">
        <v>7053.55</v>
      </c>
    </row>
    <row r="36" spans="1:26" x14ac:dyDescent="0.35">
      <c r="A36" s="7" t="s">
        <v>27</v>
      </c>
      <c r="B36" s="7" t="s">
        <v>28</v>
      </c>
      <c r="C36" s="7" t="s">
        <v>44</v>
      </c>
      <c r="D36" s="7" t="s">
        <v>48</v>
      </c>
      <c r="E36" s="7" t="s">
        <v>40</v>
      </c>
      <c r="F36" s="7" t="s">
        <v>77</v>
      </c>
      <c r="G36" s="7">
        <v>2017</v>
      </c>
      <c r="H36" s="7" t="str">
        <f>CONCATENATE("14270312516")</f>
        <v>14270312516</v>
      </c>
      <c r="I36" s="7" t="s">
        <v>29</v>
      </c>
      <c r="J36" s="7" t="s">
        <v>30</v>
      </c>
      <c r="K36" s="7" t="str">
        <f>CONCATENATE("")</f>
        <v/>
      </c>
      <c r="L36" s="7" t="str">
        <f>CONCATENATE("4 4.1 2a")</f>
        <v>4 4.1 2a</v>
      </c>
      <c r="M36" s="7" t="str">
        <f>CONCATENATE("CCHVCN60R28G516M")</f>
        <v>CCHVCN60R28G516M</v>
      </c>
      <c r="N36" s="7" t="s">
        <v>104</v>
      </c>
      <c r="O36" s="7" t="s">
        <v>103</v>
      </c>
      <c r="P36" s="8">
        <v>44515</v>
      </c>
      <c r="Q36" s="7" t="s">
        <v>31</v>
      </c>
      <c r="R36" s="7" t="s">
        <v>32</v>
      </c>
      <c r="S36" s="7" t="s">
        <v>33</v>
      </c>
      <c r="T36" s="7"/>
      <c r="U36" s="7" t="s">
        <v>34</v>
      </c>
      <c r="V36" s="9">
        <v>31240</v>
      </c>
      <c r="W36" s="9">
        <v>13470.69</v>
      </c>
      <c r="X36" s="9">
        <v>12439.77</v>
      </c>
      <c r="Y36" s="7">
        <v>0</v>
      </c>
      <c r="Z36" s="9">
        <v>5329.54</v>
      </c>
    </row>
    <row r="37" spans="1:26" x14ac:dyDescent="0.35">
      <c r="A37" s="7" t="s">
        <v>27</v>
      </c>
      <c r="B37" s="7" t="s">
        <v>28</v>
      </c>
      <c r="C37" s="7" t="s">
        <v>44</v>
      </c>
      <c r="D37" s="7" t="s">
        <v>45</v>
      </c>
      <c r="E37" s="7" t="s">
        <v>35</v>
      </c>
      <c r="F37" s="7" t="s">
        <v>35</v>
      </c>
      <c r="G37" s="7">
        <v>2017</v>
      </c>
      <c r="H37" s="7" t="str">
        <f>CONCATENATE("14270303358")</f>
        <v>14270303358</v>
      </c>
      <c r="I37" s="7" t="s">
        <v>29</v>
      </c>
      <c r="J37" s="7" t="s">
        <v>30</v>
      </c>
      <c r="K37" s="7" t="str">
        <f>CONCATENATE("")</f>
        <v/>
      </c>
      <c r="L37" s="7" t="str">
        <f>CONCATENATE("4 4.3 2a")</f>
        <v>4 4.3 2a</v>
      </c>
      <c r="M37" s="7" t="str">
        <f>CONCATENATE("01874180431")</f>
        <v>01874180431</v>
      </c>
      <c r="N37" s="7" t="s">
        <v>105</v>
      </c>
      <c r="O37" s="7" t="s">
        <v>106</v>
      </c>
      <c r="P37" s="8">
        <v>44508</v>
      </c>
      <c r="Q37" s="7" t="s">
        <v>31</v>
      </c>
      <c r="R37" s="7" t="s">
        <v>43</v>
      </c>
      <c r="S37" s="7" t="s">
        <v>33</v>
      </c>
      <c r="T37" s="7"/>
      <c r="U37" s="7" t="s">
        <v>34</v>
      </c>
      <c r="V37" s="9">
        <v>19094.669999999998</v>
      </c>
      <c r="W37" s="9">
        <v>8233.6200000000008</v>
      </c>
      <c r="X37" s="9">
        <v>7603.5</v>
      </c>
      <c r="Y37" s="7">
        <v>0</v>
      </c>
      <c r="Z37" s="9">
        <v>3257.55</v>
      </c>
    </row>
    <row r="38" spans="1:26" x14ac:dyDescent="0.35">
      <c r="A38" s="7" t="s">
        <v>27</v>
      </c>
      <c r="B38" s="7" t="s">
        <v>28</v>
      </c>
      <c r="C38" s="7" t="s">
        <v>44</v>
      </c>
      <c r="D38" s="7" t="s">
        <v>45</v>
      </c>
      <c r="E38" s="7" t="s">
        <v>35</v>
      </c>
      <c r="F38" s="7" t="s">
        <v>35</v>
      </c>
      <c r="G38" s="7">
        <v>2017</v>
      </c>
      <c r="H38" s="7" t="str">
        <f>CONCATENATE("14270303366")</f>
        <v>14270303366</v>
      </c>
      <c r="I38" s="7" t="s">
        <v>29</v>
      </c>
      <c r="J38" s="7" t="s">
        <v>30</v>
      </c>
      <c r="K38" s="7" t="str">
        <f>CONCATENATE("")</f>
        <v/>
      </c>
      <c r="L38" s="7" t="str">
        <f>CONCATENATE("4 4.3 2a")</f>
        <v>4 4.3 2a</v>
      </c>
      <c r="M38" s="7" t="str">
        <f>CONCATENATE("01874180431")</f>
        <v>01874180431</v>
      </c>
      <c r="N38" s="7" t="s">
        <v>105</v>
      </c>
      <c r="O38" s="7" t="s">
        <v>106</v>
      </c>
      <c r="P38" s="8">
        <v>44508</v>
      </c>
      <c r="Q38" s="7" t="s">
        <v>31</v>
      </c>
      <c r="R38" s="7" t="s">
        <v>43</v>
      </c>
      <c r="S38" s="7" t="s">
        <v>33</v>
      </c>
      <c r="T38" s="7"/>
      <c r="U38" s="7" t="s">
        <v>34</v>
      </c>
      <c r="V38" s="9">
        <v>32505.1</v>
      </c>
      <c r="W38" s="9">
        <v>14016.2</v>
      </c>
      <c r="X38" s="9">
        <v>12943.53</v>
      </c>
      <c r="Y38" s="7">
        <v>0</v>
      </c>
      <c r="Z38" s="9">
        <v>5545.37</v>
      </c>
    </row>
    <row r="39" spans="1:26" x14ac:dyDescent="0.35">
      <c r="A39" s="7" t="s">
        <v>27</v>
      </c>
      <c r="B39" s="7" t="s">
        <v>28</v>
      </c>
      <c r="C39" s="7" t="s">
        <v>44</v>
      </c>
      <c r="D39" s="7" t="s">
        <v>44</v>
      </c>
      <c r="E39" s="7" t="s">
        <v>35</v>
      </c>
      <c r="F39" s="7" t="s">
        <v>35</v>
      </c>
      <c r="G39" s="7">
        <v>2017</v>
      </c>
      <c r="H39" s="7" t="str">
        <f>CONCATENATE("14270275531")</f>
        <v>14270275531</v>
      </c>
      <c r="I39" s="7" t="s">
        <v>29</v>
      </c>
      <c r="J39" s="7" t="s">
        <v>30</v>
      </c>
      <c r="K39" s="7" t="str">
        <f>CONCATENATE("")</f>
        <v/>
      </c>
      <c r="L39" s="7" t="str">
        <f>CONCATENATE("19 19.2 6b")</f>
        <v>19 19.2 6b</v>
      </c>
      <c r="M39" s="7" t="str">
        <f>CONCATENATE("00269440434")</f>
        <v>00269440434</v>
      </c>
      <c r="N39" s="7" t="s">
        <v>107</v>
      </c>
      <c r="O39" s="7" t="s">
        <v>108</v>
      </c>
      <c r="P39" s="8">
        <v>44508</v>
      </c>
      <c r="Q39" s="7" t="s">
        <v>31</v>
      </c>
      <c r="R39" s="7" t="s">
        <v>43</v>
      </c>
      <c r="S39" s="7" t="s">
        <v>33</v>
      </c>
      <c r="T39" s="7"/>
      <c r="U39" s="7" t="s">
        <v>34</v>
      </c>
      <c r="V39" s="9">
        <v>24719</v>
      </c>
      <c r="W39" s="9">
        <v>10658.83</v>
      </c>
      <c r="X39" s="9">
        <v>9843.11</v>
      </c>
      <c r="Y39" s="7">
        <v>0</v>
      </c>
      <c r="Z39" s="9">
        <v>4217.0600000000004</v>
      </c>
    </row>
    <row r="40" spans="1:26" x14ac:dyDescent="0.35">
      <c r="A40" s="7" t="s">
        <v>27</v>
      </c>
      <c r="B40" s="7" t="s">
        <v>28</v>
      </c>
      <c r="C40" s="7" t="s">
        <v>44</v>
      </c>
      <c r="D40" s="7" t="s">
        <v>44</v>
      </c>
      <c r="E40" s="7" t="s">
        <v>35</v>
      </c>
      <c r="F40" s="7" t="s">
        <v>35</v>
      </c>
      <c r="G40" s="7">
        <v>2017</v>
      </c>
      <c r="H40" s="7" t="str">
        <f>CONCATENATE("14270275556")</f>
        <v>14270275556</v>
      </c>
      <c r="I40" s="7" t="s">
        <v>29</v>
      </c>
      <c r="J40" s="7" t="s">
        <v>30</v>
      </c>
      <c r="K40" s="7" t="str">
        <f>CONCATENATE("")</f>
        <v/>
      </c>
      <c r="L40" s="7" t="str">
        <f>CONCATENATE("19 19.2 6b")</f>
        <v>19 19.2 6b</v>
      </c>
      <c r="M40" s="7" t="str">
        <f>CONCATENATE("83002690432")</f>
        <v>83002690432</v>
      </c>
      <c r="N40" s="7" t="s">
        <v>109</v>
      </c>
      <c r="O40" s="7" t="s">
        <v>108</v>
      </c>
      <c r="P40" s="8">
        <v>44508</v>
      </c>
      <c r="Q40" s="7" t="s">
        <v>31</v>
      </c>
      <c r="R40" s="7" t="s">
        <v>43</v>
      </c>
      <c r="S40" s="7" t="s">
        <v>33</v>
      </c>
      <c r="T40" s="7"/>
      <c r="U40" s="7" t="s">
        <v>34</v>
      </c>
      <c r="V40" s="9">
        <v>41749.81</v>
      </c>
      <c r="W40" s="9">
        <v>18002.52</v>
      </c>
      <c r="X40" s="9">
        <v>16624.77</v>
      </c>
      <c r="Y40" s="7">
        <v>0</v>
      </c>
      <c r="Z40" s="9">
        <v>7122.52</v>
      </c>
    </row>
    <row r="41" spans="1:26" x14ac:dyDescent="0.35">
      <c r="A41" s="7" t="s">
        <v>27</v>
      </c>
      <c r="B41" s="7" t="s">
        <v>28</v>
      </c>
      <c r="C41" s="7" t="s">
        <v>44</v>
      </c>
      <c r="D41" s="7" t="s">
        <v>44</v>
      </c>
      <c r="E41" s="7" t="s">
        <v>35</v>
      </c>
      <c r="F41" s="7" t="s">
        <v>35</v>
      </c>
      <c r="G41" s="7">
        <v>2017</v>
      </c>
      <c r="H41" s="7" t="str">
        <f>CONCATENATE("14270275549")</f>
        <v>14270275549</v>
      </c>
      <c r="I41" s="7" t="s">
        <v>29</v>
      </c>
      <c r="J41" s="7" t="s">
        <v>30</v>
      </c>
      <c r="K41" s="7" t="str">
        <f>CONCATENATE("")</f>
        <v/>
      </c>
      <c r="L41" s="7" t="str">
        <f>CONCATENATE("19 19.2 6b")</f>
        <v>19 19.2 6b</v>
      </c>
      <c r="M41" s="7" t="str">
        <f>CONCATENATE("00140670431")</f>
        <v>00140670431</v>
      </c>
      <c r="N41" s="7" t="s">
        <v>110</v>
      </c>
      <c r="O41" s="7" t="s">
        <v>108</v>
      </c>
      <c r="P41" s="8">
        <v>44508</v>
      </c>
      <c r="Q41" s="7" t="s">
        <v>31</v>
      </c>
      <c r="R41" s="7" t="s">
        <v>43</v>
      </c>
      <c r="S41" s="7" t="s">
        <v>33</v>
      </c>
      <c r="T41" s="7"/>
      <c r="U41" s="7" t="s">
        <v>34</v>
      </c>
      <c r="V41" s="9">
        <v>49690.21</v>
      </c>
      <c r="W41" s="9">
        <v>21426.42</v>
      </c>
      <c r="X41" s="9">
        <v>19786.64</v>
      </c>
      <c r="Y41" s="7">
        <v>0</v>
      </c>
      <c r="Z41" s="9">
        <v>8477.15</v>
      </c>
    </row>
    <row r="42" spans="1:26" x14ac:dyDescent="0.35">
      <c r="A42" s="7" t="s">
        <v>27</v>
      </c>
      <c r="B42" s="7" t="s">
        <v>28</v>
      </c>
      <c r="C42" s="7" t="s">
        <v>44</v>
      </c>
      <c r="D42" s="7" t="s">
        <v>67</v>
      </c>
      <c r="E42" s="7" t="s">
        <v>35</v>
      </c>
      <c r="F42" s="7" t="s">
        <v>35</v>
      </c>
      <c r="G42" s="7">
        <v>2017</v>
      </c>
      <c r="H42" s="7" t="str">
        <f>CONCATENATE("14270303556")</f>
        <v>14270303556</v>
      </c>
      <c r="I42" s="7" t="s">
        <v>29</v>
      </c>
      <c r="J42" s="7" t="s">
        <v>30</v>
      </c>
      <c r="K42" s="7" t="str">
        <f>CONCATENATE("")</f>
        <v/>
      </c>
      <c r="L42" s="7" t="str">
        <f>CONCATENATE("20 20.1 ")</f>
        <v xml:space="preserve">20 20.1 </v>
      </c>
      <c r="M42" s="7" t="str">
        <f>CONCATENATE("80008630420")</f>
        <v>80008630420</v>
      </c>
      <c r="N42" s="7" t="s">
        <v>68</v>
      </c>
      <c r="O42" s="7" t="s">
        <v>111</v>
      </c>
      <c r="P42" s="8">
        <v>44511</v>
      </c>
      <c r="Q42" s="7" t="s">
        <v>31</v>
      </c>
      <c r="R42" s="7" t="s">
        <v>32</v>
      </c>
      <c r="S42" s="7" t="s">
        <v>33</v>
      </c>
      <c r="T42" s="7"/>
      <c r="U42" s="7" t="s">
        <v>34</v>
      </c>
      <c r="V42" s="9">
        <v>37390</v>
      </c>
      <c r="W42" s="9">
        <v>16122.57</v>
      </c>
      <c r="X42" s="9">
        <v>14888.7</v>
      </c>
      <c r="Y42" s="7">
        <v>0</v>
      </c>
      <c r="Z42" s="9">
        <v>6378.73</v>
      </c>
    </row>
    <row r="43" spans="1:26" x14ac:dyDescent="0.35">
      <c r="A43" s="7" t="s">
        <v>27</v>
      </c>
      <c r="B43" s="7" t="s">
        <v>28</v>
      </c>
      <c r="C43" s="7" t="s">
        <v>44</v>
      </c>
      <c r="D43" s="7" t="s">
        <v>67</v>
      </c>
      <c r="E43" s="7" t="s">
        <v>35</v>
      </c>
      <c r="F43" s="7" t="s">
        <v>35</v>
      </c>
      <c r="G43" s="7">
        <v>2017</v>
      </c>
      <c r="H43" s="7" t="str">
        <f>CONCATENATE("14270303549")</f>
        <v>14270303549</v>
      </c>
      <c r="I43" s="7" t="s">
        <v>29</v>
      </c>
      <c r="J43" s="7" t="s">
        <v>30</v>
      </c>
      <c r="K43" s="7" t="str">
        <f>CONCATENATE("")</f>
        <v/>
      </c>
      <c r="L43" s="7" t="str">
        <f>CONCATENATE("20 20.1 ")</f>
        <v xml:space="preserve">20 20.1 </v>
      </c>
      <c r="M43" s="7" t="str">
        <f>CONCATENATE("80008630420")</f>
        <v>80008630420</v>
      </c>
      <c r="N43" s="7" t="s">
        <v>68</v>
      </c>
      <c r="O43" s="7" t="s">
        <v>111</v>
      </c>
      <c r="P43" s="8">
        <v>44511</v>
      </c>
      <c r="Q43" s="7" t="s">
        <v>31</v>
      </c>
      <c r="R43" s="7" t="s">
        <v>32</v>
      </c>
      <c r="S43" s="7" t="s">
        <v>33</v>
      </c>
      <c r="T43" s="7"/>
      <c r="U43" s="7" t="s">
        <v>34</v>
      </c>
      <c r="V43" s="9">
        <v>8225.7999999999993</v>
      </c>
      <c r="W43" s="9">
        <v>3546.96</v>
      </c>
      <c r="X43" s="9">
        <v>3275.51</v>
      </c>
      <c r="Y43" s="7">
        <v>0</v>
      </c>
      <c r="Z43" s="9">
        <v>1403.33</v>
      </c>
    </row>
    <row r="44" spans="1:26" x14ac:dyDescent="0.35">
      <c r="A44" s="7" t="s">
        <v>27</v>
      </c>
      <c r="B44" s="7" t="s">
        <v>28</v>
      </c>
      <c r="C44" s="7" t="s">
        <v>44</v>
      </c>
      <c r="D44" s="7" t="s">
        <v>48</v>
      </c>
      <c r="E44" s="7" t="s">
        <v>39</v>
      </c>
      <c r="F44" s="7" t="s">
        <v>85</v>
      </c>
      <c r="G44" s="7">
        <v>2017</v>
      </c>
      <c r="H44" s="7" t="str">
        <f>CONCATENATE("14270312482")</f>
        <v>14270312482</v>
      </c>
      <c r="I44" s="7" t="s">
        <v>29</v>
      </c>
      <c r="J44" s="7" t="s">
        <v>30</v>
      </c>
      <c r="K44" s="7" t="str">
        <f>CONCATENATE("")</f>
        <v/>
      </c>
      <c r="L44" s="7" t="str">
        <f>CONCATENATE("1 1.1 2a")</f>
        <v>1 1.1 2a</v>
      </c>
      <c r="M44" s="7" t="str">
        <f>CONCATENATE("01632720445")</f>
        <v>01632720445</v>
      </c>
      <c r="N44" s="7" t="s">
        <v>86</v>
      </c>
      <c r="O44" s="7" t="s">
        <v>112</v>
      </c>
      <c r="P44" s="8">
        <v>44515</v>
      </c>
      <c r="Q44" s="7" t="s">
        <v>31</v>
      </c>
      <c r="R44" s="7" t="s">
        <v>32</v>
      </c>
      <c r="S44" s="7" t="s">
        <v>33</v>
      </c>
      <c r="T44" s="7"/>
      <c r="U44" s="7" t="s">
        <v>34</v>
      </c>
      <c r="V44" s="9">
        <v>3960</v>
      </c>
      <c r="W44" s="9">
        <v>1707.55</v>
      </c>
      <c r="X44" s="9">
        <v>1576.87</v>
      </c>
      <c r="Y44" s="7">
        <v>0</v>
      </c>
      <c r="Z44" s="7">
        <v>675.58</v>
      </c>
    </row>
    <row r="45" spans="1:26" x14ac:dyDescent="0.35">
      <c r="A45" s="7" t="s">
        <v>27</v>
      </c>
      <c r="B45" s="7" t="s">
        <v>28</v>
      </c>
      <c r="C45" s="7" t="s">
        <v>44</v>
      </c>
      <c r="D45" s="7" t="s">
        <v>45</v>
      </c>
      <c r="E45" s="7" t="s">
        <v>39</v>
      </c>
      <c r="F45" s="7" t="s">
        <v>62</v>
      </c>
      <c r="G45" s="7">
        <v>2017</v>
      </c>
      <c r="H45" s="7" t="str">
        <f>CONCATENATE("14270307680")</f>
        <v>14270307680</v>
      </c>
      <c r="I45" s="7" t="s">
        <v>29</v>
      </c>
      <c r="J45" s="7" t="s">
        <v>30</v>
      </c>
      <c r="K45" s="7" t="str">
        <f>CONCATENATE("")</f>
        <v/>
      </c>
      <c r="L45" s="7" t="str">
        <f>CONCATENATE("6 6.4 2a")</f>
        <v>6 6.4 2a</v>
      </c>
      <c r="M45" s="7" t="str">
        <f>CONCATENATE("LBRMTT93P26A465A")</f>
        <v>LBRMTT93P26A465A</v>
      </c>
      <c r="N45" s="7" t="s">
        <v>63</v>
      </c>
      <c r="O45" s="7" t="s">
        <v>113</v>
      </c>
      <c r="P45" s="8">
        <v>44511</v>
      </c>
      <c r="Q45" s="7" t="s">
        <v>31</v>
      </c>
      <c r="R45" s="7" t="s">
        <v>32</v>
      </c>
      <c r="S45" s="7" t="s">
        <v>33</v>
      </c>
      <c r="T45" s="7"/>
      <c r="U45" s="7" t="s">
        <v>34</v>
      </c>
      <c r="V45" s="9">
        <v>50470.02</v>
      </c>
      <c r="W45" s="9">
        <v>21762.67</v>
      </c>
      <c r="X45" s="9">
        <v>20097.16</v>
      </c>
      <c r="Y45" s="7">
        <v>0</v>
      </c>
      <c r="Z45" s="9">
        <v>8610.19</v>
      </c>
    </row>
    <row r="46" spans="1:26" x14ac:dyDescent="0.35">
      <c r="A46" s="7" t="s">
        <v>27</v>
      </c>
      <c r="B46" s="7" t="s">
        <v>28</v>
      </c>
      <c r="C46" s="7" t="s">
        <v>44</v>
      </c>
      <c r="D46" s="7" t="s">
        <v>45</v>
      </c>
      <c r="E46" s="7" t="s">
        <v>114</v>
      </c>
      <c r="F46" s="7" t="s">
        <v>115</v>
      </c>
      <c r="G46" s="7">
        <v>2017</v>
      </c>
      <c r="H46" s="7" t="str">
        <f>CONCATENATE("14270312219")</f>
        <v>14270312219</v>
      </c>
      <c r="I46" s="7" t="s">
        <v>29</v>
      </c>
      <c r="J46" s="7" t="s">
        <v>30</v>
      </c>
      <c r="K46" s="7" t="str">
        <f>CONCATENATE("")</f>
        <v/>
      </c>
      <c r="L46" s="7" t="str">
        <f>CONCATENATE("8 8.5 4a")</f>
        <v>8 8.5 4a</v>
      </c>
      <c r="M46" s="7" t="str">
        <f>CONCATENATE("CSRCLD80D09E388V")</f>
        <v>CSRCLD80D09E388V</v>
      </c>
      <c r="N46" s="7" t="s">
        <v>116</v>
      </c>
      <c r="O46" s="7" t="s">
        <v>117</v>
      </c>
      <c r="P46" s="8">
        <v>44515</v>
      </c>
      <c r="Q46" s="7" t="s">
        <v>31</v>
      </c>
      <c r="R46" s="7" t="s">
        <v>32</v>
      </c>
      <c r="S46" s="7" t="s">
        <v>33</v>
      </c>
      <c r="T46" s="7"/>
      <c r="U46" s="7" t="s">
        <v>34</v>
      </c>
      <c r="V46" s="9">
        <v>16080.53</v>
      </c>
      <c r="W46" s="9">
        <v>6933.92</v>
      </c>
      <c r="X46" s="9">
        <v>6403.27</v>
      </c>
      <c r="Y46" s="7">
        <v>0</v>
      </c>
      <c r="Z46" s="9">
        <v>2743.34</v>
      </c>
    </row>
    <row r="47" spans="1:26" x14ac:dyDescent="0.35">
      <c r="A47" s="7" t="s">
        <v>27</v>
      </c>
      <c r="B47" s="7" t="s">
        <v>28</v>
      </c>
      <c r="C47" s="7" t="s">
        <v>44</v>
      </c>
      <c r="D47" s="7" t="s">
        <v>67</v>
      </c>
      <c r="E47" s="7" t="s">
        <v>35</v>
      </c>
      <c r="F47" s="7" t="s">
        <v>35</v>
      </c>
      <c r="G47" s="7">
        <v>2017</v>
      </c>
      <c r="H47" s="7" t="str">
        <f>CONCATENATE("14270312201")</f>
        <v>14270312201</v>
      </c>
      <c r="I47" s="7" t="s">
        <v>29</v>
      </c>
      <c r="J47" s="7" t="s">
        <v>30</v>
      </c>
      <c r="K47" s="7" t="str">
        <f>CONCATENATE("")</f>
        <v/>
      </c>
      <c r="L47" s="7" t="str">
        <f>CONCATENATE("19 19.4 6b")</f>
        <v>19 19.4 6b</v>
      </c>
      <c r="M47" s="7" t="str">
        <f>CONCATENATE("01377760416")</f>
        <v>01377760416</v>
      </c>
      <c r="N47" s="7" t="s">
        <v>118</v>
      </c>
      <c r="O47" s="7" t="s">
        <v>119</v>
      </c>
      <c r="P47" s="8">
        <v>44515</v>
      </c>
      <c r="Q47" s="7" t="s">
        <v>31</v>
      </c>
      <c r="R47" s="7" t="s">
        <v>37</v>
      </c>
      <c r="S47" s="7" t="s">
        <v>33</v>
      </c>
      <c r="T47" s="7"/>
      <c r="U47" s="7" t="s">
        <v>34</v>
      </c>
      <c r="V47" s="9">
        <v>124730.93</v>
      </c>
      <c r="W47" s="9">
        <v>53783.98</v>
      </c>
      <c r="X47" s="9">
        <v>49667.86</v>
      </c>
      <c r="Y47" s="7">
        <v>0</v>
      </c>
      <c r="Z47" s="9">
        <v>21279.09</v>
      </c>
    </row>
    <row r="48" spans="1:26" x14ac:dyDescent="0.35">
      <c r="A48" s="7" t="s">
        <v>27</v>
      </c>
      <c r="B48" s="7" t="s">
        <v>28</v>
      </c>
      <c r="C48" s="7" t="s">
        <v>44</v>
      </c>
      <c r="D48" s="7" t="s">
        <v>44</v>
      </c>
      <c r="E48" s="7" t="s">
        <v>35</v>
      </c>
      <c r="F48" s="7" t="s">
        <v>35</v>
      </c>
      <c r="G48" s="7">
        <v>2017</v>
      </c>
      <c r="H48" s="7" t="str">
        <f>CONCATENATE("14270302889")</f>
        <v>14270302889</v>
      </c>
      <c r="I48" s="7" t="s">
        <v>29</v>
      </c>
      <c r="J48" s="7" t="s">
        <v>30</v>
      </c>
      <c r="K48" s="7" t="str">
        <f>CONCATENATE("")</f>
        <v/>
      </c>
      <c r="L48" s="7" t="str">
        <f>CONCATENATE("19 19.2 6b")</f>
        <v>19 19.2 6b</v>
      </c>
      <c r="M48" s="7" t="str">
        <f>CONCATENATE("83001110424")</f>
        <v>83001110424</v>
      </c>
      <c r="N48" s="7" t="s">
        <v>120</v>
      </c>
      <c r="O48" s="7" t="s">
        <v>121</v>
      </c>
      <c r="P48" s="8">
        <v>44508</v>
      </c>
      <c r="Q48" s="7" t="s">
        <v>31</v>
      </c>
      <c r="R48" s="7" t="s">
        <v>43</v>
      </c>
      <c r="S48" s="7" t="s">
        <v>33</v>
      </c>
      <c r="T48" s="7"/>
      <c r="U48" s="7" t="s">
        <v>34</v>
      </c>
      <c r="V48" s="9">
        <v>58726.22</v>
      </c>
      <c r="W48" s="9">
        <v>25322.75</v>
      </c>
      <c r="X48" s="9">
        <v>23384.78</v>
      </c>
      <c r="Y48" s="7">
        <v>0</v>
      </c>
      <c r="Z48" s="9">
        <v>10018.69</v>
      </c>
    </row>
    <row r="49" spans="1:26" x14ac:dyDescent="0.35">
      <c r="A49" s="7" t="s">
        <v>27</v>
      </c>
      <c r="B49" s="7" t="s">
        <v>28</v>
      </c>
      <c r="C49" s="7" t="s">
        <v>44</v>
      </c>
      <c r="D49" s="7" t="s">
        <v>45</v>
      </c>
      <c r="E49" s="7" t="s">
        <v>40</v>
      </c>
      <c r="F49" s="7" t="s">
        <v>65</v>
      </c>
      <c r="G49" s="7">
        <v>2017</v>
      </c>
      <c r="H49" s="7" t="str">
        <f>CONCATENATE("14270309850")</f>
        <v>14270309850</v>
      </c>
      <c r="I49" s="7" t="s">
        <v>29</v>
      </c>
      <c r="J49" s="7" t="s">
        <v>30</v>
      </c>
      <c r="K49" s="7" t="str">
        <f>CONCATENATE("")</f>
        <v/>
      </c>
      <c r="L49" s="7" t="str">
        <f>CONCATENATE("16 16.8 5e")</f>
        <v>16 16.8 5e</v>
      </c>
      <c r="M49" s="7" t="str">
        <f>CONCATENATE("81000170431")</f>
        <v>81000170431</v>
      </c>
      <c r="N49" s="7" t="s">
        <v>122</v>
      </c>
      <c r="O49" s="7" t="s">
        <v>123</v>
      </c>
      <c r="P49" s="8">
        <v>44515</v>
      </c>
      <c r="Q49" s="7" t="s">
        <v>31</v>
      </c>
      <c r="R49" s="7" t="s">
        <v>32</v>
      </c>
      <c r="S49" s="7" t="s">
        <v>33</v>
      </c>
      <c r="T49" s="7"/>
      <c r="U49" s="7" t="s">
        <v>34</v>
      </c>
      <c r="V49" s="9">
        <v>310912.82</v>
      </c>
      <c r="W49" s="9">
        <v>134065.60999999999</v>
      </c>
      <c r="X49" s="9">
        <v>123805.48</v>
      </c>
      <c r="Y49" s="7">
        <v>0</v>
      </c>
      <c r="Z49" s="9">
        <v>53041.73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20785</vt:lpwstr>
  </property>
  <property fmtid="{D5CDD505-2E9C-101B-9397-08002B2CF9AE}" pid="4" name="OptimizationTime">
    <vt:lpwstr>20211119_1653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2021-11-19T15:18:42Z</dcterms:created>
  <dcterms:modified xsi:type="dcterms:W3CDTF">2021-11-19T15:19:17Z</dcterms:modified>
</cp:coreProperties>
</file>