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478/"/>
    </mc:Choice>
  </mc:AlternateContent>
  <xr:revisionPtr revIDLastSave="0" documentId="8_{68045EE0-FE7B-43C4-92B4-F1BA64DD30DF}" xr6:coauthVersionLast="45" xr6:coauthVersionMax="45" xr10:uidLastSave="{00000000-0000-0000-0000-000000000000}"/>
  <bookViews>
    <workbookView xWindow="-110" yWindow="-110" windowWidth="19420" windowHeight="10420" xr2:uid="{0A441E3D-272F-463B-973E-6283BC998D6D}"/>
  </bookViews>
  <sheets>
    <sheet name="Dettaglio_Domande_Pagabili_AGEA" sheetId="1" r:id="rId1"/>
  </sheets>
  <definedNames>
    <definedName name="_xlnm._FilterDatabase" localSheetId="0" hidden="1">Dettaglio_Domande_Pagabili_AGEA!$A$3:$Z$54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4" i="1" l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<sst xmlns="http://schemas.openxmlformats.org/spreadsheetml/2006/main" count="741" uniqueCount="141">
  <si>
    <t>Dettaglio Domande Pagabili Decreto 478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</si>
  <si>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</si>
  <si>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</si>
  <si>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</si>
  <si>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</si>
  <si>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</si>
  <si>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</si>
  <si>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</si>
  <si>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</si>
  <si>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</si>
  <si>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</si>
  <si>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</si>
  <si>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</si>
  <si>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</si>
  <si>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</si>
  <si>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</si>
  <si>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</si>
  <si>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</si>
  <si>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</si>
  <si>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</si>
  <si>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</si>
  <si>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</si>
  <si>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</si>
  <si>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</si>
  <si>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</si>
  <si>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</si>
  <si>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</si>
  <si>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</si>
  <si>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</si>
  <si>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CAA Coldiretti srl</t>
  </si>
  <si>
    <t>NO</t>
  </si>
  <si>
    <t>Nuova Programmazione</t>
  </si>
  <si>
    <t>In Liquidazione</t>
  </si>
  <si>
    <t>Saldo</t>
  </si>
  <si>
    <t>Co-Finanziato</t>
  </si>
  <si>
    <t>Ordinario</t>
  </si>
  <si>
    <t>SI</t>
  </si>
  <si>
    <t>CAA CIA srl</t>
  </si>
  <si>
    <t>IN PROPRIO</t>
  </si>
  <si>
    <t>CAA Confagricoltura srl</t>
  </si>
  <si>
    <t>CAA-CAF AGRI S.R.L.</t>
  </si>
  <si>
    <t>Misure Strutturali</t>
  </si>
  <si>
    <t>Anticipo</t>
  </si>
  <si>
    <t>SAL</t>
  </si>
  <si>
    <t>CAA UNICAA srl</t>
  </si>
  <si>
    <t>CAA LiberiAgricoltori srl già CAA AGCI srl</t>
  </si>
  <si>
    <t>MARCHE</t>
  </si>
  <si>
    <t>SERV. DEC. AGRICOLTURA E ALIM. - MACERATA</t>
  </si>
  <si>
    <t>CARLETTI SILVANO</t>
  </si>
  <si>
    <t>AGEA.ASR.2021.0458838</t>
  </si>
  <si>
    <t>CAA Coldiretti - MACERATA - 007</t>
  </si>
  <si>
    <t>MANCINI BERARDINO</t>
  </si>
  <si>
    <t>AGEA.ASR.2021.0391904</t>
  </si>
  <si>
    <t>CAA Coldiretti - MACERATA - 009</t>
  </si>
  <si>
    <t>SOCIETA' AGRICOLA LE SODERE DI MOSCATELLI SEBASTIANO E ARPINI AMALIA S</t>
  </si>
  <si>
    <t>AGEA.ASR.2021.0998855</t>
  </si>
  <si>
    <t>SERV. DEC. AGRICOLTURA E ALIMENTAZIONE - PESARO</t>
  </si>
  <si>
    <t>CAA CIA - PESARO E URBINO - 002</t>
  </si>
  <si>
    <t>RAGNUCCI ANTINISCA</t>
  </si>
  <si>
    <t>AGEA.ASR.2021.0898530</t>
  </si>
  <si>
    <t>COMUNE DI TREIA</t>
  </si>
  <si>
    <t>AGEA.ASR.2021.0991964</t>
  </si>
  <si>
    <t>SERV. DEC. AGRICOLTURA E ALIMENTAZIONE - ANCONA</t>
  </si>
  <si>
    <t>LATTE MARCHE SOCIETA' COOPERATIVA AGRICOLA</t>
  </si>
  <si>
    <t>AGEA.ASR.2021.0887857</t>
  </si>
  <si>
    <t>BOVINMARCHE ALLEVATORI MARCHIGIANI SOCIETA' COOPERATIVA CONSORTILE AGR</t>
  </si>
  <si>
    <t>COMUNE DI MONTECASSIANO</t>
  </si>
  <si>
    <t>AGEA.ASR.2021.0985645</t>
  </si>
  <si>
    <t>CASTIGLIONI LAVINIA</t>
  </si>
  <si>
    <t>AGEA.ASR.2021.0988157</t>
  </si>
  <si>
    <t>SERV. DEC. AGRICOLTURA E ALIM. -ASCOLI PICENO</t>
  </si>
  <si>
    <t>DI MULO ROBERTO FILIPPO</t>
  </si>
  <si>
    <t>PICENO SCARL</t>
  </si>
  <si>
    <t>AGEA.ASR.2021.0987865</t>
  </si>
  <si>
    <t>COMUNE DI CAGLI</t>
  </si>
  <si>
    <t>AGEA.ASR.2021.0985634</t>
  </si>
  <si>
    <t>CAA Coldiretti - ASCOLI PICENO - 025</t>
  </si>
  <si>
    <t>CECI DAVID</t>
  </si>
  <si>
    <t>AGEA.ASR.2021.0728281</t>
  </si>
  <si>
    <t>ADVERSI ELISABETTA</t>
  </si>
  <si>
    <t>AGEA.ASR.2021.0723479</t>
  </si>
  <si>
    <t>CAA Coldiretti - ANCONA - 001</t>
  </si>
  <si>
    <t>MAGNATERRA ROBERTO E MASSIMO S.S.</t>
  </si>
  <si>
    <t>CAA Coldiretti - ANCONA - 002</t>
  </si>
  <si>
    <t>SOCIETA' AGRICOLA GIOIA S.S.</t>
  </si>
  <si>
    <t>AGEA.ASR.2021.0887949</t>
  </si>
  <si>
    <t>CAA Coldiretti - MACERATA - 017</t>
  </si>
  <si>
    <t>SANTILLI DANIELA</t>
  </si>
  <si>
    <t>AGEA.ASR.2021.0999998</t>
  </si>
  <si>
    <t>CAA Confagricoltura - MACERATA - 001</t>
  </si>
  <si>
    <t>BOCCI CARLO</t>
  </si>
  <si>
    <t>TROMBONI SERGIO</t>
  </si>
  <si>
    <t>CAA UNICAA - ASCOLI PICENO - 004</t>
  </si>
  <si>
    <t>AGOSTINI ALFREDO S.N.C.</t>
  </si>
  <si>
    <t>AGEA.ASR.2021.1001357</t>
  </si>
  <si>
    <t>CAA Coldiretti - ASCOLI PICENO - 010</t>
  </si>
  <si>
    <t>AZIENDA AGRICOLA F.LLI PACI DI FRANCESCO, ENZO ED ERINO PACI S.S.</t>
  </si>
  <si>
    <t>AGEA.ASR.2021.0987906</t>
  </si>
  <si>
    <t>PETRACCI NICOLA</t>
  </si>
  <si>
    <t>SOCIETA' AGRICOLA LICIA S.S.</t>
  </si>
  <si>
    <t>COMUNE DI MONTELEONE DI FERMO</t>
  </si>
  <si>
    <t>AGEA.ASR.2021.0988009</t>
  </si>
  <si>
    <t>CHIERICHETTI FRANCESCO</t>
  </si>
  <si>
    <t>CAA LiberiAgricoltori - MACERATA - 006</t>
  </si>
  <si>
    <t>SCHITO SOCIETA' AGRICOLA SEMPLICE</t>
  </si>
  <si>
    <t>SANTONI FRANCESCA</t>
  </si>
  <si>
    <t>CAA CIA - ASCOLI PICENO - 001</t>
  </si>
  <si>
    <t>C.I.A. SERVICE GROUP S.R.L.</t>
  </si>
  <si>
    <t>AGEA.ASR.2021.0985585</t>
  </si>
  <si>
    <t>RAPACCETTI ROBERTA</t>
  </si>
  <si>
    <t>AGEA.ASR.2021.0998854</t>
  </si>
  <si>
    <t>CAA CAF AGRI - ANCONA - 221</t>
  </si>
  <si>
    <t>AGENZIA DI SVILUPPO RURALE SRL</t>
  </si>
  <si>
    <t>AGEA.ASR.2021.0990412</t>
  </si>
  <si>
    <t>COMUNE DI ESANATOGLIA</t>
  </si>
  <si>
    <t>AGEA.ASR.2021.0985626</t>
  </si>
  <si>
    <t>COMUNE DI LAPEDONA</t>
  </si>
  <si>
    <t>AGEA.ASR.2021.0985653</t>
  </si>
  <si>
    <t>URBINO INCOMING S.A.S. DI BORGIANI MARGHERITA &amp; C. AGENZIA DI SERVIZI</t>
  </si>
  <si>
    <t>AGEA.ASR.2021.0989306</t>
  </si>
  <si>
    <t>SCARAFONI EROS</t>
  </si>
  <si>
    <t>AGEA.ASR.2021.0988149</t>
  </si>
  <si>
    <t>TESTATONDA EMANUELE</t>
  </si>
  <si>
    <t>CAA Liberi Professionisti srl</t>
  </si>
  <si>
    <t>CAA Liberi Prof.- PESARO E URBINO - 001</t>
  </si>
  <si>
    <t>CONSORZIO ITALIANO PRODUTTORI DELL'ORZO E DELLA BIRRA - SOCIETA' COOPE</t>
  </si>
  <si>
    <t>AGEA.ASR.2021.1000633</t>
  </si>
  <si>
    <t>SOCIETA' AGRICOLA VILLA VIOLA S.S.</t>
  </si>
  <si>
    <t>AGEA.ASR.2021.0986726</t>
  </si>
  <si>
    <t>CORRIDONI TERESA</t>
  </si>
  <si>
    <t>CERESCIOLI GIULIANO</t>
  </si>
  <si>
    <t>FEDELI EZIO</t>
  </si>
  <si>
    <t>ZAMPONI ADRIANA</t>
  </si>
  <si>
    <t>QUATTROCCHI CATIA</t>
  </si>
  <si>
    <t>CAA Confagricoltura - PESARO E URBINO - 001</t>
  </si>
  <si>
    <t>GUIDUCCI PIERO</t>
  </si>
  <si>
    <t>CAA LiberiAgricoltori - MACERATA - 001</t>
  </si>
  <si>
    <t>TESTA LUCA</t>
  </si>
  <si>
    <t>SCOLASTICI RAIMONDO</t>
  </si>
  <si>
    <t>SCOLASTICI ROBERTO</t>
  </si>
  <si>
    <t>AGEA.ASR.2021.0990413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</si>
</sst>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3C1B-C766-4452-8865-0DF246320051}">
  <dimension ref="A1:Z54"/>
  <sheetViews>
    <sheetView showGridLines="0" tabSelected="1" workbookViewId="0">
      <selection activeCell="F58" sqref="F58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11.54296875" bestFit="1" customWidth="1"/>
    <col min="4" max="4" width="27.54296875" bestFit="1" customWidth="1"/>
    <col min="5" max="5" width="20.36328125" bestFit="1" customWidth="1"/>
    <col min="6" max="6" width="24.45312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0.90625" bestFit="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41</v>
      </c>
      <c r="C4" s="7" t="s">
        <v>46</v>
      </c>
      <c r="D4" s="7" t="s">
        <v>47</v>
      </c>
      <c r="E4" s="7" t="s">
        <v>38</v>
      </c>
      <c r="F4" s="7" t="s">
        <v>38</v>
      </c>
      <c r="G4" s="7">
        <v>2017</v>
      </c>
      <c r="H4" s="7" t="str">
        <f>_xlfn.CONCAT("14270104608")</f>
        <v>14270104608</v>
      </c>
      <c r="I4" s="7" t="s">
        <v>30</v>
      </c>
      <c r="J4" s="7" t="s">
        <v>31</v>
      </c>
      <c r="K4" s="7" t="str">
        <f>_xlfn.CONCAT("")</f>
        <v/>
      </c>
      <c r="L4" s="7" t="str">
        <f>_xlfn.CONCAT("21 21.1 2a")</f>
        <v>21 21.1 2a</v>
      </c>
      <c r="M4" s="7" t="str">
        <f>_xlfn.CONCAT("CRLSVN57M26E694D")</f>
        <v>CRLSVN57M26E694D</v>
      </c>
      <c r="N4" s="7" t="s">
        <v>48</v>
      </c>
      <c r="O4" s="7" t="s">
        <v>49</v>
      </c>
      <c r="P4" s="8">
        <v>44305</v>
      </c>
      <c r="Q4" s="7" t="s">
        <v>32</v>
      </c>
      <c r="R4" s="7" t="s">
        <v>33</v>
      </c>
      <c r="S4" s="7" t="s">
        <v>34</v>
      </c>
      <c r="T4" s="7"/>
      <c r="U4" s="7" t="s">
        <v>35</v>
      </c>
      <c r="V4" s="9">
        <v>1260</v>
      </c>
      <c r="W4" s="7">
        <v>543.30999999999995</v>
      </c>
      <c r="X4" s="7">
        <v>501.73</v>
      </c>
      <c r="Y4" s="7">
        <v>0</v>
      </c>
      <c r="Z4" s="7">
        <v>214.96</v>
      </c>
    </row>
    <row r="5" spans="1:26" x14ac:dyDescent="0.35">
      <c r="A5" s="7" t="s">
        <v>27</v>
      </c>
      <c r="B5" s="7" t="s">
        <v>41</v>
      </c>
      <c r="C5" s="7" t="s">
        <v>46</v>
      </c>
      <c r="D5" s="7" t="s">
        <v>47</v>
      </c>
      <c r="E5" s="7" t="s">
        <v>29</v>
      </c>
      <c r="F5" s="7" t="s">
        <v>50</v>
      </c>
      <c r="G5" s="7">
        <v>2017</v>
      </c>
      <c r="H5" s="7" t="str">
        <f>_xlfn.CONCAT("04270232590")</f>
        <v>04270232590</v>
      </c>
      <c r="I5" s="7" t="s">
        <v>30</v>
      </c>
      <c r="J5" s="7" t="s">
        <v>31</v>
      </c>
      <c r="K5" s="7" t="str">
        <f>_xlfn.CONCAT("")</f>
        <v/>
      </c>
      <c r="L5" s="7" t="str">
        <f>_xlfn.CONCAT("4 4.4 4c")</f>
        <v>4 4.4 4c</v>
      </c>
      <c r="M5" s="7" t="str">
        <f>_xlfn.CONCAT("MNCBRD55E12L597B")</f>
        <v>MNCBRD55E12L597B</v>
      </c>
      <c r="N5" s="7" t="s">
        <v>51</v>
      </c>
      <c r="O5" s="7" t="s">
        <v>52</v>
      </c>
      <c r="P5" s="8">
        <v>44286</v>
      </c>
      <c r="Q5" s="7" t="s">
        <v>32</v>
      </c>
      <c r="R5" s="7" t="s">
        <v>33</v>
      </c>
      <c r="S5" s="7" t="s">
        <v>34</v>
      </c>
      <c r="T5" s="7"/>
      <c r="U5" s="7" t="s">
        <v>35</v>
      </c>
      <c r="V5" s="9">
        <v>1347.7</v>
      </c>
      <c r="W5" s="7">
        <v>581.13</v>
      </c>
      <c r="X5" s="7">
        <v>536.65</v>
      </c>
      <c r="Y5" s="7">
        <v>0</v>
      </c>
      <c r="Z5" s="7">
        <v>229.92</v>
      </c>
    </row>
    <row r="6" spans="1:26" ht="17.5" x14ac:dyDescent="0.35">
      <c r="A6" s="7" t="s">
        <v>27</v>
      </c>
      <c r="B6" s="7" t="s">
        <v>41</v>
      </c>
      <c r="C6" s="7" t="s">
        <v>46</v>
      </c>
      <c r="D6" s="7" t="s">
        <v>47</v>
      </c>
      <c r="E6" s="7" t="s">
        <v>29</v>
      </c>
      <c r="F6" s="7" t="s">
        <v>53</v>
      </c>
      <c r="G6" s="7">
        <v>2017</v>
      </c>
      <c r="H6" s="7" t="str">
        <f>_xlfn.CONCAT("14270213755")</f>
        <v>14270213755</v>
      </c>
      <c r="I6" s="7" t="s">
        <v>30</v>
      </c>
      <c r="J6" s="7" t="s">
        <v>31</v>
      </c>
      <c r="K6" s="7" t="str">
        <f>_xlfn.CONCAT("")</f>
        <v/>
      </c>
      <c r="L6" s="7" t="str">
        <f>_xlfn.CONCAT("4 4.4 4c")</f>
        <v>4 4.4 4c</v>
      </c>
      <c r="M6" s="7" t="str">
        <f>_xlfn.CONCAT("01104210438")</f>
        <v>01104210438</v>
      </c>
      <c r="N6" s="7" t="s">
        <v>54</v>
      </c>
      <c r="O6" s="7" t="s">
        <v>55</v>
      </c>
      <c r="P6" s="8">
        <v>44431</v>
      </c>
      <c r="Q6" s="7" t="s">
        <v>32</v>
      </c>
      <c r="R6" s="7" t="s">
        <v>33</v>
      </c>
      <c r="S6" s="7" t="s">
        <v>34</v>
      </c>
      <c r="T6" s="7"/>
      <c r="U6" s="7" t="s">
        <v>35</v>
      </c>
      <c r="V6" s="9">
        <v>4860</v>
      </c>
      <c r="W6" s="9">
        <v>2095.63</v>
      </c>
      <c r="X6" s="9">
        <v>1935.25</v>
      </c>
      <c r="Y6" s="7">
        <v>0</v>
      </c>
      <c r="Z6" s="7">
        <v>829.12</v>
      </c>
    </row>
    <row r="7" spans="1:26" x14ac:dyDescent="0.35">
      <c r="A7" s="7" t="s">
        <v>27</v>
      </c>
      <c r="B7" s="7" t="s">
        <v>41</v>
      </c>
      <c r="C7" s="7" t="s">
        <v>46</v>
      </c>
      <c r="D7" s="7" t="s">
        <v>56</v>
      </c>
      <c r="E7" s="7" t="s">
        <v>37</v>
      </c>
      <c r="F7" s="7" t="s">
        <v>57</v>
      </c>
      <c r="G7" s="7">
        <v>2017</v>
      </c>
      <c r="H7" s="7" t="str">
        <f>_xlfn.CONCAT("04270233192")</f>
        <v>04270233192</v>
      </c>
      <c r="I7" s="7" t="s">
        <v>30</v>
      </c>
      <c r="J7" s="7" t="s">
        <v>31</v>
      </c>
      <c r="K7" s="7" t="str">
        <f>_xlfn.CONCAT("")</f>
        <v/>
      </c>
      <c r="L7" s="7" t="str">
        <f>_xlfn.CONCAT("3 3.1 3a")</f>
        <v>3 3.1 3a</v>
      </c>
      <c r="M7" s="7" t="str">
        <f>_xlfn.CONCAT("RGNNNS78B48L500C")</f>
        <v>RGNNNS78B48L500C</v>
      </c>
      <c r="N7" s="7" t="s">
        <v>58</v>
      </c>
      <c r="O7" s="7" t="s">
        <v>59</v>
      </c>
      <c r="P7" s="8">
        <v>44375</v>
      </c>
      <c r="Q7" s="7" t="s">
        <v>32</v>
      </c>
      <c r="R7" s="7" t="s">
        <v>43</v>
      </c>
      <c r="S7" s="7" t="s">
        <v>34</v>
      </c>
      <c r="T7" s="7"/>
      <c r="U7" s="7" t="s">
        <v>35</v>
      </c>
      <c r="V7" s="7">
        <v>533</v>
      </c>
      <c r="W7" s="7">
        <v>229.83</v>
      </c>
      <c r="X7" s="7">
        <v>212.24</v>
      </c>
      <c r="Y7" s="7">
        <v>0</v>
      </c>
      <c r="Z7" s="7">
        <v>90.93</v>
      </c>
    </row>
    <row r="8" spans="1:26" x14ac:dyDescent="0.35">
      <c r="A8" s="7" t="s">
        <v>27</v>
      </c>
      <c r="B8" s="7" t="s">
        <v>41</v>
      </c>
      <c r="C8" s="7" t="s">
        <v>46</v>
      </c>
      <c r="D8" s="7" t="s">
        <v>56</v>
      </c>
      <c r="E8" s="7" t="s">
        <v>38</v>
      </c>
      <c r="F8" s="7" t="s">
        <v>38</v>
      </c>
      <c r="G8" s="7">
        <v>2017</v>
      </c>
      <c r="H8" s="7" t="str">
        <f>_xlfn.CONCAT("14270220511")</f>
        <v>14270220511</v>
      </c>
      <c r="I8" s="7" t="s">
        <v>30</v>
      </c>
      <c r="J8" s="7" t="s">
        <v>31</v>
      </c>
      <c r="K8" s="7" t="str">
        <f>_xlfn.CONCAT("")</f>
        <v/>
      </c>
      <c r="L8" s="7" t="str">
        <f>_xlfn.CONCAT("4 4.3 2a")</f>
        <v>4 4.3 2a</v>
      </c>
      <c r="M8" s="7" t="str">
        <f>_xlfn.CONCAT("00138790431")</f>
        <v>00138790431</v>
      </c>
      <c r="N8" s="7" t="s">
        <v>60</v>
      </c>
      <c r="O8" s="7" t="s">
        <v>61</v>
      </c>
      <c r="P8" s="8">
        <v>44431</v>
      </c>
      <c r="Q8" s="7" t="s">
        <v>32</v>
      </c>
      <c r="R8" s="7" t="s">
        <v>42</v>
      </c>
      <c r="S8" s="7" t="s">
        <v>34</v>
      </c>
      <c r="T8" s="7"/>
      <c r="U8" s="7" t="s">
        <v>35</v>
      </c>
      <c r="V8" s="9">
        <v>76297.210000000006</v>
      </c>
      <c r="W8" s="9">
        <v>32899.360000000001</v>
      </c>
      <c r="X8" s="9">
        <v>30381.55</v>
      </c>
      <c r="Y8" s="7">
        <v>0</v>
      </c>
      <c r="Z8" s="9">
        <v>13016.3</v>
      </c>
    </row>
    <row r="9" spans="1:26" x14ac:dyDescent="0.35">
      <c r="A9" s="7" t="s">
        <v>27</v>
      </c>
      <c r="B9" s="7" t="s">
        <v>41</v>
      </c>
      <c r="C9" s="7" t="s">
        <v>46</v>
      </c>
      <c r="D9" s="7" t="s">
        <v>56</v>
      </c>
      <c r="E9" s="7" t="s">
        <v>38</v>
      </c>
      <c r="F9" s="7" t="s">
        <v>38</v>
      </c>
      <c r="G9" s="7">
        <v>2017</v>
      </c>
      <c r="H9" s="7" t="str">
        <f>_xlfn.CONCAT("14270220529")</f>
        <v>14270220529</v>
      </c>
      <c r="I9" s="7" t="s">
        <v>30</v>
      </c>
      <c r="J9" s="7" t="s">
        <v>31</v>
      </c>
      <c r="K9" s="7" t="str">
        <f>_xlfn.CONCAT("")</f>
        <v/>
      </c>
      <c r="L9" s="7" t="str">
        <f>_xlfn.CONCAT("4 4.3 2a")</f>
        <v>4 4.3 2a</v>
      </c>
      <c r="M9" s="7" t="str">
        <f>_xlfn.CONCAT("00138790431")</f>
        <v>00138790431</v>
      </c>
      <c r="N9" s="7" t="s">
        <v>60</v>
      </c>
      <c r="O9" s="7" t="s">
        <v>61</v>
      </c>
      <c r="P9" s="8">
        <v>44431</v>
      </c>
      <c r="Q9" s="7" t="s">
        <v>32</v>
      </c>
      <c r="R9" s="7" t="s">
        <v>42</v>
      </c>
      <c r="S9" s="7" t="s">
        <v>34</v>
      </c>
      <c r="T9" s="7"/>
      <c r="U9" s="7" t="s">
        <v>35</v>
      </c>
      <c r="V9" s="9">
        <v>80071.13</v>
      </c>
      <c r="W9" s="9">
        <v>34526.67</v>
      </c>
      <c r="X9" s="9">
        <v>31884.32</v>
      </c>
      <c r="Y9" s="7">
        <v>0</v>
      </c>
      <c r="Z9" s="9">
        <v>13660.14</v>
      </c>
    </row>
    <row r="10" spans="1:26" x14ac:dyDescent="0.35">
      <c r="A10" s="7" t="s">
        <v>27</v>
      </c>
      <c r="B10" s="7" t="s">
        <v>41</v>
      </c>
      <c r="C10" s="7" t="s">
        <v>46</v>
      </c>
      <c r="D10" s="7" t="s">
        <v>56</v>
      </c>
      <c r="E10" s="7" t="s">
        <v>38</v>
      </c>
      <c r="F10" s="7" t="s">
        <v>38</v>
      </c>
      <c r="G10" s="7">
        <v>2017</v>
      </c>
      <c r="H10" s="7" t="str">
        <f>_xlfn.CONCAT("14270220503")</f>
        <v>14270220503</v>
      </c>
      <c r="I10" s="7" t="s">
        <v>30</v>
      </c>
      <c r="J10" s="7" t="s">
        <v>31</v>
      </c>
      <c r="K10" s="7" t="str">
        <f>_xlfn.CONCAT("")</f>
        <v/>
      </c>
      <c r="L10" s="7" t="str">
        <f>_xlfn.CONCAT("4 4.3 2a")</f>
        <v>4 4.3 2a</v>
      </c>
      <c r="M10" s="7" t="str">
        <f>_xlfn.CONCAT("00138790431")</f>
        <v>00138790431</v>
      </c>
      <c r="N10" s="7" t="s">
        <v>60</v>
      </c>
      <c r="O10" s="7" t="s">
        <v>61</v>
      </c>
      <c r="P10" s="8">
        <v>44431</v>
      </c>
      <c r="Q10" s="7" t="s">
        <v>32</v>
      </c>
      <c r="R10" s="7" t="s">
        <v>42</v>
      </c>
      <c r="S10" s="7" t="s">
        <v>34</v>
      </c>
      <c r="T10" s="7"/>
      <c r="U10" s="7" t="s">
        <v>35</v>
      </c>
      <c r="V10" s="9">
        <v>119218.03</v>
      </c>
      <c r="W10" s="9">
        <v>51406.81</v>
      </c>
      <c r="X10" s="9">
        <v>47472.62</v>
      </c>
      <c r="Y10" s="7">
        <v>0</v>
      </c>
      <c r="Z10" s="9">
        <v>20338.599999999999</v>
      </c>
    </row>
    <row r="11" spans="1:26" x14ac:dyDescent="0.35">
      <c r="A11" s="7" t="s">
        <v>27</v>
      </c>
      <c r="B11" s="7" t="s">
        <v>41</v>
      </c>
      <c r="C11" s="7" t="s">
        <v>46</v>
      </c>
      <c r="D11" s="7" t="s">
        <v>56</v>
      </c>
      <c r="E11" s="7" t="s">
        <v>38</v>
      </c>
      <c r="F11" s="7" t="s">
        <v>38</v>
      </c>
      <c r="G11" s="7">
        <v>2017</v>
      </c>
      <c r="H11" s="7" t="str">
        <f>_xlfn.CONCAT("14270220495")</f>
        <v>14270220495</v>
      </c>
      <c r="I11" s="7" t="s">
        <v>30</v>
      </c>
      <c r="J11" s="7" t="s">
        <v>31</v>
      </c>
      <c r="K11" s="7" t="str">
        <f>_xlfn.CONCAT("")</f>
        <v/>
      </c>
      <c r="L11" s="7" t="str">
        <f>_xlfn.CONCAT("4 4.3 2a")</f>
        <v>4 4.3 2a</v>
      </c>
      <c r="M11" s="7" t="str">
        <f>_xlfn.CONCAT("00138790431")</f>
        <v>00138790431</v>
      </c>
      <c r="N11" s="7" t="s">
        <v>60</v>
      </c>
      <c r="O11" s="7" t="s">
        <v>61</v>
      </c>
      <c r="P11" s="8">
        <v>44431</v>
      </c>
      <c r="Q11" s="7" t="s">
        <v>32</v>
      </c>
      <c r="R11" s="7" t="s">
        <v>42</v>
      </c>
      <c r="S11" s="7" t="s">
        <v>34</v>
      </c>
      <c r="T11" s="7"/>
      <c r="U11" s="7" t="s">
        <v>35</v>
      </c>
      <c r="V11" s="9">
        <v>83013.52</v>
      </c>
      <c r="W11" s="9">
        <v>35795.43</v>
      </c>
      <c r="X11" s="9">
        <v>33055.980000000003</v>
      </c>
      <c r="Y11" s="7">
        <v>0</v>
      </c>
      <c r="Z11" s="9">
        <v>14162.11</v>
      </c>
    </row>
    <row r="12" spans="1:26" x14ac:dyDescent="0.35">
      <c r="A12" s="7" t="s">
        <v>27</v>
      </c>
      <c r="B12" s="7" t="s">
        <v>41</v>
      </c>
      <c r="C12" s="7" t="s">
        <v>46</v>
      </c>
      <c r="D12" s="7" t="s">
        <v>62</v>
      </c>
      <c r="E12" s="7" t="s">
        <v>38</v>
      </c>
      <c r="F12" s="7" t="s">
        <v>38</v>
      </c>
      <c r="G12" s="7">
        <v>2017</v>
      </c>
      <c r="H12" s="7" t="str">
        <f>_xlfn.CONCAT("04270233515")</f>
        <v>04270233515</v>
      </c>
      <c r="I12" s="7" t="s">
        <v>30</v>
      </c>
      <c r="J12" s="7" t="s">
        <v>31</v>
      </c>
      <c r="K12" s="7" t="str">
        <f>_xlfn.CONCAT("")</f>
        <v/>
      </c>
      <c r="L12" s="7" t="str">
        <f>_xlfn.CONCAT("9 9.1 3a")</f>
        <v>9 9.1 3a</v>
      </c>
      <c r="M12" s="7" t="str">
        <f>_xlfn.CONCAT("00888380425")</f>
        <v>00888380425</v>
      </c>
      <c r="N12" s="7" t="s">
        <v>63</v>
      </c>
      <c r="O12" s="7" t="s">
        <v>64</v>
      </c>
      <c r="P12" s="8">
        <v>44375</v>
      </c>
      <c r="Q12" s="7" t="s">
        <v>32</v>
      </c>
      <c r="R12" s="7" t="s">
        <v>43</v>
      </c>
      <c r="S12" s="7" t="s">
        <v>34</v>
      </c>
      <c r="T12" s="7"/>
      <c r="U12" s="7" t="s">
        <v>35</v>
      </c>
      <c r="V12" s="9">
        <v>100000</v>
      </c>
      <c r="W12" s="9">
        <v>43120</v>
      </c>
      <c r="X12" s="9">
        <v>39820</v>
      </c>
      <c r="Y12" s="7">
        <v>0</v>
      </c>
      <c r="Z12" s="9">
        <v>17060</v>
      </c>
    </row>
    <row r="13" spans="1:26" ht="17.5" x14ac:dyDescent="0.35">
      <c r="A13" s="7" t="s">
        <v>27</v>
      </c>
      <c r="B13" s="7" t="s">
        <v>41</v>
      </c>
      <c r="C13" s="7" t="s">
        <v>46</v>
      </c>
      <c r="D13" s="7" t="s">
        <v>62</v>
      </c>
      <c r="E13" s="7" t="s">
        <v>38</v>
      </c>
      <c r="F13" s="7" t="s">
        <v>38</v>
      </c>
      <c r="G13" s="7">
        <v>2017</v>
      </c>
      <c r="H13" s="7" t="str">
        <f>_xlfn.CONCAT("04270233523")</f>
        <v>04270233523</v>
      </c>
      <c r="I13" s="7" t="s">
        <v>30</v>
      </c>
      <c r="J13" s="7" t="s">
        <v>31</v>
      </c>
      <c r="K13" s="7" t="str">
        <f>_xlfn.CONCAT("")</f>
        <v/>
      </c>
      <c r="L13" s="7" t="str">
        <f>_xlfn.CONCAT("9 9.1 3a")</f>
        <v>9 9.1 3a</v>
      </c>
      <c r="M13" s="7" t="str">
        <f>_xlfn.CONCAT("93018000427")</f>
        <v>93018000427</v>
      </c>
      <c r="N13" s="7" t="s">
        <v>65</v>
      </c>
      <c r="O13" s="7" t="s">
        <v>64</v>
      </c>
      <c r="P13" s="8">
        <v>44375</v>
      </c>
      <c r="Q13" s="7" t="s">
        <v>32</v>
      </c>
      <c r="R13" s="7" t="s">
        <v>43</v>
      </c>
      <c r="S13" s="7" t="s">
        <v>34</v>
      </c>
      <c r="T13" s="7"/>
      <c r="U13" s="7" t="s">
        <v>35</v>
      </c>
      <c r="V13" s="9">
        <v>46939.94</v>
      </c>
      <c r="W13" s="9">
        <v>20240.5</v>
      </c>
      <c r="X13" s="9">
        <v>18691.48</v>
      </c>
      <c r="Y13" s="7">
        <v>0</v>
      </c>
      <c r="Z13" s="9">
        <v>8007.96</v>
      </c>
    </row>
    <row r="14" spans="1:26" x14ac:dyDescent="0.35">
      <c r="A14" s="7" t="s">
        <v>27</v>
      </c>
      <c r="B14" s="7" t="s">
        <v>41</v>
      </c>
      <c r="C14" s="7" t="s">
        <v>46</v>
      </c>
      <c r="D14" s="7" t="s">
        <v>46</v>
      </c>
      <c r="E14" s="7" t="s">
        <v>38</v>
      </c>
      <c r="F14" s="7" t="s">
        <v>38</v>
      </c>
      <c r="G14" s="7">
        <v>2017</v>
      </c>
      <c r="H14" s="7" t="str">
        <f>_xlfn.CONCAT("14270212807")</f>
        <v>14270212807</v>
      </c>
      <c r="I14" s="7" t="s">
        <v>30</v>
      </c>
      <c r="J14" s="7" t="s">
        <v>31</v>
      </c>
      <c r="K14" s="7" t="str">
        <f>_xlfn.CONCAT("")</f>
        <v/>
      </c>
      <c r="L14" s="7" t="str">
        <f>_xlfn.CONCAT("19 19.2 6b")</f>
        <v>19 19.2 6b</v>
      </c>
      <c r="M14" s="7" t="str">
        <f>_xlfn.CONCAT("00218320430")</f>
        <v>00218320430</v>
      </c>
      <c r="N14" s="7" t="s">
        <v>66</v>
      </c>
      <c r="O14" s="7" t="s">
        <v>67</v>
      </c>
      <c r="P14" s="8">
        <v>44431</v>
      </c>
      <c r="Q14" s="7" t="s">
        <v>32</v>
      </c>
      <c r="R14" s="7" t="s">
        <v>42</v>
      </c>
      <c r="S14" s="7" t="s">
        <v>34</v>
      </c>
      <c r="T14" s="7"/>
      <c r="U14" s="7" t="s">
        <v>35</v>
      </c>
      <c r="V14" s="9">
        <v>38200.879999999997</v>
      </c>
      <c r="W14" s="9">
        <v>16472.22</v>
      </c>
      <c r="X14" s="9">
        <v>15211.59</v>
      </c>
      <c r="Y14" s="7">
        <v>0</v>
      </c>
      <c r="Z14" s="9">
        <v>6517.07</v>
      </c>
    </row>
    <row r="15" spans="1:26" x14ac:dyDescent="0.35">
      <c r="A15" s="7" t="s">
        <v>27</v>
      </c>
      <c r="B15" s="7" t="s">
        <v>41</v>
      </c>
      <c r="C15" s="7" t="s">
        <v>46</v>
      </c>
      <c r="D15" s="7" t="s">
        <v>56</v>
      </c>
      <c r="E15" s="7" t="s">
        <v>38</v>
      </c>
      <c r="F15" s="7" t="s">
        <v>38</v>
      </c>
      <c r="G15" s="7">
        <v>2017</v>
      </c>
      <c r="H15" s="7" t="str">
        <f>_xlfn.CONCAT("14270214662")</f>
        <v>14270214662</v>
      </c>
      <c r="I15" s="7" t="s">
        <v>30</v>
      </c>
      <c r="J15" s="7" t="s">
        <v>31</v>
      </c>
      <c r="K15" s="7" t="str">
        <f>_xlfn.CONCAT("")</f>
        <v/>
      </c>
      <c r="L15" s="7" t="str">
        <f>_xlfn.CONCAT("4 4.1 2a")</f>
        <v>4 4.1 2a</v>
      </c>
      <c r="M15" s="7" t="str">
        <f>_xlfn.CONCAT("CSTLVN75E57H501O")</f>
        <v>CSTLVN75E57H501O</v>
      </c>
      <c r="N15" s="7" t="s">
        <v>68</v>
      </c>
      <c r="O15" s="7" t="s">
        <v>69</v>
      </c>
      <c r="P15" s="8">
        <v>44418</v>
      </c>
      <c r="Q15" s="7" t="s">
        <v>32</v>
      </c>
      <c r="R15" s="7" t="s">
        <v>43</v>
      </c>
      <c r="S15" s="7" t="s">
        <v>34</v>
      </c>
      <c r="T15" s="7"/>
      <c r="U15" s="7" t="s">
        <v>35</v>
      </c>
      <c r="V15" s="9">
        <v>8480</v>
      </c>
      <c r="W15" s="9">
        <v>3656.58</v>
      </c>
      <c r="X15" s="9">
        <v>3376.74</v>
      </c>
      <c r="Y15" s="7">
        <v>0</v>
      </c>
      <c r="Z15" s="9">
        <v>1446.68</v>
      </c>
    </row>
    <row r="16" spans="1:26" x14ac:dyDescent="0.35">
      <c r="A16" s="7" t="s">
        <v>27</v>
      </c>
      <c r="B16" s="7" t="s">
        <v>41</v>
      </c>
      <c r="C16" s="7" t="s">
        <v>46</v>
      </c>
      <c r="D16" s="7" t="s">
        <v>70</v>
      </c>
      <c r="E16" s="7" t="s">
        <v>38</v>
      </c>
      <c r="F16" s="7" t="s">
        <v>38</v>
      </c>
      <c r="G16" s="7">
        <v>2017</v>
      </c>
      <c r="H16" s="7" t="str">
        <f>_xlfn.CONCAT("14270214639")</f>
        <v>14270214639</v>
      </c>
      <c r="I16" s="7" t="s">
        <v>30</v>
      </c>
      <c r="J16" s="7" t="s">
        <v>31</v>
      </c>
      <c r="K16" s="7" t="str">
        <f>_xlfn.CONCAT("")</f>
        <v/>
      </c>
      <c r="L16" s="7" t="str">
        <f>_xlfn.CONCAT("4 4.1 2a")</f>
        <v>4 4.1 2a</v>
      </c>
      <c r="M16" s="7" t="str">
        <f>_xlfn.CONCAT("DMLRRT67H08D635D")</f>
        <v>DMLRRT67H08D635D</v>
      </c>
      <c r="N16" s="7" t="s">
        <v>71</v>
      </c>
      <c r="O16" s="7" t="s">
        <v>69</v>
      </c>
      <c r="P16" s="8">
        <v>44418</v>
      </c>
      <c r="Q16" s="7" t="s">
        <v>32</v>
      </c>
      <c r="R16" s="7" t="s">
        <v>42</v>
      </c>
      <c r="S16" s="7" t="s">
        <v>34</v>
      </c>
      <c r="T16" s="7"/>
      <c r="U16" s="7" t="s">
        <v>35</v>
      </c>
      <c r="V16" s="9">
        <v>84297.84</v>
      </c>
      <c r="W16" s="9">
        <v>36349.230000000003</v>
      </c>
      <c r="X16" s="9">
        <v>33567.4</v>
      </c>
      <c r="Y16" s="7">
        <v>0</v>
      </c>
      <c r="Z16" s="9">
        <v>14381.21</v>
      </c>
    </row>
    <row r="17" spans="1:26" x14ac:dyDescent="0.35">
      <c r="A17" s="7" t="s">
        <v>27</v>
      </c>
      <c r="B17" s="7" t="s">
        <v>41</v>
      </c>
      <c r="C17" s="7" t="s">
        <v>46</v>
      </c>
      <c r="D17" s="7" t="s">
        <v>62</v>
      </c>
      <c r="E17" s="7" t="s">
        <v>38</v>
      </c>
      <c r="F17" s="7" t="s">
        <v>38</v>
      </c>
      <c r="G17" s="7">
        <v>2017</v>
      </c>
      <c r="H17" s="7" t="str">
        <f>_xlfn.CONCAT("04270233671")</f>
        <v>04270233671</v>
      </c>
      <c r="I17" s="7" t="s">
        <v>36</v>
      </c>
      <c r="J17" s="7" t="s">
        <v>31</v>
      </c>
      <c r="K17" s="7" t="str">
        <f>_xlfn.CONCAT("")</f>
        <v/>
      </c>
      <c r="L17" s="7" t="str">
        <f>_xlfn.CONCAT("19 19.4 6b")</f>
        <v>19 19.4 6b</v>
      </c>
      <c r="M17" s="7" t="str">
        <f>_xlfn.CONCAT("01502360447")</f>
        <v>01502360447</v>
      </c>
      <c r="N17" s="7" t="s">
        <v>72</v>
      </c>
      <c r="O17" s="7" t="s">
        <v>73</v>
      </c>
      <c r="P17" s="8">
        <v>44431</v>
      </c>
      <c r="Q17" s="7" t="s">
        <v>32</v>
      </c>
      <c r="R17" s="7" t="s">
        <v>43</v>
      </c>
      <c r="S17" s="7" t="s">
        <v>34</v>
      </c>
      <c r="T17" s="7"/>
      <c r="U17" s="7" t="s">
        <v>35</v>
      </c>
      <c r="V17" s="9">
        <v>158986.62</v>
      </c>
      <c r="W17" s="9">
        <v>68555.03</v>
      </c>
      <c r="X17" s="9">
        <v>63308.47</v>
      </c>
      <c r="Y17" s="7">
        <v>0</v>
      </c>
      <c r="Z17" s="9">
        <v>27123.119999999999</v>
      </c>
    </row>
    <row r="18" spans="1:26" x14ac:dyDescent="0.35">
      <c r="A18" s="7" t="s">
        <v>27</v>
      </c>
      <c r="B18" s="7" t="s">
        <v>41</v>
      </c>
      <c r="C18" s="7" t="s">
        <v>46</v>
      </c>
      <c r="D18" s="7" t="s">
        <v>46</v>
      </c>
      <c r="E18" s="7" t="s">
        <v>38</v>
      </c>
      <c r="F18" s="7" t="s">
        <v>38</v>
      </c>
      <c r="G18" s="7">
        <v>2017</v>
      </c>
      <c r="H18" s="7" t="str">
        <f>_xlfn.CONCAT("14270212880")</f>
        <v>14270212880</v>
      </c>
      <c r="I18" s="7" t="s">
        <v>30</v>
      </c>
      <c r="J18" s="7" t="s">
        <v>31</v>
      </c>
      <c r="K18" s="7" t="str">
        <f>_xlfn.CONCAT("")</f>
        <v/>
      </c>
      <c r="L18" s="7" t="str">
        <f>_xlfn.CONCAT("19 19.2 6b")</f>
        <v>19 19.2 6b</v>
      </c>
      <c r="M18" s="7" t="str">
        <f>_xlfn.CONCAT("00146060413")</f>
        <v>00146060413</v>
      </c>
      <c r="N18" s="7" t="s">
        <v>74</v>
      </c>
      <c r="O18" s="7" t="s">
        <v>75</v>
      </c>
      <c r="P18" s="8">
        <v>44431</v>
      </c>
      <c r="Q18" s="7" t="s">
        <v>32</v>
      </c>
      <c r="R18" s="7" t="s">
        <v>42</v>
      </c>
      <c r="S18" s="7" t="s">
        <v>34</v>
      </c>
      <c r="T18" s="7"/>
      <c r="U18" s="7" t="s">
        <v>35</v>
      </c>
      <c r="V18" s="9">
        <v>15334</v>
      </c>
      <c r="W18" s="9">
        <v>6612.02</v>
      </c>
      <c r="X18" s="9">
        <v>6106</v>
      </c>
      <c r="Y18" s="7">
        <v>0</v>
      </c>
      <c r="Z18" s="9">
        <v>2615.98</v>
      </c>
    </row>
    <row r="19" spans="1:26" x14ac:dyDescent="0.35">
      <c r="A19" s="7" t="s">
        <v>27</v>
      </c>
      <c r="B19" s="7" t="s">
        <v>41</v>
      </c>
      <c r="C19" s="7" t="s">
        <v>46</v>
      </c>
      <c r="D19" s="7" t="s">
        <v>70</v>
      </c>
      <c r="E19" s="7" t="s">
        <v>29</v>
      </c>
      <c r="F19" s="7" t="s">
        <v>76</v>
      </c>
      <c r="G19" s="7">
        <v>2017</v>
      </c>
      <c r="H19" s="7" t="str">
        <f>_xlfn.CONCAT("14270142277")</f>
        <v>14270142277</v>
      </c>
      <c r="I19" s="7" t="s">
        <v>30</v>
      </c>
      <c r="J19" s="7" t="s">
        <v>31</v>
      </c>
      <c r="K19" s="7" t="str">
        <f>_xlfn.CONCAT("")</f>
        <v/>
      </c>
      <c r="L19" s="7" t="str">
        <f>_xlfn.CONCAT("21 21.1 2a")</f>
        <v>21 21.1 2a</v>
      </c>
      <c r="M19" s="7" t="str">
        <f>_xlfn.CONCAT("CCEDVD62S14D760U")</f>
        <v>CCEDVD62S14D760U</v>
      </c>
      <c r="N19" s="7" t="s">
        <v>77</v>
      </c>
      <c r="O19" s="7" t="s">
        <v>78</v>
      </c>
      <c r="P19" s="8">
        <v>44354</v>
      </c>
      <c r="Q19" s="7" t="s">
        <v>32</v>
      </c>
      <c r="R19" s="7" t="s">
        <v>33</v>
      </c>
      <c r="S19" s="7" t="s">
        <v>34</v>
      </c>
      <c r="T19" s="7"/>
      <c r="U19" s="7" t="s">
        <v>35</v>
      </c>
      <c r="V19" s="9">
        <v>7000</v>
      </c>
      <c r="W19" s="9">
        <v>3018.4</v>
      </c>
      <c r="X19" s="9">
        <v>2787.4</v>
      </c>
      <c r="Y19" s="7">
        <v>0</v>
      </c>
      <c r="Z19" s="9">
        <v>1194.2</v>
      </c>
    </row>
    <row r="20" spans="1:26" x14ac:dyDescent="0.35">
      <c r="A20" s="7" t="s">
        <v>27</v>
      </c>
      <c r="B20" s="7" t="s">
        <v>41</v>
      </c>
      <c r="C20" s="7" t="s">
        <v>46</v>
      </c>
      <c r="D20" s="7" t="s">
        <v>56</v>
      </c>
      <c r="E20" s="7" t="s">
        <v>38</v>
      </c>
      <c r="F20" s="7" t="s">
        <v>38</v>
      </c>
      <c r="G20" s="7">
        <v>2017</v>
      </c>
      <c r="H20" s="7" t="str">
        <f>_xlfn.CONCAT("14270151328")</f>
        <v>14270151328</v>
      </c>
      <c r="I20" s="7" t="s">
        <v>30</v>
      </c>
      <c r="J20" s="7" t="s">
        <v>31</v>
      </c>
      <c r="K20" s="7" t="str">
        <f>_xlfn.CONCAT("")</f>
        <v/>
      </c>
      <c r="L20" s="7" t="str">
        <f>_xlfn.CONCAT("21 21.1 2a")</f>
        <v>21 21.1 2a</v>
      </c>
      <c r="M20" s="7" t="str">
        <f>_xlfn.CONCAT("DVRLBT64R52G479Q")</f>
        <v>DVRLBT64R52G479Q</v>
      </c>
      <c r="N20" s="7" t="s">
        <v>79</v>
      </c>
      <c r="O20" s="7" t="s">
        <v>80</v>
      </c>
      <c r="P20" s="8">
        <v>44354</v>
      </c>
      <c r="Q20" s="7" t="s">
        <v>32</v>
      </c>
      <c r="R20" s="7" t="s">
        <v>33</v>
      </c>
      <c r="S20" s="7" t="s">
        <v>34</v>
      </c>
      <c r="T20" s="7"/>
      <c r="U20" s="7" t="s">
        <v>35</v>
      </c>
      <c r="V20" s="9">
        <v>7000</v>
      </c>
      <c r="W20" s="9">
        <v>3018.4</v>
      </c>
      <c r="X20" s="9">
        <v>2787.4</v>
      </c>
      <c r="Y20" s="7">
        <v>0</v>
      </c>
      <c r="Z20" s="9">
        <v>1194.2</v>
      </c>
    </row>
    <row r="21" spans="1:26" x14ac:dyDescent="0.35">
      <c r="A21" s="7" t="s">
        <v>27</v>
      </c>
      <c r="B21" s="7" t="s">
        <v>41</v>
      </c>
      <c r="C21" s="7" t="s">
        <v>46</v>
      </c>
      <c r="D21" s="7" t="s">
        <v>62</v>
      </c>
      <c r="E21" s="7" t="s">
        <v>29</v>
      </c>
      <c r="F21" s="7" t="s">
        <v>81</v>
      </c>
      <c r="G21" s="7">
        <v>2017</v>
      </c>
      <c r="H21" s="7" t="str">
        <f>_xlfn.CONCAT("14270151120")</f>
        <v>14270151120</v>
      </c>
      <c r="I21" s="7" t="s">
        <v>30</v>
      </c>
      <c r="J21" s="7" t="s">
        <v>31</v>
      </c>
      <c r="K21" s="7" t="str">
        <f>_xlfn.CONCAT("")</f>
        <v/>
      </c>
      <c r="L21" s="7" t="str">
        <f>_xlfn.CONCAT("21 21.1 2a")</f>
        <v>21 21.1 2a</v>
      </c>
      <c r="M21" s="7" t="str">
        <f>_xlfn.CONCAT("01343740427")</f>
        <v>01343740427</v>
      </c>
      <c r="N21" s="7" t="s">
        <v>82</v>
      </c>
      <c r="O21" s="7" t="s">
        <v>80</v>
      </c>
      <c r="P21" s="8">
        <v>44354</v>
      </c>
      <c r="Q21" s="7" t="s">
        <v>32</v>
      </c>
      <c r="R21" s="7" t="s">
        <v>33</v>
      </c>
      <c r="S21" s="7" t="s">
        <v>34</v>
      </c>
      <c r="T21" s="7"/>
      <c r="U21" s="7" t="s">
        <v>35</v>
      </c>
      <c r="V21" s="9">
        <v>1680</v>
      </c>
      <c r="W21" s="7">
        <v>724.42</v>
      </c>
      <c r="X21" s="7">
        <v>668.98</v>
      </c>
      <c r="Y21" s="7">
        <v>0</v>
      </c>
      <c r="Z21" s="7">
        <v>286.60000000000002</v>
      </c>
    </row>
    <row r="22" spans="1:26" x14ac:dyDescent="0.35">
      <c r="A22" s="7" t="s">
        <v>27</v>
      </c>
      <c r="B22" s="7" t="s">
        <v>41</v>
      </c>
      <c r="C22" s="7" t="s">
        <v>46</v>
      </c>
      <c r="D22" s="7" t="s">
        <v>62</v>
      </c>
      <c r="E22" s="7" t="s">
        <v>29</v>
      </c>
      <c r="F22" s="7" t="s">
        <v>83</v>
      </c>
      <c r="G22" s="7">
        <v>2017</v>
      </c>
      <c r="H22" s="7" t="str">
        <f>_xlfn.CONCAT("14270151443")</f>
        <v>14270151443</v>
      </c>
      <c r="I22" s="7" t="s">
        <v>36</v>
      </c>
      <c r="J22" s="7" t="s">
        <v>31</v>
      </c>
      <c r="K22" s="7" t="str">
        <f>_xlfn.CONCAT("")</f>
        <v/>
      </c>
      <c r="L22" s="7" t="str">
        <f>_xlfn.CONCAT("21 21.1 2a")</f>
        <v>21 21.1 2a</v>
      </c>
      <c r="M22" s="7" t="str">
        <f>_xlfn.CONCAT("02395070424")</f>
        <v>02395070424</v>
      </c>
      <c r="N22" s="7" t="s">
        <v>84</v>
      </c>
      <c r="O22" s="7" t="s">
        <v>80</v>
      </c>
      <c r="P22" s="8">
        <v>44354</v>
      </c>
      <c r="Q22" s="7" t="s">
        <v>32</v>
      </c>
      <c r="R22" s="7" t="s">
        <v>33</v>
      </c>
      <c r="S22" s="7" t="s">
        <v>34</v>
      </c>
      <c r="T22" s="7"/>
      <c r="U22" s="7" t="s">
        <v>35</v>
      </c>
      <c r="V22" s="9">
        <v>1575</v>
      </c>
      <c r="W22" s="7">
        <v>679.14</v>
      </c>
      <c r="X22" s="7">
        <v>627.16999999999996</v>
      </c>
      <c r="Y22" s="7">
        <v>0</v>
      </c>
      <c r="Z22" s="7">
        <v>268.69</v>
      </c>
    </row>
    <row r="23" spans="1:26" ht="17.5" x14ac:dyDescent="0.35">
      <c r="A23" s="7" t="s">
        <v>27</v>
      </c>
      <c r="B23" s="7" t="s">
        <v>41</v>
      </c>
      <c r="C23" s="7" t="s">
        <v>46</v>
      </c>
      <c r="D23" s="7" t="s">
        <v>62</v>
      </c>
      <c r="E23" s="7" t="s">
        <v>38</v>
      </c>
      <c r="F23" s="7" t="s">
        <v>38</v>
      </c>
      <c r="G23" s="7">
        <v>2017</v>
      </c>
      <c r="H23" s="7" t="str">
        <f>_xlfn.CONCAT("04270233531")</f>
        <v>04270233531</v>
      </c>
      <c r="I23" s="7" t="s">
        <v>36</v>
      </c>
      <c r="J23" s="7" t="s">
        <v>31</v>
      </c>
      <c r="K23" s="7" t="str">
        <f>_xlfn.CONCAT("")</f>
        <v/>
      </c>
      <c r="L23" s="7" t="str">
        <f>_xlfn.CONCAT("9 9.1 3a")</f>
        <v>9 9.1 3a</v>
      </c>
      <c r="M23" s="7" t="str">
        <f>_xlfn.CONCAT("93018000427")</f>
        <v>93018000427</v>
      </c>
      <c r="N23" s="7" t="s">
        <v>65</v>
      </c>
      <c r="O23" s="7" t="s">
        <v>85</v>
      </c>
      <c r="P23" s="8">
        <v>44375</v>
      </c>
      <c r="Q23" s="7" t="s">
        <v>32</v>
      </c>
      <c r="R23" s="7" t="s">
        <v>43</v>
      </c>
      <c r="S23" s="7" t="s">
        <v>34</v>
      </c>
      <c r="T23" s="7"/>
      <c r="U23" s="7" t="s">
        <v>35</v>
      </c>
      <c r="V23" s="9">
        <v>100000</v>
      </c>
      <c r="W23" s="9">
        <v>43120</v>
      </c>
      <c r="X23" s="9">
        <v>39820</v>
      </c>
      <c r="Y23" s="7">
        <v>0</v>
      </c>
      <c r="Z23" s="9">
        <v>17060</v>
      </c>
    </row>
    <row r="24" spans="1:26" x14ac:dyDescent="0.35">
      <c r="A24" s="7" t="s">
        <v>27</v>
      </c>
      <c r="B24" s="7" t="s">
        <v>28</v>
      </c>
      <c r="C24" s="7" t="s">
        <v>46</v>
      </c>
      <c r="D24" s="7" t="s">
        <v>47</v>
      </c>
      <c r="E24" s="7" t="s">
        <v>29</v>
      </c>
      <c r="F24" s="7" t="s">
        <v>86</v>
      </c>
      <c r="G24" s="7">
        <v>2018</v>
      </c>
      <c r="H24" s="7" t="str">
        <f>_xlfn.CONCAT("84210249284")</f>
        <v>84210249284</v>
      </c>
      <c r="I24" s="7" t="s">
        <v>30</v>
      </c>
      <c r="J24" s="7" t="s">
        <v>31</v>
      </c>
      <c r="K24" s="7" t="str">
        <f>_xlfn.CONCAT("")</f>
        <v/>
      </c>
      <c r="L24" s="7" t="str">
        <f>_xlfn.CONCAT("13 13.1 4a")</f>
        <v>13 13.1 4a</v>
      </c>
      <c r="M24" s="7" t="str">
        <f>_xlfn.CONCAT("SNTDNL46C48H501G")</f>
        <v>SNTDNL46C48H501G</v>
      </c>
      <c r="N24" s="7" t="s">
        <v>87</v>
      </c>
      <c r="O24" s="7" t="s">
        <v>88</v>
      </c>
      <c r="P24" s="8">
        <v>44428</v>
      </c>
      <c r="Q24" s="7" t="s">
        <v>32</v>
      </c>
      <c r="R24" s="7" t="s">
        <v>33</v>
      </c>
      <c r="S24" s="7" t="s">
        <v>34</v>
      </c>
      <c r="T24" s="7"/>
      <c r="U24" s="7" t="s">
        <v>35</v>
      </c>
      <c r="V24" s="9">
        <v>3082.55</v>
      </c>
      <c r="W24" s="9">
        <v>1329.2</v>
      </c>
      <c r="X24" s="9">
        <v>1227.47</v>
      </c>
      <c r="Y24" s="7">
        <v>0</v>
      </c>
      <c r="Z24" s="7">
        <v>525.88</v>
      </c>
    </row>
    <row r="25" spans="1:26" x14ac:dyDescent="0.35">
      <c r="A25" s="7" t="s">
        <v>27</v>
      </c>
      <c r="B25" s="7" t="s">
        <v>28</v>
      </c>
      <c r="C25" s="7" t="s">
        <v>46</v>
      </c>
      <c r="D25" s="7" t="s">
        <v>47</v>
      </c>
      <c r="E25" s="7" t="s">
        <v>39</v>
      </c>
      <c r="F25" s="7" t="s">
        <v>89</v>
      </c>
      <c r="G25" s="7">
        <v>2018</v>
      </c>
      <c r="H25" s="7" t="str">
        <f>_xlfn.CONCAT("84210124842")</f>
        <v>84210124842</v>
      </c>
      <c r="I25" s="7" t="s">
        <v>30</v>
      </c>
      <c r="J25" s="7" t="s">
        <v>31</v>
      </c>
      <c r="K25" s="7" t="str">
        <f>_xlfn.CONCAT("")</f>
        <v/>
      </c>
      <c r="L25" s="7" t="str">
        <f>_xlfn.CONCAT("13 13.1 4a")</f>
        <v>13 13.1 4a</v>
      </c>
      <c r="M25" s="7" t="str">
        <f>_xlfn.CONCAT("BCCCRL42P24F952L")</f>
        <v>BCCCRL42P24F952L</v>
      </c>
      <c r="N25" s="7" t="s">
        <v>90</v>
      </c>
      <c r="O25" s="7" t="s">
        <v>88</v>
      </c>
      <c r="P25" s="8">
        <v>44428</v>
      </c>
      <c r="Q25" s="7" t="s">
        <v>32</v>
      </c>
      <c r="R25" s="7" t="s">
        <v>33</v>
      </c>
      <c r="S25" s="7" t="s">
        <v>34</v>
      </c>
      <c r="T25" s="7"/>
      <c r="U25" s="7" t="s">
        <v>35</v>
      </c>
      <c r="V25" s="9">
        <v>2435.1999999999998</v>
      </c>
      <c r="W25" s="9">
        <v>1050.06</v>
      </c>
      <c r="X25" s="7">
        <v>969.7</v>
      </c>
      <c r="Y25" s="7">
        <v>0</v>
      </c>
      <c r="Z25" s="7">
        <v>415.44</v>
      </c>
    </row>
    <row r="26" spans="1:26" x14ac:dyDescent="0.35">
      <c r="A26" s="7" t="s">
        <v>27</v>
      </c>
      <c r="B26" s="7" t="s">
        <v>28</v>
      </c>
      <c r="C26" s="7" t="s">
        <v>46</v>
      </c>
      <c r="D26" s="7" t="s">
        <v>47</v>
      </c>
      <c r="E26" s="7" t="s">
        <v>29</v>
      </c>
      <c r="F26" s="7" t="s">
        <v>86</v>
      </c>
      <c r="G26" s="7">
        <v>2016</v>
      </c>
      <c r="H26" s="7" t="str">
        <f>_xlfn.CONCAT("64210596611")</f>
        <v>64210596611</v>
      </c>
      <c r="I26" s="7" t="s">
        <v>30</v>
      </c>
      <c r="J26" s="7" t="s">
        <v>31</v>
      </c>
      <c r="K26" s="7" t="str">
        <f>_xlfn.CONCAT("")</f>
        <v/>
      </c>
      <c r="L26" s="7" t="str">
        <f>_xlfn.CONCAT("13 13.1 4a")</f>
        <v>13 13.1 4a</v>
      </c>
      <c r="M26" s="7" t="str">
        <f>_xlfn.CONCAT("TRMSRG49S10B474J")</f>
        <v>TRMSRG49S10B474J</v>
      </c>
      <c r="N26" s="7" t="s">
        <v>91</v>
      </c>
      <c r="O26" s="7" t="s">
        <v>88</v>
      </c>
      <c r="P26" s="8">
        <v>44428</v>
      </c>
      <c r="Q26" s="7" t="s">
        <v>32</v>
      </c>
      <c r="R26" s="7" t="s">
        <v>33</v>
      </c>
      <c r="S26" s="7" t="s">
        <v>34</v>
      </c>
      <c r="T26" s="7"/>
      <c r="U26" s="7" t="s">
        <v>35</v>
      </c>
      <c r="V26" s="9">
        <v>3538.27</v>
      </c>
      <c r="W26" s="9">
        <v>1525.7</v>
      </c>
      <c r="X26" s="9">
        <v>1408.94</v>
      </c>
      <c r="Y26" s="7">
        <v>0</v>
      </c>
      <c r="Z26" s="7">
        <v>603.63</v>
      </c>
    </row>
    <row r="27" spans="1:26" x14ac:dyDescent="0.35">
      <c r="A27" s="7" t="s">
        <v>27</v>
      </c>
      <c r="B27" s="7" t="s">
        <v>41</v>
      </c>
      <c r="C27" s="7" t="s">
        <v>46</v>
      </c>
      <c r="D27" s="7" t="s">
        <v>70</v>
      </c>
      <c r="E27" s="7" t="s">
        <v>44</v>
      </c>
      <c r="F27" s="7" t="s">
        <v>92</v>
      </c>
      <c r="G27" s="7">
        <v>2017</v>
      </c>
      <c r="H27" s="7" t="str">
        <f>_xlfn.CONCAT("14270224737")</f>
        <v>14270224737</v>
      </c>
      <c r="I27" s="7" t="s">
        <v>30</v>
      </c>
      <c r="J27" s="7" t="s">
        <v>31</v>
      </c>
      <c r="K27" s="7" t="str">
        <f>_xlfn.CONCAT("")</f>
        <v/>
      </c>
      <c r="L27" s="7" t="str">
        <f>_xlfn.CONCAT("4 4.2 3a")</f>
        <v>4 4.2 3a</v>
      </c>
      <c r="M27" s="7" t="str">
        <f>_xlfn.CONCAT("00183640440")</f>
        <v>00183640440</v>
      </c>
      <c r="N27" s="7" t="s">
        <v>93</v>
      </c>
      <c r="O27" s="7" t="s">
        <v>94</v>
      </c>
      <c r="P27" s="8">
        <v>44431</v>
      </c>
      <c r="Q27" s="7" t="s">
        <v>32</v>
      </c>
      <c r="R27" s="7" t="s">
        <v>33</v>
      </c>
      <c r="S27" s="7" t="s">
        <v>34</v>
      </c>
      <c r="T27" s="7"/>
      <c r="U27" s="7" t="s">
        <v>35</v>
      </c>
      <c r="V27" s="9">
        <v>213130.35</v>
      </c>
      <c r="W27" s="9">
        <v>91901.81</v>
      </c>
      <c r="X27" s="9">
        <v>84868.51</v>
      </c>
      <c r="Y27" s="7">
        <v>0</v>
      </c>
      <c r="Z27" s="9">
        <v>36360.03</v>
      </c>
    </row>
    <row r="28" spans="1:26" x14ac:dyDescent="0.35">
      <c r="A28" s="7" t="s">
        <v>27</v>
      </c>
      <c r="B28" s="7" t="s">
        <v>41</v>
      </c>
      <c r="C28" s="7" t="s">
        <v>46</v>
      </c>
      <c r="D28" s="7" t="s">
        <v>70</v>
      </c>
      <c r="E28" s="7" t="s">
        <v>29</v>
      </c>
      <c r="F28" s="7" t="s">
        <v>95</v>
      </c>
      <c r="G28" s="7">
        <v>2017</v>
      </c>
      <c r="H28" s="7" t="str">
        <f>_xlfn.CONCAT("14270215438")</f>
        <v>14270215438</v>
      </c>
      <c r="I28" s="7" t="s">
        <v>30</v>
      </c>
      <c r="J28" s="7" t="s">
        <v>31</v>
      </c>
      <c r="K28" s="7" t="str">
        <f>_xlfn.CONCAT("")</f>
        <v/>
      </c>
      <c r="L28" s="7" t="str">
        <f>_xlfn.CONCAT("6 6.1 2b")</f>
        <v>6 6.1 2b</v>
      </c>
      <c r="M28" s="7" t="str">
        <f>_xlfn.CONCAT("01692240441")</f>
        <v>01692240441</v>
      </c>
      <c r="N28" s="7" t="s">
        <v>96</v>
      </c>
      <c r="O28" s="7" t="s">
        <v>97</v>
      </c>
      <c r="P28" s="8">
        <v>44418</v>
      </c>
      <c r="Q28" s="7" t="s">
        <v>32</v>
      </c>
      <c r="R28" s="7" t="s">
        <v>43</v>
      </c>
      <c r="S28" s="7" t="s">
        <v>34</v>
      </c>
      <c r="T28" s="7"/>
      <c r="U28" s="7" t="s">
        <v>35</v>
      </c>
      <c r="V28" s="9">
        <v>42000</v>
      </c>
      <c r="W28" s="9">
        <v>18110.400000000001</v>
      </c>
      <c r="X28" s="9">
        <v>16724.400000000001</v>
      </c>
      <c r="Y28" s="7">
        <v>0</v>
      </c>
      <c r="Z28" s="9">
        <v>7165.2</v>
      </c>
    </row>
    <row r="29" spans="1:26" x14ac:dyDescent="0.35">
      <c r="A29" s="7" t="s">
        <v>27</v>
      </c>
      <c r="B29" s="7" t="s">
        <v>41</v>
      </c>
      <c r="C29" s="7" t="s">
        <v>46</v>
      </c>
      <c r="D29" s="7" t="s">
        <v>56</v>
      </c>
      <c r="E29" s="7" t="s">
        <v>38</v>
      </c>
      <c r="F29" s="7" t="s">
        <v>38</v>
      </c>
      <c r="G29" s="7">
        <v>2017</v>
      </c>
      <c r="H29" s="7" t="str">
        <f>_xlfn.CONCAT("14270215420")</f>
        <v>14270215420</v>
      </c>
      <c r="I29" s="7" t="s">
        <v>30</v>
      </c>
      <c r="J29" s="7" t="s">
        <v>31</v>
      </c>
      <c r="K29" s="7" t="str">
        <f>_xlfn.CONCAT("")</f>
        <v/>
      </c>
      <c r="L29" s="7" t="str">
        <f>_xlfn.CONCAT("6 6.1 2b")</f>
        <v>6 6.1 2b</v>
      </c>
      <c r="M29" s="7" t="str">
        <f>_xlfn.CONCAT("PTRNCL96E03B474Y")</f>
        <v>PTRNCL96E03B474Y</v>
      </c>
      <c r="N29" s="7" t="s">
        <v>98</v>
      </c>
      <c r="O29" s="7" t="s">
        <v>97</v>
      </c>
      <c r="P29" s="8">
        <v>44418</v>
      </c>
      <c r="Q29" s="7" t="s">
        <v>32</v>
      </c>
      <c r="R29" s="7" t="s">
        <v>43</v>
      </c>
      <c r="S29" s="7" t="s">
        <v>34</v>
      </c>
      <c r="T29" s="7"/>
      <c r="U29" s="7" t="s">
        <v>35</v>
      </c>
      <c r="V29" s="9">
        <v>28000</v>
      </c>
      <c r="W29" s="9">
        <v>12073.6</v>
      </c>
      <c r="X29" s="9">
        <v>11149.6</v>
      </c>
      <c r="Y29" s="7">
        <v>0</v>
      </c>
      <c r="Z29" s="9">
        <v>4776.8</v>
      </c>
    </row>
    <row r="30" spans="1:26" x14ac:dyDescent="0.35">
      <c r="A30" s="7" t="s">
        <v>27</v>
      </c>
      <c r="B30" s="7" t="s">
        <v>41</v>
      </c>
      <c r="C30" s="7" t="s">
        <v>46</v>
      </c>
      <c r="D30" s="7" t="s">
        <v>56</v>
      </c>
      <c r="E30" s="7" t="s">
        <v>38</v>
      </c>
      <c r="F30" s="7" t="s">
        <v>38</v>
      </c>
      <c r="G30" s="7">
        <v>2017</v>
      </c>
      <c r="H30" s="7" t="str">
        <f>_xlfn.CONCAT("14270215412")</f>
        <v>14270215412</v>
      </c>
      <c r="I30" s="7" t="s">
        <v>30</v>
      </c>
      <c r="J30" s="7" t="s">
        <v>31</v>
      </c>
      <c r="K30" s="7" t="str">
        <f>_xlfn.CONCAT("")</f>
        <v/>
      </c>
      <c r="L30" s="7" t="str">
        <f>_xlfn.CONCAT("6 6.1 2b")</f>
        <v>6 6.1 2b</v>
      </c>
      <c r="M30" s="7" t="str">
        <f>_xlfn.CONCAT("01822020432")</f>
        <v>01822020432</v>
      </c>
      <c r="N30" s="7" t="s">
        <v>99</v>
      </c>
      <c r="O30" s="7" t="s">
        <v>97</v>
      </c>
      <c r="P30" s="8">
        <v>44418</v>
      </c>
      <c r="Q30" s="7" t="s">
        <v>32</v>
      </c>
      <c r="R30" s="7" t="s">
        <v>43</v>
      </c>
      <c r="S30" s="7" t="s">
        <v>34</v>
      </c>
      <c r="T30" s="7"/>
      <c r="U30" s="7" t="s">
        <v>35</v>
      </c>
      <c r="V30" s="9">
        <v>42000</v>
      </c>
      <c r="W30" s="9">
        <v>18110.400000000001</v>
      </c>
      <c r="X30" s="9">
        <v>16724.400000000001</v>
      </c>
      <c r="Y30" s="7">
        <v>0</v>
      </c>
      <c r="Z30" s="9">
        <v>7165.2</v>
      </c>
    </row>
    <row r="31" spans="1:26" x14ac:dyDescent="0.35">
      <c r="A31" s="7" t="s">
        <v>27</v>
      </c>
      <c r="B31" s="7" t="s">
        <v>41</v>
      </c>
      <c r="C31" s="7" t="s">
        <v>46</v>
      </c>
      <c r="D31" s="7" t="s">
        <v>70</v>
      </c>
      <c r="E31" s="7" t="s">
        <v>38</v>
      </c>
      <c r="F31" s="7" t="s">
        <v>38</v>
      </c>
      <c r="G31" s="7">
        <v>2017</v>
      </c>
      <c r="H31" s="7" t="str">
        <f>_xlfn.CONCAT("14270212625")</f>
        <v>14270212625</v>
      </c>
      <c r="I31" s="7" t="s">
        <v>30</v>
      </c>
      <c r="J31" s="7" t="s">
        <v>31</v>
      </c>
      <c r="K31" s="7" t="str">
        <f>_xlfn.CONCAT("")</f>
        <v/>
      </c>
      <c r="L31" s="7" t="str">
        <f>_xlfn.CONCAT("4 4.3 2a")</f>
        <v>4 4.3 2a</v>
      </c>
      <c r="M31" s="7" t="str">
        <f>_xlfn.CONCAT("81001850445")</f>
        <v>81001850445</v>
      </c>
      <c r="N31" s="7" t="s">
        <v>100</v>
      </c>
      <c r="O31" s="7" t="s">
        <v>101</v>
      </c>
      <c r="P31" s="8">
        <v>44431</v>
      </c>
      <c r="Q31" s="7" t="s">
        <v>32</v>
      </c>
      <c r="R31" s="7" t="s">
        <v>42</v>
      </c>
      <c r="S31" s="7" t="s">
        <v>34</v>
      </c>
      <c r="T31" s="7"/>
      <c r="U31" s="7" t="s">
        <v>35</v>
      </c>
      <c r="V31" s="9">
        <v>24500</v>
      </c>
      <c r="W31" s="9">
        <v>10564.4</v>
      </c>
      <c r="X31" s="9">
        <v>9755.9</v>
      </c>
      <c r="Y31" s="7">
        <v>0</v>
      </c>
      <c r="Z31" s="9">
        <v>4179.7</v>
      </c>
    </row>
    <row r="32" spans="1:26" x14ac:dyDescent="0.35">
      <c r="A32" s="7" t="s">
        <v>27</v>
      </c>
      <c r="B32" s="7" t="s">
        <v>28</v>
      </c>
      <c r="C32" s="7" t="s">
        <v>46</v>
      </c>
      <c r="D32" s="7" t="s">
        <v>47</v>
      </c>
      <c r="E32" s="7" t="s">
        <v>29</v>
      </c>
      <c r="F32" s="7" t="s">
        <v>86</v>
      </c>
      <c r="G32" s="7">
        <v>2018</v>
      </c>
      <c r="H32" s="7" t="str">
        <f>_xlfn.CONCAT("84210198929")</f>
        <v>84210198929</v>
      </c>
      <c r="I32" s="7" t="s">
        <v>30</v>
      </c>
      <c r="J32" s="7" t="s">
        <v>31</v>
      </c>
      <c r="K32" s="7" t="str">
        <f>_xlfn.CONCAT("")</f>
        <v/>
      </c>
      <c r="L32" s="7" t="str">
        <f>_xlfn.CONCAT("13 13.1 4a")</f>
        <v>13 13.1 4a</v>
      </c>
      <c r="M32" s="7" t="str">
        <f>_xlfn.CONCAT("CHRFNC69R10B474D")</f>
        <v>CHRFNC69R10B474D</v>
      </c>
      <c r="N32" s="7" t="s">
        <v>102</v>
      </c>
      <c r="O32" s="7" t="s">
        <v>88</v>
      </c>
      <c r="P32" s="8">
        <v>44428</v>
      </c>
      <c r="Q32" s="7" t="s">
        <v>32</v>
      </c>
      <c r="R32" s="7" t="s">
        <v>33</v>
      </c>
      <c r="S32" s="7" t="s">
        <v>34</v>
      </c>
      <c r="T32" s="7"/>
      <c r="U32" s="7" t="s">
        <v>35</v>
      </c>
      <c r="V32" s="7">
        <v>160.34</v>
      </c>
      <c r="W32" s="7">
        <v>69.14</v>
      </c>
      <c r="X32" s="7">
        <v>63.85</v>
      </c>
      <c r="Y32" s="7">
        <v>0</v>
      </c>
      <c r="Z32" s="7">
        <v>27.35</v>
      </c>
    </row>
    <row r="33" spans="1:26" x14ac:dyDescent="0.35">
      <c r="A33" s="7" t="s">
        <v>27</v>
      </c>
      <c r="B33" s="7" t="s">
        <v>28</v>
      </c>
      <c r="C33" s="7" t="s">
        <v>46</v>
      </c>
      <c r="D33" s="7" t="s">
        <v>47</v>
      </c>
      <c r="E33" s="7" t="s">
        <v>45</v>
      </c>
      <c r="F33" s="7" t="s">
        <v>103</v>
      </c>
      <c r="G33" s="7">
        <v>2018</v>
      </c>
      <c r="H33" s="7" t="str">
        <f>_xlfn.CONCAT("84210720029")</f>
        <v>84210720029</v>
      </c>
      <c r="I33" s="7" t="s">
        <v>30</v>
      </c>
      <c r="J33" s="7" t="s">
        <v>31</v>
      </c>
      <c r="K33" s="7" t="str">
        <f>_xlfn.CONCAT("")</f>
        <v/>
      </c>
      <c r="L33" s="7" t="str">
        <f>_xlfn.CONCAT("13 13.1 4a")</f>
        <v>13 13.1 4a</v>
      </c>
      <c r="M33" s="7" t="str">
        <f>_xlfn.CONCAT("01969580438")</f>
        <v>01969580438</v>
      </c>
      <c r="N33" s="7" t="s">
        <v>104</v>
      </c>
      <c r="O33" s="7" t="s">
        <v>88</v>
      </c>
      <c r="P33" s="8">
        <v>44428</v>
      </c>
      <c r="Q33" s="7" t="s">
        <v>32</v>
      </c>
      <c r="R33" s="7" t="s">
        <v>33</v>
      </c>
      <c r="S33" s="7" t="s">
        <v>34</v>
      </c>
      <c r="T33" s="7"/>
      <c r="U33" s="7" t="s">
        <v>35</v>
      </c>
      <c r="V33" s="7">
        <v>973.92</v>
      </c>
      <c r="W33" s="7">
        <v>419.95</v>
      </c>
      <c r="X33" s="7">
        <v>387.81</v>
      </c>
      <c r="Y33" s="7">
        <v>0</v>
      </c>
      <c r="Z33" s="7">
        <v>166.16</v>
      </c>
    </row>
    <row r="34" spans="1:26" x14ac:dyDescent="0.35">
      <c r="A34" s="7" t="s">
        <v>27</v>
      </c>
      <c r="B34" s="7" t="s">
        <v>28</v>
      </c>
      <c r="C34" s="7" t="s">
        <v>46</v>
      </c>
      <c r="D34" s="7" t="s">
        <v>47</v>
      </c>
      <c r="E34" s="7" t="s">
        <v>29</v>
      </c>
      <c r="F34" s="7" t="s">
        <v>86</v>
      </c>
      <c r="G34" s="7">
        <v>2018</v>
      </c>
      <c r="H34" s="7" t="str">
        <f>_xlfn.CONCAT("84210353680")</f>
        <v>84210353680</v>
      </c>
      <c r="I34" s="7" t="s">
        <v>30</v>
      </c>
      <c r="J34" s="7" t="s">
        <v>31</v>
      </c>
      <c r="K34" s="7" t="str">
        <f>_xlfn.CONCAT("")</f>
        <v/>
      </c>
      <c r="L34" s="7" t="str">
        <f>_xlfn.CONCAT("13 13.1 4a")</f>
        <v>13 13.1 4a</v>
      </c>
      <c r="M34" s="7" t="str">
        <f>_xlfn.CONCAT("SNTFNC78R54D653N")</f>
        <v>SNTFNC78R54D653N</v>
      </c>
      <c r="N34" s="7" t="s">
        <v>105</v>
      </c>
      <c r="O34" s="7" t="s">
        <v>88</v>
      </c>
      <c r="P34" s="8">
        <v>44428</v>
      </c>
      <c r="Q34" s="7" t="s">
        <v>32</v>
      </c>
      <c r="R34" s="7" t="s">
        <v>33</v>
      </c>
      <c r="S34" s="7" t="s">
        <v>34</v>
      </c>
      <c r="T34" s="7"/>
      <c r="U34" s="7" t="s">
        <v>35</v>
      </c>
      <c r="V34" s="9">
        <v>9000</v>
      </c>
      <c r="W34" s="9">
        <v>3880.8</v>
      </c>
      <c r="X34" s="9">
        <v>3583.8</v>
      </c>
      <c r="Y34" s="7">
        <v>0</v>
      </c>
      <c r="Z34" s="9">
        <v>1535.4</v>
      </c>
    </row>
    <row r="35" spans="1:26" x14ac:dyDescent="0.35">
      <c r="A35" s="7" t="s">
        <v>27</v>
      </c>
      <c r="B35" s="7" t="s">
        <v>41</v>
      </c>
      <c r="C35" s="7" t="s">
        <v>46</v>
      </c>
      <c r="D35" s="7" t="s">
        <v>70</v>
      </c>
      <c r="E35" s="7" t="s">
        <v>37</v>
      </c>
      <c r="F35" s="7" t="s">
        <v>106</v>
      </c>
      <c r="G35" s="7">
        <v>2017</v>
      </c>
      <c r="H35" s="7" t="str">
        <f>_xlfn.CONCAT("04270233663")</f>
        <v>04270233663</v>
      </c>
      <c r="I35" s="7" t="s">
        <v>30</v>
      </c>
      <c r="J35" s="7" t="s">
        <v>31</v>
      </c>
      <c r="K35" s="7" t="str">
        <f>_xlfn.CONCAT("")</f>
        <v/>
      </c>
      <c r="L35" s="7" t="str">
        <f>_xlfn.CONCAT("1 1.1 2a")</f>
        <v>1 1.1 2a</v>
      </c>
      <c r="M35" s="7" t="str">
        <f>_xlfn.CONCAT("01632720445")</f>
        <v>01632720445</v>
      </c>
      <c r="N35" s="7" t="s">
        <v>107</v>
      </c>
      <c r="O35" s="7" t="s">
        <v>108</v>
      </c>
      <c r="P35" s="8">
        <v>44431</v>
      </c>
      <c r="Q35" s="7" t="s">
        <v>32</v>
      </c>
      <c r="R35" s="7" t="s">
        <v>33</v>
      </c>
      <c r="S35" s="7" t="s">
        <v>34</v>
      </c>
      <c r="T35" s="7"/>
      <c r="U35" s="7" t="s">
        <v>35</v>
      </c>
      <c r="V35" s="9">
        <v>11286</v>
      </c>
      <c r="W35" s="9">
        <v>4866.5200000000004</v>
      </c>
      <c r="X35" s="9">
        <v>4494.09</v>
      </c>
      <c r="Y35" s="7">
        <v>0</v>
      </c>
      <c r="Z35" s="9">
        <v>1925.39</v>
      </c>
    </row>
    <row r="36" spans="1:26" x14ac:dyDescent="0.35">
      <c r="A36" s="7" t="s">
        <v>27</v>
      </c>
      <c r="B36" s="7" t="s">
        <v>41</v>
      </c>
      <c r="C36" s="7" t="s">
        <v>46</v>
      </c>
      <c r="D36" s="7" t="s">
        <v>47</v>
      </c>
      <c r="E36" s="7" t="s">
        <v>38</v>
      </c>
      <c r="F36" s="7" t="s">
        <v>38</v>
      </c>
      <c r="G36" s="7">
        <v>2017</v>
      </c>
      <c r="H36" s="7" t="str">
        <f>_xlfn.CONCAT("14270213722")</f>
        <v>14270213722</v>
      </c>
      <c r="I36" s="7" t="s">
        <v>30</v>
      </c>
      <c r="J36" s="7" t="s">
        <v>31</v>
      </c>
      <c r="K36" s="7" t="str">
        <f>_xlfn.CONCAT("")</f>
        <v/>
      </c>
      <c r="L36" s="7" t="str">
        <f>_xlfn.CONCAT("4 4.4 4c")</f>
        <v>4 4.4 4c</v>
      </c>
      <c r="M36" s="7" t="str">
        <f>_xlfn.CONCAT("RPCRRT81H44E783C")</f>
        <v>RPCRRT81H44E783C</v>
      </c>
      <c r="N36" s="7" t="s">
        <v>109</v>
      </c>
      <c r="O36" s="7" t="s">
        <v>110</v>
      </c>
      <c r="P36" s="8">
        <v>44431</v>
      </c>
      <c r="Q36" s="7" t="s">
        <v>32</v>
      </c>
      <c r="R36" s="7" t="s">
        <v>33</v>
      </c>
      <c r="S36" s="7" t="s">
        <v>34</v>
      </c>
      <c r="T36" s="7"/>
      <c r="U36" s="7" t="s">
        <v>35</v>
      </c>
      <c r="V36" s="9">
        <v>3749</v>
      </c>
      <c r="W36" s="9">
        <v>1616.57</v>
      </c>
      <c r="X36" s="9">
        <v>1492.85</v>
      </c>
      <c r="Y36" s="7">
        <v>0</v>
      </c>
      <c r="Z36" s="7">
        <v>639.58000000000004</v>
      </c>
    </row>
    <row r="37" spans="1:26" x14ac:dyDescent="0.35">
      <c r="A37" s="7" t="s">
        <v>27</v>
      </c>
      <c r="B37" s="7" t="s">
        <v>41</v>
      </c>
      <c r="C37" s="7" t="s">
        <v>46</v>
      </c>
      <c r="D37" s="7" t="s">
        <v>47</v>
      </c>
      <c r="E37" s="7" t="s">
        <v>40</v>
      </c>
      <c r="F37" s="7" t="s">
        <v>111</v>
      </c>
      <c r="G37" s="7">
        <v>2017</v>
      </c>
      <c r="H37" s="7" t="str">
        <f>_xlfn.CONCAT("14270219000")</f>
        <v>14270219000</v>
      </c>
      <c r="I37" s="7" t="s">
        <v>30</v>
      </c>
      <c r="J37" s="7" t="s">
        <v>31</v>
      </c>
      <c r="K37" s="7" t="str">
        <f>_xlfn.CONCAT("")</f>
        <v/>
      </c>
      <c r="L37" s="7" t="str">
        <f>_xlfn.CONCAT("1 1.2 2a")</f>
        <v>1 1.2 2a</v>
      </c>
      <c r="M37" s="7" t="str">
        <f>_xlfn.CONCAT("02043720446")</f>
        <v>02043720446</v>
      </c>
      <c r="N37" s="7" t="s">
        <v>112</v>
      </c>
      <c r="O37" s="7" t="s">
        <v>113</v>
      </c>
      <c r="P37" s="8">
        <v>44419</v>
      </c>
      <c r="Q37" s="7" t="s">
        <v>32</v>
      </c>
      <c r="R37" s="7" t="s">
        <v>33</v>
      </c>
      <c r="S37" s="7" t="s">
        <v>34</v>
      </c>
      <c r="T37" s="7"/>
      <c r="U37" s="7" t="s">
        <v>35</v>
      </c>
      <c r="V37" s="9">
        <v>53535.54</v>
      </c>
      <c r="W37" s="9">
        <v>23084.52</v>
      </c>
      <c r="X37" s="9">
        <v>21317.85</v>
      </c>
      <c r="Y37" s="7">
        <v>0</v>
      </c>
      <c r="Z37" s="9">
        <v>9133.17</v>
      </c>
    </row>
    <row r="38" spans="1:26" x14ac:dyDescent="0.35">
      <c r="A38" s="7" t="s">
        <v>27</v>
      </c>
      <c r="B38" s="7" t="s">
        <v>41</v>
      </c>
      <c r="C38" s="7" t="s">
        <v>46</v>
      </c>
      <c r="D38" s="7" t="s">
        <v>46</v>
      </c>
      <c r="E38" s="7" t="s">
        <v>38</v>
      </c>
      <c r="F38" s="7" t="s">
        <v>38</v>
      </c>
      <c r="G38" s="7">
        <v>2017</v>
      </c>
      <c r="H38" s="7" t="str">
        <f>_xlfn.CONCAT("14270212815")</f>
        <v>14270212815</v>
      </c>
      <c r="I38" s="7" t="s">
        <v>30</v>
      </c>
      <c r="J38" s="7" t="s">
        <v>31</v>
      </c>
      <c r="K38" s="7" t="str">
        <f>_xlfn.CONCAT("")</f>
        <v/>
      </c>
      <c r="L38" s="7" t="str">
        <f>_xlfn.CONCAT("19 19.2 6b")</f>
        <v>19 19.2 6b</v>
      </c>
      <c r="M38" s="7" t="str">
        <f>_xlfn.CONCAT("00169080439")</f>
        <v>00169080439</v>
      </c>
      <c r="N38" s="7" t="s">
        <v>114</v>
      </c>
      <c r="O38" s="7" t="s">
        <v>115</v>
      </c>
      <c r="P38" s="8">
        <v>44431</v>
      </c>
      <c r="Q38" s="7" t="s">
        <v>32</v>
      </c>
      <c r="R38" s="7" t="s">
        <v>42</v>
      </c>
      <c r="S38" s="7" t="s">
        <v>34</v>
      </c>
      <c r="T38" s="7"/>
      <c r="U38" s="7" t="s">
        <v>35</v>
      </c>
      <c r="V38" s="9">
        <v>32005.08</v>
      </c>
      <c r="W38" s="9">
        <v>13800.59</v>
      </c>
      <c r="X38" s="9">
        <v>12744.42</v>
      </c>
      <c r="Y38" s="7">
        <v>0</v>
      </c>
      <c r="Z38" s="9">
        <v>5460.07</v>
      </c>
    </row>
    <row r="39" spans="1:26" x14ac:dyDescent="0.35">
      <c r="A39" s="7" t="s">
        <v>27</v>
      </c>
      <c r="B39" s="7" t="s">
        <v>41</v>
      </c>
      <c r="C39" s="7" t="s">
        <v>46</v>
      </c>
      <c r="D39" s="7" t="s">
        <v>46</v>
      </c>
      <c r="E39" s="7" t="s">
        <v>38</v>
      </c>
      <c r="F39" s="7" t="s">
        <v>38</v>
      </c>
      <c r="G39" s="7">
        <v>2017</v>
      </c>
      <c r="H39" s="7" t="str">
        <f>_xlfn.CONCAT("04270233689")</f>
        <v>04270233689</v>
      </c>
      <c r="I39" s="7" t="s">
        <v>30</v>
      </c>
      <c r="J39" s="7" t="s">
        <v>31</v>
      </c>
      <c r="K39" s="7" t="str">
        <f>_xlfn.CONCAT("")</f>
        <v/>
      </c>
      <c r="L39" s="7" t="str">
        <f>_xlfn.CONCAT("19 19.2 6b")</f>
        <v>19 19.2 6b</v>
      </c>
      <c r="M39" s="7" t="str">
        <f>_xlfn.CONCAT("00357010446")</f>
        <v>00357010446</v>
      </c>
      <c r="N39" s="7" t="s">
        <v>116</v>
      </c>
      <c r="O39" s="7" t="s">
        <v>117</v>
      </c>
      <c r="P39" s="8">
        <v>44431</v>
      </c>
      <c r="Q39" s="7" t="s">
        <v>32</v>
      </c>
      <c r="R39" s="7" t="s">
        <v>33</v>
      </c>
      <c r="S39" s="7" t="s">
        <v>34</v>
      </c>
      <c r="T39" s="7"/>
      <c r="U39" s="7" t="s">
        <v>35</v>
      </c>
      <c r="V39" s="9">
        <v>47754.58</v>
      </c>
      <c r="W39" s="9">
        <v>20591.77</v>
      </c>
      <c r="X39" s="9">
        <v>19015.87</v>
      </c>
      <c r="Y39" s="7">
        <v>0</v>
      </c>
      <c r="Z39" s="9">
        <v>8146.94</v>
      </c>
    </row>
    <row r="40" spans="1:26" ht="17.5" x14ac:dyDescent="0.35">
      <c r="A40" s="7" t="s">
        <v>27</v>
      </c>
      <c r="B40" s="7" t="s">
        <v>41</v>
      </c>
      <c r="C40" s="7" t="s">
        <v>46</v>
      </c>
      <c r="D40" s="7" t="s">
        <v>46</v>
      </c>
      <c r="E40" s="7" t="s">
        <v>38</v>
      </c>
      <c r="F40" s="7" t="s">
        <v>38</v>
      </c>
      <c r="G40" s="7">
        <v>2017</v>
      </c>
      <c r="H40" s="7" t="str">
        <f>_xlfn.CONCAT("14270216584")</f>
        <v>14270216584</v>
      </c>
      <c r="I40" s="7" t="s">
        <v>30</v>
      </c>
      <c r="J40" s="7" t="s">
        <v>31</v>
      </c>
      <c r="K40" s="7" t="str">
        <f>_xlfn.CONCAT("")</f>
        <v/>
      </c>
      <c r="L40" s="7" t="str">
        <f>_xlfn.CONCAT("19 19.2 6b")</f>
        <v>19 19.2 6b</v>
      </c>
      <c r="M40" s="7" t="str">
        <f>_xlfn.CONCAT("02208480414")</f>
        <v>02208480414</v>
      </c>
      <c r="N40" s="7" t="s">
        <v>118</v>
      </c>
      <c r="O40" s="7" t="s">
        <v>119</v>
      </c>
      <c r="P40" s="8">
        <v>44431</v>
      </c>
      <c r="Q40" s="7" t="s">
        <v>32</v>
      </c>
      <c r="R40" s="7" t="s">
        <v>42</v>
      </c>
      <c r="S40" s="7" t="s">
        <v>34</v>
      </c>
      <c r="T40" s="7"/>
      <c r="U40" s="7" t="s">
        <v>35</v>
      </c>
      <c r="V40" s="9">
        <v>5997.69</v>
      </c>
      <c r="W40" s="9">
        <v>2586.1999999999998</v>
      </c>
      <c r="X40" s="9">
        <v>2388.2800000000002</v>
      </c>
      <c r="Y40" s="7">
        <v>0</v>
      </c>
      <c r="Z40" s="9">
        <v>1023.21</v>
      </c>
    </row>
    <row r="41" spans="1:26" x14ac:dyDescent="0.35">
      <c r="A41" s="7" t="s">
        <v>27</v>
      </c>
      <c r="B41" s="7" t="s">
        <v>41</v>
      </c>
      <c r="C41" s="7" t="s">
        <v>46</v>
      </c>
      <c r="D41" s="7" t="s">
        <v>70</v>
      </c>
      <c r="E41" s="7" t="s">
        <v>38</v>
      </c>
      <c r="F41" s="7" t="s">
        <v>38</v>
      </c>
      <c r="G41" s="7">
        <v>2017</v>
      </c>
      <c r="H41" s="7" t="str">
        <f>_xlfn.CONCAT("14270214498")</f>
        <v>14270214498</v>
      </c>
      <c r="I41" s="7" t="s">
        <v>30</v>
      </c>
      <c r="J41" s="7" t="s">
        <v>31</v>
      </c>
      <c r="K41" s="7" t="str">
        <f>_xlfn.CONCAT("")</f>
        <v/>
      </c>
      <c r="L41" s="7" t="str">
        <f>_xlfn.CONCAT("4 4.1 2a")</f>
        <v>4 4.1 2a</v>
      </c>
      <c r="M41" s="7" t="str">
        <f>_xlfn.CONCAT("SCRRSE60D09D542T")</f>
        <v>SCRRSE60D09D542T</v>
      </c>
      <c r="N41" s="7" t="s">
        <v>120</v>
      </c>
      <c r="O41" s="7" t="s">
        <v>121</v>
      </c>
      <c r="P41" s="8">
        <v>44418</v>
      </c>
      <c r="Q41" s="7" t="s">
        <v>32</v>
      </c>
      <c r="R41" s="7" t="s">
        <v>33</v>
      </c>
      <c r="S41" s="7" t="s">
        <v>34</v>
      </c>
      <c r="T41" s="7"/>
      <c r="U41" s="7" t="s">
        <v>35</v>
      </c>
      <c r="V41" s="9">
        <v>22148.78</v>
      </c>
      <c r="W41" s="9">
        <v>9550.5499999999993</v>
      </c>
      <c r="X41" s="9">
        <v>8819.64</v>
      </c>
      <c r="Y41" s="7">
        <v>0</v>
      </c>
      <c r="Z41" s="9">
        <v>3778.59</v>
      </c>
    </row>
    <row r="42" spans="1:26" x14ac:dyDescent="0.35">
      <c r="A42" s="7" t="s">
        <v>27</v>
      </c>
      <c r="B42" s="7" t="s">
        <v>41</v>
      </c>
      <c r="C42" s="7" t="s">
        <v>46</v>
      </c>
      <c r="D42" s="7" t="s">
        <v>47</v>
      </c>
      <c r="E42" s="7" t="s">
        <v>38</v>
      </c>
      <c r="F42" s="7" t="s">
        <v>38</v>
      </c>
      <c r="G42" s="7">
        <v>2017</v>
      </c>
      <c r="H42" s="7" t="str">
        <f>_xlfn.CONCAT("94270174793")</f>
        <v>94270174793</v>
      </c>
      <c r="I42" s="7" t="s">
        <v>30</v>
      </c>
      <c r="J42" s="7" t="s">
        <v>31</v>
      </c>
      <c r="K42" s="7" t="str">
        <f>_xlfn.CONCAT("")</f>
        <v/>
      </c>
      <c r="L42" s="7" t="str">
        <f>_xlfn.CONCAT("4 4.1 2a")</f>
        <v>4 4.1 2a</v>
      </c>
      <c r="M42" s="7" t="str">
        <f>_xlfn.CONCAT("TSTMNL83S02I156A")</f>
        <v>TSTMNL83S02I156A</v>
      </c>
      <c r="N42" s="7" t="s">
        <v>122</v>
      </c>
      <c r="O42" s="7" t="s">
        <v>121</v>
      </c>
      <c r="P42" s="8">
        <v>44418</v>
      </c>
      <c r="Q42" s="7" t="s">
        <v>32</v>
      </c>
      <c r="R42" s="7" t="s">
        <v>33</v>
      </c>
      <c r="S42" s="7" t="s">
        <v>34</v>
      </c>
      <c r="T42" s="7"/>
      <c r="U42" s="7" t="s">
        <v>35</v>
      </c>
      <c r="V42" s="9">
        <v>2044.41</v>
      </c>
      <c r="W42" s="7">
        <v>881.55</v>
      </c>
      <c r="X42" s="7">
        <v>814.08</v>
      </c>
      <c r="Y42" s="7">
        <v>0</v>
      </c>
      <c r="Z42" s="7">
        <v>348.78</v>
      </c>
    </row>
    <row r="43" spans="1:26" ht="17.5" x14ac:dyDescent="0.35">
      <c r="A43" s="7" t="s">
        <v>27</v>
      </c>
      <c r="B43" s="7" t="s">
        <v>41</v>
      </c>
      <c r="C43" s="7" t="s">
        <v>46</v>
      </c>
      <c r="D43" s="7" t="s">
        <v>62</v>
      </c>
      <c r="E43" s="7" t="s">
        <v>123</v>
      </c>
      <c r="F43" s="7" t="s">
        <v>124</v>
      </c>
      <c r="G43" s="7">
        <v>2017</v>
      </c>
      <c r="H43" s="7" t="str">
        <f>_xlfn.CONCAT("14270220347")</f>
        <v>14270220347</v>
      </c>
      <c r="I43" s="7" t="s">
        <v>30</v>
      </c>
      <c r="J43" s="7" t="s">
        <v>31</v>
      </c>
      <c r="K43" s="7" t="str">
        <f>_xlfn.CONCAT("")</f>
        <v/>
      </c>
      <c r="L43" s="7" t="str">
        <f>_xlfn.CONCAT("4 4.2 3a")</f>
        <v>4 4.2 3a</v>
      </c>
      <c r="M43" s="7" t="str">
        <f>_xlfn.CONCAT("02198680429")</f>
        <v>02198680429</v>
      </c>
      <c r="N43" s="7" t="s">
        <v>125</v>
      </c>
      <c r="O43" s="7" t="s">
        <v>126</v>
      </c>
      <c r="P43" s="8">
        <v>44427</v>
      </c>
      <c r="Q43" s="7" t="s">
        <v>32</v>
      </c>
      <c r="R43" s="7" t="s">
        <v>33</v>
      </c>
      <c r="S43" s="7" t="s">
        <v>34</v>
      </c>
      <c r="T43" s="7"/>
      <c r="U43" s="7" t="s">
        <v>35</v>
      </c>
      <c r="V43" s="9">
        <v>109831.55</v>
      </c>
      <c r="W43" s="9">
        <v>47359.360000000001</v>
      </c>
      <c r="X43" s="9">
        <v>43734.92</v>
      </c>
      <c r="Y43" s="7">
        <v>0</v>
      </c>
      <c r="Z43" s="9">
        <v>18737.27</v>
      </c>
    </row>
    <row r="44" spans="1:26" x14ac:dyDescent="0.35">
      <c r="A44" s="7" t="s">
        <v>27</v>
      </c>
      <c r="B44" s="7" t="s">
        <v>41</v>
      </c>
      <c r="C44" s="7" t="s">
        <v>46</v>
      </c>
      <c r="D44" s="7" t="s">
        <v>70</v>
      </c>
      <c r="E44" s="7" t="s">
        <v>38</v>
      </c>
      <c r="F44" s="7" t="s">
        <v>38</v>
      </c>
      <c r="G44" s="7">
        <v>2017</v>
      </c>
      <c r="H44" s="7" t="str">
        <f>_xlfn.CONCAT("14270213334")</f>
        <v>14270213334</v>
      </c>
      <c r="I44" s="7" t="s">
        <v>30</v>
      </c>
      <c r="J44" s="7" t="s">
        <v>31</v>
      </c>
      <c r="K44" s="7" t="str">
        <f>_xlfn.CONCAT("")</f>
        <v/>
      </c>
      <c r="L44" s="7" t="str">
        <f>_xlfn.CONCAT("6 6.1 2b")</f>
        <v>6 6.1 2b</v>
      </c>
      <c r="M44" s="7" t="str">
        <f>_xlfn.CONCAT("02364090445")</f>
        <v>02364090445</v>
      </c>
      <c r="N44" s="7" t="s">
        <v>127</v>
      </c>
      <c r="O44" s="7" t="s">
        <v>128</v>
      </c>
      <c r="P44" s="8">
        <v>44418</v>
      </c>
      <c r="Q44" s="7" t="s">
        <v>32</v>
      </c>
      <c r="R44" s="7" t="s">
        <v>43</v>
      </c>
      <c r="S44" s="7" t="s">
        <v>34</v>
      </c>
      <c r="T44" s="7"/>
      <c r="U44" s="7" t="s">
        <v>35</v>
      </c>
      <c r="V44" s="9">
        <v>42000</v>
      </c>
      <c r="W44" s="9">
        <v>18110.400000000001</v>
      </c>
      <c r="X44" s="9">
        <v>16724.400000000001</v>
      </c>
      <c r="Y44" s="7">
        <v>0</v>
      </c>
      <c r="Z44" s="9">
        <v>7165.2</v>
      </c>
    </row>
    <row r="45" spans="1:26" x14ac:dyDescent="0.35">
      <c r="A45" s="7" t="s">
        <v>27</v>
      </c>
      <c r="B45" s="7" t="s">
        <v>28</v>
      </c>
      <c r="C45" s="7" t="s">
        <v>46</v>
      </c>
      <c r="D45" s="7" t="s">
        <v>47</v>
      </c>
      <c r="E45" s="7" t="s">
        <v>29</v>
      </c>
      <c r="F45" s="7" t="s">
        <v>86</v>
      </c>
      <c r="G45" s="7">
        <v>2018</v>
      </c>
      <c r="H45" s="7" t="str">
        <f>_xlfn.CONCAT("84210362228")</f>
        <v>84210362228</v>
      </c>
      <c r="I45" s="7" t="s">
        <v>30</v>
      </c>
      <c r="J45" s="7" t="s">
        <v>31</v>
      </c>
      <c r="K45" s="7" t="str">
        <f>_xlfn.CONCAT("")</f>
        <v/>
      </c>
      <c r="L45" s="7" t="str">
        <f>_xlfn.CONCAT("13 13.1 4a")</f>
        <v>13 13.1 4a</v>
      </c>
      <c r="M45" s="7" t="str">
        <f>_xlfn.CONCAT("CRRTRS57D44B474L")</f>
        <v>CRRTRS57D44B474L</v>
      </c>
      <c r="N45" s="7" t="s">
        <v>129</v>
      </c>
      <c r="O45" s="7" t="s">
        <v>88</v>
      </c>
      <c r="P45" s="8">
        <v>44428</v>
      </c>
      <c r="Q45" s="7" t="s">
        <v>32</v>
      </c>
      <c r="R45" s="7" t="s">
        <v>33</v>
      </c>
      <c r="S45" s="7" t="s">
        <v>34</v>
      </c>
      <c r="T45" s="7"/>
      <c r="U45" s="7" t="s">
        <v>35</v>
      </c>
      <c r="V45" s="9">
        <v>2433.7199999999998</v>
      </c>
      <c r="W45" s="9">
        <v>1049.42</v>
      </c>
      <c r="X45" s="7">
        <v>969.11</v>
      </c>
      <c r="Y45" s="7">
        <v>0</v>
      </c>
      <c r="Z45" s="7">
        <v>415.19</v>
      </c>
    </row>
    <row r="46" spans="1:26" x14ac:dyDescent="0.35">
      <c r="A46" s="7" t="s">
        <v>27</v>
      </c>
      <c r="B46" s="7" t="s">
        <v>28</v>
      </c>
      <c r="C46" s="7" t="s">
        <v>46</v>
      </c>
      <c r="D46" s="7" t="s">
        <v>47</v>
      </c>
      <c r="E46" s="7" t="s">
        <v>29</v>
      </c>
      <c r="F46" s="7" t="s">
        <v>86</v>
      </c>
      <c r="G46" s="7">
        <v>2018</v>
      </c>
      <c r="H46" s="7" t="str">
        <f>_xlfn.CONCAT("84210494112")</f>
        <v>84210494112</v>
      </c>
      <c r="I46" s="7" t="s">
        <v>30</v>
      </c>
      <c r="J46" s="7" t="s">
        <v>31</v>
      </c>
      <c r="K46" s="7" t="str">
        <f>_xlfn.CONCAT("")</f>
        <v/>
      </c>
      <c r="L46" s="7" t="str">
        <f>_xlfn.CONCAT("13 13.1 4a")</f>
        <v>13 13.1 4a</v>
      </c>
      <c r="M46" s="7" t="str">
        <f>_xlfn.CONCAT("CRSGLN81T22B474U")</f>
        <v>CRSGLN81T22B474U</v>
      </c>
      <c r="N46" s="7" t="s">
        <v>130</v>
      </c>
      <c r="O46" s="7" t="s">
        <v>88</v>
      </c>
      <c r="P46" s="8">
        <v>44428</v>
      </c>
      <c r="Q46" s="7" t="s">
        <v>32</v>
      </c>
      <c r="R46" s="7" t="s">
        <v>33</v>
      </c>
      <c r="S46" s="7" t="s">
        <v>34</v>
      </c>
      <c r="T46" s="7"/>
      <c r="U46" s="7" t="s">
        <v>35</v>
      </c>
      <c r="V46" s="7">
        <v>829.21</v>
      </c>
      <c r="W46" s="7">
        <v>357.56</v>
      </c>
      <c r="X46" s="7">
        <v>330.19</v>
      </c>
      <c r="Y46" s="7">
        <v>0</v>
      </c>
      <c r="Z46" s="7">
        <v>141.46</v>
      </c>
    </row>
    <row r="47" spans="1:26" x14ac:dyDescent="0.35">
      <c r="A47" s="7" t="s">
        <v>27</v>
      </c>
      <c r="B47" s="7" t="s">
        <v>28</v>
      </c>
      <c r="C47" s="7" t="s">
        <v>46</v>
      </c>
      <c r="D47" s="7" t="s">
        <v>47</v>
      </c>
      <c r="E47" s="7" t="s">
        <v>29</v>
      </c>
      <c r="F47" s="7" t="s">
        <v>86</v>
      </c>
      <c r="G47" s="7">
        <v>2018</v>
      </c>
      <c r="H47" s="7" t="str">
        <f>_xlfn.CONCAT("84210282103")</f>
        <v>84210282103</v>
      </c>
      <c r="I47" s="7" t="s">
        <v>30</v>
      </c>
      <c r="J47" s="7" t="s">
        <v>31</v>
      </c>
      <c r="K47" s="7" t="str">
        <f>_xlfn.CONCAT("")</f>
        <v/>
      </c>
      <c r="L47" s="7" t="str">
        <f>_xlfn.CONCAT("13 13.1 4a")</f>
        <v>13 13.1 4a</v>
      </c>
      <c r="M47" s="7" t="str">
        <f>_xlfn.CONCAT("FDLZEI48B19I661A")</f>
        <v>FDLZEI48B19I661A</v>
      </c>
      <c r="N47" s="7" t="s">
        <v>131</v>
      </c>
      <c r="O47" s="7" t="s">
        <v>88</v>
      </c>
      <c r="P47" s="8">
        <v>44428</v>
      </c>
      <c r="Q47" s="7" t="s">
        <v>32</v>
      </c>
      <c r="R47" s="7" t="s">
        <v>33</v>
      </c>
      <c r="S47" s="7" t="s">
        <v>34</v>
      </c>
      <c r="T47" s="7"/>
      <c r="U47" s="7" t="s">
        <v>35</v>
      </c>
      <c r="V47" s="9">
        <v>5938.23</v>
      </c>
      <c r="W47" s="9">
        <v>2560.56</v>
      </c>
      <c r="X47" s="9">
        <v>2364.6</v>
      </c>
      <c r="Y47" s="7">
        <v>0</v>
      </c>
      <c r="Z47" s="9">
        <v>1013.07</v>
      </c>
    </row>
    <row r="48" spans="1:26" x14ac:dyDescent="0.35">
      <c r="A48" s="7" t="s">
        <v>27</v>
      </c>
      <c r="B48" s="7" t="s">
        <v>28</v>
      </c>
      <c r="C48" s="7" t="s">
        <v>46</v>
      </c>
      <c r="D48" s="7" t="s">
        <v>47</v>
      </c>
      <c r="E48" s="7" t="s">
        <v>29</v>
      </c>
      <c r="F48" s="7" t="s">
        <v>86</v>
      </c>
      <c r="G48" s="7">
        <v>2018</v>
      </c>
      <c r="H48" s="7" t="str">
        <f>_xlfn.CONCAT("84210317115")</f>
        <v>84210317115</v>
      </c>
      <c r="I48" s="7" t="s">
        <v>30</v>
      </c>
      <c r="J48" s="7" t="s">
        <v>31</v>
      </c>
      <c r="K48" s="7" t="str">
        <f>_xlfn.CONCAT("")</f>
        <v/>
      </c>
      <c r="L48" s="7" t="str">
        <f>_xlfn.CONCAT("13 13.1 4a")</f>
        <v>13 13.1 4a</v>
      </c>
      <c r="M48" s="7" t="str">
        <f>_xlfn.CONCAT("ZMPDRN67S57B474O")</f>
        <v>ZMPDRN67S57B474O</v>
      </c>
      <c r="N48" s="7" t="s">
        <v>132</v>
      </c>
      <c r="O48" s="7" t="s">
        <v>88</v>
      </c>
      <c r="P48" s="8">
        <v>44428</v>
      </c>
      <c r="Q48" s="7" t="s">
        <v>32</v>
      </c>
      <c r="R48" s="7" t="s">
        <v>33</v>
      </c>
      <c r="S48" s="7" t="s">
        <v>34</v>
      </c>
      <c r="T48" s="7"/>
      <c r="U48" s="7" t="s">
        <v>35</v>
      </c>
      <c r="V48" s="7">
        <v>199.81</v>
      </c>
      <c r="W48" s="7">
        <v>86.16</v>
      </c>
      <c r="X48" s="7">
        <v>79.56</v>
      </c>
      <c r="Y48" s="7">
        <v>0</v>
      </c>
      <c r="Z48" s="7">
        <v>34.090000000000003</v>
      </c>
    </row>
    <row r="49" spans="1:26" x14ac:dyDescent="0.35">
      <c r="A49" s="7" t="s">
        <v>27</v>
      </c>
      <c r="B49" s="7" t="s">
        <v>28</v>
      </c>
      <c r="C49" s="7" t="s">
        <v>46</v>
      </c>
      <c r="D49" s="7" t="s">
        <v>47</v>
      </c>
      <c r="E49" s="7" t="s">
        <v>29</v>
      </c>
      <c r="F49" s="7" t="s">
        <v>86</v>
      </c>
      <c r="G49" s="7">
        <v>2018</v>
      </c>
      <c r="H49" s="7" t="str">
        <f>_xlfn.CONCAT("84210439182")</f>
        <v>84210439182</v>
      </c>
      <c r="I49" s="7" t="s">
        <v>30</v>
      </c>
      <c r="J49" s="7" t="s">
        <v>31</v>
      </c>
      <c r="K49" s="7" t="str">
        <f>_xlfn.CONCAT("")</f>
        <v/>
      </c>
      <c r="L49" s="7" t="str">
        <f>_xlfn.CONCAT("13 13.1 4a")</f>
        <v>13 13.1 4a</v>
      </c>
      <c r="M49" s="7" t="str">
        <f>_xlfn.CONCAT("QTTCTA57C45H501N")</f>
        <v>QTTCTA57C45H501N</v>
      </c>
      <c r="N49" s="7" t="s">
        <v>133</v>
      </c>
      <c r="O49" s="7" t="s">
        <v>88</v>
      </c>
      <c r="P49" s="8">
        <v>44428</v>
      </c>
      <c r="Q49" s="7" t="s">
        <v>32</v>
      </c>
      <c r="R49" s="7" t="s">
        <v>33</v>
      </c>
      <c r="S49" s="7" t="s">
        <v>34</v>
      </c>
      <c r="T49" s="7"/>
      <c r="U49" s="7" t="s">
        <v>35</v>
      </c>
      <c r="V49" s="9">
        <v>2266.48</v>
      </c>
      <c r="W49" s="7">
        <v>977.31</v>
      </c>
      <c r="X49" s="7">
        <v>902.51</v>
      </c>
      <c r="Y49" s="7">
        <v>0</v>
      </c>
      <c r="Z49" s="7">
        <v>386.66</v>
      </c>
    </row>
    <row r="50" spans="1:26" x14ac:dyDescent="0.35">
      <c r="A50" s="7" t="s">
        <v>27</v>
      </c>
      <c r="B50" s="7" t="s">
        <v>28</v>
      </c>
      <c r="C50" s="7" t="s">
        <v>46</v>
      </c>
      <c r="D50" s="7" t="s">
        <v>56</v>
      </c>
      <c r="E50" s="7" t="s">
        <v>39</v>
      </c>
      <c r="F50" s="7" t="s">
        <v>134</v>
      </c>
      <c r="G50" s="7">
        <v>2020</v>
      </c>
      <c r="H50" s="7" t="str">
        <f>_xlfn.CONCAT("04210864221")</f>
        <v>04210864221</v>
      </c>
      <c r="I50" s="7" t="s">
        <v>30</v>
      </c>
      <c r="J50" s="7" t="s">
        <v>31</v>
      </c>
      <c r="K50" s="7" t="str">
        <f>_xlfn.CONCAT("")</f>
        <v/>
      </c>
      <c r="L50" s="7" t="str">
        <f>_xlfn.CONCAT("13 13.1 4a")</f>
        <v>13 13.1 4a</v>
      </c>
      <c r="M50" s="7" t="str">
        <f>_xlfn.CONCAT("GDCPRI27D26G453N")</f>
        <v>GDCPRI27D26G453N</v>
      </c>
      <c r="N50" s="7" t="s">
        <v>135</v>
      </c>
      <c r="O50" s="7" t="s">
        <v>88</v>
      </c>
      <c r="P50" s="8">
        <v>44428</v>
      </c>
      <c r="Q50" s="7" t="s">
        <v>32</v>
      </c>
      <c r="R50" s="7" t="s">
        <v>33</v>
      </c>
      <c r="S50" s="7" t="s">
        <v>34</v>
      </c>
      <c r="T50" s="7"/>
      <c r="U50" s="7" t="s">
        <v>35</v>
      </c>
      <c r="V50" s="9">
        <v>1924.12</v>
      </c>
      <c r="W50" s="7">
        <v>829.68</v>
      </c>
      <c r="X50" s="7">
        <v>766.18</v>
      </c>
      <c r="Y50" s="7">
        <v>0</v>
      </c>
      <c r="Z50" s="7">
        <v>328.26</v>
      </c>
    </row>
    <row r="51" spans="1:26" x14ac:dyDescent="0.35">
      <c r="A51" s="7" t="s">
        <v>27</v>
      </c>
      <c r="B51" s="7" t="s">
        <v>28</v>
      </c>
      <c r="C51" s="7" t="s">
        <v>46</v>
      </c>
      <c r="D51" s="7" t="s">
        <v>47</v>
      </c>
      <c r="E51" s="7" t="s">
        <v>45</v>
      </c>
      <c r="F51" s="7" t="s">
        <v>136</v>
      </c>
      <c r="G51" s="7">
        <v>2018</v>
      </c>
      <c r="H51" s="7" t="str">
        <f>_xlfn.CONCAT("84211108711")</f>
        <v>84211108711</v>
      </c>
      <c r="I51" s="7" t="s">
        <v>30</v>
      </c>
      <c r="J51" s="7" t="s">
        <v>31</v>
      </c>
      <c r="K51" s="7" t="str">
        <f>_xlfn.CONCAT("")</f>
        <v/>
      </c>
      <c r="L51" s="7" t="str">
        <f>_xlfn.CONCAT("13 13.1 4a")</f>
        <v>13 13.1 4a</v>
      </c>
      <c r="M51" s="7" t="str">
        <f>_xlfn.CONCAT("TSTLCU77B06B474R")</f>
        <v>TSTLCU77B06B474R</v>
      </c>
      <c r="N51" s="7" t="s">
        <v>137</v>
      </c>
      <c r="O51" s="7" t="s">
        <v>88</v>
      </c>
      <c r="P51" s="8">
        <v>44428</v>
      </c>
      <c r="Q51" s="7" t="s">
        <v>32</v>
      </c>
      <c r="R51" s="7" t="s">
        <v>33</v>
      </c>
      <c r="S51" s="7" t="s">
        <v>34</v>
      </c>
      <c r="T51" s="7"/>
      <c r="U51" s="7" t="s">
        <v>35</v>
      </c>
      <c r="V51" s="9">
        <v>7200.12</v>
      </c>
      <c r="W51" s="9">
        <v>3104.69</v>
      </c>
      <c r="X51" s="9">
        <v>2867.09</v>
      </c>
      <c r="Y51" s="7">
        <v>0</v>
      </c>
      <c r="Z51" s="9">
        <v>1228.3399999999999</v>
      </c>
    </row>
    <row r="52" spans="1:26" x14ac:dyDescent="0.35">
      <c r="A52" s="7" t="s">
        <v>27</v>
      </c>
      <c r="B52" s="7" t="s">
        <v>41</v>
      </c>
      <c r="C52" s="7" t="s">
        <v>46</v>
      </c>
      <c r="D52" s="7" t="s">
        <v>47</v>
      </c>
      <c r="E52" s="7" t="s">
        <v>38</v>
      </c>
      <c r="F52" s="7" t="s">
        <v>38</v>
      </c>
      <c r="G52" s="7">
        <v>2017</v>
      </c>
      <c r="H52" s="7" t="str">
        <f>_xlfn.CONCAT("14270213748")</f>
        <v>14270213748</v>
      </c>
      <c r="I52" s="7" t="s">
        <v>36</v>
      </c>
      <c r="J52" s="7" t="s">
        <v>31</v>
      </c>
      <c r="K52" s="7" t="str">
        <f>_xlfn.CONCAT("")</f>
        <v/>
      </c>
      <c r="L52" s="7" t="str">
        <f>_xlfn.CONCAT("4 4.4 4c")</f>
        <v>4 4.4 4c</v>
      </c>
      <c r="M52" s="7" t="str">
        <f>_xlfn.CONCAT("SCLRND93L22D024E")</f>
        <v>SCLRND93L22D024E</v>
      </c>
      <c r="N52" s="7" t="s">
        <v>138</v>
      </c>
      <c r="O52" s="7" t="s">
        <v>110</v>
      </c>
      <c r="P52" s="8">
        <v>44431</v>
      </c>
      <c r="Q52" s="7" t="s">
        <v>32</v>
      </c>
      <c r="R52" s="7" t="s">
        <v>33</v>
      </c>
      <c r="S52" s="7" t="s">
        <v>34</v>
      </c>
      <c r="T52" s="7"/>
      <c r="U52" s="7" t="s">
        <v>35</v>
      </c>
      <c r="V52" s="9">
        <v>12870</v>
      </c>
      <c r="W52" s="9">
        <v>5549.54</v>
      </c>
      <c r="X52" s="9">
        <v>5124.83</v>
      </c>
      <c r="Y52" s="7">
        <v>0</v>
      </c>
      <c r="Z52" s="9">
        <v>2195.63</v>
      </c>
    </row>
    <row r="53" spans="1:26" x14ac:dyDescent="0.35">
      <c r="A53" s="7" t="s">
        <v>27</v>
      </c>
      <c r="B53" s="7" t="s">
        <v>41</v>
      </c>
      <c r="C53" s="7" t="s">
        <v>46</v>
      </c>
      <c r="D53" s="7" t="s">
        <v>47</v>
      </c>
      <c r="E53" s="7" t="s">
        <v>38</v>
      </c>
      <c r="F53" s="7" t="s">
        <v>38</v>
      </c>
      <c r="G53" s="7">
        <v>2017</v>
      </c>
      <c r="H53" s="7" t="str">
        <f>_xlfn.CONCAT("14270213730")</f>
        <v>14270213730</v>
      </c>
      <c r="I53" s="7" t="s">
        <v>30</v>
      </c>
      <c r="J53" s="7" t="s">
        <v>31</v>
      </c>
      <c r="K53" s="7" t="str">
        <f>_xlfn.CONCAT("")</f>
        <v/>
      </c>
      <c r="L53" s="7" t="str">
        <f>_xlfn.CONCAT("4 4.4 4c")</f>
        <v>4 4.4 4c</v>
      </c>
      <c r="M53" s="7" t="str">
        <f>_xlfn.CONCAT("SCLRRT58P14D024H")</f>
        <v>SCLRRT58P14D024H</v>
      </c>
      <c r="N53" s="7" t="s">
        <v>139</v>
      </c>
      <c r="O53" s="7" t="s">
        <v>110</v>
      </c>
      <c r="P53" s="8">
        <v>44431</v>
      </c>
      <c r="Q53" s="7" t="s">
        <v>32</v>
      </c>
      <c r="R53" s="7" t="s">
        <v>33</v>
      </c>
      <c r="S53" s="7" t="s">
        <v>34</v>
      </c>
      <c r="T53" s="7"/>
      <c r="U53" s="7" t="s">
        <v>35</v>
      </c>
      <c r="V53" s="9">
        <v>11220</v>
      </c>
      <c r="W53" s="9">
        <v>4838.0600000000004</v>
      </c>
      <c r="X53" s="9">
        <v>4467.8</v>
      </c>
      <c r="Y53" s="7">
        <v>0</v>
      </c>
      <c r="Z53" s="9">
        <v>1914.14</v>
      </c>
    </row>
    <row r="54" spans="1:26" x14ac:dyDescent="0.35">
      <c r="A54" s="7" t="s">
        <v>27</v>
      </c>
      <c r="B54" s="7" t="s">
        <v>41</v>
      </c>
      <c r="C54" s="7" t="s">
        <v>46</v>
      </c>
      <c r="D54" s="7" t="s">
        <v>56</v>
      </c>
      <c r="E54" s="7" t="s">
        <v>40</v>
      </c>
      <c r="F54" s="7" t="s">
        <v>111</v>
      </c>
      <c r="G54" s="7">
        <v>2017</v>
      </c>
      <c r="H54" s="7" t="str">
        <f>_xlfn.CONCAT("14270219018")</f>
        <v>14270219018</v>
      </c>
      <c r="I54" s="7" t="s">
        <v>30</v>
      </c>
      <c r="J54" s="7" t="s">
        <v>31</v>
      </c>
      <c r="K54" s="7" t="str">
        <f>_xlfn.CONCAT("")</f>
        <v/>
      </c>
      <c r="L54" s="7" t="str">
        <f>_xlfn.CONCAT("1 1.2 2a")</f>
        <v>1 1.2 2a</v>
      </c>
      <c r="M54" s="7" t="str">
        <f>_xlfn.CONCAT("02043720446")</f>
        <v>02043720446</v>
      </c>
      <c r="N54" s="7" t="s">
        <v>112</v>
      </c>
      <c r="O54" s="7" t="s">
        <v>140</v>
      </c>
      <c r="P54" s="8">
        <v>44431</v>
      </c>
      <c r="Q54" s="7" t="s">
        <v>32</v>
      </c>
      <c r="R54" s="7" t="s">
        <v>33</v>
      </c>
      <c r="S54" s="7" t="s">
        <v>34</v>
      </c>
      <c r="T54" s="7"/>
      <c r="U54" s="7" t="s">
        <v>35</v>
      </c>
      <c r="V54" s="9">
        <v>46227.15</v>
      </c>
      <c r="W54" s="9">
        <v>19933.150000000001</v>
      </c>
      <c r="X54" s="9">
        <v>18407.650000000001</v>
      </c>
      <c r="Y54" s="7">
        <v>0</v>
      </c>
      <c r="Z54" s="9">
        <v>7886.35</v>
      </c>
    </row>
  </sheetData>
  <mergeCells count="2">
    <mergeCell ref="A1:Y1"/>
    <mergeCell ref="A2:Y2"/>
  </mergeCells>
  <pageMargins left="0.75" right="0.75" top="1" bottom="1" header="0.5" footer="0.5"/>
  <pageSetup paperSize="9" orientation="portrait" horizontalDpi="300" verticalDpi="0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21939</vt:lpwstr>
  </property>
  <property fmtid="{D5CDD505-2E9C-101B-9397-08002B2CF9AE}" pid="4" name="OptimizationTime">
    <vt:lpwstr>20210901_1646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2021-09-01T11:30:29Z</dcterms:created>
  <dcterms:modified xsi:type="dcterms:W3CDTF">2021-09-01T11:31:13Z</dcterms:modified>
</cp:coreProperties>
</file>